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harts/chart2.xml" ContentType="application/vnd.openxmlformats-officedocument.drawingml.chart+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bhero.sharepoint.com/FE Materials/Materials Development/Beverages Case in Point/Elearning/Case in Point/3. DCF Valuation/6. Discounting/"/>
    </mc:Choice>
  </mc:AlternateContent>
  <xr:revisionPtr revIDLastSave="0" documentId="8_{9A181910-0720-4AB1-970C-D171D47AC50E}" xr6:coauthVersionLast="47" xr6:coauthVersionMax="47" xr10:uidLastSave="{00000000-0000-0000-0000-000000000000}"/>
  <bookViews>
    <workbookView xWindow="-98" yWindow="-98" windowWidth="21795" windowHeight="13875" tabRatio="809" firstSheet="7" activeTab="10" xr2:uid="{00000000-000D-0000-FFFF-FFFF00000000}"/>
  </bookViews>
  <sheets>
    <sheet name="Welcome" sheetId="2" r:id="rId1"/>
    <sheet name="Info" sheetId="3" r:id="rId2"/>
    <sheet name="Accounting" sheetId="4" r:id="rId3"/>
    <sheet name="Accounting Qualitative" sheetId="27" r:id="rId4"/>
    <sheet name="Red Bull Model" sheetId="12" r:id="rId5"/>
    <sheet name="Trading_comps_scratch" sheetId="24" r:id="rId6"/>
    <sheet name="1" sheetId="5" r:id="rId7"/>
    <sheet name="2" sheetId="25" r:id="rId8"/>
    <sheet name="Trading_comps" sheetId="10" r:id="rId9"/>
    <sheet name="Checklist" sheetId="11" r:id="rId10"/>
    <sheet name="DCF" sheetId="13" r:id="rId11"/>
    <sheet name="WACC" sheetId="14" r:id="rId12"/>
    <sheet name="Transaction_comps" sheetId="15" r:id="rId13"/>
    <sheet name="Synergies" sheetId="16" r:id="rId14"/>
    <sheet name="Valuation_summary" sheetId="17" r:id="rId15"/>
    <sheet name="ESG" sheetId="29" r:id="rId16"/>
    <sheet name="M&amp;A" sheetId="18" r:id="rId17"/>
    <sheet name="LBO" sheetId="20" r:id="rId18"/>
    <sheet name="Scratchpad" sheetId="28" r:id="rId19"/>
    <sheet name="Factset codes" sheetId="22" state="hidden" r:id="rId20"/>
  </sheets>
  <externalReferences>
    <externalReference r:id="rId21"/>
    <externalReference r:id="rId22"/>
  </externalReferences>
  <definedNames>
    <definedName name="_xlnm._FilterDatabase" localSheetId="16" hidden="1">'M&amp;A'!$I$92:$K$94</definedName>
    <definedName name="_xlnm._FilterDatabase" localSheetId="5" hidden="1">Trading_comps_scratch!#REF!</definedName>
    <definedName name="ANALYSIS_DATE" localSheetId="15">[1]Trading_comps!$D$16</definedName>
    <definedName name="ANALYSIS_DATE" localSheetId="18">[2]Trading_comps!$D$15</definedName>
    <definedName name="ANALYSIS_DATE">Trading_comps!$D$16</definedName>
    <definedName name="BETA" localSheetId="6">'1'!$C$20</definedName>
    <definedName name="BETA" localSheetId="7">'2'!$C$20</definedName>
    <definedName name="CASH_AND_ST_INVESTMENTS" localSheetId="6">'1'!$H$8</definedName>
    <definedName name="CASH_AND_ST_INVESTMENTS" localSheetId="7">'2'!$H$8</definedName>
    <definedName name="Circswitch" localSheetId="15">[1]Info!$N$10</definedName>
    <definedName name="Circswitch" localSheetId="18">[2]Info!$N$10</definedName>
    <definedName name="Circswitch">Info!$N$10</definedName>
    <definedName name="COMP_CALENDARIZE_PERCENTAGES" localSheetId="6">'1'!$I$79:$K$79</definedName>
    <definedName name="COMP_CALENDARIZE_PERCENTAGES" localSheetId="7">'2'!$I$79:$K$79</definedName>
    <definedName name="COMP_CALENDARIZE_PERCENTAGES" localSheetId="19">'Factset codes'!$R$64:$V$64</definedName>
    <definedName name="COMP_EQ_VALUE" localSheetId="6">'1'!$H$6</definedName>
    <definedName name="COMP_EQ_VALUE" localSheetId="7">'2'!$H$6</definedName>
    <definedName name="COMP_EQ_VALUE" localSheetId="19">'Factset codes'!$R$10</definedName>
    <definedName name="COMP_EV" localSheetId="6">'1'!$H$10</definedName>
    <definedName name="COMP_EV" localSheetId="7">'2'!$H$10</definedName>
    <definedName name="COMP_EV" localSheetId="19">'Factset codes'!$L$10</definedName>
    <definedName name="COMP_FX" localSheetId="6">'1'!$C$15</definedName>
    <definedName name="COMP_FX" localSheetId="7">'2'!$C$15</definedName>
    <definedName name="COMP_MTR" localSheetId="6">'1'!$C$10</definedName>
    <definedName name="COMP_MTR" localSheetId="7">'2'!$C$10</definedName>
    <definedName name="Comp_MTR" localSheetId="19">'Factset codes'!$D$19</definedName>
    <definedName name="COMP_SHAREPRICE" localSheetId="6">'1'!$C$16</definedName>
    <definedName name="COMP_SHAREPRICE" localSheetId="7">'2'!$C$16</definedName>
    <definedName name="COMP_SHAREPRICE" localSheetId="19">'Factset codes'!$D$13</definedName>
    <definedName name="COMPANY_NAME" localSheetId="6">'1'!$A$1</definedName>
    <definedName name="COMPANY_NAME" localSheetId="7">'2'!$A$1</definedName>
    <definedName name="CREDIT_RATING" localSheetId="6">'1'!$C$19</definedName>
    <definedName name="CREDIT_RATING" localSheetId="7">'2'!$C$19</definedName>
    <definedName name="DSO" localSheetId="6">'1'!$D$35</definedName>
    <definedName name="DSO" localSheetId="7">'2'!$D$35</definedName>
    <definedName name="EBIT_CY1" localSheetId="6">'1'!$H$16</definedName>
    <definedName name="EBIT_CY1" localSheetId="7">'2'!$H$16</definedName>
    <definedName name="EBIT_CY2" localSheetId="6">'1'!$I$16</definedName>
    <definedName name="EBIT_CY2" localSheetId="7">'2'!$I$16</definedName>
    <definedName name="EBIT_CY3" localSheetId="6">'1'!$J$16</definedName>
    <definedName name="EBIT_CY3" localSheetId="7">'2'!$J$16</definedName>
    <definedName name="EBIT_CY4" localSheetId="6">'1'!$K$16</definedName>
    <definedName name="EBIT_CY4" localSheetId="7">'2'!$K$16</definedName>
    <definedName name="EBIT_LTM" localSheetId="6">'1'!$G$16</definedName>
    <definedName name="EBIT_LTM" localSheetId="7">'2'!$G$16</definedName>
    <definedName name="EBIT_LTM" localSheetId="19">'Factset codes'!$J$14</definedName>
    <definedName name="EBITDA_CY1" localSheetId="6">'1'!$H$15</definedName>
    <definedName name="EBITDA_CY1" localSheetId="7">'2'!$H$15</definedName>
    <definedName name="EBITDA_CY2" localSheetId="6">'1'!$I$15</definedName>
    <definedName name="EBITDA_CY2" localSheetId="7">'2'!$I$15</definedName>
    <definedName name="EBITDA_CY3" localSheetId="6">'1'!$J$15</definedName>
    <definedName name="EBITDA_CY3" localSheetId="7">'2'!$J$15</definedName>
    <definedName name="EBITDA_CY4" localSheetId="6">'1'!$K$15</definedName>
    <definedName name="EBITDA_CY4" localSheetId="7">'2'!$K$15</definedName>
    <definedName name="EBITDA_LTM" localSheetId="6">'1'!$G$15</definedName>
    <definedName name="EBITDA_LTM" localSheetId="7">'2'!$G$15</definedName>
    <definedName name="EBITDA_LTM" localSheetId="19">'Factset codes'!$J$13</definedName>
    <definedName name="EBITDAR_CY1" localSheetId="6">'1'!$I$67</definedName>
    <definedName name="EBITDAR_CY1" localSheetId="7">'2'!$I$67</definedName>
    <definedName name="EBITDAR_CY2" localSheetId="6">'1'!$J$67</definedName>
    <definedName name="EBITDAR_CY2" localSheetId="7">'2'!$J$67</definedName>
    <definedName name="EBITDAR_CY3" localSheetId="6">'1'!$K$67</definedName>
    <definedName name="EBITDAR_CY3" localSheetId="7">'2'!$K$67</definedName>
    <definedName name="EBITDAR_LTM" localSheetId="6">'1'!$G$67</definedName>
    <definedName name="EBITDAR_LTM" localSheetId="7">'2'!$G$67</definedName>
    <definedName name="EBITR_CY1" localSheetId="6">'1'!$I$68</definedName>
    <definedName name="EBITR_CY1" localSheetId="7">'2'!$I$68</definedName>
    <definedName name="EBITR_CY2" localSheetId="6">'1'!$J$68</definedName>
    <definedName name="EBITR_CY2" localSheetId="7">'2'!$J$68</definedName>
    <definedName name="EBITR_CY3" localSheetId="6">'1'!$K$68</definedName>
    <definedName name="EBITR_CY3" localSheetId="7">'2'!$K$68</definedName>
    <definedName name="EBITR_LTM" localSheetId="6">'1'!$G$68</definedName>
    <definedName name="EBITR_LTM" localSheetId="7">'2'!$G$68</definedName>
    <definedName name="EPS_5YR_GROWTH" localSheetId="6">'1'!$C$21</definedName>
    <definedName name="EPS_5YR_GROWTH" localSheetId="7">'2'!$C$21</definedName>
    <definedName name="EPS_CY1" localSheetId="6">'1'!$H$17</definedName>
    <definedName name="EPS_CY1" localSheetId="7">'2'!$H$17</definedName>
    <definedName name="EPS_CY2" localSheetId="6">'1'!$I$17</definedName>
    <definedName name="EPS_CY2" localSheetId="7">'2'!$I$17</definedName>
    <definedName name="EPS_CY3" localSheetId="6">'1'!$J$17</definedName>
    <definedName name="EPS_CY3" localSheetId="7">'2'!$J$17</definedName>
    <definedName name="EPS_CY4" localSheetId="6">'1'!$K$17</definedName>
    <definedName name="EPS_CY4" localSheetId="7">'2'!$K$17</definedName>
    <definedName name="EV_EBIT_CY1" localSheetId="6">'1'!$H$23</definedName>
    <definedName name="EV_EBIT_CY1" localSheetId="7">'2'!$H$23</definedName>
    <definedName name="EV_EBIT_CY1" localSheetId="19">'Factset codes'!$L$21</definedName>
    <definedName name="EV_EBIT_CY2" localSheetId="6">'1'!$I$23</definedName>
    <definedName name="EV_EBIT_CY2" localSheetId="7">'2'!$I$23</definedName>
    <definedName name="EV_EBIT_CY2" localSheetId="19">'Factset codes'!$N$21</definedName>
    <definedName name="EV_EBIT_CY3" localSheetId="6">'1'!$J$23</definedName>
    <definedName name="EV_EBIT_CY3" localSheetId="7">'2'!$J$23</definedName>
    <definedName name="EV_EBIT_CY3" localSheetId="19">'Factset codes'!$P$21</definedName>
    <definedName name="EV_EBIT_CY4" localSheetId="6">'1'!$K$23</definedName>
    <definedName name="EV_EBIT_CY4" localSheetId="7">'2'!$K$23</definedName>
    <definedName name="EV_EBIT_CY4" localSheetId="19">'Factset codes'!$R$21</definedName>
    <definedName name="EV_EBIT_LTM" localSheetId="6">'1'!$G$23</definedName>
    <definedName name="EV_EBIT_LTM" localSheetId="7">'2'!$G$23</definedName>
    <definedName name="EV_EBIT_LTM" localSheetId="19">'Factset codes'!$J$21</definedName>
    <definedName name="EV_EBITDA_CY1" localSheetId="6">'1'!$H$22</definedName>
    <definedName name="EV_EBITDA_CY1" localSheetId="7">'2'!$H$22</definedName>
    <definedName name="EV_EBITDA_CY1" localSheetId="19">'Factset codes'!$L$20</definedName>
    <definedName name="EV_EBITDA_CY2" localSheetId="6">'1'!$I$22</definedName>
    <definedName name="EV_EBITDA_CY2" localSheetId="7">'2'!$I$22</definedName>
    <definedName name="EV_EBITDA_CY2" localSheetId="19">'Factset codes'!$N$20</definedName>
    <definedName name="EV_EBITDA_CY3" localSheetId="6">'1'!$J$22</definedName>
    <definedName name="EV_EBITDA_CY3" localSheetId="7">'2'!$J$22</definedName>
    <definedName name="EV_EBITDA_CY3" localSheetId="19">'Factset codes'!$P$20</definedName>
    <definedName name="EV_EBITDA_CY4" localSheetId="6">'1'!$K$22</definedName>
    <definedName name="EV_EBITDA_CY4" localSheetId="7">'2'!$K$22</definedName>
    <definedName name="EV_EBITDA_CY4" localSheetId="19">'Factset codes'!$R$20</definedName>
    <definedName name="EV_EBITDA_LMT" localSheetId="6">'1'!$G$22</definedName>
    <definedName name="EV_EBITDA_LMT" localSheetId="7">'2'!$G$22</definedName>
    <definedName name="EV_EBITDA_LMT" localSheetId="19">'Factset codes'!$J$20</definedName>
    <definedName name="EV_REVENUE_CY1" localSheetId="6">'1'!$H$21</definedName>
    <definedName name="EV_REVENUE_CY1" localSheetId="7">'2'!$H$21</definedName>
    <definedName name="EV_REVENUE_CY1" localSheetId="19">'Factset codes'!$L$19</definedName>
    <definedName name="EV_REVENUE_CY2" localSheetId="6">'1'!$I$21</definedName>
    <definedName name="EV_REVENUE_CY2" localSheetId="7">'2'!$I$21</definedName>
    <definedName name="EV_REVENUE_CY2" localSheetId="19">'Factset codes'!$N$19</definedName>
    <definedName name="EV_REVENUE_CY3" localSheetId="6">'1'!$J$21</definedName>
    <definedName name="EV_REVENUE_CY3" localSheetId="7">'2'!$J$21</definedName>
    <definedName name="EV_REVENUE_CY3" localSheetId="19">'Factset codes'!$P$19</definedName>
    <definedName name="EV_REVENUE_CY4" localSheetId="6">'1'!$K$21</definedName>
    <definedName name="EV_REVENUE_CY4" localSheetId="7">'2'!$K$21</definedName>
    <definedName name="EV_REVENUE_CY4" localSheetId="19">'Factset codes'!$R$19</definedName>
    <definedName name="EV_REVENUE_LTM" localSheetId="6">'1'!$G$21</definedName>
    <definedName name="EV_REVENUE_LTM" localSheetId="7">'2'!$G$21</definedName>
    <definedName name="EV_REVENUE_LTM" localSheetId="19">'Factset codes'!$J$19</definedName>
    <definedName name="EVR" localSheetId="6">'1'!$G$71</definedName>
    <definedName name="EVR" localSheetId="7">'2'!$G$71</definedName>
    <definedName name="FCF_LTM" localSheetId="6">'1'!$G$17</definedName>
    <definedName name="FCF_LTM" localSheetId="7">'2'!$G$17</definedName>
    <definedName name="FCF_LTM" localSheetId="19">'Factset codes'!$J$15</definedName>
    <definedName name="GROSS_DEBT_LTM_EBITDA" localSheetId="6">'1'!$G$26</definedName>
    <definedName name="GROSS_DEBT_LTM_EBITDA" localSheetId="7">'2'!$G$26</definedName>
    <definedName name="GROSS_DEBT_LTM_EBITDA" localSheetId="19">#REF!</definedName>
    <definedName name="ltg" localSheetId="15">[1]DCF!$F$28</definedName>
    <definedName name="ltg" localSheetId="18">[2]DCF!$F$28</definedName>
    <definedName name="ltg">DCF!$F$28</definedName>
    <definedName name="MAIN_CURRENCY" localSheetId="15">[1]Trading_comps!$D$15</definedName>
    <definedName name="MAIN_CURRENCY" localSheetId="18">[2]Trading_comps!$D$14</definedName>
    <definedName name="MAIN_CURRENCY">Trading_comps!$D$15</definedName>
    <definedName name="OTHER_ADJUSTMENTS" localSheetId="6">'1'!$H$9</definedName>
    <definedName name="OTHER_ADJUSTMENTS" localSheetId="7">'2'!$H$9</definedName>
    <definedName name="P_BV" localSheetId="6">'1'!$G$25</definedName>
    <definedName name="P_BV" localSheetId="7">'2'!$G$25</definedName>
    <definedName name="P_BV" localSheetId="19">#REF!</definedName>
    <definedName name="PE_CY1" localSheetId="6">'1'!$H$24</definedName>
    <definedName name="PE_CY1" localSheetId="7">'2'!$H$24</definedName>
    <definedName name="PE_CY1" localSheetId="19">'Factset codes'!$L$22</definedName>
    <definedName name="PE_CY2" localSheetId="6">'1'!$I$24</definedName>
    <definedName name="PE_CY2" localSheetId="7">'2'!$I$24</definedName>
    <definedName name="PE_CY2" localSheetId="19">'Factset codes'!$N$22</definedName>
    <definedName name="PE_CY3" localSheetId="6">'1'!$J$24</definedName>
    <definedName name="PE_CY3" localSheetId="7">'2'!$J$24</definedName>
    <definedName name="PE_CY3" localSheetId="19">'Factset codes'!$P$22</definedName>
    <definedName name="PE_CY4" localSheetId="6">'1'!$K$24</definedName>
    <definedName name="PE_CY4" localSheetId="7">'2'!$K$24</definedName>
    <definedName name="PE_CY4" localSheetId="19">'Factset codes'!$R$22</definedName>
    <definedName name="_xlnm.Print_Area" localSheetId="6">'1'!$A$1:$V$83</definedName>
    <definedName name="_xlnm.Print_Area" localSheetId="7">'2'!$A$1:$V$83</definedName>
    <definedName name="_xlnm.Print_Area" localSheetId="2">Accounting!$A$1:$T$152</definedName>
    <definedName name="_xlnm.Print_Area" localSheetId="3">'Accounting Qualitative'!$A$1:$P$25</definedName>
    <definedName name="_xlnm.Print_Area" localSheetId="9">Checklist!$A$1:$Q$15</definedName>
    <definedName name="_xlnm.Print_Area" localSheetId="10">DCF!$A$1:$S$80</definedName>
    <definedName name="_xlnm.Print_Area" localSheetId="15">ESG!$A$1:$J$49</definedName>
    <definedName name="_xlnm.Print_Area" localSheetId="1">Info!$A$1:$R$29</definedName>
    <definedName name="_xlnm.Print_Area" localSheetId="17">LBO!$A$1:$P$109</definedName>
    <definedName name="_xlnm.Print_Area" localSheetId="16">'M&amp;A'!$A$1:$Q$150</definedName>
    <definedName name="_xlnm.Print_Area" localSheetId="4">'Red Bull Model'!$A$1:$P$141</definedName>
    <definedName name="_xlnm.Print_Area" localSheetId="18">Scratchpad!$A$1:$P$42</definedName>
    <definedName name="_xlnm.Print_Area" localSheetId="13">Synergies!$A$1:$M$32</definedName>
    <definedName name="_xlnm.Print_Area" localSheetId="8">Trading_comps!$A$1:$BH$66</definedName>
    <definedName name="_xlnm.Print_Area" localSheetId="5">Trading_comps_scratch!$A$1:$L$99</definedName>
    <definedName name="_xlnm.Print_Area" localSheetId="12">Transaction_comps!$A$1:$Q$50</definedName>
    <definedName name="_xlnm.Print_Area" localSheetId="14">Valuation_summary!$A$1:$K$78</definedName>
    <definedName name="_xlnm.Print_Area" localSheetId="11">WACC!$A$1:$O$33</definedName>
    <definedName name="_xlnm.Print_Area" localSheetId="0">Welcome!$A$1:$N$9</definedName>
    <definedName name="_xlnm.Print_Titles" localSheetId="2">Accounting!$1:$1</definedName>
    <definedName name="_xlnm.Print_Titles" localSheetId="10">DCF!$1:$3</definedName>
    <definedName name="_xlnm.Print_Titles" localSheetId="17">LBO!$1:$3</definedName>
    <definedName name="_xlnm.Print_Titles" localSheetId="4">'Red Bull Model'!$1:$3</definedName>
    <definedName name="_xlnm.Print_Titles" localSheetId="12">Transaction_comps!$1:$4</definedName>
    <definedName name="ROIC" localSheetId="6">'1'!$C$23</definedName>
    <definedName name="ROIC" localSheetId="7">'2'!$C$23</definedName>
    <definedName name="SALES_CY1" localSheetId="6">'1'!$H$14</definedName>
    <definedName name="SALES_CY1" localSheetId="7">'2'!$H$14</definedName>
    <definedName name="SALES_CY2" localSheetId="6">'1'!$I$14</definedName>
    <definedName name="SALES_CY2" localSheetId="7">'2'!$I$14</definedName>
    <definedName name="SALES_CY3" localSheetId="6">'1'!$J$14</definedName>
    <definedName name="SALES_CY3" localSheetId="7">'2'!$J$14</definedName>
    <definedName name="SALES_CY4" localSheetId="6">'1'!$K$14</definedName>
    <definedName name="SALES_CY4" localSheetId="7">'2'!$K$14</definedName>
    <definedName name="SALES_LTM" localSheetId="6">'1'!$G$14</definedName>
    <definedName name="SALES_LTM" localSheetId="7">'2'!$G$14</definedName>
    <definedName name="SALES_LTM" localSheetId="19">'Factset codes'!$J$12</definedName>
    <definedName name="SHAREPRICE_HIGH" localSheetId="6">'1'!$C$18</definedName>
    <definedName name="SHAREPRICE_HIGH" localSheetId="7">'2'!$C$18</definedName>
    <definedName name="SHAREPRICE_LOW" localSheetId="6">'1'!$C$17</definedName>
    <definedName name="SHAREPRICE_LOW" localSheetId="7">'2'!$C$17</definedName>
    <definedName name="TICKER" localSheetId="6">'1'!$C$5</definedName>
    <definedName name="TICKER" localSheetId="7">'2'!$C$5</definedName>
    <definedName name="TOTAL_DEBT" localSheetId="6">'1'!$H$7</definedName>
    <definedName name="TOTAL_DEBT" localSheetId="7">'2'!$H$7</definedName>
    <definedName name="WACC" localSheetId="15">[1]DCF!$F$29</definedName>
    <definedName name="WACC" localSheetId="18">[2]DCF!$F$29</definedName>
    <definedName name="WACC">DCF!$F$29</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7" l="1"/>
  <c r="P84" i="4"/>
  <c r="O60" i="4"/>
  <c r="P60" i="4"/>
  <c r="O43" i="4"/>
  <c r="P43" i="4"/>
  <c r="P53" i="4" s="1"/>
  <c r="P40" i="4"/>
  <c r="O52" i="4"/>
  <c r="P98" i="4"/>
  <c r="P94" i="4"/>
  <c r="P79" i="4"/>
  <c r="P69" i="4"/>
  <c r="P81" i="4" s="1"/>
  <c r="P57" i="4"/>
  <c r="P50" i="4"/>
  <c r="P37" i="4"/>
  <c r="P34" i="4"/>
  <c r="C62" i="13"/>
  <c r="S79" i="4"/>
  <c r="R79" i="4"/>
  <c r="R46" i="4"/>
  <c r="S46" i="4"/>
  <c r="Q84" i="4"/>
  <c r="P99" i="4" l="1"/>
  <c r="P45" i="4"/>
  <c r="P47" i="4" s="1"/>
  <c r="P52" i="4"/>
  <c r="P54" i="4" s="1"/>
  <c r="C17" i="29"/>
  <c r="L71" i="18" l="1"/>
  <c r="L72" i="18"/>
  <c r="L73" i="18"/>
  <c r="L76" i="18"/>
  <c r="L68" i="18"/>
  <c r="L70" i="18"/>
  <c r="L69" i="18" l="1"/>
  <c r="L75" i="18"/>
  <c r="L74" i="18"/>
  <c r="P67" i="18"/>
  <c r="Q67" i="18" s="1"/>
  <c r="N67" i="18"/>
  <c r="M67" i="18"/>
  <c r="BC35" i="10" l="1"/>
  <c r="BC25" i="10"/>
  <c r="BC26" i="10"/>
  <c r="BC27" i="10"/>
  <c r="BC28" i="10"/>
  <c r="BC29" i="10"/>
  <c r="BC30" i="10"/>
  <c r="BC31" i="10"/>
  <c r="BC32" i="10"/>
  <c r="BC33" i="10"/>
  <c r="BD33" i="10"/>
  <c r="BB33" i="10"/>
  <c r="AY33" i="10"/>
  <c r="AE33" i="10"/>
  <c r="AF33" i="10"/>
  <c r="AG33" i="10"/>
  <c r="AI33" i="10"/>
  <c r="AJ33" i="10"/>
  <c r="AK33" i="10"/>
  <c r="AM33" i="10"/>
  <c r="AN33" i="10"/>
  <c r="AO33" i="10"/>
  <c r="F33" i="10"/>
  <c r="D20" i="14" l="1"/>
  <c r="C10" i="5" l="1"/>
  <c r="J132" i="4"/>
  <c r="J71" i="4"/>
  <c r="I71" i="4"/>
  <c r="H95" i="24"/>
  <c r="I95" i="24"/>
  <c r="G95" i="24"/>
  <c r="I59" i="24"/>
  <c r="H59" i="24"/>
  <c r="G59" i="24"/>
  <c r="S50" i="4" l="1"/>
  <c r="R50" i="4"/>
  <c r="S37" i="4"/>
  <c r="R37" i="4"/>
  <c r="S36" i="4"/>
  <c r="R36" i="4"/>
  <c r="C84" i="20" l="1"/>
  <c r="C85" i="20" s="1"/>
  <c r="C86" i="20" s="1"/>
  <c r="C87" i="20" s="1"/>
  <c r="C88" i="20" s="1"/>
  <c r="C89" i="20" s="1"/>
  <c r="C90" i="20" s="1"/>
  <c r="C91" i="20" s="1"/>
  <c r="C92" i="20" l="1"/>
  <c r="C93" i="20" s="1"/>
  <c r="C94" i="20" s="1"/>
  <c r="C95" i="20" s="1"/>
  <c r="C96" i="20" l="1"/>
  <c r="C97" i="20" s="1"/>
  <c r="C98" i="20" s="1"/>
  <c r="C99" i="20" s="1"/>
  <c r="C100" i="20" s="1"/>
  <c r="C101" i="20" s="1"/>
  <c r="C102" i="20" s="1"/>
  <c r="C103" i="20" s="1"/>
  <c r="D131" i="12" l="1"/>
  <c r="E131" i="12"/>
  <c r="F131" i="12"/>
  <c r="C131" i="12"/>
  <c r="F3" i="12" l="1"/>
  <c r="D89" i="18"/>
  <c r="E89" i="18"/>
  <c r="F89" i="18"/>
  <c r="C89" i="18"/>
  <c r="H64" i="13" l="1"/>
  <c r="H11" i="14" l="1"/>
  <c r="F11" i="14"/>
  <c r="E11" i="14"/>
  <c r="J10" i="14"/>
  <c r="J9" i="14"/>
  <c r="I10" i="14"/>
  <c r="H10" i="14"/>
  <c r="H9" i="14"/>
  <c r="F10" i="14"/>
  <c r="F9" i="14"/>
  <c r="E10" i="14"/>
  <c r="E9" i="14"/>
  <c r="D10" i="14"/>
  <c r="D9" i="14"/>
  <c r="C10" i="14"/>
  <c r="C9" i="14"/>
  <c r="K11" i="14" l="1"/>
  <c r="K9" i="14"/>
  <c r="K10" i="14"/>
  <c r="N16" i="15"/>
  <c r="K26" i="15"/>
  <c r="K25" i="15"/>
  <c r="K24" i="15"/>
  <c r="J25" i="15"/>
  <c r="K21" i="15"/>
  <c r="L25" i="15"/>
  <c r="D35" i="15"/>
  <c r="C94" i="24"/>
  <c r="G65" i="25"/>
  <c r="C54" i="25"/>
  <c r="C10" i="25"/>
  <c r="BD32" i="10" l="1"/>
  <c r="BB32" i="10"/>
  <c r="AY32" i="10"/>
  <c r="AO32" i="10"/>
  <c r="AN32" i="10"/>
  <c r="AM32" i="10"/>
  <c r="AK32" i="10"/>
  <c r="AJ32" i="10"/>
  <c r="AI32" i="10"/>
  <c r="AG32" i="10"/>
  <c r="AF32" i="10"/>
  <c r="AE32" i="10"/>
  <c r="F28" i="10" l="1"/>
  <c r="F29" i="10"/>
  <c r="F30" i="10"/>
  <c r="F31" i="10"/>
  <c r="F32" i="10"/>
  <c r="H81" i="12" l="1"/>
  <c r="I81" i="12"/>
  <c r="J81" i="12"/>
  <c r="K81" i="12"/>
  <c r="L81" i="12"/>
  <c r="M81" i="12"/>
  <c r="N81" i="12"/>
  <c r="O81" i="12"/>
  <c r="D21" i="12"/>
  <c r="F59" i="12"/>
  <c r="F58" i="12"/>
  <c r="F55" i="12"/>
  <c r="D89" i="12"/>
  <c r="D92" i="12" s="1"/>
  <c r="E86" i="12"/>
  <c r="E89" i="12" s="1"/>
  <c r="E92" i="12" s="1"/>
  <c r="E94" i="12" s="1"/>
  <c r="D86" i="12"/>
  <c r="C86" i="12"/>
  <c r="C89" i="12" s="1"/>
  <c r="C92" i="12" s="1"/>
  <c r="C94" i="12" s="1"/>
  <c r="E81" i="12"/>
  <c r="D81" i="12"/>
  <c r="E80" i="12"/>
  <c r="E82" i="12" s="1"/>
  <c r="D80" i="12"/>
  <c r="E78" i="12"/>
  <c r="D78" i="12"/>
  <c r="C78" i="12"/>
  <c r="C82" i="12" s="1"/>
  <c r="E55" i="12"/>
  <c r="D55" i="12"/>
  <c r="E54" i="12"/>
  <c r="E56" i="12" s="1"/>
  <c r="E60" i="12" s="1"/>
  <c r="E63" i="12" s="1"/>
  <c r="E68" i="12" s="1"/>
  <c r="E71" i="12" s="1"/>
  <c r="E21" i="12" s="1"/>
  <c r="D54" i="12"/>
  <c r="C54" i="12"/>
  <c r="C56" i="12" s="1"/>
  <c r="C60" i="12" s="1"/>
  <c r="C63" i="12" s="1"/>
  <c r="C68" i="12" s="1"/>
  <c r="C71" i="12" s="1"/>
  <c r="F86" i="12"/>
  <c r="F89" i="12" s="1"/>
  <c r="F92" i="12" s="1"/>
  <c r="F78" i="12"/>
  <c r="F82" i="12" s="1"/>
  <c r="F94" i="12" l="1"/>
  <c r="D56" i="12"/>
  <c r="D60" i="12" s="1"/>
  <c r="D63" i="12" s="1"/>
  <c r="D68" i="12" s="1"/>
  <c r="D71" i="12" s="1"/>
  <c r="D82" i="12"/>
  <c r="D94" i="12" s="1"/>
  <c r="D119" i="4" l="1"/>
  <c r="C119" i="4"/>
  <c r="G119" i="4"/>
  <c r="F119" i="4"/>
  <c r="J119" i="4"/>
  <c r="I119" i="4"/>
  <c r="M119" i="4"/>
  <c r="L119" i="4"/>
  <c r="P119" i="4"/>
  <c r="O119" i="4"/>
  <c r="S119" i="4"/>
  <c r="R119" i="4"/>
  <c r="S94" i="4"/>
  <c r="R94" i="4"/>
  <c r="P124" i="4"/>
  <c r="O94" i="4"/>
  <c r="M94" i="4"/>
  <c r="L94" i="4"/>
  <c r="J94" i="4"/>
  <c r="I94" i="4"/>
  <c r="G94" i="4"/>
  <c r="F94" i="4"/>
  <c r="D94" i="4"/>
  <c r="C94" i="4"/>
  <c r="O79" i="4"/>
  <c r="M79" i="4"/>
  <c r="L79" i="4"/>
  <c r="J79" i="4"/>
  <c r="I79" i="4"/>
  <c r="D79" i="4"/>
  <c r="C79" i="4"/>
  <c r="O37" i="4"/>
  <c r="P136" i="4"/>
  <c r="O40" i="4"/>
  <c r="O45" i="4" s="1"/>
  <c r="O47" i="4" s="1"/>
  <c r="P113" i="4"/>
  <c r="O34" i="4"/>
  <c r="O98" i="4"/>
  <c r="O69" i="4"/>
  <c r="O57" i="4"/>
  <c r="O53" i="4" s="1"/>
  <c r="O50" i="4"/>
  <c r="O105" i="4" l="1"/>
  <c r="P109" i="4"/>
  <c r="P120" i="4" s="1"/>
  <c r="P123" i="4"/>
  <c r="O81" i="4"/>
  <c r="O116" i="4" s="1"/>
  <c r="P116" i="4"/>
  <c r="O99" i="4"/>
  <c r="O126" i="4" s="1"/>
  <c r="P142" i="4"/>
  <c r="O54" i="4"/>
  <c r="O108" i="4" s="1"/>
  <c r="P105" i="4"/>
  <c r="O115" i="4"/>
  <c r="P115" i="4"/>
  <c r="P114" i="4"/>
  <c r="P117" i="4"/>
  <c r="P118" i="4"/>
  <c r="P106" i="4"/>
  <c r="P137" i="4"/>
  <c r="O117" i="4"/>
  <c r="O118" i="4"/>
  <c r="O114" i="4"/>
  <c r="P104" i="4"/>
  <c r="C17" i="4" s="1"/>
  <c r="O113" i="4"/>
  <c r="O136" i="4"/>
  <c r="O137" i="4" s="1"/>
  <c r="O128" i="4"/>
  <c r="O107" i="4"/>
  <c r="D17" i="4" s="1"/>
  <c r="O123" i="4"/>
  <c r="P107" i="4"/>
  <c r="F17" i="4" s="1"/>
  <c r="O124" i="4"/>
  <c r="P128" i="4"/>
  <c r="O106" i="4"/>
  <c r="R98" i="4"/>
  <c r="R69" i="4"/>
  <c r="R57" i="4"/>
  <c r="R54" i="4"/>
  <c r="R45" i="4"/>
  <c r="R47" i="4" s="1"/>
  <c r="R105" i="4"/>
  <c r="R118" i="4"/>
  <c r="R113" i="4"/>
  <c r="R114" i="4"/>
  <c r="R115" i="4"/>
  <c r="R117" i="4"/>
  <c r="M56" i="4"/>
  <c r="P108" i="4" l="1"/>
  <c r="P110" i="4" s="1"/>
  <c r="P126" i="4"/>
  <c r="P138" i="4"/>
  <c r="P139" i="4" s="1"/>
  <c r="P127" i="4"/>
  <c r="P125" i="4"/>
  <c r="O127" i="4"/>
  <c r="O138" i="4"/>
  <c r="O139" i="4" s="1"/>
  <c r="O109" i="4"/>
  <c r="O120" i="4" s="1"/>
  <c r="O125" i="4"/>
  <c r="R99" i="4"/>
  <c r="R123" i="4"/>
  <c r="R81" i="4"/>
  <c r="R116" i="4" s="1"/>
  <c r="R106" i="4"/>
  <c r="R108" i="4"/>
  <c r="R124" i="4"/>
  <c r="L52" i="4"/>
  <c r="M42" i="4"/>
  <c r="M43" i="4"/>
  <c r="M40" i="4"/>
  <c r="L40" i="4"/>
  <c r="L45" i="4" s="1"/>
  <c r="M49" i="4"/>
  <c r="M37" i="4"/>
  <c r="M34" i="4"/>
  <c r="J34" i="4"/>
  <c r="G132" i="4"/>
  <c r="G73" i="4"/>
  <c r="G79" i="4" s="1"/>
  <c r="M45" i="4" l="1"/>
  <c r="O141" i="4"/>
  <c r="P143" i="4" s="1"/>
  <c r="M52" i="4"/>
  <c r="O110" i="4"/>
  <c r="R125" i="4"/>
  <c r="R126" i="4"/>
  <c r="R127" i="4"/>
  <c r="R109" i="4"/>
  <c r="R120" i="4" s="1"/>
  <c r="R107" i="4"/>
  <c r="D18" i="4" s="1"/>
  <c r="R128" i="4"/>
  <c r="F46" i="4"/>
  <c r="G46" i="4"/>
  <c r="G34" i="4"/>
  <c r="F34" i="4"/>
  <c r="R110" i="4" l="1"/>
  <c r="I132" i="4"/>
  <c r="F132" i="4"/>
  <c r="S98" i="4"/>
  <c r="S69" i="4"/>
  <c r="S57" i="4"/>
  <c r="S54" i="4"/>
  <c r="S45" i="4"/>
  <c r="S47" i="4" s="1"/>
  <c r="M98" i="4"/>
  <c r="M69" i="4"/>
  <c r="M57" i="4"/>
  <c r="M53" i="4" s="1"/>
  <c r="M50" i="4"/>
  <c r="M47" i="4"/>
  <c r="J98" i="4"/>
  <c r="J69" i="4"/>
  <c r="J57" i="4"/>
  <c r="J50" i="4"/>
  <c r="J45" i="4"/>
  <c r="J47" i="4" s="1"/>
  <c r="G98" i="4"/>
  <c r="G99" i="4" s="1"/>
  <c r="G69" i="4"/>
  <c r="G57" i="4"/>
  <c r="G54" i="4"/>
  <c r="G45" i="4"/>
  <c r="G47" i="4" s="1"/>
  <c r="L98" i="4"/>
  <c r="L69" i="4"/>
  <c r="L56" i="4"/>
  <c r="L57" i="4" s="1"/>
  <c r="L49" i="4"/>
  <c r="L50" i="4" s="1"/>
  <c r="L47" i="4"/>
  <c r="L37" i="4"/>
  <c r="L34" i="4"/>
  <c r="I98" i="4"/>
  <c r="I69" i="4"/>
  <c r="I57" i="4"/>
  <c r="I50" i="4"/>
  <c r="I45" i="4"/>
  <c r="I47" i="4" s="1"/>
  <c r="I34" i="4"/>
  <c r="F98" i="4"/>
  <c r="F73" i="4"/>
  <c r="F79" i="4" s="1"/>
  <c r="F69" i="4"/>
  <c r="F57" i="4"/>
  <c r="F54" i="4"/>
  <c r="F45" i="4"/>
  <c r="F47" i="4" s="1"/>
  <c r="C98" i="4"/>
  <c r="C69" i="4"/>
  <c r="C57" i="4"/>
  <c r="C54" i="4"/>
  <c r="C45" i="4"/>
  <c r="C47" i="4" s="1"/>
  <c r="S99" i="4" l="1"/>
  <c r="L53" i="4"/>
  <c r="L60" i="4" s="1"/>
  <c r="M54" i="4"/>
  <c r="M60" i="4"/>
  <c r="L99" i="4"/>
  <c r="M81" i="4"/>
  <c r="S81" i="4"/>
  <c r="M99" i="4"/>
  <c r="L81" i="4"/>
  <c r="I99" i="4"/>
  <c r="J99" i="4"/>
  <c r="I81" i="4"/>
  <c r="J81" i="4"/>
  <c r="F99" i="4"/>
  <c r="G81" i="4"/>
  <c r="F81" i="4"/>
  <c r="C99" i="4"/>
  <c r="C81" i="4"/>
  <c r="L54" i="4" l="1"/>
  <c r="C27" i="4" l="1"/>
  <c r="F27" i="4"/>
  <c r="I27" i="4"/>
  <c r="L27" i="4"/>
  <c r="R27" i="4"/>
  <c r="D45" i="4"/>
  <c r="D54" i="4"/>
  <c r="D57" i="4"/>
  <c r="D69" i="4"/>
  <c r="D98" i="4"/>
  <c r="D99" i="4" s="1"/>
  <c r="D104" i="4"/>
  <c r="C13" i="4" s="1"/>
  <c r="G104" i="4"/>
  <c r="C14" i="4" s="1"/>
  <c r="J104" i="4"/>
  <c r="C15" i="4" s="1"/>
  <c r="M104" i="4"/>
  <c r="C16" i="4" s="1"/>
  <c r="S104" i="4"/>
  <c r="C18" i="4" s="1"/>
  <c r="C105" i="4"/>
  <c r="D105" i="4"/>
  <c r="F105" i="4"/>
  <c r="G105" i="4"/>
  <c r="I105" i="4"/>
  <c r="J105" i="4"/>
  <c r="L105" i="4"/>
  <c r="M105" i="4"/>
  <c r="S105" i="4"/>
  <c r="C106" i="4"/>
  <c r="F106" i="4"/>
  <c r="G106" i="4"/>
  <c r="I106" i="4"/>
  <c r="J106" i="4"/>
  <c r="L106" i="4"/>
  <c r="M106" i="4"/>
  <c r="S106" i="4"/>
  <c r="C107" i="4"/>
  <c r="D13" i="4" s="1"/>
  <c r="F107" i="4"/>
  <c r="D14" i="4" s="1"/>
  <c r="G107" i="4"/>
  <c r="F14" i="4" s="1"/>
  <c r="I107" i="4"/>
  <c r="D15" i="4" s="1"/>
  <c r="J107" i="4"/>
  <c r="F15" i="4" s="1"/>
  <c r="L107" i="4"/>
  <c r="D16" i="4" s="1"/>
  <c r="M107" i="4"/>
  <c r="F16" i="4" s="1"/>
  <c r="S107" i="4"/>
  <c r="F18" i="4" s="1"/>
  <c r="C108" i="4"/>
  <c r="F108" i="4"/>
  <c r="G108" i="4"/>
  <c r="I108" i="4"/>
  <c r="J108" i="4"/>
  <c r="L108" i="4"/>
  <c r="M108" i="4"/>
  <c r="S108" i="4"/>
  <c r="C109" i="4"/>
  <c r="C120" i="4" s="1"/>
  <c r="F109" i="4"/>
  <c r="F120" i="4" s="1"/>
  <c r="G109" i="4"/>
  <c r="G120" i="4" s="1"/>
  <c r="I109" i="4"/>
  <c r="I120" i="4" s="1"/>
  <c r="J109" i="4"/>
  <c r="L109" i="4"/>
  <c r="L120" i="4" s="1"/>
  <c r="M109" i="4"/>
  <c r="M120" i="4" s="1"/>
  <c r="S109" i="4"/>
  <c r="S120" i="4" s="1"/>
  <c r="C113" i="4"/>
  <c r="D113" i="4"/>
  <c r="F113" i="4"/>
  <c r="G113" i="4"/>
  <c r="I113" i="4"/>
  <c r="J113" i="4"/>
  <c r="L113" i="4"/>
  <c r="M113" i="4"/>
  <c r="S113" i="4"/>
  <c r="C114" i="4"/>
  <c r="D114" i="4"/>
  <c r="F114" i="4"/>
  <c r="G114" i="4"/>
  <c r="I114" i="4"/>
  <c r="J114" i="4"/>
  <c r="L114" i="4"/>
  <c r="M114" i="4"/>
  <c r="S114" i="4"/>
  <c r="C115" i="4"/>
  <c r="D115" i="4"/>
  <c r="F115" i="4"/>
  <c r="G115" i="4"/>
  <c r="I115" i="4"/>
  <c r="J115" i="4"/>
  <c r="L115" i="4"/>
  <c r="M115" i="4"/>
  <c r="S115" i="4"/>
  <c r="C116" i="4"/>
  <c r="F116" i="4"/>
  <c r="G116" i="4"/>
  <c r="I116" i="4"/>
  <c r="J116" i="4"/>
  <c r="L116" i="4"/>
  <c r="M116" i="4"/>
  <c r="S116" i="4"/>
  <c r="C117" i="4"/>
  <c r="D117" i="4"/>
  <c r="F117" i="4"/>
  <c r="G117" i="4"/>
  <c r="I117" i="4"/>
  <c r="J117" i="4"/>
  <c r="L117" i="4"/>
  <c r="M117" i="4"/>
  <c r="S117" i="4"/>
  <c r="C118" i="4"/>
  <c r="D118" i="4"/>
  <c r="F118" i="4"/>
  <c r="G118" i="4"/>
  <c r="I118" i="4"/>
  <c r="J118" i="4"/>
  <c r="L118" i="4"/>
  <c r="M118" i="4"/>
  <c r="S118" i="4"/>
  <c r="C123" i="4"/>
  <c r="D123" i="4"/>
  <c r="F123" i="4"/>
  <c r="G123" i="4"/>
  <c r="I123" i="4"/>
  <c r="J123" i="4"/>
  <c r="L123" i="4"/>
  <c r="M123" i="4"/>
  <c r="S123" i="4"/>
  <c r="C124" i="4"/>
  <c r="F124" i="4"/>
  <c r="G124" i="4"/>
  <c r="I124" i="4"/>
  <c r="J124" i="4"/>
  <c r="L124" i="4"/>
  <c r="M124" i="4"/>
  <c r="S124" i="4"/>
  <c r="C125" i="4"/>
  <c r="F125" i="4"/>
  <c r="G125" i="4"/>
  <c r="I125" i="4"/>
  <c r="J125" i="4"/>
  <c r="L125" i="4"/>
  <c r="M125" i="4"/>
  <c r="S125" i="4"/>
  <c r="C126" i="4"/>
  <c r="F126" i="4"/>
  <c r="G126" i="4"/>
  <c r="I126" i="4"/>
  <c r="J126" i="4"/>
  <c r="L126" i="4"/>
  <c r="M126" i="4"/>
  <c r="S126" i="4"/>
  <c r="C127" i="4"/>
  <c r="F127" i="4"/>
  <c r="G127" i="4"/>
  <c r="I127" i="4"/>
  <c r="J127" i="4"/>
  <c r="L127" i="4"/>
  <c r="M127" i="4"/>
  <c r="S127" i="4"/>
  <c r="C128" i="4"/>
  <c r="F128" i="4"/>
  <c r="G128" i="4"/>
  <c r="I128" i="4"/>
  <c r="J128" i="4"/>
  <c r="L128" i="4"/>
  <c r="M128" i="4"/>
  <c r="S128" i="4"/>
  <c r="C136" i="4"/>
  <c r="C137" i="4" s="1"/>
  <c r="F136" i="4"/>
  <c r="G136" i="4"/>
  <c r="G137" i="4" s="1"/>
  <c r="I136" i="4"/>
  <c r="I137" i="4" s="1"/>
  <c r="J136" i="4"/>
  <c r="L136" i="4"/>
  <c r="L137" i="4" s="1"/>
  <c r="M136" i="4"/>
  <c r="M137" i="4" s="1"/>
  <c r="R136" i="4"/>
  <c r="R137" i="4" s="1"/>
  <c r="S136" i="4"/>
  <c r="S137" i="4" s="1"/>
  <c r="C138" i="4"/>
  <c r="C141" i="4" s="1"/>
  <c r="F138" i="4"/>
  <c r="F141" i="4" s="1"/>
  <c r="G138" i="4"/>
  <c r="I138" i="4"/>
  <c r="I141" i="4" s="1"/>
  <c r="J138" i="4"/>
  <c r="L138" i="4"/>
  <c r="L141" i="4" s="1"/>
  <c r="M138" i="4"/>
  <c r="R138" i="4"/>
  <c r="R141" i="4" s="1"/>
  <c r="S138" i="4"/>
  <c r="G142" i="4"/>
  <c r="J142" i="4"/>
  <c r="M142" i="4"/>
  <c r="S142" i="4"/>
  <c r="E127" i="12"/>
  <c r="D127" i="12"/>
  <c r="C127" i="12"/>
  <c r="F110" i="4" l="1"/>
  <c r="D81" i="4"/>
  <c r="D116" i="4" s="1"/>
  <c r="D142" i="4"/>
  <c r="D143" i="4" s="1"/>
  <c r="D124" i="4"/>
  <c r="C110" i="4"/>
  <c r="D108" i="4"/>
  <c r="D125" i="4"/>
  <c r="D109" i="4"/>
  <c r="D120" i="4" s="1"/>
  <c r="D126" i="4"/>
  <c r="D138" i="4"/>
  <c r="D106" i="4"/>
  <c r="D47" i="4"/>
  <c r="G110" i="4"/>
  <c r="G143" i="4"/>
  <c r="S110" i="4"/>
  <c r="F139" i="4"/>
  <c r="G139" i="4"/>
  <c r="J143" i="4"/>
  <c r="I110" i="4"/>
  <c r="S143" i="4"/>
  <c r="J139" i="4"/>
  <c r="I139" i="4"/>
  <c r="J137" i="4"/>
  <c r="J110" i="4"/>
  <c r="M110" i="4"/>
  <c r="F137" i="4"/>
  <c r="R139" i="4"/>
  <c r="J120" i="4"/>
  <c r="L110" i="4"/>
  <c r="C139" i="4"/>
  <c r="S139" i="4"/>
  <c r="M143" i="4"/>
  <c r="L139" i="4"/>
  <c r="M139" i="4"/>
  <c r="L9" i="14"/>
  <c r="M9" i="14" s="1"/>
  <c r="D110" i="4" l="1"/>
  <c r="D107" i="4"/>
  <c r="F13" i="4" s="1"/>
  <c r="D128" i="4"/>
  <c r="D136" i="4"/>
  <c r="D137" i="4" s="1"/>
  <c r="D127" i="4"/>
  <c r="D133" i="12"/>
  <c r="D23" i="10"/>
  <c r="D139" i="4" l="1"/>
  <c r="D93" i="24"/>
  <c r="E93" i="24"/>
  <c r="AK50" i="10"/>
  <c r="M6" i="18" l="1"/>
  <c r="G51" i="12" l="1"/>
  <c r="H51" i="12" s="1"/>
  <c r="I51" i="12" s="1"/>
  <c r="J51" i="12" s="1"/>
  <c r="K51" i="12" s="1"/>
  <c r="L51" i="12" s="1"/>
  <c r="M51" i="12" s="1"/>
  <c r="N51" i="12" s="1"/>
  <c r="O51" i="12" s="1"/>
  <c r="G52" i="12"/>
  <c r="H52" i="12" s="1"/>
  <c r="I52" i="12" s="1"/>
  <c r="J52" i="12" s="1"/>
  <c r="K52" i="12" s="1"/>
  <c r="L52" i="12" s="1"/>
  <c r="M52" i="12" s="1"/>
  <c r="N52" i="12" s="1"/>
  <c r="O52" i="12" s="1"/>
  <c r="G53" i="12"/>
  <c r="H53" i="12" s="1"/>
  <c r="I53" i="12" s="1"/>
  <c r="J53" i="12" s="1"/>
  <c r="K53" i="12" s="1"/>
  <c r="L53" i="12" s="1"/>
  <c r="M53" i="12" s="1"/>
  <c r="N53" i="12" s="1"/>
  <c r="O53" i="12" s="1"/>
  <c r="E8" i="12"/>
  <c r="D8" i="12"/>
  <c r="F9" i="12"/>
  <c r="E9" i="12"/>
  <c r="D9" i="12"/>
  <c r="F10" i="12"/>
  <c r="E10" i="12"/>
  <c r="D10" i="12"/>
  <c r="F11" i="12"/>
  <c r="E11" i="12"/>
  <c r="D11" i="12"/>
  <c r="F46" i="12"/>
  <c r="F40" i="12"/>
  <c r="D17" i="12"/>
  <c r="C28" i="12"/>
  <c r="C27" i="12"/>
  <c r="C24" i="12"/>
  <c r="D24" i="12"/>
  <c r="F18" i="12"/>
  <c r="E18" i="12"/>
  <c r="D18" i="12"/>
  <c r="C18" i="12"/>
  <c r="D26" i="12"/>
  <c r="E23" i="12"/>
  <c r="C26" i="12"/>
  <c r="E133" i="12" l="1"/>
  <c r="F133" i="12"/>
  <c r="D14" i="12"/>
  <c r="E14" i="12"/>
  <c r="C23" i="12"/>
  <c r="D16" i="12"/>
  <c r="D130" i="12"/>
  <c r="C14" i="12"/>
  <c r="C16" i="12"/>
  <c r="D12" i="12"/>
  <c r="D18" i="13" s="1"/>
  <c r="D15" i="12"/>
  <c r="D25" i="12"/>
  <c r="E15" i="12"/>
  <c r="E25" i="12"/>
  <c r="C25" i="12"/>
  <c r="C130" i="12"/>
  <c r="C15" i="12"/>
  <c r="D23" i="12"/>
  <c r="E26" i="12"/>
  <c r="E130" i="12"/>
  <c r="E12" i="12"/>
  <c r="E18" i="13" s="1"/>
  <c r="E16" i="12"/>
  <c r="E124" i="12" l="1"/>
  <c r="E7" i="13"/>
  <c r="C124" i="12"/>
  <c r="C7" i="13"/>
  <c r="D124" i="12"/>
  <c r="D7" i="13"/>
  <c r="AO26" i="10" l="1"/>
  <c r="AN26" i="10"/>
  <c r="AM26" i="10"/>
  <c r="AK26" i="10"/>
  <c r="AJ26" i="10"/>
  <c r="AI26" i="10"/>
  <c r="AG26" i="10"/>
  <c r="AF26" i="10"/>
  <c r="AE26" i="10"/>
  <c r="AY26" i="10"/>
  <c r="BB26" i="10"/>
  <c r="BD26" i="10"/>
  <c r="G10" i="14" s="1"/>
  <c r="I23" i="15"/>
  <c r="J23" i="15" s="1"/>
  <c r="K23" i="15"/>
  <c r="C24" i="10"/>
  <c r="B41" i="10" l="1"/>
  <c r="C19" i="10"/>
  <c r="AZ41" i="10" l="1"/>
  <c r="C11" i="14"/>
  <c r="D11" i="14"/>
  <c r="C8" i="14"/>
  <c r="A1" i="14"/>
  <c r="H9" i="25"/>
  <c r="H7" i="25"/>
  <c r="E95" i="24" l="1"/>
  <c r="D95" i="24"/>
  <c r="C93" i="24"/>
  <c r="C70" i="24"/>
  <c r="C73" i="24" s="1"/>
  <c r="C74" i="24" s="1"/>
  <c r="C87" i="24" s="1"/>
  <c r="E57" i="24"/>
  <c r="E59" i="24" s="1"/>
  <c r="D57" i="24"/>
  <c r="D59" i="24" s="1"/>
  <c r="C57" i="24"/>
  <c r="C59" i="24" s="1"/>
  <c r="C36" i="24"/>
  <c r="C39" i="24" s="1"/>
  <c r="C40" i="24" s="1"/>
  <c r="C52" i="24" s="1"/>
  <c r="I97" i="24" l="1"/>
  <c r="H97" i="24"/>
  <c r="G97" i="24"/>
  <c r="I61" i="24"/>
  <c r="H61" i="24"/>
  <c r="G61" i="24"/>
  <c r="C95" i="24"/>
  <c r="F95" i="24" s="1"/>
  <c r="F97" i="24" s="1"/>
  <c r="F57" i="24"/>
  <c r="F93" i="24"/>
  <c r="F59" i="24"/>
  <c r="F61" i="24" s="1"/>
  <c r="M21" i="10" l="1"/>
  <c r="L21" i="10"/>
  <c r="L81" i="25"/>
  <c r="K81" i="25"/>
  <c r="J81" i="25"/>
  <c r="I81" i="25"/>
  <c r="G78" i="25"/>
  <c r="B71" i="25"/>
  <c r="G69" i="25"/>
  <c r="B69" i="25"/>
  <c r="B68" i="25"/>
  <c r="B67" i="25"/>
  <c r="H62" i="25"/>
  <c r="G62" i="25"/>
  <c r="E60" i="25"/>
  <c r="D60" i="25"/>
  <c r="L59" i="25"/>
  <c r="K59" i="25"/>
  <c r="J59" i="25"/>
  <c r="I59" i="25"/>
  <c r="H59" i="25"/>
  <c r="G59" i="25"/>
  <c r="F59" i="25"/>
  <c r="E59" i="25"/>
  <c r="D59" i="25"/>
  <c r="C59" i="25"/>
  <c r="E55" i="25"/>
  <c r="E63" i="25" s="1"/>
  <c r="K54" i="25"/>
  <c r="J54" i="25"/>
  <c r="I54" i="25"/>
  <c r="H54" i="25"/>
  <c r="G54" i="25"/>
  <c r="F53" i="25"/>
  <c r="E53" i="25"/>
  <c r="E64" i="25" s="1"/>
  <c r="D53" i="25"/>
  <c r="D64" i="25" s="1"/>
  <c r="C53" i="25"/>
  <c r="C55" i="25" s="1"/>
  <c r="H44" i="25"/>
  <c r="I43" i="25"/>
  <c r="J43" i="25" s="1"/>
  <c r="K43" i="25" s="1"/>
  <c r="L43" i="25" s="1"/>
  <c r="C43" i="25"/>
  <c r="C60" i="25" s="1"/>
  <c r="I60" i="25" s="1"/>
  <c r="J60" i="25" s="1"/>
  <c r="K60" i="25" s="1"/>
  <c r="L60" i="25" s="1"/>
  <c r="J39" i="25"/>
  <c r="G39" i="25"/>
  <c r="P37" i="25"/>
  <c r="P36" i="25"/>
  <c r="P35" i="25"/>
  <c r="P34" i="25"/>
  <c r="P33" i="25"/>
  <c r="P32" i="25"/>
  <c r="P31" i="25"/>
  <c r="P30" i="25"/>
  <c r="G20" i="25"/>
  <c r="E13" i="25"/>
  <c r="C13" i="25"/>
  <c r="G43" i="25" s="1"/>
  <c r="C9" i="25"/>
  <c r="H8" i="25"/>
  <c r="C8" i="25"/>
  <c r="H13" i="25" s="1"/>
  <c r="H20" i="25" s="1"/>
  <c r="C7" i="25"/>
  <c r="E5" i="25"/>
  <c r="D24" i="10"/>
  <c r="BF24" i="10"/>
  <c r="AZ24" i="10"/>
  <c r="E24" i="10"/>
  <c r="H43" i="25" l="1"/>
  <c r="I8" i="14"/>
  <c r="H53" i="25"/>
  <c r="D38" i="25"/>
  <c r="D39" i="25" s="1"/>
  <c r="P38" i="25"/>
  <c r="D34" i="25" s="1"/>
  <c r="D35" i="25" s="1"/>
  <c r="D36" i="25" s="1"/>
  <c r="H6" i="25" s="1"/>
  <c r="F24" i="10"/>
  <c r="I13" i="25"/>
  <c r="I20" i="25" s="1"/>
  <c r="J13" i="25"/>
  <c r="J20" i="25" s="1"/>
  <c r="I62" i="25"/>
  <c r="H81" i="25"/>
  <c r="C63" i="25"/>
  <c r="H55" i="25"/>
  <c r="G53" i="25"/>
  <c r="D55" i="25"/>
  <c r="D63" i="25" s="1"/>
  <c r="G60" i="25"/>
  <c r="K13" i="25"/>
  <c r="K20" i="25" s="1"/>
  <c r="G44" i="25"/>
  <c r="G14" i="25" s="1"/>
  <c r="H60" i="25"/>
  <c r="G79" i="25"/>
  <c r="C64" i="25"/>
  <c r="K24" i="10"/>
  <c r="BH24" i="10"/>
  <c r="G24" i="10"/>
  <c r="D8" i="14" l="1"/>
  <c r="BE24" i="10"/>
  <c r="BG24" i="10"/>
  <c r="H8" i="14" l="1"/>
  <c r="F8" i="14"/>
  <c r="E8" i="14"/>
  <c r="G25" i="25"/>
  <c r="H10" i="25"/>
  <c r="G71" i="25" s="1"/>
  <c r="C23" i="25"/>
  <c r="G16" i="25"/>
  <c r="C22" i="25"/>
  <c r="K79" i="25"/>
  <c r="I79" i="25"/>
  <c r="G55" i="25"/>
  <c r="G15" i="25" s="1"/>
  <c r="G63" i="25"/>
  <c r="G67" i="25" s="1"/>
  <c r="H63" i="25"/>
  <c r="G64" i="25"/>
  <c r="G68" i="25" s="1"/>
  <c r="H64" i="25"/>
  <c r="I64" i="25"/>
  <c r="J62" i="25"/>
  <c r="I63" i="25"/>
  <c r="BD24" i="10"/>
  <c r="S24" i="10"/>
  <c r="BA24" i="10"/>
  <c r="K8" i="14" l="1"/>
  <c r="L8" i="14"/>
  <c r="G8" i="14"/>
  <c r="G21" i="25"/>
  <c r="G23" i="25"/>
  <c r="G73" i="25"/>
  <c r="G72" i="25"/>
  <c r="G22" i="25"/>
  <c r="G26" i="25"/>
  <c r="K62" i="25"/>
  <c r="J64" i="25"/>
  <c r="J63" i="25"/>
  <c r="J79" i="25"/>
  <c r="I80" i="25" s="1"/>
  <c r="W24" i="10"/>
  <c r="O24" i="10"/>
  <c r="H24" i="10"/>
  <c r="AA24" i="10"/>
  <c r="AY24" i="10" l="1"/>
  <c r="AI24" i="10"/>
  <c r="AM24" i="10"/>
  <c r="AE24" i="10"/>
  <c r="J80" i="25"/>
  <c r="K80" i="25"/>
  <c r="J17" i="25" s="1"/>
  <c r="J24" i="25" s="1"/>
  <c r="I67" i="25"/>
  <c r="H16" i="25"/>
  <c r="H14" i="25"/>
  <c r="I68" i="25"/>
  <c r="H15" i="25"/>
  <c r="H17" i="25"/>
  <c r="H24" i="25" s="1"/>
  <c r="L80" i="25"/>
  <c r="K64" i="25"/>
  <c r="K63" i="25"/>
  <c r="L24" i="10"/>
  <c r="AB24" i="10"/>
  <c r="I24" i="10"/>
  <c r="X24" i="10"/>
  <c r="T24" i="10"/>
  <c r="P24" i="10"/>
  <c r="AU24" i="10"/>
  <c r="AQ24" i="10"/>
  <c r="J67" i="25" l="1"/>
  <c r="J72" i="25" s="1"/>
  <c r="K67" i="25"/>
  <c r="K72" i="25" s="1"/>
  <c r="I16" i="25"/>
  <c r="I23" i="25" s="1"/>
  <c r="J68" i="25"/>
  <c r="J73" i="25" s="1"/>
  <c r="J14" i="25"/>
  <c r="J21" i="25" s="1"/>
  <c r="K68" i="25"/>
  <c r="K73" i="25" s="1"/>
  <c r="I15" i="25"/>
  <c r="I14" i="25"/>
  <c r="I17" i="25"/>
  <c r="I24" i="25" s="1"/>
  <c r="J16" i="25"/>
  <c r="J23" i="25" s="1"/>
  <c r="J15" i="25"/>
  <c r="J22" i="25" s="1"/>
  <c r="AJ24" i="10"/>
  <c r="BB24" i="10"/>
  <c r="AF24" i="10"/>
  <c r="AN24" i="10"/>
  <c r="I72" i="25"/>
  <c r="H22" i="25"/>
  <c r="I73" i="25"/>
  <c r="H21" i="25"/>
  <c r="H23" i="25"/>
  <c r="K14" i="25"/>
  <c r="K21" i="25" s="1"/>
  <c r="K15" i="25"/>
  <c r="K22" i="25" s="1"/>
  <c r="K16" i="25"/>
  <c r="K23" i="25" s="1"/>
  <c r="K17" i="25"/>
  <c r="K24" i="25" s="1"/>
  <c r="U24" i="10"/>
  <c r="M24" i="10"/>
  <c r="AV24" i="10"/>
  <c r="AC24" i="10"/>
  <c r="J24" i="10"/>
  <c r="Q24" i="10"/>
  <c r="Y24" i="10"/>
  <c r="AR24" i="10"/>
  <c r="BC24" i="10" l="1"/>
  <c r="AO24" i="10"/>
  <c r="AG24" i="10"/>
  <c r="AK24" i="10"/>
  <c r="I22" i="25"/>
  <c r="I21" i="25"/>
  <c r="AW24" i="10"/>
  <c r="AS24" i="10"/>
  <c r="J8" i="14" l="1"/>
  <c r="M8" i="14" s="1"/>
  <c r="J7" i="14"/>
  <c r="F115" i="12" l="1"/>
  <c r="C136" i="12"/>
  <c r="C139" i="12" s="1"/>
  <c r="D136" i="12"/>
  <c r="D139" i="12" s="1"/>
  <c r="E136" i="12"/>
  <c r="E139" i="12" s="1"/>
  <c r="F136" i="12"/>
  <c r="F139" i="12" s="1"/>
  <c r="C123" i="12" l="1"/>
  <c r="C19" i="13" s="1"/>
  <c r="C138" i="12"/>
  <c r="C137" i="12"/>
  <c r="E138" i="12"/>
  <c r="D138" i="12"/>
  <c r="D137" i="12"/>
  <c r="E137" i="12"/>
  <c r="H44" i="22"/>
  <c r="F44" i="22"/>
  <c r="D44" i="22"/>
  <c r="R43" i="22"/>
  <c r="P43" i="22"/>
  <c r="N43" i="22"/>
  <c r="L43" i="22"/>
  <c r="R40" i="22"/>
  <c r="P40" i="22"/>
  <c r="N40" i="22"/>
  <c r="L40" i="22"/>
  <c r="F40" i="22"/>
  <c r="D40" i="22"/>
  <c r="B13" i="22"/>
  <c r="O2" i="20"/>
  <c r="N2" i="20"/>
  <c r="M2" i="20"/>
  <c r="L2" i="20"/>
  <c r="K2" i="20"/>
  <c r="J2" i="20"/>
  <c r="I2" i="20"/>
  <c r="H2" i="20"/>
  <c r="G2" i="20"/>
  <c r="F2" i="20"/>
  <c r="E2" i="20"/>
  <c r="D2" i="20"/>
  <c r="C2" i="20"/>
  <c r="A1" i="20"/>
  <c r="C73" i="18"/>
  <c r="C74" i="18" s="1"/>
  <c r="C75" i="18" s="1"/>
  <c r="C76" i="18" s="1"/>
  <c r="C71" i="18"/>
  <c r="C70" i="18" s="1"/>
  <c r="C69" i="18" s="1"/>
  <c r="C68" i="18" s="1"/>
  <c r="G67" i="18"/>
  <c r="H67" i="18" s="1"/>
  <c r="E67" i="18"/>
  <c r="D67" i="18" s="1"/>
  <c r="P20" i="18"/>
  <c r="O20" i="18"/>
  <c r="N20" i="18"/>
  <c r="M20" i="18"/>
  <c r="J10" i="18"/>
  <c r="A1" i="18"/>
  <c r="B51" i="17"/>
  <c r="B47" i="17"/>
  <c r="B46" i="17"/>
  <c r="I2" i="16"/>
  <c r="H2" i="16"/>
  <c r="G2" i="16"/>
  <c r="F2" i="16"/>
  <c r="E2" i="16"/>
  <c r="D2" i="16"/>
  <c r="C2" i="16"/>
  <c r="A1" i="16"/>
  <c r="K22" i="15"/>
  <c r="K20" i="15"/>
  <c r="K19" i="15"/>
  <c r="K18" i="15"/>
  <c r="I18" i="15"/>
  <c r="J18" i="15" s="1"/>
  <c r="K16" i="15"/>
  <c r="I16" i="15"/>
  <c r="I15" i="15"/>
  <c r="I14" i="15"/>
  <c r="L13" i="15"/>
  <c r="K13" i="15"/>
  <c r="J13" i="15"/>
  <c r="K12" i="15"/>
  <c r="I12" i="15"/>
  <c r="J12" i="15" s="1"/>
  <c r="N11" i="15"/>
  <c r="K11" i="15"/>
  <c r="I11" i="15"/>
  <c r="K10" i="15"/>
  <c r="I10" i="15"/>
  <c r="J10" i="15" s="1"/>
  <c r="K9" i="15"/>
  <c r="I9" i="15"/>
  <c r="J9" i="15" s="1"/>
  <c r="I8" i="15"/>
  <c r="N7" i="15"/>
  <c r="K7" i="15"/>
  <c r="I7" i="15"/>
  <c r="J7" i="15" s="1"/>
  <c r="D27" i="14"/>
  <c r="H73" i="13"/>
  <c r="I55" i="13"/>
  <c r="J55" i="13" s="1"/>
  <c r="G55" i="13"/>
  <c r="F55" i="13" s="1"/>
  <c r="F42" i="13"/>
  <c r="F41" i="13"/>
  <c r="H34" i="13"/>
  <c r="I34" i="13" s="1"/>
  <c r="J34" i="13" s="1"/>
  <c r="K34" i="13" s="1"/>
  <c r="L34" i="13" s="1"/>
  <c r="M34" i="13" s="1"/>
  <c r="N34" i="13" s="1"/>
  <c r="O34" i="13" s="1"/>
  <c r="F22" i="13"/>
  <c r="E22" i="13"/>
  <c r="B14" i="13"/>
  <c r="O9" i="13"/>
  <c r="N9" i="13"/>
  <c r="M9" i="13"/>
  <c r="L9" i="13"/>
  <c r="K9" i="13"/>
  <c r="J9" i="13"/>
  <c r="I9" i="13"/>
  <c r="H9" i="13"/>
  <c r="G9" i="13"/>
  <c r="O2" i="13"/>
  <c r="N2" i="13"/>
  <c r="M2" i="13"/>
  <c r="L2" i="13"/>
  <c r="K2" i="13"/>
  <c r="J2" i="13"/>
  <c r="I2" i="13"/>
  <c r="H2" i="13"/>
  <c r="G2" i="13"/>
  <c r="F2" i="13"/>
  <c r="E2" i="13"/>
  <c r="D2" i="13"/>
  <c r="C2" i="13"/>
  <c r="A1" i="13"/>
  <c r="G113" i="12"/>
  <c r="B98" i="12"/>
  <c r="G88" i="12"/>
  <c r="H88" i="12" s="1"/>
  <c r="O67" i="12"/>
  <c r="N67" i="12"/>
  <c r="M67" i="12"/>
  <c r="L67" i="12"/>
  <c r="K67" i="12"/>
  <c r="J67" i="12"/>
  <c r="I67" i="12"/>
  <c r="H67" i="12"/>
  <c r="G67" i="12"/>
  <c r="G43" i="12"/>
  <c r="G37" i="12"/>
  <c r="F30" i="12"/>
  <c r="E30" i="12"/>
  <c r="D30" i="12"/>
  <c r="F28" i="12"/>
  <c r="E28" i="12"/>
  <c r="D28" i="12"/>
  <c r="F27" i="12"/>
  <c r="E27" i="12"/>
  <c r="D27" i="12"/>
  <c r="F24" i="12"/>
  <c r="E24" i="12"/>
  <c r="F17" i="12"/>
  <c r="E17" i="12"/>
  <c r="E3" i="12"/>
  <c r="E3" i="20" s="1"/>
  <c r="A1" i="12"/>
  <c r="J41" i="10"/>
  <c r="I41" i="10"/>
  <c r="C41" i="10"/>
  <c r="B40" i="10"/>
  <c r="AU38" i="10"/>
  <c r="AQ38" i="10"/>
  <c r="AM38" i="10"/>
  <c r="AI38" i="10"/>
  <c r="AE38" i="10"/>
  <c r="BD31" i="10"/>
  <c r="BB31" i="10"/>
  <c r="AY31" i="10"/>
  <c r="AO31" i="10"/>
  <c r="AN31" i="10"/>
  <c r="AM31" i="10"/>
  <c r="AK31" i="10"/>
  <c r="AJ31" i="10"/>
  <c r="AI31" i="10"/>
  <c r="AG31" i="10"/>
  <c r="AF31" i="10"/>
  <c r="AE31" i="10"/>
  <c r="BD30" i="10"/>
  <c r="G11" i="14" s="1"/>
  <c r="BB30" i="10"/>
  <c r="AY30" i="10"/>
  <c r="AO30" i="10"/>
  <c r="AN30" i="10"/>
  <c r="AM30" i="10"/>
  <c r="AK30" i="10"/>
  <c r="AJ30" i="10"/>
  <c r="AI30" i="10"/>
  <c r="AG30" i="10"/>
  <c r="AF30" i="10"/>
  <c r="AE30" i="10"/>
  <c r="BD29" i="10"/>
  <c r="BB29" i="10"/>
  <c r="AY29" i="10"/>
  <c r="AO29" i="10"/>
  <c r="AN29" i="10"/>
  <c r="AM29" i="10"/>
  <c r="AK29" i="10"/>
  <c r="AJ29" i="10"/>
  <c r="AI29" i="10"/>
  <c r="AG29" i="10"/>
  <c r="AF29" i="10"/>
  <c r="AE29" i="10"/>
  <c r="BD28" i="10"/>
  <c r="BB28" i="10"/>
  <c r="AY28" i="10"/>
  <c r="AO28" i="10"/>
  <c r="AN28" i="10"/>
  <c r="AM28" i="10"/>
  <c r="AK28" i="10"/>
  <c r="AJ28" i="10"/>
  <c r="AI28" i="10"/>
  <c r="AG28" i="10"/>
  <c r="AF28" i="10"/>
  <c r="AE28" i="10"/>
  <c r="BD27" i="10"/>
  <c r="BB27" i="10"/>
  <c r="AY27" i="10"/>
  <c r="AO27" i="10"/>
  <c r="AN27" i="10"/>
  <c r="AM27" i="10"/>
  <c r="AK27" i="10"/>
  <c r="AJ27" i="10"/>
  <c r="AI27" i="10"/>
  <c r="AG27" i="10"/>
  <c r="AF27" i="10"/>
  <c r="AE27" i="10"/>
  <c r="F27" i="10"/>
  <c r="BD25" i="10"/>
  <c r="G9" i="14" s="1"/>
  <c r="BB25" i="10"/>
  <c r="AY25" i="10"/>
  <c r="AY41" i="10" s="1"/>
  <c r="AO25" i="10"/>
  <c r="AO41" i="10" s="1"/>
  <c r="AN25" i="10"/>
  <c r="AN41" i="10" s="1"/>
  <c r="AM25" i="10"/>
  <c r="AM41" i="10" s="1"/>
  <c r="AK25" i="10"/>
  <c r="AK41" i="10" s="1"/>
  <c r="AJ25" i="10"/>
  <c r="AJ41" i="10" s="1"/>
  <c r="AI25" i="10"/>
  <c r="AI41" i="10" s="1"/>
  <c r="AG25" i="10"/>
  <c r="AG41" i="10" s="1"/>
  <c r="AF25" i="10"/>
  <c r="AF41" i="10" s="1"/>
  <c r="AE25" i="10"/>
  <c r="AE41" i="10" s="1"/>
  <c r="F25" i="10"/>
  <c r="F26" i="10"/>
  <c r="AG21" i="10"/>
  <c r="AG38" i="10" s="1"/>
  <c r="AF21" i="10"/>
  <c r="AF38" i="10" s="1"/>
  <c r="Y21" i="10"/>
  <c r="AC21" i="10" s="1"/>
  <c r="X21" i="10"/>
  <c r="AB21" i="10" s="1"/>
  <c r="Q21" i="10"/>
  <c r="AK21" i="10" s="1"/>
  <c r="P21" i="10"/>
  <c r="T21" i="10" s="1"/>
  <c r="AN21" i="10" s="1"/>
  <c r="I38" i="10" s="1"/>
  <c r="L81" i="5"/>
  <c r="K81" i="5"/>
  <c r="J81" i="5"/>
  <c r="I81" i="5"/>
  <c r="G78" i="5"/>
  <c r="B71" i="5"/>
  <c r="G69" i="5"/>
  <c r="B69" i="5"/>
  <c r="B68" i="5"/>
  <c r="B67" i="5"/>
  <c r="E64" i="5"/>
  <c r="D64" i="5"/>
  <c r="E63" i="5"/>
  <c r="D63" i="5"/>
  <c r="H62" i="5"/>
  <c r="G62" i="5"/>
  <c r="E60" i="5"/>
  <c r="D60" i="5"/>
  <c r="C60" i="5"/>
  <c r="I60" i="5" s="1"/>
  <c r="J60" i="5" s="1"/>
  <c r="K60" i="5" s="1"/>
  <c r="L60" i="5" s="1"/>
  <c r="L59" i="5"/>
  <c r="K59" i="5"/>
  <c r="J59" i="5"/>
  <c r="I59" i="5"/>
  <c r="H59" i="5"/>
  <c r="G59" i="5"/>
  <c r="F59" i="5"/>
  <c r="E59" i="5"/>
  <c r="D59" i="5"/>
  <c r="C59" i="5"/>
  <c r="E55" i="5"/>
  <c r="D55" i="5"/>
  <c r="K54" i="5"/>
  <c r="J54" i="5"/>
  <c r="I54" i="5"/>
  <c r="H54" i="5"/>
  <c r="G54" i="5"/>
  <c r="F53" i="5"/>
  <c r="E53" i="5"/>
  <c r="D53" i="5"/>
  <c r="C53" i="5"/>
  <c r="H53" i="5" s="1"/>
  <c r="H44" i="5"/>
  <c r="G44" i="5"/>
  <c r="G14" i="5" s="1"/>
  <c r="C43" i="5"/>
  <c r="H43" i="5" s="1"/>
  <c r="J39" i="5"/>
  <c r="G39" i="5"/>
  <c r="P37" i="5"/>
  <c r="P36" i="5"/>
  <c r="P35" i="5"/>
  <c r="P34" i="5"/>
  <c r="P33" i="5"/>
  <c r="P32" i="5"/>
  <c r="P31" i="5"/>
  <c r="P30" i="5"/>
  <c r="G20" i="5"/>
  <c r="E13" i="5"/>
  <c r="C13" i="5"/>
  <c r="G60" i="5" s="1"/>
  <c r="H9" i="5"/>
  <c r="C9" i="5"/>
  <c r="H8" i="5"/>
  <c r="C8" i="5"/>
  <c r="K13" i="5" s="1"/>
  <c r="K20" i="5" s="1"/>
  <c r="H7" i="5"/>
  <c r="C7" i="5"/>
  <c r="E5" i="5"/>
  <c r="A1" i="4"/>
  <c r="A1" i="3"/>
  <c r="A7" i="2"/>
  <c r="F23" i="13" l="1"/>
  <c r="D123" i="12"/>
  <c r="D19" i="13" s="1"/>
  <c r="E123" i="12"/>
  <c r="E19" i="13" s="1"/>
  <c r="I64" i="13"/>
  <c r="J64" i="13" s="1"/>
  <c r="G64" i="13"/>
  <c r="F64" i="13" s="1"/>
  <c r="J11" i="15"/>
  <c r="J16" i="15"/>
  <c r="D28" i="14"/>
  <c r="I73" i="13"/>
  <c r="J73" i="13" s="1"/>
  <c r="G73" i="13"/>
  <c r="F73" i="13" s="1"/>
  <c r="I62" i="5"/>
  <c r="I63" i="5" s="1"/>
  <c r="C55" i="5"/>
  <c r="G53" i="5"/>
  <c r="C64" i="5"/>
  <c r="H81" i="5"/>
  <c r="D38" i="5"/>
  <c r="D39" i="5" s="1"/>
  <c r="C23" i="5" s="1"/>
  <c r="P38" i="5"/>
  <c r="D34" i="5" s="1"/>
  <c r="D35" i="5" s="1"/>
  <c r="G43" i="5"/>
  <c r="I43" i="5"/>
  <c r="J43" i="5" s="1"/>
  <c r="K43" i="5" s="1"/>
  <c r="L43" i="5" s="1"/>
  <c r="H60" i="5"/>
  <c r="L11" i="14"/>
  <c r="M11" i="14" s="1"/>
  <c r="U21" i="10"/>
  <c r="AO21" i="10" s="1"/>
  <c r="H13" i="5"/>
  <c r="H20" i="5" s="1"/>
  <c r="L10" i="14"/>
  <c r="J13" i="5"/>
  <c r="J20" i="5" s="1"/>
  <c r="AJ21" i="10"/>
  <c r="AJ38" i="10" s="1"/>
  <c r="E23" i="10"/>
  <c r="BA23" i="10"/>
  <c r="BG23" i="10"/>
  <c r="I64" i="5" l="1"/>
  <c r="J62" i="5"/>
  <c r="F7" i="14"/>
  <c r="AZ23" i="10"/>
  <c r="C23" i="10"/>
  <c r="AZ40" i="10" l="1"/>
  <c r="C7" i="14"/>
  <c r="G64" i="5"/>
  <c r="G68" i="5" s="1"/>
  <c r="H64" i="5"/>
  <c r="C22" i="5"/>
  <c r="G16" i="5"/>
  <c r="C63" i="5"/>
  <c r="H55" i="5"/>
  <c r="G55" i="5"/>
  <c r="G15" i="5" s="1"/>
  <c r="J64" i="5"/>
  <c r="J63" i="5"/>
  <c r="K62" i="5"/>
  <c r="AO38" i="10"/>
  <c r="J38" i="10"/>
  <c r="AW21" i="10"/>
  <c r="AW38" i="10" s="1"/>
  <c r="AK38" i="10"/>
  <c r="AS21" i="10"/>
  <c r="AS38" i="10" s="1"/>
  <c r="I13" i="5"/>
  <c r="I20" i="5" s="1"/>
  <c r="AN38" i="10"/>
  <c r="G79" i="5"/>
  <c r="M10" i="14"/>
  <c r="AR21" i="10"/>
  <c r="AR38" i="10" s="1"/>
  <c r="AV21" i="10"/>
  <c r="AV38" i="10" s="1"/>
  <c r="D36" i="5"/>
  <c r="E125" i="12"/>
  <c r="C125" i="12"/>
  <c r="G81" i="12"/>
  <c r="D8" i="13"/>
  <c r="E8" i="13"/>
  <c r="D3" i="12"/>
  <c r="G39" i="12"/>
  <c r="F3" i="20"/>
  <c r="C8" i="13"/>
  <c r="G3" i="12"/>
  <c r="I88" i="12"/>
  <c r="I119" i="12" s="1"/>
  <c r="H110" i="12"/>
  <c r="G119" i="12"/>
  <c r="G110" i="12"/>
  <c r="H119" i="12"/>
  <c r="C40" i="10"/>
  <c r="F23" i="10"/>
  <c r="BF23" i="10"/>
  <c r="K23" i="10"/>
  <c r="I7" i="14" l="1"/>
  <c r="BH23" i="10"/>
  <c r="D7" i="14" l="1"/>
  <c r="G26" i="5" l="1"/>
  <c r="BD23" i="10"/>
  <c r="S23" i="10"/>
  <c r="BE23" i="10"/>
  <c r="H7" i="14" l="1"/>
  <c r="B49" i="17"/>
  <c r="G7" i="14"/>
  <c r="H63" i="5"/>
  <c r="G63" i="5"/>
  <c r="G67" i="5" s="1"/>
  <c r="K64" i="5"/>
  <c r="K63" i="5"/>
  <c r="K79" i="5"/>
  <c r="I79" i="5"/>
  <c r="H6" i="5"/>
  <c r="G25" i="5"/>
  <c r="D125" i="12"/>
  <c r="D19" i="12"/>
  <c r="D132" i="12" s="1"/>
  <c r="D3" i="20"/>
  <c r="C3" i="12"/>
  <c r="G106" i="12"/>
  <c r="C19" i="12"/>
  <c r="C9" i="13" s="1"/>
  <c r="C11" i="13" s="1"/>
  <c r="J88" i="12"/>
  <c r="J119" i="12" s="1"/>
  <c r="I110" i="12"/>
  <c r="G62" i="12"/>
  <c r="G98" i="12"/>
  <c r="G3" i="20"/>
  <c r="D9" i="17"/>
  <c r="H3" i="12"/>
  <c r="E19" i="12"/>
  <c r="E132" i="12" s="1"/>
  <c r="J79" i="5" l="1"/>
  <c r="K80" i="5" s="1"/>
  <c r="H10" i="5"/>
  <c r="E9" i="13"/>
  <c r="E11" i="13" s="1"/>
  <c r="D9" i="13"/>
  <c r="D11" i="13" s="1"/>
  <c r="H3" i="20"/>
  <c r="E9" i="17"/>
  <c r="I3" i="12"/>
  <c r="C3" i="20"/>
  <c r="C3" i="16"/>
  <c r="D3" i="16" s="1"/>
  <c r="E3" i="16" s="1"/>
  <c r="F3" i="16" s="1"/>
  <c r="G3" i="16" s="1"/>
  <c r="H3" i="16" s="1"/>
  <c r="I3" i="16" s="1"/>
  <c r="C3" i="13"/>
  <c r="D3" i="13" s="1"/>
  <c r="E3" i="13" s="1"/>
  <c r="F3" i="13" s="1"/>
  <c r="G12" i="13"/>
  <c r="J110" i="12"/>
  <c r="K88" i="12"/>
  <c r="H106" i="12"/>
  <c r="I106" i="12"/>
  <c r="W23" i="10"/>
  <c r="O23" i="10"/>
  <c r="AA23" i="10"/>
  <c r="AY23" i="10" l="1"/>
  <c r="AY40" i="10" s="1"/>
  <c r="J80" i="5"/>
  <c r="I14" i="5" s="1"/>
  <c r="L80" i="5"/>
  <c r="K16" i="5" s="1"/>
  <c r="K23" i="5" s="1"/>
  <c r="I80" i="5"/>
  <c r="I68" i="5" s="1"/>
  <c r="K68" i="5"/>
  <c r="J17" i="5"/>
  <c r="J15" i="5"/>
  <c r="J14" i="5"/>
  <c r="K67" i="5"/>
  <c r="J16" i="5"/>
  <c r="G71" i="5"/>
  <c r="G21" i="5"/>
  <c r="G22" i="5"/>
  <c r="G23" i="5"/>
  <c r="K110" i="12"/>
  <c r="L88" i="12"/>
  <c r="I3" i="20"/>
  <c r="J3" i="12"/>
  <c r="K119" i="12"/>
  <c r="G3" i="13"/>
  <c r="B44" i="13"/>
  <c r="G23" i="10"/>
  <c r="E7" i="14" l="1"/>
  <c r="K7" i="14" s="1"/>
  <c r="K13" i="14" s="1"/>
  <c r="D21" i="14" s="1"/>
  <c r="H23" i="10"/>
  <c r="L7" i="14" l="1"/>
  <c r="AI23" i="10"/>
  <c r="AI40" i="10" s="1"/>
  <c r="AM23" i="10"/>
  <c r="AE23" i="10"/>
  <c r="AE40" i="10" s="1"/>
  <c r="I21" i="5"/>
  <c r="I16" i="5"/>
  <c r="K14" i="5"/>
  <c r="K21" i="5" s="1"/>
  <c r="K15" i="5"/>
  <c r="K22" i="5" s="1"/>
  <c r="K17" i="5"/>
  <c r="K24" i="5" s="1"/>
  <c r="J68" i="5"/>
  <c r="J67" i="5"/>
  <c r="I15" i="5"/>
  <c r="I17" i="5"/>
  <c r="H16" i="5"/>
  <c r="I67" i="5"/>
  <c r="H17" i="5"/>
  <c r="H14" i="5"/>
  <c r="H15" i="5"/>
  <c r="J21" i="5"/>
  <c r="J23" i="5"/>
  <c r="T23" i="10"/>
  <c r="L23" i="10"/>
  <c r="AU23" i="10"/>
  <c r="AC23" i="10"/>
  <c r="P23" i="10"/>
  <c r="AM40" i="10" l="1"/>
  <c r="I22" i="5"/>
  <c r="H23" i="5"/>
  <c r="I23" i="5"/>
  <c r="H22" i="5"/>
  <c r="BB23" i="10"/>
  <c r="AF23" i="10"/>
  <c r="AF40" i="10" s="1"/>
  <c r="AN23" i="10"/>
  <c r="AJ23" i="10"/>
  <c r="J24" i="5"/>
  <c r="H21" i="5"/>
  <c r="J22" i="5"/>
  <c r="H24" i="5"/>
  <c r="I24" i="5"/>
  <c r="AU40" i="10"/>
  <c r="M7" i="14"/>
  <c r="K72" i="5"/>
  <c r="J72" i="5"/>
  <c r="J73" i="5"/>
  <c r="K73" i="5"/>
  <c r="G72" i="5"/>
  <c r="G73" i="5"/>
  <c r="I73" i="5"/>
  <c r="I72" i="5"/>
  <c r="M88" i="12"/>
  <c r="M119" i="12" s="1"/>
  <c r="L110" i="12"/>
  <c r="L119" i="12"/>
  <c r="J3" i="20"/>
  <c r="K3" i="12"/>
  <c r="J106" i="12"/>
  <c r="B45" i="13"/>
  <c r="H3" i="13"/>
  <c r="AQ23" i="10"/>
  <c r="U23" i="10"/>
  <c r="Y23" i="10"/>
  <c r="M23" i="10"/>
  <c r="X23" i="10"/>
  <c r="AB23" i="10"/>
  <c r="Q23" i="10"/>
  <c r="BC23" i="10" l="1"/>
  <c r="D29" i="14"/>
  <c r="AQ40" i="10"/>
  <c r="AO23" i="10"/>
  <c r="AG23" i="10"/>
  <c r="AG40" i="10" s="1"/>
  <c r="AK23" i="10"/>
  <c r="AS23" i="10"/>
  <c r="AV23" i="10"/>
  <c r="I23" i="10"/>
  <c r="D24" i="14" l="1"/>
  <c r="M13" i="14"/>
  <c r="AN40" i="10"/>
  <c r="AO40" i="10"/>
  <c r="AO43" i="10" s="1"/>
  <c r="AS40" i="10"/>
  <c r="AV40" i="10"/>
  <c r="AJ40" i="10"/>
  <c r="AK40" i="10"/>
  <c r="AK43" i="10" s="1"/>
  <c r="I40" i="10"/>
  <c r="K3" i="20"/>
  <c r="L3" i="12"/>
  <c r="B46" i="13"/>
  <c r="I3" i="13"/>
  <c r="J3" i="13" s="1"/>
  <c r="K3" i="13" s="1"/>
  <c r="L3" i="13" s="1"/>
  <c r="M3" i="13" s="1"/>
  <c r="N3" i="13" s="1"/>
  <c r="O3" i="13" s="1"/>
  <c r="K106" i="12"/>
  <c r="N88" i="12"/>
  <c r="N119" i="12" s="1"/>
  <c r="M110" i="12"/>
  <c r="AR23" i="10"/>
  <c r="AR40" i="10" l="1"/>
  <c r="J23" i="10"/>
  <c r="J40" i="10" l="1"/>
  <c r="J43" i="10" s="1"/>
  <c r="AW23" i="10"/>
  <c r="AW40" i="10" l="1"/>
  <c r="D19" i="14"/>
  <c r="D22" i="14" s="1"/>
  <c r="O88" i="12"/>
  <c r="N110" i="12"/>
  <c r="M106" i="12"/>
  <c r="L106" i="12"/>
  <c r="L3" i="20"/>
  <c r="M3" i="12"/>
  <c r="O110" i="12" l="1"/>
  <c r="N106" i="12"/>
  <c r="M3" i="20"/>
  <c r="N3" i="12"/>
  <c r="O119" i="12"/>
  <c r="D23" i="14" l="1"/>
  <c r="O106" i="12"/>
  <c r="N3" i="20"/>
  <c r="O3" i="12"/>
  <c r="O3" i="20" s="1"/>
  <c r="D31" i="14" l="1"/>
  <c r="F29" i="13" s="1"/>
  <c r="F51" i="13" l="1"/>
  <c r="E58" i="13" s="1"/>
  <c r="J35" i="13" l="1"/>
  <c r="H35" i="13"/>
  <c r="I35" i="13"/>
  <c r="L35" i="13"/>
  <c r="N35" i="13"/>
  <c r="K35" i="13"/>
  <c r="G35" i="13"/>
  <c r="M35" i="13"/>
  <c r="O35" i="13"/>
  <c r="E67" i="13"/>
  <c r="E76" i="13"/>
  <c r="E59" i="13"/>
  <c r="E57" i="13"/>
  <c r="B48" i="17" l="1"/>
  <c r="E77" i="13"/>
  <c r="E78" i="13" s="1"/>
  <c r="E75" i="13"/>
  <c r="E74" i="13" s="1"/>
  <c r="E66" i="13"/>
  <c r="E65" i="13" s="1"/>
  <c r="E68" i="13"/>
  <c r="E69" i="13" s="1"/>
  <c r="C26" i="17"/>
  <c r="E56" i="13"/>
  <c r="E60" i="13"/>
  <c r="D26" i="17"/>
  <c r="H58" i="17" l="1"/>
  <c r="H55" i="17" l="1"/>
  <c r="G50" i="12" l="1"/>
  <c r="H50" i="12" s="1"/>
  <c r="I50" i="12" l="1"/>
  <c r="H54" i="12"/>
  <c r="F54" i="12"/>
  <c r="F16" i="12" s="1"/>
  <c r="G54" i="12"/>
  <c r="F8" i="12"/>
  <c r="H55" i="12" l="1"/>
  <c r="H75" i="12"/>
  <c r="H77" i="12"/>
  <c r="I54" i="12"/>
  <c r="J50" i="12"/>
  <c r="F130" i="12"/>
  <c r="F23" i="12"/>
  <c r="F56" i="12"/>
  <c r="F60" i="12" s="1"/>
  <c r="F12" i="12"/>
  <c r="F18" i="13" s="1"/>
  <c r="F25" i="12"/>
  <c r="F15" i="12"/>
  <c r="K35" i="10"/>
  <c r="F26" i="12"/>
  <c r="F14" i="12"/>
  <c r="F127" i="12"/>
  <c r="G12" i="12"/>
  <c r="G38" i="12"/>
  <c r="G55" i="12"/>
  <c r="G56" i="12" s="1"/>
  <c r="G58" i="12"/>
  <c r="G75" i="12"/>
  <c r="G77" i="12"/>
  <c r="L35" i="10"/>
  <c r="G59" i="12"/>
  <c r="K50" i="12" l="1"/>
  <c r="J54" i="12"/>
  <c r="I55" i="12"/>
  <c r="I75" i="12"/>
  <c r="I77" i="12"/>
  <c r="H76" i="12"/>
  <c r="H85" i="12"/>
  <c r="F63" i="12"/>
  <c r="F137" i="12"/>
  <c r="F124" i="12"/>
  <c r="F7" i="13"/>
  <c r="F138" i="12"/>
  <c r="AY35" i="10"/>
  <c r="O35" i="10"/>
  <c r="G76" i="12"/>
  <c r="G85" i="12"/>
  <c r="G102" i="12" s="1"/>
  <c r="G40" i="12"/>
  <c r="G105" i="12"/>
  <c r="G101" i="12"/>
  <c r="G18" i="13"/>
  <c r="BB35" i="10"/>
  <c r="G99" i="12"/>
  <c r="F8" i="13"/>
  <c r="F68" i="12"/>
  <c r="F123" i="12"/>
  <c r="F19" i="13" s="1"/>
  <c r="S35" i="10"/>
  <c r="H101" i="12"/>
  <c r="H99" i="12"/>
  <c r="H58" i="12"/>
  <c r="H38" i="12"/>
  <c r="H105" i="12" s="1"/>
  <c r="H12" i="12"/>
  <c r="M35" i="10"/>
  <c r="H59" i="12"/>
  <c r="G60" i="12"/>
  <c r="I85" i="12" l="1"/>
  <c r="I76" i="12"/>
  <c r="J55" i="12"/>
  <c r="J75" i="12"/>
  <c r="J77" i="12"/>
  <c r="L50" i="12"/>
  <c r="K54" i="12"/>
  <c r="L20" i="15"/>
  <c r="L26" i="15"/>
  <c r="L24" i="15"/>
  <c r="L21" i="15"/>
  <c r="L19" i="15"/>
  <c r="L22" i="15"/>
  <c r="H18" i="13"/>
  <c r="G130" i="12"/>
  <c r="H100" i="12"/>
  <c r="H102" i="12"/>
  <c r="G63" i="12"/>
  <c r="G132" i="12" s="1"/>
  <c r="P35" i="10"/>
  <c r="G124" i="12"/>
  <c r="G7" i="13"/>
  <c r="F19" i="12"/>
  <c r="F71" i="12"/>
  <c r="G107" i="12"/>
  <c r="G14" i="13"/>
  <c r="H37" i="12"/>
  <c r="G80" i="12"/>
  <c r="G131" i="12" s="1"/>
  <c r="H107" i="12"/>
  <c r="H14" i="13"/>
  <c r="G100" i="12"/>
  <c r="I101" i="12"/>
  <c r="I99" i="12"/>
  <c r="I58" i="12"/>
  <c r="I56" i="12"/>
  <c r="I38" i="12"/>
  <c r="I105" i="12" s="1"/>
  <c r="I12" i="12"/>
  <c r="I18" i="13" s="1"/>
  <c r="I59" i="12"/>
  <c r="H56" i="12"/>
  <c r="H60" i="12" s="1"/>
  <c r="K55" i="12" l="1"/>
  <c r="K75" i="12"/>
  <c r="K77" i="12"/>
  <c r="M50" i="12"/>
  <c r="L54" i="12"/>
  <c r="J76" i="12"/>
  <c r="J85" i="12"/>
  <c r="H130" i="12"/>
  <c r="I60" i="12"/>
  <c r="I7" i="13" s="1"/>
  <c r="AK48" i="10"/>
  <c r="AK49" i="10" s="1"/>
  <c r="AK51" i="10" s="1"/>
  <c r="H124" i="12"/>
  <c r="Q35" i="10"/>
  <c r="H7" i="13"/>
  <c r="K12" i="12"/>
  <c r="J38" i="12"/>
  <c r="J105" i="12" s="1"/>
  <c r="J99" i="12"/>
  <c r="J56" i="12"/>
  <c r="J58" i="12"/>
  <c r="J101" i="12"/>
  <c r="J12" i="12"/>
  <c r="J18" i="13" s="1"/>
  <c r="J59" i="12"/>
  <c r="H39" i="12"/>
  <c r="F125" i="12"/>
  <c r="F21" i="12"/>
  <c r="I102" i="12"/>
  <c r="F9" i="13"/>
  <c r="F11" i="13" s="1"/>
  <c r="F132" i="12"/>
  <c r="G8" i="13"/>
  <c r="G11" i="13" s="1"/>
  <c r="G123" i="12"/>
  <c r="G19" i="13" s="1"/>
  <c r="T35" i="10"/>
  <c r="H13" i="13"/>
  <c r="G13" i="13"/>
  <c r="I107" i="12"/>
  <c r="I14" i="13"/>
  <c r="L55" i="12" l="1"/>
  <c r="L13" i="12"/>
  <c r="L75" i="12"/>
  <c r="L77" i="12"/>
  <c r="M54" i="12"/>
  <c r="N50" i="12"/>
  <c r="K76" i="12"/>
  <c r="K85" i="12"/>
  <c r="I124" i="12"/>
  <c r="I130" i="12"/>
  <c r="I100" i="12"/>
  <c r="I13" i="13" s="1"/>
  <c r="J60" i="12"/>
  <c r="J7" i="13" s="1"/>
  <c r="F24" i="13"/>
  <c r="F25" i="13"/>
  <c r="G15" i="13"/>
  <c r="H98" i="12"/>
  <c r="H62" i="12"/>
  <c r="H63" i="12" s="1"/>
  <c r="J102" i="12"/>
  <c r="H40" i="12"/>
  <c r="H80" i="12" s="1"/>
  <c r="H131" i="12" s="1"/>
  <c r="K38" i="12"/>
  <c r="K105" i="12" s="1"/>
  <c r="K56" i="12"/>
  <c r="K101" i="12"/>
  <c r="K58" i="12"/>
  <c r="K18" i="13"/>
  <c r="K59" i="12"/>
  <c r="J107" i="12"/>
  <c r="J14" i="13"/>
  <c r="O50" i="12" l="1"/>
  <c r="O54" i="12" s="1"/>
  <c r="N54" i="12"/>
  <c r="M55" i="12"/>
  <c r="M75" i="12"/>
  <c r="M77" i="12"/>
  <c r="L76" i="12"/>
  <c r="L85" i="12"/>
  <c r="J124" i="12"/>
  <c r="K107" i="12"/>
  <c r="K14" i="13"/>
  <c r="H123" i="12"/>
  <c r="H19" i="13" s="1"/>
  <c r="H8" i="13"/>
  <c r="H11" i="13" s="1"/>
  <c r="U35" i="10"/>
  <c r="I37" i="12"/>
  <c r="J100" i="12"/>
  <c r="K60" i="12"/>
  <c r="K99" i="12"/>
  <c r="K100" i="12"/>
  <c r="K102" i="12"/>
  <c r="H12" i="13"/>
  <c r="J130" i="12"/>
  <c r="L99" i="12"/>
  <c r="L58" i="12"/>
  <c r="L101" i="12"/>
  <c r="L56" i="12"/>
  <c r="L38" i="12"/>
  <c r="L105" i="12" s="1"/>
  <c r="L59" i="12"/>
  <c r="L12" i="12"/>
  <c r="L18" i="13" s="1"/>
  <c r="G36" i="13"/>
  <c r="G20" i="13"/>
  <c r="M76" i="12" l="1"/>
  <c r="M85" i="12"/>
  <c r="N55" i="12"/>
  <c r="N75" i="12"/>
  <c r="N77" i="12"/>
  <c r="O55" i="12"/>
  <c r="O77" i="12"/>
  <c r="O75" i="12"/>
  <c r="H15" i="13"/>
  <c r="L107" i="12"/>
  <c r="L14" i="13"/>
  <c r="M99" i="12"/>
  <c r="M58" i="12"/>
  <c r="M38" i="12"/>
  <c r="M105" i="12" s="1"/>
  <c r="M56" i="12"/>
  <c r="M59" i="12"/>
  <c r="M12" i="12"/>
  <c r="M18" i="13" s="1"/>
  <c r="L102" i="12"/>
  <c r="K13" i="13"/>
  <c r="I39" i="12"/>
  <c r="I40" i="12" s="1"/>
  <c r="I80" i="12" s="1"/>
  <c r="I131" i="12" s="1"/>
  <c r="K130" i="12"/>
  <c r="K124" i="12"/>
  <c r="K7" i="13"/>
  <c r="J13" i="13"/>
  <c r="L60" i="12"/>
  <c r="O85" i="12" l="1"/>
  <c r="O76" i="12"/>
  <c r="N76" i="12"/>
  <c r="N85" i="12"/>
  <c r="L130" i="12"/>
  <c r="M14" i="13"/>
  <c r="M107" i="12"/>
  <c r="L100" i="12"/>
  <c r="M60" i="12"/>
  <c r="J37" i="12"/>
  <c r="H36" i="13"/>
  <c r="H20" i="13"/>
  <c r="I98" i="12"/>
  <c r="I62" i="12"/>
  <c r="I63" i="12" s="1"/>
  <c r="L124" i="12"/>
  <c r="L7" i="13"/>
  <c r="M101" i="12"/>
  <c r="N101" i="12"/>
  <c r="N99" i="12"/>
  <c r="N58" i="12"/>
  <c r="N56" i="12"/>
  <c r="N38" i="12"/>
  <c r="N105" i="12" s="1"/>
  <c r="N12" i="12"/>
  <c r="N18" i="13" s="1"/>
  <c r="N59" i="12"/>
  <c r="M100" i="12"/>
  <c r="M102" i="12"/>
  <c r="M13" i="13" l="1"/>
  <c r="N102" i="12"/>
  <c r="M130" i="12"/>
  <c r="I8" i="13"/>
  <c r="I11" i="13" s="1"/>
  <c r="I123" i="12"/>
  <c r="I19" i="13" s="1"/>
  <c r="L13" i="13"/>
  <c r="N60" i="12"/>
  <c r="I12" i="13"/>
  <c r="J39" i="12"/>
  <c r="J40" i="12" s="1"/>
  <c r="J80" i="12" s="1"/>
  <c r="J131" i="12" s="1"/>
  <c r="N14" i="13"/>
  <c r="N107" i="12"/>
  <c r="M124" i="12"/>
  <c r="M7" i="13"/>
  <c r="O58" i="12"/>
  <c r="O38" i="12"/>
  <c r="O56" i="12"/>
  <c r="O12" i="12"/>
  <c r="O18" i="13" s="1"/>
  <c r="O59" i="12"/>
  <c r="N130" i="12" l="1"/>
  <c r="K37" i="12"/>
  <c r="O105" i="12"/>
  <c r="I15" i="13"/>
  <c r="O60" i="12"/>
  <c r="N7" i="13"/>
  <c r="N124" i="12"/>
  <c r="O99" i="12"/>
  <c r="J98" i="12"/>
  <c r="J62" i="12"/>
  <c r="J63" i="12" s="1"/>
  <c r="O101" i="12"/>
  <c r="O100" i="12"/>
  <c r="N100" i="12"/>
  <c r="O130" i="12" l="1"/>
  <c r="O7" i="13"/>
  <c r="O124" i="12"/>
  <c r="I36" i="13"/>
  <c r="I20" i="13"/>
  <c r="N13" i="13"/>
  <c r="O14" i="13"/>
  <c r="O107" i="12"/>
  <c r="J8" i="13"/>
  <c r="J11" i="13" s="1"/>
  <c r="J123" i="12"/>
  <c r="J19" i="13" s="1"/>
  <c r="K39" i="12"/>
  <c r="O102" i="12"/>
  <c r="J12" i="13"/>
  <c r="K98" i="12" l="1"/>
  <c r="K62" i="12"/>
  <c r="K63" i="12" s="1"/>
  <c r="K40" i="12"/>
  <c r="K80" i="12" s="1"/>
  <c r="K131" i="12" s="1"/>
  <c r="O13" i="13"/>
  <c r="J15" i="13"/>
  <c r="L37" i="12" l="1"/>
  <c r="K12" i="13"/>
  <c r="K8" i="13"/>
  <c r="K11" i="13" s="1"/>
  <c r="K123" i="12"/>
  <c r="K19" i="13" s="1"/>
  <c r="J20" i="13"/>
  <c r="J36" i="13"/>
  <c r="K15" i="13" l="1"/>
  <c r="L39" i="12"/>
  <c r="L40" i="12" s="1"/>
  <c r="L80" i="12" s="1"/>
  <c r="L131" i="12" s="1"/>
  <c r="L98" i="12" l="1"/>
  <c r="L62" i="12"/>
  <c r="L63" i="12" s="1"/>
  <c r="K36" i="13"/>
  <c r="K20" i="13"/>
  <c r="M37" i="12"/>
  <c r="L12" i="13" l="1"/>
  <c r="M39" i="12"/>
  <c r="M40" i="12" s="1"/>
  <c r="M80" i="12" s="1"/>
  <c r="M131" i="12" s="1"/>
  <c r="L123" i="12"/>
  <c r="L19" i="13" s="1"/>
  <c r="L8" i="13"/>
  <c r="L11" i="13" s="1"/>
  <c r="N37" i="12" l="1"/>
  <c r="M98" i="12"/>
  <c r="M62" i="12"/>
  <c r="M63" i="12" s="1"/>
  <c r="L15" i="13"/>
  <c r="M12" i="13" l="1"/>
  <c r="M8" i="13"/>
  <c r="M11" i="13" s="1"/>
  <c r="M123" i="12"/>
  <c r="M19" i="13" s="1"/>
  <c r="L20" i="13"/>
  <c r="L36" i="13"/>
  <c r="N39" i="12"/>
  <c r="N40" i="12" s="1"/>
  <c r="N80" i="12" s="1"/>
  <c r="N131" i="12" s="1"/>
  <c r="M15" i="13" l="1"/>
  <c r="O37" i="12"/>
  <c r="N98" i="12"/>
  <c r="N62" i="12"/>
  <c r="N63" i="12" s="1"/>
  <c r="M20" i="13" l="1"/>
  <c r="M36" i="13"/>
  <c r="O39" i="12"/>
  <c r="O40" i="12" s="1"/>
  <c r="O80" i="12" s="1"/>
  <c r="O131" i="12" s="1"/>
  <c r="N8" i="13"/>
  <c r="N11" i="13" s="1"/>
  <c r="N123" i="12"/>
  <c r="N19" i="13" s="1"/>
  <c r="N12" i="13"/>
  <c r="N15" i="13" l="1"/>
  <c r="O98" i="12"/>
  <c r="O62" i="12"/>
  <c r="O63" i="12" l="1"/>
  <c r="N36" i="13"/>
  <c r="N20" i="13"/>
  <c r="O12" i="13"/>
  <c r="O8" i="13" l="1"/>
  <c r="O123" i="12"/>
  <c r="O11" i="13" l="1"/>
  <c r="O19" i="13"/>
  <c r="O15" i="13" l="1"/>
  <c r="O36" i="13" l="1"/>
  <c r="O30" i="13"/>
  <c r="O20" i="13"/>
  <c r="F37" i="13" l="1"/>
  <c r="F38" i="13"/>
  <c r="O31" i="13"/>
  <c r="F39" i="13" l="1"/>
  <c r="F46" i="13" s="1"/>
  <c r="F44" i="13" l="1"/>
  <c r="F45" i="13"/>
  <c r="F43" i="13"/>
  <c r="M66" i="12" l="1"/>
  <c r="M138" i="12" s="1"/>
  <c r="N66" i="12"/>
  <c r="N138" i="12" s="1"/>
  <c r="L66" i="12"/>
  <c r="L138" i="12" s="1"/>
  <c r="K66" i="12"/>
  <c r="K138" i="12" s="1"/>
  <c r="J66" i="12"/>
  <c r="J138" i="12" s="1"/>
  <c r="I66" i="12"/>
  <c r="I138" i="12" s="1"/>
  <c r="H66" i="12"/>
  <c r="H138" i="12" s="1"/>
  <c r="G66" i="12"/>
  <c r="G138" i="12" s="1"/>
  <c r="O66" i="12"/>
  <c r="O138" i="12" s="1"/>
  <c r="M65" i="12"/>
  <c r="N65" i="12"/>
  <c r="L65" i="12"/>
  <c r="K65" i="12"/>
  <c r="J65" i="12"/>
  <c r="J68" i="12" s="1"/>
  <c r="J70" i="12" s="1"/>
  <c r="J71" i="12" s="1"/>
  <c r="O65" i="12"/>
  <c r="O68" i="12"/>
  <c r="O70" i="12" s="1"/>
  <c r="M68" i="12" l="1"/>
  <c r="M70" i="12" s="1"/>
  <c r="M71" i="12" s="1"/>
  <c r="M125" i="12" s="1"/>
  <c r="L68" i="12"/>
  <c r="L70" i="12" s="1"/>
  <c r="L71" i="12" s="1"/>
  <c r="K68" i="12"/>
  <c r="K70" i="12" s="1"/>
  <c r="K71" i="12" s="1"/>
  <c r="K97" i="12" s="1"/>
  <c r="K103" i="12" s="1"/>
  <c r="N68" i="12"/>
  <c r="N70" i="12" s="1"/>
  <c r="N71" i="12" s="1"/>
  <c r="N97" i="12"/>
  <c r="N103" i="12" s="1"/>
  <c r="N44" i="12"/>
  <c r="N45" i="12" s="1"/>
  <c r="N109" i="12" s="1"/>
  <c r="N111" i="12" s="1"/>
  <c r="N125" i="12"/>
  <c r="O71" i="12"/>
  <c r="L97" i="12"/>
  <c r="L103" i="12" s="1"/>
  <c r="L44" i="12"/>
  <c r="L45" i="12" s="1"/>
  <c r="L109" i="12" s="1"/>
  <c r="L111" i="12" s="1"/>
  <c r="L125" i="12"/>
  <c r="J97" i="12"/>
  <c r="J103" i="12" s="1"/>
  <c r="J44" i="12"/>
  <c r="J45" i="12" s="1"/>
  <c r="J109" i="12" s="1"/>
  <c r="J111" i="12" s="1"/>
  <c r="J125" i="12"/>
  <c r="M97" i="12"/>
  <c r="M103" i="12" s="1"/>
  <c r="M44" i="12"/>
  <c r="M45" i="12" s="1"/>
  <c r="M109" i="12" s="1"/>
  <c r="M111" i="12" s="1"/>
  <c r="J114" i="12" l="1"/>
  <c r="K125" i="12"/>
  <c r="K44" i="12"/>
  <c r="K45" i="12" s="1"/>
  <c r="K109" i="12" s="1"/>
  <c r="K111" i="12" s="1"/>
  <c r="L114" i="12"/>
  <c r="M114" i="12"/>
  <c r="K114" i="12"/>
  <c r="O125" i="12"/>
  <c r="O97" i="12"/>
  <c r="O44" i="12"/>
  <c r="N114" i="12"/>
  <c r="O45" i="12" l="1"/>
  <c r="O103" i="12"/>
  <c r="O109" i="12" l="1"/>
  <c r="O111" i="12" l="1"/>
  <c r="O114" i="12" l="1"/>
  <c r="I65" i="12"/>
  <c r="I68" i="12" s="1"/>
  <c r="I70" i="12" s="1"/>
  <c r="I71" i="12" s="1"/>
  <c r="H65" i="12"/>
  <c r="H68" i="12" s="1"/>
  <c r="H70" i="12" s="1"/>
  <c r="H71" i="12" s="1"/>
  <c r="J45" i="10" l="1"/>
  <c r="J46" i="10" s="1"/>
  <c r="H97" i="12"/>
  <c r="H103" i="12" s="1"/>
  <c r="H44" i="12"/>
  <c r="H45" i="12" s="1"/>
  <c r="H109" i="12" s="1"/>
  <c r="H111" i="12" s="1"/>
  <c r="H125" i="12"/>
  <c r="I97" i="12"/>
  <c r="I103" i="12" s="1"/>
  <c r="I44" i="12"/>
  <c r="I45" i="12" s="1"/>
  <c r="I109" i="12" s="1"/>
  <c r="I111" i="12" s="1"/>
  <c r="I125" i="12"/>
  <c r="H114" i="12" l="1"/>
  <c r="I114" i="12"/>
  <c r="G65" i="12" l="1"/>
  <c r="G68" i="12" s="1"/>
  <c r="G70" i="12" s="1"/>
  <c r="G71" i="12" s="1"/>
  <c r="G125" i="12" l="1"/>
  <c r="G97" i="12"/>
  <c r="G103" i="12" s="1"/>
  <c r="G44" i="12"/>
  <c r="G45" i="12" l="1"/>
  <c r="G109" i="12" s="1"/>
  <c r="G111" i="12" s="1"/>
  <c r="G46" i="12"/>
  <c r="G114" i="12"/>
  <c r="G115" i="12" s="1"/>
  <c r="G84" i="12" l="1"/>
  <c r="H113" i="12"/>
  <c r="H115" i="12" s="1"/>
  <c r="G74" i="12"/>
  <c r="G91" i="12"/>
  <c r="H43" i="12"/>
  <c r="H46" i="12" s="1"/>
  <c r="G22" i="13" l="1"/>
  <c r="G118" i="12"/>
  <c r="G136" i="12"/>
  <c r="G86" i="12"/>
  <c r="G89" i="12" s="1"/>
  <c r="G92" i="12" s="1"/>
  <c r="G94" i="12" s="1"/>
  <c r="G133" i="12"/>
  <c r="H132" i="12"/>
  <c r="G78" i="12"/>
  <c r="G82" i="12" s="1"/>
  <c r="G120" i="12"/>
  <c r="H84" i="12"/>
  <c r="I113" i="12"/>
  <c r="I115" i="12" s="1"/>
  <c r="H74" i="12"/>
  <c r="H120" i="12" s="1"/>
  <c r="H91" i="12"/>
  <c r="I43" i="12"/>
  <c r="I46" i="12" s="1"/>
  <c r="H136" i="12" l="1"/>
  <c r="H86" i="12"/>
  <c r="H89" i="12" s="1"/>
  <c r="H92" i="12" s="1"/>
  <c r="H94" i="12" s="1"/>
  <c r="H133" i="12"/>
  <c r="I132" i="12"/>
  <c r="I84" i="12"/>
  <c r="J113" i="12"/>
  <c r="J115" i="12" s="1"/>
  <c r="I74" i="12"/>
  <c r="G137" i="12"/>
  <c r="G139" i="12"/>
  <c r="H118" i="12"/>
  <c r="H22" i="13"/>
  <c r="H24" i="13" s="1"/>
  <c r="I91" i="12"/>
  <c r="J43" i="12"/>
  <c r="J46" i="12" s="1"/>
  <c r="G24" i="13"/>
  <c r="G23" i="13"/>
  <c r="G25" i="13"/>
  <c r="H78" i="12"/>
  <c r="H82" i="12" s="1"/>
  <c r="I78" i="12" l="1"/>
  <c r="I82" i="12" s="1"/>
  <c r="I136" i="12"/>
  <c r="I86" i="12"/>
  <c r="I89" i="12" s="1"/>
  <c r="I133" i="12"/>
  <c r="J132" i="12"/>
  <c r="J84" i="12"/>
  <c r="J118" i="12" s="1"/>
  <c r="J74" i="12"/>
  <c r="J120" i="12" s="1"/>
  <c r="K113" i="12"/>
  <c r="K115" i="12" s="1"/>
  <c r="I120" i="12"/>
  <c r="J91" i="12"/>
  <c r="K43" i="12"/>
  <c r="K46" i="12" s="1"/>
  <c r="H139" i="12"/>
  <c r="H137" i="12"/>
  <c r="H23" i="13"/>
  <c r="H25" i="13"/>
  <c r="I92" i="12"/>
  <c r="I22" i="13"/>
  <c r="I118" i="12"/>
  <c r="I94" i="12" l="1"/>
  <c r="I23" i="13"/>
  <c r="I25" i="13"/>
  <c r="J22" i="13"/>
  <c r="J24" i="13" s="1"/>
  <c r="I139" i="12"/>
  <c r="I137" i="12"/>
  <c r="K84" i="12"/>
  <c r="K118" i="12" s="1"/>
  <c r="L113" i="12"/>
  <c r="L115" i="12" s="1"/>
  <c r="K74" i="12"/>
  <c r="K120" i="12" s="1"/>
  <c r="J136" i="12"/>
  <c r="J86" i="12"/>
  <c r="J89" i="12" s="1"/>
  <c r="J92" i="12" s="1"/>
  <c r="J133" i="12"/>
  <c r="K132" i="12"/>
  <c r="K91" i="12"/>
  <c r="L43" i="12"/>
  <c r="L46" i="12" s="1"/>
  <c r="I24" i="13"/>
  <c r="J78" i="12"/>
  <c r="J82" i="12" s="1"/>
  <c r="J94" i="12" l="1"/>
  <c r="J139" i="12"/>
  <c r="J137" i="12"/>
  <c r="L91" i="12"/>
  <c r="M43" i="12"/>
  <c r="M46" i="12" s="1"/>
  <c r="J23" i="13"/>
  <c r="J25" i="13"/>
  <c r="K78" i="12"/>
  <c r="K82" i="12" s="1"/>
  <c r="L84" i="12"/>
  <c r="L118" i="12" s="1"/>
  <c r="L74" i="12"/>
  <c r="L120" i="12" s="1"/>
  <c r="M113" i="12"/>
  <c r="M115" i="12" s="1"/>
  <c r="K22" i="13"/>
  <c r="K136" i="12"/>
  <c r="K86" i="12"/>
  <c r="K89" i="12" s="1"/>
  <c r="K92" i="12" s="1"/>
  <c r="K94" i="12" s="1"/>
  <c r="K133" i="12"/>
  <c r="L132" i="12"/>
  <c r="K137" i="12" l="1"/>
  <c r="K139" i="12"/>
  <c r="K25" i="13"/>
  <c r="K23" i="13"/>
  <c r="M84" i="12"/>
  <c r="M118" i="12" s="1"/>
  <c r="N113" i="12"/>
  <c r="N115" i="12" s="1"/>
  <c r="M74" i="12"/>
  <c r="M91" i="12"/>
  <c r="N43" i="12"/>
  <c r="N46" i="12" s="1"/>
  <c r="K24" i="13"/>
  <c r="L78" i="12"/>
  <c r="L82" i="12" s="1"/>
  <c r="L136" i="12"/>
  <c r="L86" i="12"/>
  <c r="L89" i="12" s="1"/>
  <c r="L92" i="12" s="1"/>
  <c r="L133" i="12"/>
  <c r="M132" i="12"/>
  <c r="L22" i="13"/>
  <c r="L24" i="13" s="1"/>
  <c r="L94" i="12" l="1"/>
  <c r="M78" i="12"/>
  <c r="M82" i="12" s="1"/>
  <c r="M136" i="12"/>
  <c r="M86" i="12"/>
  <c r="M89" i="12" s="1"/>
  <c r="M92" i="12" s="1"/>
  <c r="M94" i="12" s="1"/>
  <c r="M133" i="12"/>
  <c r="N132" i="12"/>
  <c r="L137" i="12"/>
  <c r="L139" i="12"/>
  <c r="M120" i="12"/>
  <c r="L23" i="13"/>
  <c r="L25" i="13"/>
  <c r="N91" i="12"/>
  <c r="O43" i="12"/>
  <c r="M22" i="13"/>
  <c r="M24" i="13" s="1"/>
  <c r="O113" i="12"/>
  <c r="N84" i="12"/>
  <c r="N74" i="12"/>
  <c r="N120" i="12" s="1"/>
  <c r="O46" i="12" l="1"/>
  <c r="N22" i="13"/>
  <c r="N78" i="12"/>
  <c r="N82" i="12" s="1"/>
  <c r="M139" i="12"/>
  <c r="M137" i="12"/>
  <c r="N136" i="12"/>
  <c r="O132" i="12"/>
  <c r="N86" i="12"/>
  <c r="N89" i="12" s="1"/>
  <c r="N92" i="12" s="1"/>
  <c r="N133" i="12"/>
  <c r="N118" i="12"/>
  <c r="O115" i="12"/>
  <c r="M25" i="13"/>
  <c r="M23" i="13"/>
  <c r="N94" i="12" l="1"/>
  <c r="O84" i="12"/>
  <c r="O74" i="12"/>
  <c r="N25" i="13"/>
  <c r="N23" i="13"/>
  <c r="O91" i="12"/>
  <c r="N24" i="13"/>
  <c r="N139" i="12"/>
  <c r="N137" i="12"/>
  <c r="O136" i="12" l="1"/>
  <c r="O133" i="12"/>
  <c r="O86" i="12"/>
  <c r="O118" i="12"/>
  <c r="O22" i="13"/>
  <c r="O78" i="12"/>
  <c r="O120" i="12"/>
  <c r="O25" i="13" l="1"/>
  <c r="O23" i="13"/>
  <c r="O24" i="13"/>
  <c r="O139" i="12"/>
  <c r="O137" i="12"/>
  <c r="O89" i="12"/>
  <c r="O82" i="12"/>
  <c r="O92" i="12" l="1"/>
  <c r="O94"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O33" authorId="0" shapeId="0" xr:uid="{061FC28C-A8BA-4214-942F-E22EE462AC44}">
      <text>
        <r>
          <rPr>
            <b/>
            <sz val="9"/>
            <color indexed="81"/>
            <rFont val="Tahoma"/>
            <family val="2"/>
          </rPr>
          <t>Financial Edge:</t>
        </r>
        <r>
          <rPr>
            <sz val="9"/>
            <color indexed="81"/>
            <rFont val="Tahoma"/>
            <family val="2"/>
          </rPr>
          <t xml:space="preserve">
Annual report, pg 3, IS
Revenue excluding liquor tax</t>
        </r>
      </text>
    </comment>
    <comment ref="P33" authorId="0" shapeId="0" xr:uid="{A2DB29A4-F7E6-4345-AD13-473529C1A880}">
      <text>
        <r>
          <rPr>
            <b/>
            <sz val="9"/>
            <color indexed="81"/>
            <rFont val="Tahoma"/>
            <family val="2"/>
          </rPr>
          <t>Financial Edge:</t>
        </r>
        <r>
          <rPr>
            <sz val="9"/>
            <color indexed="81"/>
            <rFont val="Tahoma"/>
            <family val="2"/>
          </rPr>
          <t xml:space="preserve">
Annual report, pg 3, IS
Revenue excluding liquor tax</t>
        </r>
      </text>
    </comment>
    <comment ref="R33" authorId="0" shapeId="0" xr:uid="{FADA1ADE-09DC-4E3D-9A2E-28FD07DBA81A}">
      <text>
        <r>
          <rPr>
            <b/>
            <sz val="9"/>
            <color indexed="81"/>
            <rFont val="Tahoma"/>
            <family val="2"/>
          </rPr>
          <t>Financial Edge:</t>
        </r>
        <r>
          <rPr>
            <sz val="9"/>
            <color indexed="81"/>
            <rFont val="Tahoma"/>
            <family val="2"/>
          </rPr>
          <t xml:space="preserve">
Annual report pg 68, IS</t>
        </r>
      </text>
    </comment>
    <comment ref="S33" authorId="0" shapeId="0" xr:uid="{AF0AF71A-A2C4-4713-AD7A-6A2C3D3B9BC5}">
      <text>
        <r>
          <rPr>
            <b/>
            <sz val="9"/>
            <color indexed="81"/>
            <rFont val="Tahoma"/>
            <family val="2"/>
          </rPr>
          <t>Financial Edge:</t>
        </r>
        <r>
          <rPr>
            <sz val="9"/>
            <color indexed="81"/>
            <rFont val="Tahoma"/>
            <family val="2"/>
          </rPr>
          <t xml:space="preserve">
Annual report pg 68, IS</t>
        </r>
      </text>
    </comment>
    <comment ref="F34" authorId="0" shapeId="0" xr:uid="{24CED600-5BA4-4729-A604-2286E449593C}">
      <text>
        <r>
          <rPr>
            <b/>
            <sz val="9"/>
            <color indexed="81"/>
            <rFont val="Tahoma"/>
            <family val="2"/>
          </rPr>
          <t>Financial Edge:</t>
        </r>
        <r>
          <rPr>
            <sz val="9"/>
            <color indexed="81"/>
            <rFont val="Tahoma"/>
            <family val="2"/>
          </rPr>
          <t xml:space="preserve">
Reconciliation note, 8K, page A-10, no adjusted revenue provided</t>
        </r>
      </text>
    </comment>
    <comment ref="G34" authorId="0" shapeId="0" xr:uid="{F49643A5-48C4-41B0-A57C-DF87E76DBB9A}">
      <text>
        <r>
          <rPr>
            <b/>
            <sz val="9"/>
            <color indexed="81"/>
            <rFont val="Tahoma"/>
            <family val="2"/>
          </rPr>
          <t>Financial Edge:</t>
        </r>
        <r>
          <rPr>
            <sz val="9"/>
            <color indexed="81"/>
            <rFont val="Tahoma"/>
            <family val="2"/>
          </rPr>
          <t xml:space="preserve">
Reconciliation note, 8K, page A-10, no adjusted revenue provided</t>
        </r>
      </text>
    </comment>
    <comment ref="I34" authorId="0" shapeId="0" xr:uid="{74FA60E0-0E32-4869-8A86-E2DED423F2D7}">
      <text>
        <r>
          <rPr>
            <b/>
            <sz val="9"/>
            <color indexed="81"/>
            <rFont val="Tahoma"/>
            <family val="2"/>
          </rPr>
          <t>Financial Edge:</t>
        </r>
        <r>
          <rPr>
            <sz val="9"/>
            <color indexed="81"/>
            <rFont val="Tahoma"/>
            <family val="2"/>
          </rPr>
          <t xml:space="preserve">
Reconciliation note, 8K, page A-12, no adjusted revenue provided</t>
        </r>
      </text>
    </comment>
    <comment ref="J34" authorId="0" shapeId="0" xr:uid="{83F61D52-D8F9-4E1C-8E33-E2A1619E28C7}">
      <text>
        <r>
          <rPr>
            <b/>
            <sz val="9"/>
            <color indexed="81"/>
            <rFont val="Tahoma"/>
            <family val="2"/>
          </rPr>
          <t>Financial Edge:</t>
        </r>
        <r>
          <rPr>
            <sz val="9"/>
            <color indexed="81"/>
            <rFont val="Tahoma"/>
            <family val="2"/>
          </rPr>
          <t xml:space="preserve">
Reconciliation note, 8K, page A-12, no adjusted revenue provided</t>
        </r>
      </text>
    </comment>
    <comment ref="L34" authorId="1" shapeId="0" xr:uid="{30F35C63-85A9-4B49-BB47-8A098992A0AA}">
      <text>
        <r>
          <rPr>
            <b/>
            <sz val="9"/>
            <color indexed="81"/>
            <rFont val="Tahoma"/>
            <family val="2"/>
          </rPr>
          <t xml:space="preserve">Financial Edge: </t>
        </r>
        <r>
          <rPr>
            <sz val="9"/>
            <color indexed="81"/>
            <rFont val="Tahoma"/>
            <family val="2"/>
          </rPr>
          <t xml:space="preserve">
Adjustment to exclude $40m of deferred revenue from early termination of distribution agreements
</t>
        </r>
      </text>
    </comment>
    <comment ref="M34" authorId="1" shapeId="0" xr:uid="{58105400-8D1F-4DCF-A33F-163C57310CF9}">
      <text>
        <r>
          <rPr>
            <b/>
            <sz val="9"/>
            <color indexed="81"/>
            <rFont val="Tahoma"/>
            <family val="2"/>
          </rPr>
          <t xml:space="preserve">Financial Edge: </t>
        </r>
        <r>
          <rPr>
            <sz val="9"/>
            <color indexed="81"/>
            <rFont val="Tahoma"/>
            <family val="2"/>
          </rPr>
          <t xml:space="preserve">
Adjustment to exclude $40m of deferred revenue from early termination of distribution agreements
</t>
        </r>
      </text>
    </comment>
    <comment ref="O36" authorId="0" shapeId="0" xr:uid="{20588BDB-5EB5-4D83-86B9-A5D20CE94AD4}">
      <text>
        <r>
          <rPr>
            <b/>
            <sz val="9"/>
            <color indexed="81"/>
            <rFont val="Tahoma"/>
            <family val="2"/>
          </rPr>
          <t>Financial Edge:</t>
        </r>
        <r>
          <rPr>
            <sz val="9"/>
            <color indexed="81"/>
            <rFont val="Tahoma"/>
            <family val="2"/>
          </rPr>
          <t xml:space="preserve">
Annual report, pg 3, IS</t>
        </r>
      </text>
    </comment>
    <comment ref="P36" authorId="0" shapeId="0" xr:uid="{6120D625-B402-4FAE-9FF8-939F1C3B3AD9}">
      <text>
        <r>
          <rPr>
            <b/>
            <sz val="9"/>
            <color indexed="81"/>
            <rFont val="Tahoma"/>
            <family val="2"/>
          </rPr>
          <t>Financial Edge:</t>
        </r>
        <r>
          <rPr>
            <sz val="9"/>
            <color indexed="81"/>
            <rFont val="Tahoma"/>
            <family val="2"/>
          </rPr>
          <t xml:space="preserve">
Annual report, pg 3, IS</t>
        </r>
      </text>
    </comment>
    <comment ref="R36" authorId="0" shapeId="0" xr:uid="{2F7CC63B-DD62-491A-8993-75678DBD78D3}">
      <text>
        <r>
          <rPr>
            <b/>
            <sz val="9"/>
            <color indexed="81"/>
            <rFont val="Tahoma"/>
            <family val="2"/>
          </rPr>
          <t>Financial Edge:</t>
        </r>
        <r>
          <rPr>
            <sz val="9"/>
            <color indexed="81"/>
            <rFont val="Tahoma"/>
            <family val="2"/>
          </rPr>
          <t xml:space="preserve">
Annual report pg 68, IS</t>
        </r>
      </text>
    </comment>
    <comment ref="S36" authorId="0" shapeId="0" xr:uid="{52FA1EA8-847A-46A6-B1D0-C088501D5C54}">
      <text>
        <r>
          <rPr>
            <b/>
            <sz val="9"/>
            <color indexed="81"/>
            <rFont val="Tahoma"/>
            <family val="2"/>
          </rPr>
          <t>Financial Edge:</t>
        </r>
        <r>
          <rPr>
            <sz val="9"/>
            <color indexed="81"/>
            <rFont val="Tahoma"/>
            <family val="2"/>
          </rPr>
          <t xml:space="preserve">
Annual report pg 68, IS</t>
        </r>
      </text>
    </comment>
    <comment ref="O39" authorId="0" shapeId="0" xr:uid="{F5D6A573-4775-4234-849B-524DC9B912EB}">
      <text>
        <r>
          <rPr>
            <b/>
            <sz val="9"/>
            <color indexed="81"/>
            <rFont val="Tahoma"/>
            <family val="2"/>
          </rPr>
          <t>Financial Edge:</t>
        </r>
        <r>
          <rPr>
            <sz val="9"/>
            <color indexed="81"/>
            <rFont val="Tahoma"/>
            <family val="2"/>
          </rPr>
          <t xml:space="preserve">
Annual report, pg 3, IS</t>
        </r>
      </text>
    </comment>
    <comment ref="P39" authorId="0" shapeId="0" xr:uid="{03AE2B7B-5417-473F-A565-AF1C7B96796C}">
      <text>
        <r>
          <rPr>
            <b/>
            <sz val="9"/>
            <color indexed="81"/>
            <rFont val="Tahoma"/>
            <family val="2"/>
          </rPr>
          <t>Financial Edge:</t>
        </r>
        <r>
          <rPr>
            <sz val="9"/>
            <color indexed="81"/>
            <rFont val="Tahoma"/>
            <family val="2"/>
          </rPr>
          <t xml:space="preserve">
Annual report, pg 3, IS</t>
        </r>
      </text>
    </comment>
    <comment ref="R39" authorId="0" shapeId="0" xr:uid="{CC9389A9-4C68-4982-A87C-74B5C8E12F74}">
      <text>
        <r>
          <rPr>
            <b/>
            <sz val="9"/>
            <color indexed="81"/>
            <rFont val="Tahoma"/>
            <family val="2"/>
          </rPr>
          <t>Financial Edge:</t>
        </r>
        <r>
          <rPr>
            <sz val="9"/>
            <color indexed="81"/>
            <rFont val="Tahoma"/>
            <family val="2"/>
          </rPr>
          <t xml:space="preserve">
Annual report pg 68, IS</t>
        </r>
      </text>
    </comment>
    <comment ref="S39" authorId="0" shapeId="0" xr:uid="{F33E1ADB-9978-4CD3-A748-490E084764C7}">
      <text>
        <r>
          <rPr>
            <b/>
            <sz val="9"/>
            <color indexed="81"/>
            <rFont val="Tahoma"/>
            <family val="2"/>
          </rPr>
          <t>Financial Edge:</t>
        </r>
        <r>
          <rPr>
            <sz val="9"/>
            <color indexed="81"/>
            <rFont val="Tahoma"/>
            <family val="2"/>
          </rPr>
          <t xml:space="preserve">
Annual report pg 68, IS</t>
        </r>
      </text>
    </comment>
    <comment ref="O40" authorId="0" shapeId="0" xr:uid="{38257264-1EE3-4E83-B5D8-DBDEB31E584C}">
      <text>
        <r>
          <rPr>
            <b/>
            <sz val="9"/>
            <color indexed="81"/>
            <rFont val="Tahoma"/>
            <family val="2"/>
          </rPr>
          <t>Financial Edge:</t>
        </r>
        <r>
          <rPr>
            <sz val="9"/>
            <color indexed="81"/>
            <rFont val="Tahoma"/>
            <family val="2"/>
          </rPr>
          <t xml:space="preserve">
The adjusted operating profit in the press release has no breakdown or detail. 
Here the reported figure from the annual report has been cleaned</t>
        </r>
      </text>
    </comment>
    <comment ref="P40" authorId="0" shapeId="0" xr:uid="{79DD2297-A7C1-41C3-B19E-F4A0942895B1}">
      <text>
        <r>
          <rPr>
            <b/>
            <sz val="9"/>
            <color indexed="81"/>
            <rFont val="Tahoma"/>
            <family val="2"/>
          </rPr>
          <t>Financial Edge:</t>
        </r>
        <r>
          <rPr>
            <sz val="9"/>
            <color indexed="81"/>
            <rFont val="Tahoma"/>
            <family val="2"/>
          </rPr>
          <t xml:space="preserve">
The adjusted operating profit in the press release has no breakdown or detail. 
Here the reported figure from the annual report has been cleaned</t>
        </r>
      </text>
    </comment>
    <comment ref="R40" authorId="0" shapeId="0" xr:uid="{EC034544-F4DB-4546-BC9A-E574BF0A1D86}">
      <text>
        <r>
          <rPr>
            <b/>
            <sz val="9"/>
            <color indexed="81"/>
            <rFont val="Tahoma"/>
            <family val="2"/>
          </rPr>
          <t>Financial Edge:</t>
        </r>
        <r>
          <rPr>
            <sz val="9"/>
            <color indexed="81"/>
            <rFont val="Tahoma"/>
            <family val="2"/>
          </rPr>
          <t xml:space="preserve">
Futher info available in Annual report, pg 97, note 8.1</t>
        </r>
      </text>
    </comment>
    <comment ref="S40" authorId="0" shapeId="0" xr:uid="{E22E32FF-35B3-45A0-ABC5-6C5962F3EFE6}">
      <text>
        <r>
          <rPr>
            <b/>
            <sz val="9"/>
            <color indexed="81"/>
            <rFont val="Tahoma"/>
            <family val="2"/>
          </rPr>
          <t>Financial Edge:</t>
        </r>
        <r>
          <rPr>
            <sz val="9"/>
            <color indexed="81"/>
            <rFont val="Tahoma"/>
            <family val="2"/>
          </rPr>
          <t xml:space="preserve">
Futher info available in Annual report, pg 97, note 8.1</t>
        </r>
      </text>
    </comment>
    <comment ref="F41" authorId="0" shapeId="0" xr:uid="{0DD274B4-0E37-4B6D-A252-4ED84B463EF1}">
      <text>
        <r>
          <rPr>
            <b/>
            <sz val="9"/>
            <color indexed="81"/>
            <rFont val="Tahoma"/>
            <family val="2"/>
          </rPr>
          <t>Financial Edge:</t>
        </r>
        <r>
          <rPr>
            <sz val="9"/>
            <color indexed="81"/>
            <rFont val="Tahoma"/>
            <family val="2"/>
          </rPr>
          <t xml:space="preserve">
In calculating a recurring earnings figure, the company has added back this item. We reverse this here. Amortization is included in the EBITDA calculation later</t>
        </r>
      </text>
    </comment>
    <comment ref="G41" authorId="0" shapeId="0" xr:uid="{18F2662B-18B3-45ED-BAF2-AEC7D8AD6CFB}">
      <text>
        <r>
          <rPr>
            <b/>
            <sz val="9"/>
            <color indexed="81"/>
            <rFont val="Tahoma"/>
            <family val="2"/>
          </rPr>
          <t>Financial Edge:</t>
        </r>
        <r>
          <rPr>
            <sz val="9"/>
            <color indexed="81"/>
            <rFont val="Tahoma"/>
            <family val="2"/>
          </rPr>
          <t xml:space="preserve">
In calculating a recurring earnings figure, the company has added back this item. We reverse this here. Amortization is included in the EBITDA calculation later</t>
        </r>
      </text>
    </comment>
    <comment ref="M41" authorId="0" shapeId="0" xr:uid="{D85C1B1C-05ED-4233-8B40-227F390179F2}">
      <text>
        <r>
          <rPr>
            <b/>
            <sz val="9"/>
            <color indexed="81"/>
            <rFont val="Tahoma"/>
            <family val="2"/>
          </rPr>
          <t>Financial Edge:</t>
        </r>
        <r>
          <rPr>
            <sz val="9"/>
            <color indexed="81"/>
            <rFont val="Tahoma"/>
            <family val="2"/>
          </rPr>
          <t xml:space="preserve">
Acquisition costs reported in operating expenses. 
The Bang transaction gain ignored as it is reported below operating profit. </t>
        </r>
      </text>
    </comment>
    <comment ref="O41" authorId="0" shapeId="0" xr:uid="{B302AB5E-8EF6-4A7C-A5CA-E702B00ED72D}">
      <text>
        <r>
          <rPr>
            <b/>
            <sz val="9"/>
            <color indexed="81"/>
            <rFont val="Tahoma"/>
            <family val="2"/>
          </rPr>
          <t>Financial Edge:</t>
        </r>
        <r>
          <rPr>
            <sz val="9"/>
            <color indexed="81"/>
            <rFont val="Tahoma"/>
            <family val="2"/>
          </rPr>
          <t xml:space="preserve">
Annual report, pg 3, IS
Share of profits of investments</t>
        </r>
      </text>
    </comment>
    <comment ref="P41" authorId="0" shapeId="0" xr:uid="{03FCD827-DD86-4ABE-B32E-9444FB958C08}">
      <text>
        <r>
          <rPr>
            <b/>
            <sz val="9"/>
            <color indexed="81"/>
            <rFont val="Tahoma"/>
            <family val="2"/>
          </rPr>
          <t>Financial Edge:</t>
        </r>
        <r>
          <rPr>
            <sz val="9"/>
            <color indexed="81"/>
            <rFont val="Tahoma"/>
            <family val="2"/>
          </rPr>
          <t xml:space="preserve">
Annual report, pg 3, IS
Share of profits of investments</t>
        </r>
      </text>
    </comment>
    <comment ref="F42" authorId="0" shapeId="0" xr:uid="{FBDEC08C-6186-4827-8674-4D96605F2A7C}">
      <text>
        <r>
          <rPr>
            <b/>
            <sz val="9"/>
            <color indexed="81"/>
            <rFont val="Tahoma"/>
            <family val="2"/>
          </rPr>
          <t>Financial Edge:</t>
        </r>
        <r>
          <rPr>
            <sz val="9"/>
            <color indexed="81"/>
            <rFont val="Tahoma"/>
            <family val="2"/>
          </rPr>
          <t xml:space="preserve">
In calculating a recurring earnings figure, the company has added back this item. We reverse this here.</t>
        </r>
      </text>
    </comment>
    <comment ref="G42" authorId="0" shapeId="0" xr:uid="{69D7A548-7D63-4785-9820-EF49FF3D29FF}">
      <text>
        <r>
          <rPr>
            <b/>
            <sz val="9"/>
            <color indexed="81"/>
            <rFont val="Tahoma"/>
            <family val="2"/>
          </rPr>
          <t>Financial Edge:</t>
        </r>
        <r>
          <rPr>
            <sz val="9"/>
            <color indexed="81"/>
            <rFont val="Tahoma"/>
            <family val="2"/>
          </rPr>
          <t xml:space="preserve">
In calculating a recurring earnings figure, the company has added back this item. We reverse this here.</t>
        </r>
      </text>
    </comment>
    <comment ref="L42" authorId="0" shapeId="0" xr:uid="{5644B043-0749-4129-9928-5D757AA57768}">
      <text>
        <r>
          <rPr>
            <b/>
            <sz val="9"/>
            <color indexed="81"/>
            <rFont val="Tahoma"/>
            <family val="2"/>
          </rPr>
          <t>Financial Edge:</t>
        </r>
        <r>
          <rPr>
            <sz val="9"/>
            <color indexed="81"/>
            <rFont val="Tahoma"/>
            <family val="2"/>
          </rPr>
          <t xml:space="preserve">
Impairment of intangibles</t>
        </r>
      </text>
    </comment>
    <comment ref="M42" authorId="0" shapeId="0" xr:uid="{B3CF3595-DD75-4D68-A5C9-9646111369D2}">
      <text>
        <r>
          <rPr>
            <b/>
            <sz val="9"/>
            <color indexed="81"/>
            <rFont val="Tahoma"/>
            <family val="2"/>
          </rPr>
          <t>Financial Edge:</t>
        </r>
        <r>
          <rPr>
            <sz val="9"/>
            <color indexed="81"/>
            <rFont val="Tahoma"/>
            <family val="2"/>
          </rPr>
          <t xml:space="preserve">
Impairment of intangibles</t>
        </r>
      </text>
    </comment>
    <comment ref="O42" authorId="0" shapeId="0" xr:uid="{008FDEF5-3A10-49EA-A2DD-857869E040D8}">
      <text>
        <r>
          <rPr>
            <b/>
            <sz val="9"/>
            <color indexed="81"/>
            <rFont val="Tahoma"/>
            <family val="2"/>
          </rPr>
          <t>Financial Edge:</t>
        </r>
        <r>
          <rPr>
            <sz val="9"/>
            <color indexed="81"/>
            <rFont val="Tahoma"/>
            <family val="2"/>
          </rPr>
          <t xml:space="preserve">
Annual report, pg 45, note 28
Gains removed</t>
        </r>
      </text>
    </comment>
    <comment ref="P42" authorId="0" shapeId="0" xr:uid="{D873D50C-EE3F-4458-A419-FE52FF811063}">
      <text>
        <r>
          <rPr>
            <b/>
            <sz val="9"/>
            <color indexed="81"/>
            <rFont val="Tahoma"/>
            <family val="2"/>
          </rPr>
          <t>Financial Edge:</t>
        </r>
        <r>
          <rPr>
            <sz val="9"/>
            <color indexed="81"/>
            <rFont val="Tahoma"/>
            <family val="2"/>
          </rPr>
          <t xml:space="preserve">
Annual report, pg 45, note 28
Gains removed</t>
        </r>
      </text>
    </comment>
    <comment ref="M43" authorId="0" shapeId="0" xr:uid="{B8B0C28C-8A60-4AA6-949C-CF15B8CBE9C9}">
      <text>
        <r>
          <rPr>
            <b/>
            <sz val="9"/>
            <color indexed="81"/>
            <rFont val="Tahoma"/>
            <family val="2"/>
          </rPr>
          <t>Financial Edge:</t>
        </r>
        <r>
          <rPr>
            <sz val="9"/>
            <color indexed="81"/>
            <rFont val="Tahoma"/>
            <family val="2"/>
          </rPr>
          <t xml:space="preserve">
Impairment of PP&amp;E</t>
        </r>
      </text>
    </comment>
    <comment ref="O43" authorId="0" shapeId="0" xr:uid="{6625B909-6757-4413-B635-3EE20A8E974D}">
      <text>
        <r>
          <rPr>
            <b/>
            <sz val="9"/>
            <color indexed="81"/>
            <rFont val="Tahoma"/>
            <family val="2"/>
          </rPr>
          <t>Financial Edge:</t>
        </r>
        <r>
          <rPr>
            <sz val="9"/>
            <color indexed="81"/>
            <rFont val="Tahoma"/>
            <family val="2"/>
          </rPr>
          <t xml:space="preserve">
Annual report, pg 46, note 30
Losses
Impairment
Restructuring</t>
        </r>
      </text>
    </comment>
    <comment ref="P43" authorId="0" shapeId="0" xr:uid="{9B7AFF23-047C-4F01-91AE-E14E01A43B2B}">
      <text>
        <r>
          <rPr>
            <b/>
            <sz val="9"/>
            <color indexed="81"/>
            <rFont val="Tahoma"/>
            <family val="2"/>
          </rPr>
          <t>Financial Edge:</t>
        </r>
        <r>
          <rPr>
            <sz val="9"/>
            <color indexed="81"/>
            <rFont val="Tahoma"/>
            <family val="2"/>
          </rPr>
          <t xml:space="preserve">
Annual report, pg 3, IS
Other expenses = non recurring expenses</t>
        </r>
      </text>
    </comment>
    <comment ref="L44" authorId="0" shapeId="0" xr:uid="{7A60B205-1A7B-4272-B637-F72DF533DA5B}">
      <text>
        <r>
          <rPr>
            <b/>
            <sz val="9"/>
            <color indexed="81"/>
            <rFont val="Tahoma"/>
            <family val="2"/>
          </rPr>
          <t>Financial Edge:</t>
        </r>
        <r>
          <rPr>
            <sz val="9"/>
            <color indexed="81"/>
            <rFont val="Tahoma"/>
            <family val="2"/>
          </rPr>
          <t xml:space="preserve">
Deferred revenue resulting from early termination of supply contracts</t>
        </r>
      </text>
    </comment>
    <comment ref="M44" authorId="0" shapeId="0" xr:uid="{F8924396-7E53-4C3B-A307-5757919C27BF}">
      <text>
        <r>
          <rPr>
            <b/>
            <sz val="9"/>
            <color indexed="81"/>
            <rFont val="Tahoma"/>
            <family val="2"/>
          </rPr>
          <t>Financial Edge:</t>
        </r>
        <r>
          <rPr>
            <sz val="9"/>
            <color indexed="81"/>
            <rFont val="Tahoma"/>
            <family val="2"/>
          </rPr>
          <t xml:space="preserve">
Deferred revenue resulting from early termination of supply contracts</t>
        </r>
      </text>
    </comment>
    <comment ref="O45" authorId="0" shapeId="0" xr:uid="{E1FA5FB1-F92F-498F-8138-D79FA7F330DF}">
      <text>
        <r>
          <rPr>
            <b/>
            <sz val="9"/>
            <color indexed="81"/>
            <rFont val="Tahoma"/>
            <family val="2"/>
          </rPr>
          <t>Financial Edge:</t>
        </r>
        <r>
          <rPr>
            <sz val="9"/>
            <color indexed="81"/>
            <rFont val="Tahoma"/>
            <family val="2"/>
          </rPr>
          <t xml:space="preserve">
This figure differs to the adjusted operating profit given in the press release mostly due to the share of profit of investments being excluded by us, but included by the company</t>
        </r>
      </text>
    </comment>
    <comment ref="P45" authorId="0" shapeId="0" xr:uid="{5DDC21BE-DBF3-43D2-9E08-7803B810B741}">
      <text>
        <r>
          <rPr>
            <b/>
            <sz val="9"/>
            <color indexed="81"/>
            <rFont val="Tahoma"/>
            <family val="2"/>
          </rPr>
          <t>Financial Edge:</t>
        </r>
        <r>
          <rPr>
            <sz val="9"/>
            <color indexed="81"/>
            <rFont val="Tahoma"/>
            <family val="2"/>
          </rPr>
          <t xml:space="preserve">
This figure differs to the adjusted operating profit given in the press release mostly due to the share of profit of investments being excluded by us, but included by the company</t>
        </r>
      </text>
    </comment>
    <comment ref="F46" authorId="0" shapeId="0" xr:uid="{C3446E0D-E713-4483-9F5D-CAC6A3EC84C1}">
      <text>
        <r>
          <rPr>
            <b/>
            <sz val="9"/>
            <color indexed="81"/>
            <rFont val="Tahoma"/>
            <family val="2"/>
          </rPr>
          <t>Financial Edge:</t>
        </r>
        <r>
          <rPr>
            <sz val="9"/>
            <color indexed="81"/>
            <rFont val="Tahoma"/>
            <family val="2"/>
          </rPr>
          <t xml:space="preserve">
"Other amortization expense" ignored. Company makes reference to amortization of financing items, derivatives, M&amp;A, etc</t>
        </r>
      </text>
    </comment>
    <comment ref="G46" authorId="0" shapeId="0" xr:uid="{C644EEC0-E747-4F5F-871D-EDD5BFA3E043}">
      <text>
        <r>
          <rPr>
            <b/>
            <sz val="9"/>
            <color indexed="81"/>
            <rFont val="Tahoma"/>
            <family val="2"/>
          </rPr>
          <t>Financial Edge:</t>
        </r>
        <r>
          <rPr>
            <sz val="9"/>
            <color indexed="81"/>
            <rFont val="Tahoma"/>
            <family val="2"/>
          </rPr>
          <t xml:space="preserve">
"Other amortization expense" ignored. Company makes reference to amortization of financing items, derivatives, M&amp;A, etc</t>
        </r>
      </text>
    </comment>
    <comment ref="O46" authorId="0" shapeId="0" xr:uid="{E58301E0-3C95-43B0-909B-077FDAF93847}">
      <text>
        <r>
          <rPr>
            <b/>
            <sz val="9"/>
            <color indexed="81"/>
            <rFont val="Tahoma"/>
            <family val="2"/>
          </rPr>
          <t>Financial Edge:</t>
        </r>
        <r>
          <rPr>
            <sz val="9"/>
            <color indexed="81"/>
            <rFont val="Tahoma"/>
            <family val="2"/>
          </rPr>
          <t xml:space="preserve">
Annual report, pg 6, CFS</t>
        </r>
      </text>
    </comment>
    <comment ref="P46" authorId="0" shapeId="0" xr:uid="{7737B530-6C35-43BB-84DA-83E177C202C3}">
      <text>
        <r>
          <rPr>
            <b/>
            <sz val="9"/>
            <color indexed="81"/>
            <rFont val="Tahoma"/>
            <family val="2"/>
          </rPr>
          <t>Financial Edge:</t>
        </r>
        <r>
          <rPr>
            <sz val="9"/>
            <color indexed="81"/>
            <rFont val="Tahoma"/>
            <family val="2"/>
          </rPr>
          <t xml:space="preserve">
Annual report, pg 6, CFS</t>
        </r>
      </text>
    </comment>
    <comment ref="R46" authorId="0" shapeId="0" xr:uid="{9F1B2D7F-7470-47F0-ACCE-8BD9E7C3C006}">
      <text>
        <r>
          <rPr>
            <b/>
            <sz val="9"/>
            <color indexed="81"/>
            <rFont val="Tahoma"/>
            <family val="2"/>
          </rPr>
          <t>Financial Edge:</t>
        </r>
        <r>
          <rPr>
            <sz val="9"/>
            <color indexed="81"/>
            <rFont val="Tahoma"/>
            <family val="2"/>
          </rPr>
          <t xml:space="preserve">
Annual report pg 72, CFS
Impairments cleaned:
pg 94, note 7.5
pg 107, note 11.2</t>
        </r>
      </text>
    </comment>
    <comment ref="S46" authorId="0" shapeId="0" xr:uid="{D1A451E2-0B60-4C92-AC36-8FE4274962EB}">
      <text>
        <r>
          <rPr>
            <b/>
            <sz val="9"/>
            <color indexed="81"/>
            <rFont val="Tahoma"/>
            <family val="2"/>
          </rPr>
          <t>Financial Edge:</t>
        </r>
        <r>
          <rPr>
            <sz val="9"/>
            <color indexed="81"/>
            <rFont val="Tahoma"/>
            <family val="2"/>
          </rPr>
          <t xml:space="preserve">
Annual report pg 72, CFS
Impairments cleaned:
pg 94, note 7.5
pg 107, note 11.2</t>
        </r>
      </text>
    </comment>
    <comment ref="F47" authorId="0" shapeId="0" xr:uid="{6F0CAE06-A360-4DDD-9A83-38A3A14A76DA}">
      <text>
        <r>
          <rPr>
            <b/>
            <sz val="9"/>
            <color indexed="81"/>
            <rFont val="Tahoma"/>
            <family val="2"/>
          </rPr>
          <t>Financial Edge:</t>
        </r>
        <r>
          <rPr>
            <sz val="9"/>
            <color indexed="81"/>
            <rFont val="Tahoma"/>
            <family val="2"/>
          </rPr>
          <t xml:space="preserve">
8K to the 10K, pA14, the FE number is very close to the company's. The difference is mostly explained by the stock compensation not added back here, but the company does add it back</t>
        </r>
      </text>
    </comment>
    <comment ref="F49" authorId="0" shapeId="0" xr:uid="{8E836192-12B5-4939-BB5F-3C5B7CFB9E54}">
      <text>
        <r>
          <rPr>
            <b/>
            <sz val="9"/>
            <color indexed="81"/>
            <rFont val="Tahoma"/>
            <family val="2"/>
          </rPr>
          <t>Financial Edge:</t>
        </r>
        <r>
          <rPr>
            <sz val="9"/>
            <color indexed="81"/>
            <rFont val="Tahoma"/>
            <family val="2"/>
          </rPr>
          <t xml:space="preserve">
Company only provides interest expense net of interest income</t>
        </r>
      </text>
    </comment>
    <comment ref="G49" authorId="0" shapeId="0" xr:uid="{58E07400-AE13-421C-991B-D13CD43B64CE}">
      <text>
        <r>
          <rPr>
            <b/>
            <sz val="9"/>
            <color indexed="81"/>
            <rFont val="Tahoma"/>
            <family val="2"/>
          </rPr>
          <t>Financial Edge:</t>
        </r>
        <r>
          <rPr>
            <sz val="9"/>
            <color indexed="81"/>
            <rFont val="Tahoma"/>
            <family val="2"/>
          </rPr>
          <t xml:space="preserve">
Company only provides interest expense net of interest income</t>
        </r>
      </text>
    </comment>
    <comment ref="O49" authorId="0" shapeId="0" xr:uid="{C764A309-7621-4F8B-989F-1283FCA0BB71}">
      <text>
        <r>
          <rPr>
            <b/>
            <sz val="9"/>
            <color indexed="81"/>
            <rFont val="Tahoma"/>
            <family val="2"/>
          </rPr>
          <t>Financial Edge:</t>
        </r>
        <r>
          <rPr>
            <sz val="9"/>
            <color indexed="81"/>
            <rFont val="Tahoma"/>
            <family val="2"/>
          </rPr>
          <t xml:space="preserve">
Annual report, pg 3, IS</t>
        </r>
      </text>
    </comment>
    <comment ref="P49" authorId="0" shapeId="0" xr:uid="{3E344166-6D6A-4EA5-9964-66CE7827070B}">
      <text>
        <r>
          <rPr>
            <b/>
            <sz val="9"/>
            <color indexed="81"/>
            <rFont val="Tahoma"/>
            <family val="2"/>
          </rPr>
          <t>Financial Edge:</t>
        </r>
        <r>
          <rPr>
            <sz val="9"/>
            <color indexed="81"/>
            <rFont val="Tahoma"/>
            <family val="2"/>
          </rPr>
          <t xml:space="preserve">
Annual report, pg 3, IS</t>
        </r>
      </text>
    </comment>
    <comment ref="R49" authorId="0" shapeId="0" xr:uid="{84229397-6CFD-42D4-A0BD-F95CABB9BF50}">
      <text>
        <r>
          <rPr>
            <b/>
            <sz val="9"/>
            <color indexed="81"/>
            <rFont val="Tahoma"/>
            <family val="2"/>
          </rPr>
          <t>Financial Edge:</t>
        </r>
        <r>
          <rPr>
            <sz val="9"/>
            <color indexed="81"/>
            <rFont val="Tahoma"/>
            <family val="2"/>
          </rPr>
          <t xml:space="preserve">
Annual report pg 68, IS</t>
        </r>
      </text>
    </comment>
    <comment ref="S49" authorId="0" shapeId="0" xr:uid="{304ED6BC-6F25-447C-B360-903629043602}">
      <text>
        <r>
          <rPr>
            <b/>
            <sz val="9"/>
            <color indexed="81"/>
            <rFont val="Tahoma"/>
            <family val="2"/>
          </rPr>
          <t>Financial Edge:</t>
        </r>
        <r>
          <rPr>
            <sz val="9"/>
            <color indexed="81"/>
            <rFont val="Tahoma"/>
            <family val="2"/>
          </rPr>
          <t xml:space="preserve">
Annual report pg 68, IS</t>
        </r>
      </text>
    </comment>
    <comment ref="F50" authorId="0" shapeId="0" xr:uid="{904BCDE7-2807-4665-9201-BA1E02B77807}">
      <text>
        <r>
          <rPr>
            <b/>
            <sz val="9"/>
            <color indexed="81"/>
            <rFont val="Tahoma"/>
            <family val="2"/>
          </rPr>
          <t>Financial Edge:</t>
        </r>
        <r>
          <rPr>
            <sz val="9"/>
            <color indexed="81"/>
            <rFont val="Tahoma"/>
            <family val="2"/>
          </rPr>
          <t xml:space="preserve">
Company only provides interest expense net of interest income</t>
        </r>
      </text>
    </comment>
    <comment ref="G50" authorId="0" shapeId="0" xr:uid="{4BDA524C-CA3E-401F-9435-E1836D51891A}">
      <text>
        <r>
          <rPr>
            <b/>
            <sz val="9"/>
            <color indexed="81"/>
            <rFont val="Tahoma"/>
            <family val="2"/>
          </rPr>
          <t>Financial Edge:</t>
        </r>
        <r>
          <rPr>
            <sz val="9"/>
            <color indexed="81"/>
            <rFont val="Tahoma"/>
            <family val="2"/>
          </rPr>
          <t xml:space="preserve">
Company only provides interest expense net of interest income</t>
        </r>
      </text>
    </comment>
    <comment ref="I50" authorId="0" shapeId="0" xr:uid="{39CDA102-8F85-4CF6-9B04-38F8BCD51B4B}">
      <text>
        <r>
          <rPr>
            <b/>
            <sz val="9"/>
            <color indexed="81"/>
            <rFont val="Tahoma"/>
            <family val="2"/>
          </rPr>
          <t>Financial Edge:</t>
        </r>
        <r>
          <rPr>
            <sz val="9"/>
            <color indexed="81"/>
            <rFont val="Tahoma"/>
            <family val="2"/>
          </rPr>
          <t xml:space="preserve">
No adjusted interest expense reconciliation provided</t>
        </r>
      </text>
    </comment>
    <comment ref="J50" authorId="0" shapeId="0" xr:uid="{B18DE7DA-4EB4-4703-81A3-3020DB9CE08E}">
      <text>
        <r>
          <rPr>
            <b/>
            <sz val="9"/>
            <color indexed="81"/>
            <rFont val="Tahoma"/>
            <family val="2"/>
          </rPr>
          <t>Financial Edge:</t>
        </r>
        <r>
          <rPr>
            <sz val="9"/>
            <color indexed="81"/>
            <rFont val="Tahoma"/>
            <family val="2"/>
          </rPr>
          <t xml:space="preserve">
No adjusted interest expense reconciliation provided</t>
        </r>
      </text>
    </comment>
    <comment ref="R50" authorId="0" shapeId="0" xr:uid="{7E6BABB2-D623-474C-8BB6-BCEFAB4F5A8A}">
      <text>
        <r>
          <rPr>
            <b/>
            <sz val="9"/>
            <color indexed="81"/>
            <rFont val="Tahoma"/>
            <family val="2"/>
          </rPr>
          <t>Financial Edge:</t>
        </r>
        <r>
          <rPr>
            <sz val="9"/>
            <color indexed="81"/>
            <rFont val="Tahoma"/>
            <family val="2"/>
          </rPr>
          <t xml:space="preserve">
Cost of "net debt" in the annual report and in the recurring column of the press release pg 4 are the same, so assume no adjustments to interest expense</t>
        </r>
      </text>
    </comment>
    <comment ref="S50" authorId="0" shapeId="0" xr:uid="{6C547A2E-CE24-4925-9EFF-C5EAA7CBE42D}">
      <text>
        <r>
          <rPr>
            <b/>
            <sz val="9"/>
            <color indexed="81"/>
            <rFont val="Tahoma"/>
            <family val="2"/>
          </rPr>
          <t>Financial Edge:</t>
        </r>
        <r>
          <rPr>
            <sz val="9"/>
            <color indexed="81"/>
            <rFont val="Tahoma"/>
            <family val="2"/>
          </rPr>
          <t xml:space="preserve">
Cost of "net debt" in the annual report and in the recurring column of the press release pg 4 are the same, so assume no adjustments to interest expense</t>
        </r>
      </text>
    </comment>
    <comment ref="O52" authorId="0" shapeId="0" xr:uid="{6CA643E8-A99F-441F-8E6E-93AC07392CE2}">
      <text>
        <r>
          <rPr>
            <b/>
            <sz val="9"/>
            <color indexed="81"/>
            <rFont val="Tahoma"/>
            <family val="2"/>
          </rPr>
          <t>Financial Edge:</t>
        </r>
        <r>
          <rPr>
            <sz val="9"/>
            <color indexed="81"/>
            <rFont val="Tahoma"/>
            <family val="2"/>
          </rPr>
          <t xml:space="preserve">
Annual report, pg 3, IS
Share of investment profits is added back to operating profit as non-controlled income, but it is not added back to profit before tax</t>
        </r>
      </text>
    </comment>
    <comment ref="P52" authorId="0" shapeId="0" xr:uid="{B34528A1-6B99-46D0-9D67-8A1D0C6DD668}">
      <text>
        <r>
          <rPr>
            <b/>
            <sz val="9"/>
            <color indexed="81"/>
            <rFont val="Tahoma"/>
            <family val="2"/>
          </rPr>
          <t>Financial Edge:</t>
        </r>
        <r>
          <rPr>
            <sz val="9"/>
            <color indexed="81"/>
            <rFont val="Tahoma"/>
            <family val="2"/>
          </rPr>
          <t xml:space="preserve">
Annual report, pg 3, IS
Share of investment profits is added back to operating profit as non-controlled income, but it is not added back to profit before tax</t>
        </r>
      </text>
    </comment>
    <comment ref="O53" authorId="0" shapeId="0" xr:uid="{3A998A16-1BFE-4A40-B81D-5588D00D64DD}">
      <text>
        <r>
          <rPr>
            <b/>
            <sz val="9"/>
            <color indexed="81"/>
            <rFont val="Tahoma"/>
            <family val="2"/>
          </rPr>
          <t>Financial Edge:</t>
        </r>
        <r>
          <rPr>
            <sz val="9"/>
            <color indexed="81"/>
            <rFont val="Tahoma"/>
            <family val="2"/>
          </rPr>
          <t xml:space="preserve">
Annual report, pg 3, IS
Share of investment profits is added back to operating profit as non-controlled income, but it is not added back to profit before tax</t>
        </r>
      </text>
    </comment>
    <comment ref="P53" authorId="0" shapeId="0" xr:uid="{7EB49118-1E39-49EF-9B44-C31CC6E7DF36}">
      <text>
        <r>
          <rPr>
            <b/>
            <sz val="9"/>
            <color indexed="81"/>
            <rFont val="Tahoma"/>
            <family val="2"/>
          </rPr>
          <t>Financial Edge:</t>
        </r>
        <r>
          <rPr>
            <sz val="9"/>
            <color indexed="81"/>
            <rFont val="Tahoma"/>
            <family val="2"/>
          </rPr>
          <t xml:space="preserve">
Annual report, pg 3, IS
Share of investment profits is added back to operating profit as non-controlled income, but it is not added back to profit before tax</t>
        </r>
      </text>
    </comment>
    <comment ref="O55" authorId="0" shapeId="0" xr:uid="{FDA774FF-0392-4B71-816B-3B48ED05906B}">
      <text>
        <r>
          <rPr>
            <b/>
            <sz val="9"/>
            <color indexed="81"/>
            <rFont val="Tahoma"/>
            <family val="2"/>
          </rPr>
          <t>Financial Edge:</t>
        </r>
        <r>
          <rPr>
            <sz val="9"/>
            <color indexed="81"/>
            <rFont val="Tahoma"/>
            <family val="2"/>
          </rPr>
          <t xml:space="preserve">
Annual report, pg 31, note 17.2</t>
        </r>
      </text>
    </comment>
    <comment ref="P55" authorId="0" shapeId="0" xr:uid="{CDA2B85F-A600-47E9-85BC-019FED73EDF0}">
      <text>
        <r>
          <rPr>
            <b/>
            <sz val="9"/>
            <color indexed="81"/>
            <rFont val="Tahoma"/>
            <family val="2"/>
          </rPr>
          <t>Financial Edge:</t>
        </r>
        <r>
          <rPr>
            <sz val="9"/>
            <color indexed="81"/>
            <rFont val="Tahoma"/>
            <family val="2"/>
          </rPr>
          <t xml:space="preserve">
Annual report, pg 31, note 17.2</t>
        </r>
      </text>
    </comment>
    <comment ref="R55" authorId="0" shapeId="0" xr:uid="{729F0F48-2ECF-4DCF-A11B-CA705C448E85}">
      <text>
        <r>
          <rPr>
            <b/>
            <sz val="9"/>
            <color indexed="81"/>
            <rFont val="Tahoma"/>
            <family val="2"/>
          </rPr>
          <t>Financial Edge:</t>
        </r>
        <r>
          <rPr>
            <sz val="9"/>
            <color indexed="81"/>
            <rFont val="Tahoma"/>
            <family val="2"/>
          </rPr>
          <t xml:space="preserve">
Annual report pg 104, note 10.1</t>
        </r>
      </text>
    </comment>
    <comment ref="S55" authorId="0" shapeId="0" xr:uid="{C15F730D-80A8-4652-8B49-89BE25B47928}">
      <text>
        <r>
          <rPr>
            <b/>
            <sz val="9"/>
            <color indexed="81"/>
            <rFont val="Tahoma"/>
            <family val="2"/>
          </rPr>
          <t>Financial Edge:</t>
        </r>
        <r>
          <rPr>
            <sz val="9"/>
            <color indexed="81"/>
            <rFont val="Tahoma"/>
            <family val="2"/>
          </rPr>
          <t xml:space="preserve">
Annual report pg 104, note 10.1</t>
        </r>
      </text>
    </comment>
    <comment ref="L56" authorId="0" shapeId="0" xr:uid="{61B1F9BF-2A17-46C6-8933-94355520A9FF}">
      <text>
        <r>
          <rPr>
            <b/>
            <sz val="9"/>
            <color indexed="81"/>
            <rFont val="Tahoma"/>
            <family val="2"/>
          </rPr>
          <t>Financial Edge:</t>
        </r>
        <r>
          <rPr>
            <sz val="9"/>
            <color indexed="81"/>
            <rFont val="Tahoma"/>
            <family val="2"/>
          </rPr>
          <t xml:space="preserve">
State tax divided by profit before tax</t>
        </r>
      </text>
    </comment>
    <comment ref="M56" authorId="0" shapeId="0" xr:uid="{6CF906B8-4C78-45F9-99A8-4B6E9DA71D81}">
      <text>
        <r>
          <rPr>
            <b/>
            <sz val="9"/>
            <color indexed="81"/>
            <rFont val="Tahoma"/>
            <family val="2"/>
          </rPr>
          <t>Financial Edge:</t>
        </r>
        <r>
          <rPr>
            <sz val="9"/>
            <color indexed="81"/>
            <rFont val="Tahoma"/>
            <family val="2"/>
          </rPr>
          <t xml:space="preserve">
State tax divided by profit before tax</t>
        </r>
      </text>
    </comment>
    <comment ref="O59" authorId="0" shapeId="0" xr:uid="{97EB1A3A-5273-41E0-A0DE-F2773769F943}">
      <text>
        <r>
          <rPr>
            <b/>
            <sz val="9"/>
            <color indexed="81"/>
            <rFont val="Tahoma"/>
            <family val="2"/>
          </rPr>
          <t>Financial Edge:</t>
        </r>
        <r>
          <rPr>
            <sz val="9"/>
            <color indexed="81"/>
            <rFont val="Tahoma"/>
            <family val="2"/>
          </rPr>
          <t xml:space="preserve">
Annual report, pg 3, IS</t>
        </r>
      </text>
    </comment>
    <comment ref="P59" authorId="0" shapeId="0" xr:uid="{50FEACAD-3E65-4A1A-9277-B3CB1751CC29}">
      <text>
        <r>
          <rPr>
            <b/>
            <sz val="9"/>
            <color indexed="81"/>
            <rFont val="Tahoma"/>
            <family val="2"/>
          </rPr>
          <t>Financial Edge:</t>
        </r>
        <r>
          <rPr>
            <sz val="9"/>
            <color indexed="81"/>
            <rFont val="Tahoma"/>
            <family val="2"/>
          </rPr>
          <t xml:space="preserve">
Annual report, pg 3, IS</t>
        </r>
      </text>
    </comment>
    <comment ref="R59" authorId="0" shapeId="0" xr:uid="{A4F721E8-8A84-4D8A-9850-BF252BBCAF2E}">
      <text>
        <r>
          <rPr>
            <b/>
            <sz val="9"/>
            <color indexed="81"/>
            <rFont val="Tahoma"/>
            <family val="2"/>
          </rPr>
          <t>Financial Edge:</t>
        </r>
        <r>
          <rPr>
            <sz val="9"/>
            <color indexed="81"/>
            <rFont val="Tahoma"/>
            <family val="2"/>
          </rPr>
          <t xml:space="preserve">
Annual report pg 68, IS</t>
        </r>
      </text>
    </comment>
    <comment ref="S59" authorId="0" shapeId="0" xr:uid="{D2200B27-E789-4BBA-A846-08A89DCFBD63}">
      <text>
        <r>
          <rPr>
            <b/>
            <sz val="9"/>
            <color indexed="81"/>
            <rFont val="Tahoma"/>
            <family val="2"/>
          </rPr>
          <t>Financial Edge:</t>
        </r>
        <r>
          <rPr>
            <sz val="9"/>
            <color indexed="81"/>
            <rFont val="Tahoma"/>
            <family val="2"/>
          </rPr>
          <t xml:space="preserve">
Annual report pg 68, IS</t>
        </r>
      </text>
    </comment>
    <comment ref="O60" authorId="0" shapeId="0" xr:uid="{0A98C79D-481A-4CB0-A210-92E7C4BB07C4}">
      <text>
        <r>
          <rPr>
            <b/>
            <sz val="9"/>
            <color indexed="81"/>
            <rFont val="Tahoma"/>
            <family val="2"/>
          </rPr>
          <t>Financial Edge:</t>
        </r>
        <r>
          <rPr>
            <sz val="9"/>
            <color indexed="81"/>
            <rFont val="Tahoma"/>
            <family val="2"/>
          </rPr>
          <t xml:space="preserve">
Annual report, pg 3, IS and pg 48, note 33.
Calculated as: 
Adjusted PBT 
less adjusted tax 
less NCI
= Adjusted net income,
divided by WASO</t>
        </r>
      </text>
    </comment>
    <comment ref="P60" authorId="0" shapeId="0" xr:uid="{CB706BC3-E0F5-4E4F-A094-19255777B029}">
      <text>
        <r>
          <rPr>
            <b/>
            <sz val="9"/>
            <color indexed="81"/>
            <rFont val="Tahoma"/>
            <family val="2"/>
          </rPr>
          <t>Financial Edge:</t>
        </r>
        <r>
          <rPr>
            <sz val="9"/>
            <color indexed="81"/>
            <rFont val="Tahoma"/>
            <family val="2"/>
          </rPr>
          <t xml:space="preserve">
Annual report, pg 3, IS and pg 48, note 33.
Calculated as: 
Adjusted PBT 
less adjusted tax 
less NCI
= Adjusted net income,
divided by WASO</t>
        </r>
      </text>
    </comment>
    <comment ref="O63" authorId="0" shapeId="0" xr:uid="{2CE403DB-B6AE-475D-BAA2-052401CA9093}">
      <text>
        <r>
          <rPr>
            <b/>
            <sz val="9"/>
            <color indexed="81"/>
            <rFont val="Tahoma"/>
            <family val="2"/>
          </rPr>
          <t>Financial Edge:</t>
        </r>
        <r>
          <rPr>
            <sz val="9"/>
            <color indexed="81"/>
            <rFont val="Tahoma"/>
            <family val="2"/>
          </rPr>
          <t xml:space="preserve">
Annual report, pg 1, BS</t>
        </r>
      </text>
    </comment>
    <comment ref="P63" authorId="0" shapeId="0" xr:uid="{E1205EAF-DE85-494E-BCD6-81477B9F3858}">
      <text>
        <r>
          <rPr>
            <b/>
            <sz val="9"/>
            <color indexed="81"/>
            <rFont val="Tahoma"/>
            <family val="2"/>
          </rPr>
          <t>Financial Edge:</t>
        </r>
        <r>
          <rPr>
            <sz val="9"/>
            <color indexed="81"/>
            <rFont val="Tahoma"/>
            <family val="2"/>
          </rPr>
          <t xml:space="preserve">
Annual report, pg 1, BS</t>
        </r>
      </text>
    </comment>
    <comment ref="R63" authorId="0" shapeId="0" xr:uid="{42AF0660-101B-443A-90E6-A5C9D7396795}">
      <text>
        <r>
          <rPr>
            <b/>
            <sz val="9"/>
            <color indexed="81"/>
            <rFont val="Tahoma"/>
            <family val="2"/>
          </rPr>
          <t>Financial Edge:</t>
        </r>
        <r>
          <rPr>
            <sz val="9"/>
            <color indexed="81"/>
            <rFont val="Tahoma"/>
            <family val="2"/>
          </rPr>
          <t xml:space="preserve">
Annual report pg 70, BS</t>
        </r>
      </text>
    </comment>
    <comment ref="S63" authorId="0" shapeId="0" xr:uid="{8E36A167-2395-44CB-B084-DCB382B2DE2D}">
      <text>
        <r>
          <rPr>
            <b/>
            <sz val="9"/>
            <color indexed="81"/>
            <rFont val="Tahoma"/>
            <family val="2"/>
          </rPr>
          <t>Financial Edge:</t>
        </r>
        <r>
          <rPr>
            <sz val="9"/>
            <color indexed="81"/>
            <rFont val="Tahoma"/>
            <family val="2"/>
          </rPr>
          <t xml:space="preserve">
Annual report pg 70, BS</t>
        </r>
      </text>
    </comment>
    <comment ref="O64" authorId="0" shapeId="0" xr:uid="{4309AE8E-CC25-4E2A-B8E2-1E453B4BE714}">
      <text>
        <r>
          <rPr>
            <b/>
            <sz val="9"/>
            <color indexed="81"/>
            <rFont val="Tahoma"/>
            <family val="2"/>
          </rPr>
          <t>Financial Edge:</t>
        </r>
        <r>
          <rPr>
            <sz val="9"/>
            <color indexed="81"/>
            <rFont val="Tahoma"/>
            <family val="2"/>
          </rPr>
          <t xml:space="preserve">
Annual report, pg 1, BS</t>
        </r>
      </text>
    </comment>
    <comment ref="P64" authorId="0" shapeId="0" xr:uid="{9B8607A9-14C8-48D0-95A7-10570EE507D2}">
      <text>
        <r>
          <rPr>
            <b/>
            <sz val="9"/>
            <color indexed="81"/>
            <rFont val="Tahoma"/>
            <family val="2"/>
          </rPr>
          <t>Financial Edge:</t>
        </r>
        <r>
          <rPr>
            <sz val="9"/>
            <color indexed="81"/>
            <rFont val="Tahoma"/>
            <family val="2"/>
          </rPr>
          <t xml:space="preserve">
Annual report, pg 1, BS</t>
        </r>
      </text>
    </comment>
    <comment ref="R64" authorId="0" shapeId="0" xr:uid="{A28A0519-BD1C-4B0D-A598-D77C88EEDD50}">
      <text>
        <r>
          <rPr>
            <b/>
            <sz val="9"/>
            <color indexed="81"/>
            <rFont val="Tahoma"/>
            <family val="2"/>
          </rPr>
          <t>Financial Edge:</t>
        </r>
        <r>
          <rPr>
            <sz val="9"/>
            <color indexed="81"/>
            <rFont val="Tahoma"/>
            <family val="2"/>
          </rPr>
          <t xml:space="preserve">
Annual report pg 70, BS</t>
        </r>
      </text>
    </comment>
    <comment ref="S64" authorId="0" shapeId="0" xr:uid="{40E6A42B-7987-4472-916E-678E8BE8C6CB}">
      <text>
        <r>
          <rPr>
            <b/>
            <sz val="9"/>
            <color indexed="81"/>
            <rFont val="Tahoma"/>
            <family val="2"/>
          </rPr>
          <t>Financial Edge:</t>
        </r>
        <r>
          <rPr>
            <sz val="9"/>
            <color indexed="81"/>
            <rFont val="Tahoma"/>
            <family val="2"/>
          </rPr>
          <t xml:space="preserve">
Annual report pg 70, BS</t>
        </r>
      </text>
    </comment>
    <comment ref="O67" authorId="0" shapeId="0" xr:uid="{38129BC2-9033-4AC0-8322-E9E985DED87E}">
      <text>
        <r>
          <rPr>
            <b/>
            <sz val="9"/>
            <color indexed="81"/>
            <rFont val="Tahoma"/>
            <family val="2"/>
          </rPr>
          <t>Financial Edge:</t>
        </r>
        <r>
          <rPr>
            <sz val="9"/>
            <color indexed="81"/>
            <rFont val="Tahoma"/>
            <family val="2"/>
          </rPr>
          <t xml:space="preserve">
Annual report, pg 1, BS</t>
        </r>
      </text>
    </comment>
    <comment ref="P67" authorId="0" shapeId="0" xr:uid="{88B33FA8-4A94-45D6-B5B2-8A78351D3261}">
      <text>
        <r>
          <rPr>
            <b/>
            <sz val="9"/>
            <color indexed="81"/>
            <rFont val="Tahoma"/>
            <family val="2"/>
          </rPr>
          <t>Financial Edge:</t>
        </r>
        <r>
          <rPr>
            <sz val="9"/>
            <color indexed="81"/>
            <rFont val="Tahoma"/>
            <family val="2"/>
          </rPr>
          <t xml:space="preserve">
Annual report, pg 1, BS</t>
        </r>
      </text>
    </comment>
    <comment ref="R67" authorId="0" shapeId="0" xr:uid="{5D2BDB06-0981-4DE3-9E3D-44BF001CC851}">
      <text>
        <r>
          <rPr>
            <b/>
            <sz val="9"/>
            <color indexed="81"/>
            <rFont val="Tahoma"/>
            <family val="2"/>
          </rPr>
          <t>Financial Edge:</t>
        </r>
        <r>
          <rPr>
            <sz val="9"/>
            <color indexed="81"/>
            <rFont val="Tahoma"/>
            <family val="2"/>
          </rPr>
          <t xml:space="preserve">
Annual report pg 70, BS</t>
        </r>
      </text>
    </comment>
    <comment ref="S67" authorId="0" shapeId="0" xr:uid="{0CA0FFFF-BBD6-4E5B-9F72-6221A6699FE5}">
      <text>
        <r>
          <rPr>
            <b/>
            <sz val="9"/>
            <color indexed="81"/>
            <rFont val="Tahoma"/>
            <family val="2"/>
          </rPr>
          <t>Financial Edge:</t>
        </r>
        <r>
          <rPr>
            <sz val="9"/>
            <color indexed="81"/>
            <rFont val="Tahoma"/>
            <family val="2"/>
          </rPr>
          <t xml:space="preserve">
Annual report pg 70, BS</t>
        </r>
      </text>
    </comment>
    <comment ref="I71" authorId="0" shapeId="0" xr:uid="{2B73B361-D239-43ED-9F58-03FA8AF4401E}">
      <text>
        <r>
          <rPr>
            <b/>
            <sz val="9"/>
            <color indexed="81"/>
            <rFont val="Tahoma"/>
            <family val="2"/>
          </rPr>
          <t>Financial Edge:</t>
        </r>
        <r>
          <rPr>
            <sz val="9"/>
            <color indexed="81"/>
            <rFont val="Tahoma"/>
            <family val="2"/>
          </rPr>
          <t xml:space="preserve">
Dividends payable removed from accounts payable</t>
        </r>
      </text>
    </comment>
    <comment ref="J71" authorId="0" shapeId="0" xr:uid="{971CD400-CCAC-4969-9561-1C551DF4F696}">
      <text>
        <r>
          <rPr>
            <b/>
            <sz val="9"/>
            <color indexed="81"/>
            <rFont val="Tahoma"/>
            <family val="2"/>
          </rPr>
          <t>Financial Edge:</t>
        </r>
        <r>
          <rPr>
            <sz val="9"/>
            <color indexed="81"/>
            <rFont val="Tahoma"/>
            <family val="2"/>
          </rPr>
          <t xml:space="preserve">
Dividends payable removed from accounts payable</t>
        </r>
      </text>
    </comment>
    <comment ref="O71" authorId="0" shapeId="0" xr:uid="{312F44AE-C1B8-4955-A258-E570F8AAB467}">
      <text>
        <r>
          <rPr>
            <b/>
            <sz val="9"/>
            <color indexed="81"/>
            <rFont val="Tahoma"/>
            <family val="2"/>
          </rPr>
          <t>Financial Edge:</t>
        </r>
        <r>
          <rPr>
            <sz val="9"/>
            <color indexed="81"/>
            <rFont val="Tahoma"/>
            <family val="2"/>
          </rPr>
          <t xml:space="preserve">
Annual report, pg 2, BS</t>
        </r>
      </text>
    </comment>
    <comment ref="P71" authorId="0" shapeId="0" xr:uid="{B5B4A830-8D5F-421A-A282-D0344994E4BA}">
      <text>
        <r>
          <rPr>
            <b/>
            <sz val="9"/>
            <color indexed="81"/>
            <rFont val="Tahoma"/>
            <family val="2"/>
          </rPr>
          <t>Financial Edge:</t>
        </r>
        <r>
          <rPr>
            <sz val="9"/>
            <color indexed="81"/>
            <rFont val="Tahoma"/>
            <family val="2"/>
          </rPr>
          <t xml:space="preserve">
Annual report, pg 2, BS</t>
        </r>
      </text>
    </comment>
    <comment ref="R71" authorId="0" shapeId="0" xr:uid="{DF7F056D-D3F4-4B0B-A4D7-5B9CBDB1D0B9}">
      <text>
        <r>
          <rPr>
            <b/>
            <sz val="9"/>
            <color indexed="81"/>
            <rFont val="Tahoma"/>
            <family val="2"/>
          </rPr>
          <t>Financial Edge:</t>
        </r>
        <r>
          <rPr>
            <sz val="9"/>
            <color indexed="81"/>
            <rFont val="Tahoma"/>
            <family val="2"/>
          </rPr>
          <t xml:space="preserve">
Annual report pg 71, BS</t>
        </r>
      </text>
    </comment>
    <comment ref="S71" authorId="0" shapeId="0" xr:uid="{9CA40CC4-A4FA-40C2-B370-F59D20A39F8F}">
      <text>
        <r>
          <rPr>
            <b/>
            <sz val="9"/>
            <color indexed="81"/>
            <rFont val="Tahoma"/>
            <family val="2"/>
          </rPr>
          <t>Financial Edge:</t>
        </r>
        <r>
          <rPr>
            <sz val="9"/>
            <color indexed="81"/>
            <rFont val="Tahoma"/>
            <family val="2"/>
          </rPr>
          <t xml:space="preserve">
Annual report pg 71, BS</t>
        </r>
      </text>
    </comment>
    <comment ref="O72" authorId="0" shapeId="0" xr:uid="{2CD4F03D-0DF6-4878-B049-3C13249DEA0F}">
      <text>
        <r>
          <rPr>
            <b/>
            <sz val="9"/>
            <color indexed="81"/>
            <rFont val="Tahoma"/>
            <family val="2"/>
          </rPr>
          <t>Financial Edge:</t>
        </r>
        <r>
          <rPr>
            <sz val="9"/>
            <color indexed="81"/>
            <rFont val="Tahoma"/>
            <family val="2"/>
          </rPr>
          <t xml:space="preserve">
Annual report, pg 2, BS</t>
        </r>
      </text>
    </comment>
    <comment ref="P72" authorId="0" shapeId="0" xr:uid="{DF3873AA-3CE3-47F7-B711-4A9A3EA74BB2}">
      <text>
        <r>
          <rPr>
            <b/>
            <sz val="9"/>
            <color indexed="81"/>
            <rFont val="Tahoma"/>
            <family val="2"/>
          </rPr>
          <t>Financial Edge:</t>
        </r>
        <r>
          <rPr>
            <sz val="9"/>
            <color indexed="81"/>
            <rFont val="Tahoma"/>
            <family val="2"/>
          </rPr>
          <t xml:space="preserve">
Annual report, pg 2, BS</t>
        </r>
      </text>
    </comment>
    <comment ref="O73" authorId="0" shapeId="0" xr:uid="{7EA84C9D-7C44-4C8D-81C6-8ABA371A55B8}">
      <text>
        <r>
          <rPr>
            <b/>
            <sz val="9"/>
            <color indexed="81"/>
            <rFont val="Tahoma"/>
            <family val="2"/>
          </rPr>
          <t>Financial Edge:</t>
        </r>
        <r>
          <rPr>
            <sz val="9"/>
            <color indexed="81"/>
            <rFont val="Tahoma"/>
            <family val="2"/>
          </rPr>
          <t xml:space="preserve">
Annual report, pg 2, BS</t>
        </r>
      </text>
    </comment>
    <comment ref="P73" authorId="0" shapeId="0" xr:uid="{7D40F48E-F30F-4E4B-93B8-A14C350BA678}">
      <text>
        <r>
          <rPr>
            <b/>
            <sz val="9"/>
            <color indexed="81"/>
            <rFont val="Tahoma"/>
            <family val="2"/>
          </rPr>
          <t>Financial Edge:</t>
        </r>
        <r>
          <rPr>
            <sz val="9"/>
            <color indexed="81"/>
            <rFont val="Tahoma"/>
            <family val="2"/>
          </rPr>
          <t xml:space="preserve">
Annual report, pg 2, BS</t>
        </r>
      </text>
    </comment>
    <comment ref="R73" authorId="0" shapeId="0" xr:uid="{6FBC5DA4-AEF1-4E18-9516-A9792D189FDF}">
      <text>
        <r>
          <rPr>
            <b/>
            <sz val="9"/>
            <color indexed="81"/>
            <rFont val="Tahoma"/>
            <family val="2"/>
          </rPr>
          <t>Financial Edge:</t>
        </r>
        <r>
          <rPr>
            <sz val="9"/>
            <color indexed="81"/>
            <rFont val="Tahoma"/>
            <family val="2"/>
          </rPr>
          <t xml:space="preserve">
Annual report pg 71, BS</t>
        </r>
      </text>
    </comment>
    <comment ref="S73" authorId="0" shapeId="0" xr:uid="{789110E8-C9C2-4C59-8842-790AB1FC6B27}">
      <text>
        <r>
          <rPr>
            <b/>
            <sz val="9"/>
            <color indexed="81"/>
            <rFont val="Tahoma"/>
            <family val="2"/>
          </rPr>
          <t>Financial Edge:</t>
        </r>
        <r>
          <rPr>
            <sz val="9"/>
            <color indexed="81"/>
            <rFont val="Tahoma"/>
            <family val="2"/>
          </rPr>
          <t xml:space="preserve">
Annual report pg 71, BS</t>
        </r>
      </text>
    </comment>
    <comment ref="O78" authorId="0" shapeId="0" xr:uid="{1BC75966-EFC1-4A1A-A71B-598DCA97A07E}">
      <text>
        <r>
          <rPr>
            <b/>
            <sz val="9"/>
            <color indexed="81"/>
            <rFont val="Tahoma"/>
            <family val="2"/>
          </rPr>
          <t>Financial Edge:</t>
        </r>
        <r>
          <rPr>
            <sz val="9"/>
            <color indexed="81"/>
            <rFont val="Tahoma"/>
            <family val="2"/>
          </rPr>
          <t xml:space="preserve">
Annual report, pg 2, BS</t>
        </r>
      </text>
    </comment>
    <comment ref="P78" authorId="0" shapeId="0" xr:uid="{562C947E-951C-41D9-B5A9-607AA7A91BF8}">
      <text>
        <r>
          <rPr>
            <b/>
            <sz val="9"/>
            <color indexed="81"/>
            <rFont val="Tahoma"/>
            <family val="2"/>
          </rPr>
          <t>Financial Edge:</t>
        </r>
        <r>
          <rPr>
            <sz val="9"/>
            <color indexed="81"/>
            <rFont val="Tahoma"/>
            <family val="2"/>
          </rPr>
          <t xml:space="preserve">
Annual report, pg 2, BS</t>
        </r>
      </text>
    </comment>
    <comment ref="O83" authorId="0" shapeId="0" xr:uid="{DF4F78D8-2D16-4C41-A807-638F9E1B37AC}">
      <text>
        <r>
          <rPr>
            <b/>
            <sz val="9"/>
            <color indexed="81"/>
            <rFont val="Tahoma"/>
            <family val="2"/>
          </rPr>
          <t>Financial Edge:</t>
        </r>
        <r>
          <rPr>
            <sz val="9"/>
            <color indexed="81"/>
            <rFont val="Tahoma"/>
            <family val="2"/>
          </rPr>
          <t xml:space="preserve">
Annual report, pg 1, BS</t>
        </r>
      </text>
    </comment>
    <comment ref="P83" authorId="0" shapeId="0" xr:uid="{C67B8CD9-4624-42F7-8AAC-14BEE01D63C3}">
      <text>
        <r>
          <rPr>
            <b/>
            <sz val="9"/>
            <color indexed="81"/>
            <rFont val="Tahoma"/>
            <family val="2"/>
          </rPr>
          <t>Financial Edge:</t>
        </r>
        <r>
          <rPr>
            <sz val="9"/>
            <color indexed="81"/>
            <rFont val="Tahoma"/>
            <family val="2"/>
          </rPr>
          <t xml:space="preserve">
Annual report, pg 1, BS</t>
        </r>
      </text>
    </comment>
    <comment ref="O84" authorId="0" shapeId="0" xr:uid="{88EE24E2-FB15-46F5-AFB6-FCBD4932BE6E}">
      <text>
        <r>
          <rPr>
            <b/>
            <sz val="9"/>
            <color indexed="81"/>
            <rFont val="Tahoma"/>
            <family val="2"/>
          </rPr>
          <t>Financial Edge:</t>
        </r>
        <r>
          <rPr>
            <sz val="9"/>
            <color indexed="81"/>
            <rFont val="Tahoma"/>
            <family val="2"/>
          </rPr>
          <t xml:space="preserve">
Annual report, pg 1, BS and pg 25, note 15.
Excludes goodwill as not amortizing</t>
        </r>
      </text>
    </comment>
    <comment ref="P84" authorId="0" shapeId="0" xr:uid="{A8E059FF-21AE-4764-B545-A19F86CA8930}">
      <text>
        <r>
          <rPr>
            <b/>
            <sz val="9"/>
            <color indexed="81"/>
            <rFont val="Tahoma"/>
            <family val="2"/>
          </rPr>
          <t>Financial Edge:</t>
        </r>
        <r>
          <rPr>
            <sz val="9"/>
            <color indexed="81"/>
            <rFont val="Tahoma"/>
            <family val="2"/>
          </rPr>
          <t xml:space="preserve">
Annual report, pg 1, BS and pg 25, note 15.
Excludes goodwill as not amortizing</t>
        </r>
      </text>
    </comment>
    <comment ref="R84" authorId="0" shapeId="0" xr:uid="{E2C8F357-3643-410E-9F28-100275657E39}">
      <text>
        <r>
          <rPr>
            <b/>
            <sz val="9"/>
            <color indexed="81"/>
            <rFont val="Tahoma"/>
            <family val="2"/>
          </rPr>
          <t>Financial Edge:</t>
        </r>
        <r>
          <rPr>
            <sz val="9"/>
            <color indexed="81"/>
            <rFont val="Tahoma"/>
            <family val="2"/>
          </rPr>
          <t xml:space="preserve">
Annual report pg 107, note 11.1 says Brands include both indefinite and definite life assets, but note 11.2 shows amortization of Brands to be just "2". Hence assumed that all Brands are indefinite life assets, and only Other Intangible Assets qualify for net amortizing intangibles</t>
        </r>
      </text>
    </comment>
    <comment ref="S84" authorId="0" shapeId="0" xr:uid="{D6D1021B-A24D-431F-B117-FEAD87A983EF}">
      <text>
        <r>
          <rPr>
            <b/>
            <sz val="9"/>
            <color indexed="81"/>
            <rFont val="Tahoma"/>
            <family val="2"/>
          </rPr>
          <t>Financial Edge:</t>
        </r>
        <r>
          <rPr>
            <sz val="9"/>
            <color indexed="81"/>
            <rFont val="Tahoma"/>
            <family val="2"/>
          </rPr>
          <t xml:space="preserve">
Annual report pg 107, note 11.1 says Brands include both indefinite and definite life assets, but note 11.2 shows amortization of Brands to be just "2". Hence assumed that all Brands are indefinite life assets, and only Other Intangible Assets qualify for net amortizing intangibles</t>
        </r>
      </text>
    </comment>
    <comment ref="B85" authorId="0" shapeId="0" xr:uid="{59E46157-98F1-4D09-8D82-1D620BB2E179}">
      <text>
        <r>
          <rPr>
            <b/>
            <sz val="9"/>
            <color indexed="81"/>
            <rFont val="Tahoma"/>
            <family val="2"/>
          </rPr>
          <t>Financial Edge:</t>
        </r>
        <r>
          <rPr>
            <sz val="9"/>
            <color indexed="81"/>
            <rFont val="Tahoma"/>
            <family val="2"/>
          </rPr>
          <t xml:space="preserve">
Beverages companies typically have high levels of indefinite lived intangibles and low amortizing intangibles. This means D&amp;A is mainly depreciation of PP&amp;E. Focus on capex of PP&amp;E, not intangibles, to avoid skewing the capex/D&amp;A ratio) </t>
        </r>
      </text>
    </comment>
    <comment ref="O85" authorId="0" shapeId="0" xr:uid="{3DDDBCCC-7230-48EA-BC1E-89BE2DA064CA}">
      <text>
        <r>
          <rPr>
            <b/>
            <sz val="9"/>
            <color indexed="81"/>
            <rFont val="Tahoma"/>
            <family val="2"/>
          </rPr>
          <t>Financial Edge:</t>
        </r>
        <r>
          <rPr>
            <sz val="9"/>
            <color indexed="81"/>
            <rFont val="Tahoma"/>
            <family val="2"/>
          </rPr>
          <t xml:space="preserve">
Annual report, pg 6, CFS</t>
        </r>
      </text>
    </comment>
    <comment ref="P85" authorId="0" shapeId="0" xr:uid="{AB42C0D6-0827-4AB0-BB76-A4D4FC6DD911}">
      <text>
        <r>
          <rPr>
            <b/>
            <sz val="9"/>
            <color indexed="81"/>
            <rFont val="Tahoma"/>
            <family val="2"/>
          </rPr>
          <t>Financial Edge:</t>
        </r>
        <r>
          <rPr>
            <sz val="9"/>
            <color indexed="81"/>
            <rFont val="Tahoma"/>
            <family val="2"/>
          </rPr>
          <t xml:space="preserve">
Annual report, pg 6, CFS</t>
        </r>
      </text>
    </comment>
    <comment ref="O87" authorId="0" shapeId="0" xr:uid="{20253790-0304-41F8-B824-072FC7200CB2}">
      <text>
        <r>
          <rPr>
            <b/>
            <sz val="9"/>
            <color indexed="81"/>
            <rFont val="Tahoma"/>
            <family val="2"/>
          </rPr>
          <t>Financial Edge:</t>
        </r>
        <r>
          <rPr>
            <sz val="9"/>
            <color indexed="81"/>
            <rFont val="Tahoma"/>
            <family val="2"/>
          </rPr>
          <t xml:space="preserve">
Annual report, pg 2, BS</t>
        </r>
      </text>
    </comment>
    <comment ref="P87" authorId="0" shapeId="0" xr:uid="{6B6B1583-131D-49FC-B67D-6EF63F0A915F}">
      <text>
        <r>
          <rPr>
            <b/>
            <sz val="9"/>
            <color indexed="81"/>
            <rFont val="Tahoma"/>
            <family val="2"/>
          </rPr>
          <t>Financial Edge:</t>
        </r>
        <r>
          <rPr>
            <sz val="9"/>
            <color indexed="81"/>
            <rFont val="Tahoma"/>
            <family val="2"/>
          </rPr>
          <t xml:space="preserve">
Annual report, pg 2, BS</t>
        </r>
      </text>
    </comment>
    <comment ref="R87" authorId="0" shapeId="0" xr:uid="{857F735D-0F9F-43D5-8CCC-7A9F07716F3B}">
      <text>
        <r>
          <rPr>
            <b/>
            <sz val="9"/>
            <color indexed="81"/>
            <rFont val="Tahoma"/>
            <family val="2"/>
          </rPr>
          <t>Financial Edge:</t>
        </r>
        <r>
          <rPr>
            <sz val="9"/>
            <color indexed="81"/>
            <rFont val="Tahoma"/>
            <family val="2"/>
          </rPr>
          <t xml:space="preserve">
Annual report pg 71, BS</t>
        </r>
      </text>
    </comment>
    <comment ref="S87" authorId="0" shapeId="0" xr:uid="{0711A799-6697-4FF6-9B1D-1212436E6E2F}">
      <text>
        <r>
          <rPr>
            <b/>
            <sz val="9"/>
            <color indexed="81"/>
            <rFont val="Tahoma"/>
            <family val="2"/>
          </rPr>
          <t>Financial Edge:</t>
        </r>
        <r>
          <rPr>
            <sz val="9"/>
            <color indexed="81"/>
            <rFont val="Tahoma"/>
            <family val="2"/>
          </rPr>
          <t xml:space="preserve">
Annual report pg 71, BS</t>
        </r>
      </text>
    </comment>
    <comment ref="O89" authorId="0" shapeId="0" xr:uid="{BA66676B-8A75-4337-B247-A3A4CFFB08CC}">
      <text>
        <r>
          <rPr>
            <b/>
            <sz val="9"/>
            <color indexed="81"/>
            <rFont val="Tahoma"/>
            <family val="2"/>
          </rPr>
          <t>Financial Edge:</t>
        </r>
        <r>
          <rPr>
            <sz val="9"/>
            <color indexed="81"/>
            <rFont val="Tahoma"/>
            <family val="2"/>
          </rPr>
          <t xml:space="preserve">
Annual report, pg 2, BS</t>
        </r>
      </text>
    </comment>
    <comment ref="P89" authorId="0" shapeId="0" xr:uid="{C0577DAB-10FA-4FCD-902C-5609F5D27CE3}">
      <text>
        <r>
          <rPr>
            <b/>
            <sz val="9"/>
            <color indexed="81"/>
            <rFont val="Tahoma"/>
            <family val="2"/>
          </rPr>
          <t>Financial Edge:</t>
        </r>
        <r>
          <rPr>
            <sz val="9"/>
            <color indexed="81"/>
            <rFont val="Tahoma"/>
            <family val="2"/>
          </rPr>
          <t xml:space="preserve">
Annual report, pg 2, BS</t>
        </r>
      </text>
    </comment>
    <comment ref="R89" authorId="0" shapeId="0" xr:uid="{7C3FC940-AEBC-46AD-A2CB-794D3F191F1F}">
      <text>
        <r>
          <rPr>
            <b/>
            <sz val="9"/>
            <color indexed="81"/>
            <rFont val="Tahoma"/>
            <family val="2"/>
          </rPr>
          <t>Financial Edge:</t>
        </r>
        <r>
          <rPr>
            <sz val="9"/>
            <color indexed="81"/>
            <rFont val="Tahoma"/>
            <family val="2"/>
          </rPr>
          <t xml:space="preserve">
Annual report pg 71, BS</t>
        </r>
      </text>
    </comment>
    <comment ref="S89" authorId="0" shapeId="0" xr:uid="{4368508E-323C-4332-A4DB-DC07068D3D64}">
      <text>
        <r>
          <rPr>
            <b/>
            <sz val="9"/>
            <color indexed="81"/>
            <rFont val="Tahoma"/>
            <family val="2"/>
          </rPr>
          <t>Financial Edge:</t>
        </r>
        <r>
          <rPr>
            <sz val="9"/>
            <color indexed="81"/>
            <rFont val="Tahoma"/>
            <family val="2"/>
          </rPr>
          <t xml:space="preserve">
Annual report pg 71, BS</t>
        </r>
      </text>
    </comment>
    <comment ref="O93" authorId="0" shapeId="0" xr:uid="{F5BB9498-9B32-4B3B-8B7A-9927F014B7A2}">
      <text>
        <r>
          <rPr>
            <b/>
            <sz val="9"/>
            <color indexed="81"/>
            <rFont val="Tahoma"/>
            <family val="2"/>
          </rPr>
          <t>Financial Edge:</t>
        </r>
        <r>
          <rPr>
            <sz val="9"/>
            <color indexed="81"/>
            <rFont val="Tahoma"/>
            <family val="2"/>
          </rPr>
          <t xml:space="preserve">
Annual report, pg34,  note 20, leases.
The remaining items from other financial liabilities (derivatives, deposits received) have been  excluded</t>
        </r>
      </text>
    </comment>
    <comment ref="P93" authorId="0" shapeId="0" xr:uid="{E33C0A24-BAD2-4408-92C3-E7E560668582}">
      <text>
        <r>
          <rPr>
            <b/>
            <sz val="9"/>
            <color indexed="81"/>
            <rFont val="Tahoma"/>
            <family val="2"/>
          </rPr>
          <t>Financial Edge:</t>
        </r>
        <r>
          <rPr>
            <sz val="9"/>
            <color indexed="81"/>
            <rFont val="Tahoma"/>
            <family val="2"/>
          </rPr>
          <t xml:space="preserve">
Annual report, pg34,  note 20, leases.
The remaining items from other financial liabilities (derivatives, deposits received) have been  excluded</t>
        </r>
      </text>
    </comment>
    <comment ref="S94" authorId="0" shapeId="0" xr:uid="{AD5E0E46-59DF-4441-BD9C-0B69A723BCA4}">
      <text>
        <r>
          <rPr>
            <b/>
            <sz val="9"/>
            <color indexed="81"/>
            <rFont val="Tahoma"/>
            <family val="2"/>
          </rPr>
          <t>Financial Edge:</t>
        </r>
        <r>
          <rPr>
            <sz val="9"/>
            <color indexed="81"/>
            <rFont val="Tahoma"/>
            <family val="2"/>
          </rPr>
          <t xml:space="preserve">
Matches total given in Annual Report pg 112, note 12.3</t>
        </r>
      </text>
    </comment>
    <comment ref="O96" authorId="0" shapeId="0" xr:uid="{A5671DB7-123C-4714-8D3E-D4F52EFECBAA}">
      <text>
        <r>
          <rPr>
            <b/>
            <sz val="9"/>
            <color indexed="81"/>
            <rFont val="Tahoma"/>
            <family val="2"/>
          </rPr>
          <t>Financial Edge:</t>
        </r>
        <r>
          <rPr>
            <sz val="9"/>
            <color indexed="81"/>
            <rFont val="Tahoma"/>
            <family val="2"/>
          </rPr>
          <t xml:space="preserve">
Annual report, pg 1, BS</t>
        </r>
      </text>
    </comment>
    <comment ref="P96" authorId="0" shapeId="0" xr:uid="{4B325BBE-FC69-44AC-B017-5E911E32A1BE}">
      <text>
        <r>
          <rPr>
            <b/>
            <sz val="9"/>
            <color indexed="81"/>
            <rFont val="Tahoma"/>
            <family val="2"/>
          </rPr>
          <t>Financial Edge:</t>
        </r>
        <r>
          <rPr>
            <sz val="9"/>
            <color indexed="81"/>
            <rFont val="Tahoma"/>
            <family val="2"/>
          </rPr>
          <t xml:space="preserve">
Annual report, pg 1, BS</t>
        </r>
      </text>
    </comment>
    <comment ref="R96" authorId="0" shapeId="0" xr:uid="{14EAD852-8866-4118-A0A5-18EE49EF5D7C}">
      <text>
        <r>
          <rPr>
            <b/>
            <sz val="9"/>
            <color indexed="81"/>
            <rFont val="Tahoma"/>
            <family val="2"/>
          </rPr>
          <t>Financial Edge:</t>
        </r>
        <r>
          <rPr>
            <sz val="9"/>
            <color indexed="81"/>
            <rFont val="Tahoma"/>
            <family val="2"/>
          </rPr>
          <t xml:space="preserve">
Annual report pg 71, BS</t>
        </r>
      </text>
    </comment>
    <comment ref="S96" authorId="0" shapeId="0" xr:uid="{AAF62426-BD2F-4AF7-8F4A-2036C42BE5AB}">
      <text>
        <r>
          <rPr>
            <b/>
            <sz val="9"/>
            <color indexed="81"/>
            <rFont val="Tahoma"/>
            <family val="2"/>
          </rPr>
          <t>Financial Edge:</t>
        </r>
        <r>
          <rPr>
            <sz val="9"/>
            <color indexed="81"/>
            <rFont val="Tahoma"/>
            <family val="2"/>
          </rPr>
          <t xml:space="preserve">
Annual report pg 71, BS</t>
        </r>
      </text>
    </comment>
    <comment ref="O97" authorId="0" shapeId="0" xr:uid="{B746BF52-CBC1-4607-89B8-C43F14A6B949}">
      <text>
        <r>
          <rPr>
            <b/>
            <sz val="9"/>
            <color indexed="81"/>
            <rFont val="Tahoma"/>
            <family val="2"/>
          </rPr>
          <t>Financial Edge:</t>
        </r>
        <r>
          <rPr>
            <sz val="9"/>
            <color indexed="81"/>
            <rFont val="Tahoma"/>
            <family val="2"/>
          </rPr>
          <t xml:space="preserve">
Annual report, pg 1, BS.
Pg 19, note 10 shows current and non current other financial liabilities added together and only split by category. With no breakdown of current vs non current, assume that all current is short term investment related.</t>
        </r>
      </text>
    </comment>
    <comment ref="P97" authorId="0" shapeId="0" xr:uid="{04FB659B-5381-46E8-951E-CD61F56E306F}">
      <text>
        <r>
          <rPr>
            <b/>
            <sz val="9"/>
            <color indexed="81"/>
            <rFont val="Tahoma"/>
            <family val="2"/>
          </rPr>
          <t>Financial Edge:</t>
        </r>
        <r>
          <rPr>
            <sz val="9"/>
            <color indexed="81"/>
            <rFont val="Tahoma"/>
            <family val="2"/>
          </rPr>
          <t xml:space="preserve">
Annual report, pg 1, BS.
Pg 19, note 10 shows current and non current other financial liabilities added together and only split by category. With no breakdown of current vs non current, assume that all current is short term investment related.</t>
        </r>
      </text>
    </comment>
    <comment ref="R97" authorId="0" shapeId="0" xr:uid="{7053807E-9B8D-4FDC-88DE-C3F88225220C}">
      <text>
        <r>
          <rPr>
            <b/>
            <sz val="9"/>
            <color indexed="81"/>
            <rFont val="Tahoma"/>
            <family val="2"/>
          </rPr>
          <t>Financial Edge:</t>
        </r>
        <r>
          <rPr>
            <sz val="9"/>
            <color indexed="81"/>
            <rFont val="Tahoma"/>
            <family val="2"/>
          </rPr>
          <t xml:space="preserve">
Annual report pg 71, BS</t>
        </r>
      </text>
    </comment>
    <comment ref="S97" authorId="0" shapeId="0" xr:uid="{A2AB19FE-B32B-4555-B0DA-E7656DA8FE54}">
      <text>
        <r>
          <rPr>
            <b/>
            <sz val="9"/>
            <color indexed="81"/>
            <rFont val="Tahoma"/>
            <family val="2"/>
          </rPr>
          <t>Financial Edge:</t>
        </r>
        <r>
          <rPr>
            <sz val="9"/>
            <color indexed="81"/>
            <rFont val="Tahoma"/>
            <family val="2"/>
          </rPr>
          <t xml:space="preserve">
Annual report pg 71, BS</t>
        </r>
      </text>
    </comment>
    <comment ref="O101" authorId="0" shapeId="0" xr:uid="{4FD17F07-555C-43DA-B43A-488912897265}">
      <text>
        <r>
          <rPr>
            <b/>
            <sz val="9"/>
            <color indexed="81"/>
            <rFont val="Tahoma"/>
            <family val="2"/>
          </rPr>
          <t>Financial Edge:</t>
        </r>
        <r>
          <rPr>
            <sz val="9"/>
            <color indexed="81"/>
            <rFont val="Tahoma"/>
            <family val="2"/>
          </rPr>
          <t xml:space="preserve">
Annual report, pg 2, BS</t>
        </r>
      </text>
    </comment>
    <comment ref="P101" authorId="0" shapeId="0" xr:uid="{7B3AC01E-E4A6-483F-B4C9-5D8CDD55E319}">
      <text>
        <r>
          <rPr>
            <b/>
            <sz val="9"/>
            <color indexed="81"/>
            <rFont val="Tahoma"/>
            <family val="2"/>
          </rPr>
          <t>Financial Edge:</t>
        </r>
        <r>
          <rPr>
            <sz val="9"/>
            <color indexed="81"/>
            <rFont val="Tahoma"/>
            <family val="2"/>
          </rPr>
          <t xml:space="preserve">
Annual report, pg 2, BS</t>
        </r>
      </text>
    </comment>
    <comment ref="R101" authorId="0" shapeId="0" xr:uid="{4F364895-511C-4B1A-B8E5-7E39EBEFE962}">
      <text>
        <r>
          <rPr>
            <b/>
            <sz val="9"/>
            <color indexed="81"/>
            <rFont val="Tahoma"/>
            <family val="2"/>
          </rPr>
          <t>Financial Edge:</t>
        </r>
        <r>
          <rPr>
            <sz val="9"/>
            <color indexed="81"/>
            <rFont val="Tahoma"/>
            <family val="2"/>
          </rPr>
          <t xml:space="preserve">
Annual report pg 71, BS</t>
        </r>
      </text>
    </comment>
    <comment ref="S101" authorId="0" shapeId="0" xr:uid="{0C12771C-F45D-491C-8F0E-1D94FE53CB8F}">
      <text>
        <r>
          <rPr>
            <b/>
            <sz val="9"/>
            <color indexed="81"/>
            <rFont val="Tahoma"/>
            <family val="2"/>
          </rPr>
          <t>Financial Edge:</t>
        </r>
        <r>
          <rPr>
            <sz val="9"/>
            <color indexed="81"/>
            <rFont val="Tahoma"/>
            <family val="2"/>
          </rPr>
          <t xml:space="preserve">
Annual report pg 71, BS</t>
        </r>
      </text>
    </comment>
    <comment ref="P131" authorId="0" shapeId="0" xr:uid="{0744E1FC-9AB7-405B-86B8-EEA119AA1AEE}">
      <text>
        <r>
          <rPr>
            <b/>
            <sz val="9"/>
            <color indexed="81"/>
            <rFont val="Tahoma"/>
            <family val="2"/>
          </rPr>
          <t>Financial Edge:</t>
        </r>
        <r>
          <rPr>
            <sz val="9"/>
            <color indexed="81"/>
            <rFont val="Tahoma"/>
            <family val="2"/>
          </rPr>
          <t xml:space="preserve">
Leases are already included in debt for companies that report under IFRS</t>
        </r>
      </text>
    </comment>
    <comment ref="S131" authorId="0" shapeId="0" xr:uid="{33ABCCD0-4D2B-47C0-AE84-5CB50FB93CFF}">
      <text>
        <r>
          <rPr>
            <b/>
            <sz val="9"/>
            <color indexed="81"/>
            <rFont val="Tahoma"/>
            <family val="2"/>
          </rPr>
          <t>Financial Edge:</t>
        </r>
        <r>
          <rPr>
            <sz val="9"/>
            <color indexed="81"/>
            <rFont val="Tahoma"/>
            <family val="2"/>
          </rPr>
          <t xml:space="preserve">
Leases are already included in debt for companies that report under IFRS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B6" authorId="0" shapeId="0" xr:uid="{17FFDE88-9020-4A9A-8077-6DA120391046}">
      <text>
        <r>
          <rPr>
            <b/>
            <sz val="9"/>
            <color indexed="81"/>
            <rFont val="Tahoma"/>
            <family val="2"/>
          </rPr>
          <t>Financial Edge:</t>
        </r>
        <r>
          <rPr>
            <sz val="9"/>
            <color indexed="81"/>
            <rFont val="Tahoma"/>
            <family val="2"/>
          </rPr>
          <t xml:space="preserve">
Includes long term financial assets. Both cash and long term financial assets are needed in the EV bridge, but long term financial assets would be excluded if calculating the narrower net debt calculation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Debs Taylor</author>
  </authors>
  <commentList>
    <comment ref="G23" authorId="0" shapeId="0" xr:uid="{BFE706B7-299C-4646-B49E-5AE9628EDC0E}">
      <text>
        <r>
          <rPr>
            <b/>
            <sz val="9"/>
            <color indexed="81"/>
            <rFont val="Tahoma"/>
            <family val="2"/>
          </rPr>
          <t>Financial Edge:</t>
        </r>
        <r>
          <rPr>
            <sz val="9"/>
            <color indexed="81"/>
            <rFont val="Tahoma"/>
            <family val="2"/>
          </rPr>
          <t xml:space="preserve">
Deterioration due to major expansion of production facilities during 2022.</t>
        </r>
      </text>
    </comment>
    <comment ref="I31" authorId="0" shapeId="0" xr:uid="{B9B15799-7FE7-4EDA-A64C-F5B7398EF49B}">
      <text>
        <r>
          <rPr>
            <b/>
            <sz val="9"/>
            <color indexed="81"/>
            <rFont val="Tahoma"/>
            <family val="2"/>
          </rPr>
          <t>Financial Edge:</t>
        </r>
        <r>
          <rPr>
            <sz val="9"/>
            <color indexed="81"/>
            <rFont val="Tahoma"/>
            <family val="2"/>
          </rPr>
          <t xml:space="preserve">
Target set during 2022. Data available from 2023 onwards.</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F36" authorId="0" shapeId="0" xr:uid="{3F1A1219-E5C4-46B0-9994-665A743804DF}">
      <text>
        <r>
          <rPr>
            <b/>
            <sz val="9"/>
            <color indexed="81"/>
            <rFont val="Tahoma"/>
            <family val="2"/>
          </rPr>
          <t>Financial Edge:</t>
        </r>
        <r>
          <rPr>
            <sz val="9"/>
            <color indexed="81"/>
            <rFont val="Tahoma"/>
            <family val="2"/>
          </rPr>
          <t xml:space="preserve">
Target cash used as a source of funds.
Target financial assets assumed to be illiquid and excluded from net debt</t>
        </r>
      </text>
    </comment>
    <comment ref="B37" authorId="0" shapeId="0" xr:uid="{F62AD5A1-834C-41C3-A935-4BD0FFB8FD25}">
      <text>
        <r>
          <rPr>
            <b/>
            <sz val="9"/>
            <color indexed="81"/>
            <rFont val="Tahoma"/>
            <family val="2"/>
          </rPr>
          <t>Financial Edge:</t>
        </r>
        <r>
          <rPr>
            <sz val="9"/>
            <color indexed="81"/>
            <rFont val="Tahoma"/>
            <family val="2"/>
          </rPr>
          <t xml:space="preserve">
Target debt included in uses of funds if debt is to be repaid.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G7" authorId="0" shapeId="0" xr:uid="{662461A2-B223-49A0-97EC-8A5455B24016}">
      <text>
        <r>
          <rPr>
            <b/>
            <sz val="9"/>
            <color indexed="81"/>
            <rFont val="Tahoma"/>
            <family val="2"/>
          </rPr>
          <t>Financial Edge:</t>
        </r>
        <r>
          <rPr>
            <sz val="9"/>
            <color indexed="81"/>
            <rFont val="Tahoma"/>
            <family val="2"/>
          </rPr>
          <t xml:space="preserve">
Could calculate total uses of funds as: 
Equity purchase price
+ refinanced net debt
- financial assets sold off
+ fees
This gives the same number as EV + fees</t>
        </r>
      </text>
    </comment>
    <comment ref="E12" authorId="0" shapeId="0" xr:uid="{71F8BD54-FF42-44EA-B98B-EA02BBC03D1A}">
      <text>
        <r>
          <rPr>
            <b/>
            <sz val="9"/>
            <color indexed="81"/>
            <rFont val="Tahoma"/>
            <family val="2"/>
          </rPr>
          <t>Financial Edge:</t>
        </r>
        <r>
          <rPr>
            <sz val="9"/>
            <color indexed="81"/>
            <rFont val="Tahoma"/>
            <family val="2"/>
          </rPr>
          <t xml:space="preserve">
European BBB 10 year credit spread
Source: Felix/Europe/Discount Rate</t>
        </r>
      </text>
    </comment>
    <comment ref="B68" authorId="0" shapeId="0" xr:uid="{A780AD76-FE38-4FF1-8EE6-35706BE5C058}">
      <text>
        <r>
          <rPr>
            <b/>
            <sz val="9"/>
            <color indexed="81"/>
            <rFont val="Tahoma"/>
            <family val="2"/>
          </rPr>
          <t>Financial Edge:</t>
        </r>
        <r>
          <rPr>
            <sz val="9"/>
            <color indexed="81"/>
            <rFont val="Tahoma"/>
            <family val="2"/>
          </rPr>
          <t xml:space="preserve">
50% paydown minimum required within 7 years for credit committee to approve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L12" authorId="0" shapeId="0" xr:uid="{21339767-5907-45A1-84D3-4C48B8355EBE}">
      <text>
        <r>
          <rPr>
            <b/>
            <sz val="9"/>
            <color indexed="81"/>
            <rFont val="Tahoma"/>
            <family val="2"/>
          </rPr>
          <t>Financial Edge:</t>
        </r>
        <r>
          <rPr>
            <sz val="9"/>
            <color indexed="81"/>
            <rFont val="Tahoma"/>
            <family val="2"/>
          </rPr>
          <t xml:space="preserve">
Global energy drink industry CAGR 8.1% for 2024-2029 (Mordor Intelligence </t>
        </r>
      </text>
    </comment>
    <comment ref="L13" authorId="0" shapeId="0" xr:uid="{028DE2E0-4DD0-4A9B-B271-B5587496E258}">
      <text>
        <r>
          <rPr>
            <b/>
            <sz val="9"/>
            <color indexed="81"/>
            <rFont val="Tahoma"/>
            <family val="2"/>
          </rPr>
          <t>Financial Edge:</t>
        </r>
        <r>
          <rPr>
            <sz val="9"/>
            <color indexed="81"/>
            <rFont val="Tahoma"/>
            <family val="2"/>
          </rPr>
          <t xml:space="preserve">
Global energy drink industry CAGR 8.1% for 2024-2029 (Mordor Intelligence </t>
        </r>
      </text>
    </comment>
    <comment ref="J17" authorId="0" shapeId="0" xr:uid="{D0959F3E-69CC-423A-B701-662F678982DC}">
      <text>
        <r>
          <rPr>
            <b/>
            <sz val="9"/>
            <color indexed="81"/>
            <rFont val="Tahoma"/>
            <family val="2"/>
          </rPr>
          <t>Financial Edge:</t>
        </r>
        <r>
          <rPr>
            <sz val="9"/>
            <color indexed="81"/>
            <rFont val="Tahoma"/>
            <family val="2"/>
          </rPr>
          <t xml:space="preserve">
Steps up when capex levels are falling</t>
        </r>
      </text>
    </comment>
    <comment ref="G20" authorId="1" shapeId="0" xr:uid="{D8541854-96B3-4B7F-9E4B-D3112CE05411}">
      <text>
        <r>
          <rPr>
            <b/>
            <sz val="9"/>
            <color indexed="81"/>
            <rFont val="Tahoma"/>
            <family val="2"/>
          </rPr>
          <t>Financial Edge:</t>
        </r>
        <r>
          <rPr>
            <sz val="9"/>
            <color indexed="81"/>
            <rFont val="Tahoma"/>
            <family val="2"/>
          </rPr>
          <t xml:space="preserve">
Tax rate reduction effective 1st Jan 2024</t>
        </r>
      </text>
    </comment>
    <comment ref="B81" authorId="1" shapeId="0" xr:uid="{252758AD-3E82-435A-82FB-B3F02BB188F3}">
      <text>
        <r>
          <rPr>
            <b/>
            <sz val="9"/>
            <color indexed="81"/>
            <rFont val="Tahoma"/>
            <family val="2"/>
          </rPr>
          <t>Financial Edge:</t>
        </r>
        <r>
          <rPr>
            <sz val="9"/>
            <color indexed="81"/>
            <rFont val="Tahoma"/>
            <family val="2"/>
          </rPr>
          <t xml:space="preserve">
Long term financial assets. Include in EV bridge, but exclude from net debt as not liquid enough to be cash</t>
        </r>
      </text>
    </comment>
    <comment ref="C126" authorId="1" shapeId="0" xr:uid="{F383C82F-8A61-4A7A-A640-74DF580294BB}">
      <text>
        <r>
          <rPr>
            <b/>
            <sz val="9"/>
            <color indexed="81"/>
            <rFont val="Tahoma"/>
            <family val="2"/>
          </rPr>
          <t>Financial Edge:</t>
        </r>
        <r>
          <rPr>
            <sz val="9"/>
            <color indexed="81"/>
            <rFont val="Tahoma"/>
            <family val="2"/>
          </rPr>
          <t xml:space="preserve">
Source: Red Bull website</t>
        </r>
      </text>
    </comment>
    <comment ref="D126" authorId="1" shapeId="0" xr:uid="{86373907-30F2-4538-8908-E61712E8EB6B}">
      <text>
        <r>
          <rPr>
            <b/>
            <sz val="9"/>
            <color indexed="81"/>
            <rFont val="Tahoma"/>
            <family val="2"/>
          </rPr>
          <t>Financial Edge:</t>
        </r>
        <r>
          <rPr>
            <sz val="9"/>
            <color indexed="81"/>
            <rFont val="Tahoma"/>
            <family val="2"/>
          </rPr>
          <t xml:space="preserve">
Source: Red Bull website</t>
        </r>
      </text>
    </comment>
    <comment ref="E126" authorId="1" shapeId="0" xr:uid="{080D12ED-937A-4EBE-B7CE-FA987C03F17B}">
      <text>
        <r>
          <rPr>
            <b/>
            <sz val="9"/>
            <color indexed="81"/>
            <rFont val="Tahoma"/>
            <family val="2"/>
          </rPr>
          <t>Financial Edge:</t>
        </r>
        <r>
          <rPr>
            <sz val="9"/>
            <color indexed="81"/>
            <rFont val="Tahoma"/>
            <family val="2"/>
          </rPr>
          <t xml:space="preserve">
Source: Red Bull website</t>
        </r>
      </text>
    </comment>
    <comment ref="F126" authorId="1" shapeId="0" xr:uid="{3836D90A-FCCF-4228-ABE2-F076FFFFE987}">
      <text>
        <r>
          <rPr>
            <b/>
            <sz val="9"/>
            <color indexed="81"/>
            <rFont val="Tahoma"/>
            <family val="2"/>
          </rPr>
          <t>Financial Edge:</t>
        </r>
        <r>
          <rPr>
            <sz val="9"/>
            <color indexed="81"/>
            <rFont val="Tahoma"/>
            <family val="2"/>
          </rPr>
          <t xml:space="preserve">
Source: Red Bull website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G59" authorId="0" shapeId="0" xr:uid="{5E80D7B1-15CB-4244-8893-34EAC2B2509D}">
      <text>
        <r>
          <rPr>
            <b/>
            <sz val="9"/>
            <color indexed="81"/>
            <rFont val="Tahoma"/>
            <family val="2"/>
          </rPr>
          <t>Financial Edge:</t>
        </r>
        <r>
          <rPr>
            <sz val="9"/>
            <color indexed="81"/>
            <rFont val="Tahoma"/>
            <family val="2"/>
          </rPr>
          <t xml:space="preserve">
Source: Felix 7th March 2024</t>
        </r>
      </text>
    </comment>
    <comment ref="C91" authorId="0" shapeId="0" xr:uid="{61460F1C-2AAC-450A-AEDA-2C3065C91953}">
      <text>
        <r>
          <rPr>
            <b/>
            <sz val="9"/>
            <color indexed="81"/>
            <rFont val="Tahoma"/>
            <family val="2"/>
          </rPr>
          <t>Financial Edge:</t>
        </r>
        <r>
          <rPr>
            <sz val="9"/>
            <color indexed="81"/>
            <rFont val="Tahoma"/>
            <family val="2"/>
          </rPr>
          <t xml:space="preserve">
In calculating a recurring earnings figure, the company has added back this item. We reverse this here. Amortization is included in the EBITDA calculation later</t>
        </r>
      </text>
    </comment>
    <comment ref="C92" authorId="0" shapeId="0" xr:uid="{B195888E-C0E5-4EB6-B732-D28AD3356539}">
      <text>
        <r>
          <rPr>
            <b/>
            <sz val="9"/>
            <color indexed="81"/>
            <rFont val="Tahoma"/>
            <family val="2"/>
          </rPr>
          <t>Financial Edge:</t>
        </r>
        <r>
          <rPr>
            <sz val="9"/>
            <color indexed="81"/>
            <rFont val="Tahoma"/>
            <family val="2"/>
          </rPr>
          <t xml:space="preserve">
In calculating a recurring earnings figure, the company has added back this item. We reverse this here.</t>
        </r>
      </text>
    </comment>
    <comment ref="C94" authorId="0" shapeId="0" xr:uid="{6E8D8935-9CC9-4ED7-BC60-868545319126}">
      <text>
        <r>
          <rPr>
            <b/>
            <sz val="9"/>
            <color indexed="81"/>
            <rFont val="Tahoma"/>
            <family val="2"/>
          </rPr>
          <t>Financial Edge:</t>
        </r>
        <r>
          <rPr>
            <sz val="9"/>
            <color indexed="81"/>
            <rFont val="Tahoma"/>
            <family val="2"/>
          </rPr>
          <t xml:space="preserve">
"Other amortization expense" ignored. Company makes reference to amortization of financing items, derivatives, M&amp;A, etc</t>
        </r>
      </text>
    </comment>
    <comment ref="G95" authorId="0" shapeId="0" xr:uid="{6EEEF32B-4E51-416B-BD35-FD8C36D1F07B}">
      <text>
        <r>
          <rPr>
            <b/>
            <sz val="9"/>
            <color indexed="81"/>
            <rFont val="Tahoma"/>
            <family val="2"/>
          </rPr>
          <t>Financial Edge:</t>
        </r>
        <r>
          <rPr>
            <sz val="9"/>
            <color indexed="81"/>
            <rFont val="Tahoma"/>
            <family val="2"/>
          </rPr>
          <t xml:space="preserve">
Source: Felix 7th March 2024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I62" authorId="0" shapeId="0" xr:uid="{60D598F8-5742-4EB5-9D2C-0134B71F0D08}">
      <text>
        <r>
          <rPr>
            <b/>
            <sz val="9"/>
            <color indexed="81"/>
            <rFont val="Tahoma"/>
            <family val="2"/>
          </rPr>
          <t>Financial Edge:</t>
        </r>
        <r>
          <rPr>
            <sz val="9"/>
            <color indexed="81"/>
            <rFont val="Tahoma"/>
            <family val="2"/>
          </rPr>
          <t xml:space="preserve">
Operating lease rental expense assumed to grow in line with revenue</t>
        </r>
      </text>
    </comment>
    <comment ref="J62" authorId="0" shapeId="0" xr:uid="{FBA461BA-7B2D-44AF-A83F-339F41DE8B55}">
      <text>
        <r>
          <rPr>
            <b/>
            <sz val="9"/>
            <color indexed="81"/>
            <rFont val="Tahoma"/>
            <family val="2"/>
          </rPr>
          <t>Financial Edge:</t>
        </r>
        <r>
          <rPr>
            <sz val="9"/>
            <color indexed="81"/>
            <rFont val="Tahoma"/>
            <family val="2"/>
          </rPr>
          <t xml:space="preserve">
Operating lease rental expense assumed to grow in line with revenue</t>
        </r>
      </text>
    </comment>
    <comment ref="K62" authorId="0" shapeId="0" xr:uid="{2895E4BA-586E-4703-A356-1EE1F4BFDA63}">
      <text>
        <r>
          <rPr>
            <b/>
            <sz val="9"/>
            <color indexed="81"/>
            <rFont val="Tahoma"/>
            <family val="2"/>
          </rPr>
          <t>Financial Edge:</t>
        </r>
        <r>
          <rPr>
            <sz val="9"/>
            <color indexed="81"/>
            <rFont val="Tahoma"/>
            <family val="2"/>
          </rPr>
          <t xml:space="preserve">
Operating lease rental expense assumed to grow in line with revenue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47" authorId="0" shapeId="0" xr:uid="{23DABE2A-5F7E-42B9-9126-43D967456C21}">
      <text>
        <r>
          <rPr>
            <b/>
            <sz val="9"/>
            <color indexed="81"/>
            <rFont val="Tahoma"/>
            <family val="2"/>
          </rPr>
          <t>Financial Edge:</t>
        </r>
        <r>
          <rPr>
            <sz val="9"/>
            <color indexed="81"/>
            <rFont val="Tahoma"/>
            <family val="2"/>
          </rPr>
          <t xml:space="preserve">
In calculating a recurring earnings figure, the company has added back this item. We reverse this here. Amortization is included in the EBITDA calculation later</t>
        </r>
      </text>
    </comment>
    <comment ref="C48" authorId="0" shapeId="0" xr:uid="{D881D62E-13B5-420F-9A5C-B09DE2E3AAE4}">
      <text>
        <r>
          <rPr>
            <b/>
            <sz val="9"/>
            <color indexed="81"/>
            <rFont val="Tahoma"/>
            <family val="2"/>
          </rPr>
          <t>Financial Edge:</t>
        </r>
        <r>
          <rPr>
            <sz val="9"/>
            <color indexed="81"/>
            <rFont val="Tahoma"/>
            <family val="2"/>
          </rPr>
          <t xml:space="preserve">
In calculating a recurring earnings figure, the company has added back this item. We reverse this here.</t>
        </r>
      </text>
    </comment>
    <comment ref="C54" authorId="0" shapeId="0" xr:uid="{4BF1A787-10D6-4809-B28C-FAA0F461675D}">
      <text>
        <r>
          <rPr>
            <b/>
            <sz val="9"/>
            <color indexed="81"/>
            <rFont val="Tahoma"/>
            <family val="2"/>
          </rPr>
          <t>Financial Edge:</t>
        </r>
        <r>
          <rPr>
            <sz val="9"/>
            <color indexed="81"/>
            <rFont val="Tahoma"/>
            <family val="2"/>
          </rPr>
          <t xml:space="preserve">
"Other amortization expense" ignored. Company makes reference to amortization of financing items, derivatives, M&amp;A, etc</t>
        </r>
      </text>
    </comment>
    <comment ref="I62" authorId="0" shapeId="0" xr:uid="{4BED80D7-6996-4EA2-9FC2-38A094F2F58F}">
      <text>
        <r>
          <rPr>
            <b/>
            <sz val="9"/>
            <color indexed="81"/>
            <rFont val="Tahoma"/>
            <family val="2"/>
          </rPr>
          <t>Financial Edge:</t>
        </r>
        <r>
          <rPr>
            <sz val="9"/>
            <color indexed="81"/>
            <rFont val="Tahoma"/>
            <family val="2"/>
          </rPr>
          <t xml:space="preserve">
Operating lease rental expense assumed to grow in line with revenue</t>
        </r>
      </text>
    </comment>
    <comment ref="J62" authorId="0" shapeId="0" xr:uid="{EF1CB469-D614-4E68-AF1E-E1119C6435FC}">
      <text>
        <r>
          <rPr>
            <b/>
            <sz val="9"/>
            <color indexed="81"/>
            <rFont val="Tahoma"/>
            <family val="2"/>
          </rPr>
          <t>Financial Edge:</t>
        </r>
        <r>
          <rPr>
            <sz val="9"/>
            <color indexed="81"/>
            <rFont val="Tahoma"/>
            <family val="2"/>
          </rPr>
          <t xml:space="preserve">
Operating lease rental expense assumed to grow in line with revenue</t>
        </r>
      </text>
    </comment>
    <comment ref="K62" authorId="0" shapeId="0" xr:uid="{695531EA-E13B-44AE-B639-2EF4362D338A}">
      <text>
        <r>
          <rPr>
            <b/>
            <sz val="9"/>
            <color indexed="81"/>
            <rFont val="Tahoma"/>
            <family val="2"/>
          </rPr>
          <t>Financial Edge:</t>
        </r>
        <r>
          <rPr>
            <sz val="9"/>
            <color indexed="81"/>
            <rFont val="Tahoma"/>
            <family val="2"/>
          </rPr>
          <t xml:space="preserve">
Operating lease rental expense assumed to grow in line with revenue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BG30" authorId="0" shapeId="0" xr:uid="{05FC0F84-D0AC-4DC1-8F92-45422187639F}">
      <text>
        <r>
          <rPr>
            <b/>
            <sz val="9"/>
            <color indexed="81"/>
            <rFont val="Tahoma"/>
            <family val="2"/>
          </rPr>
          <t>Financial Edge:</t>
        </r>
        <r>
          <rPr>
            <sz val="9"/>
            <color indexed="81"/>
            <rFont val="Tahoma"/>
            <family val="2"/>
          </rPr>
          <t xml:space="preserve">
Negligible finance leases</t>
        </r>
      </text>
    </comment>
    <comment ref="AZ33" authorId="0" shapeId="0" xr:uid="{5771CC3A-5CA3-4ED8-900F-4979D2C68586}">
      <text>
        <r>
          <rPr>
            <b/>
            <sz val="9"/>
            <color indexed="81"/>
            <rFont val="Tahoma"/>
            <family val="2"/>
          </rPr>
          <t>Financial Edge:</t>
        </r>
        <r>
          <rPr>
            <sz val="9"/>
            <color indexed="81"/>
            <rFont val="Tahoma"/>
            <family val="2"/>
          </rPr>
          <t xml:space="preserve">
No long term EPS growth figures available. Analysts forecast 1 year forecast EPS growth of 35%+.
Historical EPS has grown significantly (from negative to positive).</t>
        </r>
      </text>
    </comment>
    <comment ref="BG33" authorId="0" shapeId="0" xr:uid="{04C2A5A2-F44A-4834-A7F5-74CC5CF11B04}">
      <text>
        <r>
          <rPr>
            <b/>
            <sz val="9"/>
            <color indexed="81"/>
            <rFont val="Tahoma"/>
            <family val="2"/>
          </rPr>
          <t>Financial Edge:</t>
        </r>
        <r>
          <rPr>
            <sz val="9"/>
            <color indexed="81"/>
            <rFont val="Tahoma"/>
            <family val="2"/>
          </rPr>
          <t xml:space="preserve">
Negligible debt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F28" authorId="0" shapeId="0" xr:uid="{9FF5AC64-2A9C-44CB-80FD-D7996E13BB2E}">
      <text>
        <r>
          <rPr>
            <b/>
            <sz val="9"/>
            <color indexed="81"/>
            <rFont val="Tahoma"/>
            <family val="2"/>
          </rPr>
          <t>Financial Edge:</t>
        </r>
        <r>
          <rPr>
            <sz val="9"/>
            <color indexed="81"/>
            <rFont val="Tahoma"/>
            <family val="2"/>
          </rPr>
          <t xml:space="preserve">
Theoretically this should be linked to growth in invested capital in the terminal year</t>
        </r>
      </text>
    </comment>
    <comment ref="B41" authorId="0" shapeId="0" xr:uid="{8277966A-E4C3-454F-91E0-ABDDD4CDBCE3}">
      <text>
        <r>
          <rPr>
            <b/>
            <sz val="9"/>
            <color indexed="81"/>
            <rFont val="Tahoma"/>
            <family val="2"/>
          </rPr>
          <t>Financial Edge:</t>
        </r>
        <r>
          <rPr>
            <sz val="9"/>
            <color indexed="81"/>
            <rFont val="Tahoma"/>
            <family val="2"/>
          </rPr>
          <t xml:space="preserve">
Includes long term financial assets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D17" authorId="0" shapeId="0" xr:uid="{BDBF1DAA-B0B0-43D2-9113-D4178CF6C84D}">
      <text>
        <r>
          <rPr>
            <b/>
            <sz val="9"/>
            <color indexed="81"/>
            <rFont val="Tahoma"/>
            <family val="2"/>
          </rPr>
          <t>Financial Edge:</t>
        </r>
        <r>
          <rPr>
            <sz val="9"/>
            <color indexed="81"/>
            <rFont val="Tahoma"/>
            <family val="2"/>
          </rPr>
          <t xml:space="preserve">
European 10 year government bond yield. (this is the German government bond as it is the most risk-free in Europe)
Source: Felix/Europe/Discount Rate</t>
        </r>
      </text>
    </comment>
    <comment ref="D18" authorId="0" shapeId="0" xr:uid="{A3D8AD8F-D550-41AE-87E7-CD5D6524E891}">
      <text>
        <r>
          <rPr>
            <b/>
            <sz val="9"/>
            <color indexed="81"/>
            <rFont val="Tahoma"/>
            <family val="2"/>
          </rPr>
          <t>Financial Edge:</t>
        </r>
        <r>
          <rPr>
            <sz val="9"/>
            <color indexed="81"/>
            <rFont val="Tahoma"/>
            <family val="2"/>
          </rPr>
          <t xml:space="preserve">
Historical equity risk premium (ERP), arithmetic average 20 year.
Source: Felix/Europe/Discount Rate</t>
        </r>
      </text>
    </comment>
    <comment ref="D21" authorId="0" shapeId="0" xr:uid="{FA5427E1-02D1-40F0-B8CD-6C70F27F4177}">
      <text>
        <r>
          <rPr>
            <b/>
            <sz val="9"/>
            <color indexed="81"/>
            <rFont val="Tahoma"/>
            <family val="2"/>
          </rPr>
          <t>Financial Edge:</t>
        </r>
        <r>
          <rPr>
            <sz val="9"/>
            <color indexed="81"/>
            <rFont val="Tahoma"/>
            <family val="2"/>
          </rPr>
          <t xml:space="preserve">
If debt/capital=10%, then equity/capital=90%. Therefore 
debt/equity=10% / 90%
Industry average 
</t>
        </r>
        <r>
          <rPr>
            <b/>
            <sz val="9"/>
            <color indexed="81"/>
            <rFont val="Tahoma"/>
            <family val="2"/>
          </rPr>
          <t>debt % of equity</t>
        </r>
        <r>
          <rPr>
            <sz val="9"/>
            <color indexed="81"/>
            <rFont val="Tahoma"/>
            <family val="2"/>
          </rPr>
          <t xml:space="preserve"> should be calculated from the industry average
</t>
        </r>
        <r>
          <rPr>
            <b/>
            <sz val="9"/>
            <color indexed="81"/>
            <rFont val="Tahoma"/>
            <family val="2"/>
          </rPr>
          <t>debt % of capital</t>
        </r>
        <r>
          <rPr>
            <sz val="9"/>
            <color indexed="81"/>
            <rFont val="Tahoma"/>
            <family val="2"/>
          </rPr>
          <t xml:space="preserve"> figure already calculated above to ensure the same weighting of peer companies in both calculations.
Calculating an average of the individual peer company  debt/equity figures from the cells above will give different company weightings.</t>
        </r>
      </text>
    </comment>
    <comment ref="D22" authorId="0" shapeId="0" xr:uid="{8C031FD0-36E4-47AA-9368-B41955E4926F}">
      <text>
        <r>
          <rPr>
            <b/>
            <sz val="9"/>
            <color indexed="81"/>
            <rFont val="Tahoma"/>
            <family val="2"/>
          </rPr>
          <t>Financial Edge:</t>
        </r>
        <r>
          <rPr>
            <sz val="9"/>
            <color indexed="81"/>
            <rFont val="Tahoma"/>
            <family val="2"/>
          </rPr>
          <t xml:space="preserve">
Use the industry average debt/equity ratio</t>
        </r>
      </text>
    </comment>
    <comment ref="D26" authorId="0" shapeId="0" xr:uid="{F64FAB8B-EA2A-4EF6-9515-D84EA8628E5C}">
      <text>
        <r>
          <rPr>
            <b/>
            <sz val="9"/>
            <color indexed="81"/>
            <rFont val="Tahoma"/>
            <family val="2"/>
          </rPr>
          <t>Financial Edge:</t>
        </r>
        <r>
          <rPr>
            <sz val="9"/>
            <color indexed="81"/>
            <rFont val="Tahoma"/>
            <family val="2"/>
          </rPr>
          <t xml:space="preserve">
Assume Redbull is A rated. 10 year credit spread.
Source: Felix/Europe/Discount Rate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M11" authorId="0" shapeId="0" xr:uid="{9308F3F2-19A4-4C49-8B8A-19CC68656921}">
      <text>
        <r>
          <rPr>
            <b/>
            <sz val="9"/>
            <color indexed="81"/>
            <rFont val="Tahoma"/>
            <family val="2"/>
          </rPr>
          <t>Financial Edge:</t>
        </r>
        <r>
          <rPr>
            <sz val="9"/>
            <color indexed="81"/>
            <rFont val="Tahoma"/>
            <family val="2"/>
          </rPr>
          <t xml:space="preserve">
Source: KDP 8K Press Release February 27 2020</t>
        </r>
      </text>
    </comment>
    <comment ref="N15" authorId="0" shapeId="0" xr:uid="{8854D686-5046-41A4-ACDC-9ECC20D41F65}">
      <text>
        <r>
          <rPr>
            <b/>
            <sz val="9"/>
            <color indexed="81"/>
            <rFont val="Tahoma"/>
            <family val="2"/>
          </rPr>
          <t>Financial Edge:</t>
        </r>
        <r>
          <rPr>
            <sz val="9"/>
            <color indexed="81"/>
            <rFont val="Tahoma"/>
            <family val="2"/>
          </rPr>
          <t xml:space="preserve">
Source: Asahi Conference Call Feb 15 2021
Orbis.com Quarterly Commentary 30 June 2021, used Asahi announcement to calculate 6% of revenue</t>
        </r>
      </text>
    </comment>
    <comment ref="M16" authorId="0" shapeId="0" xr:uid="{1C4E3937-82B9-4244-867D-A160D8968955}">
      <text>
        <r>
          <rPr>
            <b/>
            <sz val="9"/>
            <color indexed="81"/>
            <rFont val="Tahoma"/>
            <family val="2"/>
          </rPr>
          <t>Financial Edge:</t>
        </r>
        <r>
          <rPr>
            <sz val="9"/>
            <color indexed="81"/>
            <rFont val="Tahoma"/>
            <family val="2"/>
          </rPr>
          <t xml:space="preserve">
Source Cott 8K Press Release filed with SEC January 13 2020</t>
        </r>
      </text>
    </comment>
    <comment ref="H19" authorId="0" shapeId="0" xr:uid="{C8819C0D-004D-4E1C-922D-83583B7D0B5E}">
      <text>
        <r>
          <rPr>
            <b/>
            <sz val="9"/>
            <color indexed="81"/>
            <rFont val="Tahoma"/>
            <family val="2"/>
          </rPr>
          <t xml:space="preserve">Source: 
</t>
        </r>
        <r>
          <rPr>
            <sz val="9"/>
            <color indexed="81"/>
            <rFont val="Tahoma"/>
            <family val="2"/>
          </rPr>
          <t xml:space="preserve">Dun &amp; Bradstreet
</t>
        </r>
      </text>
    </comment>
    <comment ref="L19" authorId="0" shapeId="0" xr:uid="{8930D43B-FE3F-4080-8F30-5258BF209AAC}">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0" authorId="0" shapeId="0" xr:uid="{146B2991-B4D1-4196-BE31-0F9BD5BFD2BB}">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1" authorId="0" shapeId="0" xr:uid="{9488D84E-B9FC-48A2-A4E7-7117575FF1F6}">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2" authorId="0" shapeId="0" xr:uid="{9B1B8D44-C949-4B51-B15A-C08EFF8FDC35}">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4" authorId="0" shapeId="0" xr:uid="{8077DF68-8D61-42AE-B7D9-4493B174B540}">
      <text>
        <r>
          <rPr>
            <b/>
            <sz val="9"/>
            <color indexed="81"/>
            <rFont val="Tahoma"/>
            <family val="2"/>
          </rPr>
          <t>Financial Edge:</t>
        </r>
        <r>
          <rPr>
            <sz val="9"/>
            <color indexed="81"/>
            <rFont val="Tahoma"/>
            <family val="2"/>
          </rPr>
          <t xml:space="preserve">
Implied EV/EBITDA multiple by taking EV/Revenue and dividing by Redbull's EBITDA margin</t>
        </r>
      </text>
    </comment>
    <comment ref="L26" authorId="0" shapeId="0" xr:uid="{515B3555-CA80-424F-B427-92088EB7F072}">
      <text>
        <r>
          <rPr>
            <b/>
            <sz val="9"/>
            <color indexed="81"/>
            <rFont val="Tahoma"/>
            <family val="2"/>
          </rPr>
          <t>Financial Edge:</t>
        </r>
        <r>
          <rPr>
            <sz val="9"/>
            <color indexed="81"/>
            <rFont val="Tahoma"/>
            <family val="2"/>
          </rPr>
          <t xml:space="preserve">
Implied EV/EBITDA multiple by taking EV/Revenue and dividing by Redbull's EBITDA margin</t>
        </r>
      </text>
    </comment>
  </commentList>
</comments>
</file>

<file path=xl/sharedStrings.xml><?xml version="1.0" encoding="utf-8"?>
<sst xmlns="http://schemas.openxmlformats.org/spreadsheetml/2006/main" count="1525" uniqueCount="881">
  <si>
    <t>Case Study</t>
  </si>
  <si>
    <t>This document is for training purposes only. Financial Edge accepts no responsibility or liability for any other purpose or usage.</t>
  </si>
  <si>
    <t>www.fe.training</t>
  </si>
  <si>
    <t>Workout Information</t>
  </si>
  <si>
    <t>Features</t>
  </si>
  <si>
    <t>Model Details</t>
  </si>
  <si>
    <t>◦</t>
  </si>
  <si>
    <t>Financial statement analysis</t>
  </si>
  <si>
    <t>Company name</t>
  </si>
  <si>
    <t>Red Bull</t>
  </si>
  <si>
    <t>Modeling</t>
  </si>
  <si>
    <t>Date</t>
  </si>
  <si>
    <t>Valuation</t>
  </si>
  <si>
    <t>Currency</t>
  </si>
  <si>
    <t>as noted</t>
  </si>
  <si>
    <t>M&amp;A</t>
  </si>
  <si>
    <t>Units</t>
  </si>
  <si>
    <t>Millions</t>
  </si>
  <si>
    <t>LBO</t>
  </si>
  <si>
    <t>Analyst Name</t>
  </si>
  <si>
    <t>Firstname Lastname</t>
  </si>
  <si>
    <t>Circular Switch</t>
  </si>
  <si>
    <t>Tab Structure</t>
  </si>
  <si>
    <t>Formatting</t>
  </si>
  <si>
    <t>Input</t>
  </si>
  <si>
    <t>Hard coded</t>
  </si>
  <si>
    <t>Formulas</t>
  </si>
  <si>
    <t>Coca-Cola Company</t>
  </si>
  <si>
    <t>Keurig Dr Pepper</t>
  </si>
  <si>
    <t>PepsiCo</t>
  </si>
  <si>
    <t>Monster</t>
  </si>
  <si>
    <t>Suntory</t>
  </si>
  <si>
    <t>Danone</t>
  </si>
  <si>
    <t xml:space="preserve">Filing URL for Coca Cola: </t>
  </si>
  <si>
    <t>https://felix.fe.training/filing-document-share/?ref=fdhs65e5a44a0fe6b</t>
  </si>
  <si>
    <t>Activity</t>
  </si>
  <si>
    <t>For Monster and/or Coca-Cola, link the selected income statements items and balance sheet items to the source documentation in Felix.</t>
  </si>
  <si>
    <t>Using the space at the bottom, calculate the profitability, asset efficiency and leverage ratios for all companies.</t>
  </si>
  <si>
    <t>Review the year-on-year change in Monster's revenue, gross margin and EBITDA margin.</t>
  </si>
  <si>
    <t>Use the management discussion and analysis (MD&amp;A) section of the financial report and the related 8-K to find key reasons for any changes.</t>
  </si>
  <si>
    <t>Create a chart to benchmark the revenue growth and EBITDA margin of these companies. Using the chart, how does Monster compare to these peers and why?</t>
  </si>
  <si>
    <t>Optional: Using the answers to the questions above, create a company profile for Monster and/or Coca-Cola.</t>
  </si>
  <si>
    <t>Benchmark chart data</t>
  </si>
  <si>
    <t>Revenue Growth</t>
  </si>
  <si>
    <t>EBITDA Margin 22</t>
  </si>
  <si>
    <t>EBITDA Margin 23</t>
  </si>
  <si>
    <t>Coca Cola</t>
  </si>
  <si>
    <t>Monster has the highest revenue growth of its peers.</t>
  </si>
  <si>
    <t>Monster has an EBITDA margin that increased slightly between the two years.</t>
  </si>
  <si>
    <t>PepsiCo and Danone's EBITDA margins lag behind their peers due to their large food segments.</t>
  </si>
  <si>
    <t>Suntory has a low EBITDA margin despite producing both soft and alcoholic drinks, which normally command a higher margin.</t>
  </si>
  <si>
    <t>$</t>
  </si>
  <si>
    <t>¥</t>
  </si>
  <si>
    <t>€</t>
  </si>
  <si>
    <t>All figures in millions, except EPS</t>
  </si>
  <si>
    <t>Selected income statement items</t>
  </si>
  <si>
    <t>Reported revenue</t>
  </si>
  <si>
    <t>Adjusted revenue</t>
  </si>
  <si>
    <t>Reported gross profit</t>
  </si>
  <si>
    <t>Adjusted gross profit</t>
  </si>
  <si>
    <t>Reported operating profit</t>
  </si>
  <si>
    <t>Adjusted operating profit</t>
  </si>
  <si>
    <t>Further adjustments</t>
  </si>
  <si>
    <t>EBIT</t>
  </si>
  <si>
    <t>Reported depreciation and amortization</t>
  </si>
  <si>
    <t>EBITDA</t>
  </si>
  <si>
    <t>Reported interest expense</t>
  </si>
  <si>
    <t>Adjusted interest expense</t>
  </si>
  <si>
    <t>Adjusted profit before tax</t>
  </si>
  <si>
    <t>NA</t>
  </si>
  <si>
    <t>Adjusted tax expense</t>
  </si>
  <si>
    <t xml:space="preserve">Normalized effective tax rate (ETR) </t>
  </si>
  <si>
    <t>Statutory rate</t>
  </si>
  <si>
    <t>Other statutory rates</t>
  </si>
  <si>
    <t>Marginal tax rate (MTR)</t>
  </si>
  <si>
    <t>Reported diluted EPS</t>
  </si>
  <si>
    <t>Adjusted diluted EPS</t>
  </si>
  <si>
    <t>Selected balance sheet items</t>
  </si>
  <si>
    <t>Accounts receivable</t>
  </si>
  <si>
    <t>Inventories</t>
  </si>
  <si>
    <t>Prepaid expenses</t>
  </si>
  <si>
    <t>Tax receivable</t>
  </si>
  <si>
    <t>Other current assets</t>
  </si>
  <si>
    <t>Restricted cash</t>
  </si>
  <si>
    <t>Operating current assets</t>
  </si>
  <si>
    <t>Accounts payable</t>
  </si>
  <si>
    <t>Taxes payable</t>
  </si>
  <si>
    <t>Other current liabilities</t>
  </si>
  <si>
    <t>Accrued liabilities</t>
  </si>
  <si>
    <t>Accrued promotional allowances</t>
  </si>
  <si>
    <t>Deferred revenue</t>
  </si>
  <si>
    <t>Accrued compensation</t>
  </si>
  <si>
    <t>Provisions</t>
  </si>
  <si>
    <t>Operating current liabilities</t>
  </si>
  <si>
    <t>Operating working capital</t>
  </si>
  <si>
    <t>Net PP&amp;E</t>
  </si>
  <si>
    <t>Net amortizing intangibles</t>
  </si>
  <si>
    <t>Capital expenditure of PP&amp;E</t>
  </si>
  <si>
    <t>Short term debt</t>
  </si>
  <si>
    <t>Current maturities of long term debt</t>
  </si>
  <si>
    <t>Long term debt</t>
  </si>
  <si>
    <t>Finance lease liability - current</t>
  </si>
  <si>
    <t>Finance lease liability - non current</t>
  </si>
  <si>
    <t>Structured payables</t>
  </si>
  <si>
    <t>Other</t>
  </si>
  <si>
    <t>Total debt</t>
  </si>
  <si>
    <t>Cash and cash equivalents</t>
  </si>
  <si>
    <t>Short term investments / marketable securities</t>
  </si>
  <si>
    <t>Total cash and financial assets</t>
  </si>
  <si>
    <t>Net debt</t>
  </si>
  <si>
    <t>Shareholders equity (excluding NCI)</t>
  </si>
  <si>
    <t>Profitability ratios</t>
  </si>
  <si>
    <t>Revenue growth</t>
  </si>
  <si>
    <t>Gross margin</t>
  </si>
  <si>
    <t>EBIT margin</t>
  </si>
  <si>
    <t>EBITDA margin</t>
  </si>
  <si>
    <t>Net operational profit after tax (NOPAT)</t>
  </si>
  <si>
    <t>Invested capital</t>
  </si>
  <si>
    <t>Return on invested capital</t>
  </si>
  <si>
    <t>Asset efficiency</t>
  </si>
  <si>
    <t>Receivable days</t>
  </si>
  <si>
    <t>Inventory days</t>
  </si>
  <si>
    <t>Payable days</t>
  </si>
  <si>
    <t>OWC % revenues</t>
  </si>
  <si>
    <t>PP&amp;E and intangibles % revenue</t>
  </si>
  <si>
    <t>Capex % revenue</t>
  </si>
  <si>
    <t>Capex/(depreciation &amp; amortization)</t>
  </si>
  <si>
    <t>Revenue/invested capital</t>
  </si>
  <si>
    <t>Leverage</t>
  </si>
  <si>
    <t>Debt/equity</t>
  </si>
  <si>
    <t>Debt/debt plus equity</t>
  </si>
  <si>
    <t>Net debt/equity</t>
  </si>
  <si>
    <t>Net debt/net debt plus equity</t>
  </si>
  <si>
    <t>Net debt/EBITDA</t>
  </si>
  <si>
    <t>EBITDA/interest expense</t>
  </si>
  <si>
    <t>Lease adjustments to US company figures for comparability with IFRS</t>
  </si>
  <si>
    <t>Lease rental expense</t>
  </si>
  <si>
    <t>Lease liabilities</t>
  </si>
  <si>
    <t>Lease interest % lease rental expense</t>
  </si>
  <si>
    <t>Lease adjusted ratios</t>
  </si>
  <si>
    <t>EBITDAR</t>
  </si>
  <si>
    <t>EBITDAR margin</t>
  </si>
  <si>
    <t>Lease adjusted net debt</t>
  </si>
  <si>
    <t>Lease adjusted net debt/EBITDAR</t>
  </si>
  <si>
    <t>Lease adjusted invested capital</t>
  </si>
  <si>
    <t>Lease adjusted net operational profit after tax (NOPAT)</t>
  </si>
  <si>
    <t>Lease adjusted return on invested capital</t>
  </si>
  <si>
    <t>End</t>
  </si>
  <si>
    <t>Accounting Activity Notes</t>
  </si>
  <si>
    <t>Using the hyperlinks below, explain the drivers of the company's performance in the last year.</t>
  </si>
  <si>
    <t>Revenue growth link</t>
  </si>
  <si>
    <t>Gross profit link</t>
  </si>
  <si>
    <t>SG&amp;A expenses link</t>
  </si>
  <si>
    <t>Other operating charges link</t>
  </si>
  <si>
    <t>Instructor answers can be found in the "Trainer Notes" tab</t>
  </si>
  <si>
    <t>Bang acquisition link</t>
  </si>
  <si>
    <t>Sales link</t>
  </si>
  <si>
    <t>Sales volume link</t>
  </si>
  <si>
    <t>Foreign currency link</t>
  </si>
  <si>
    <t>Gross profit margins link</t>
  </si>
  <si>
    <t>Operating expenses link</t>
  </si>
  <si>
    <t>Operating profit link</t>
  </si>
  <si>
    <t>Actual</t>
  </si>
  <si>
    <t>Projected</t>
  </si>
  <si>
    <t>All numbers in EURm unless otherwise stated</t>
  </si>
  <si>
    <t>Assumptions</t>
  </si>
  <si>
    <t>Revenue growth - Europe</t>
  </si>
  <si>
    <t>Revenue growth - USA</t>
  </si>
  <si>
    <t>Revenue growth - Americas excluding USA</t>
  </si>
  <si>
    <t>Revenue growth - Rest of world</t>
  </si>
  <si>
    <t>Total revenue growth</t>
  </si>
  <si>
    <t>Total revenue check, CAGR 2024-2029</t>
  </si>
  <si>
    <t>COGS as % of total revenue</t>
  </si>
  <si>
    <t>SG&amp;A as % of total revenue</t>
  </si>
  <si>
    <t>Marketing expense as % of total revenue</t>
  </si>
  <si>
    <t>Depreciation % beginning net PP&amp;E</t>
  </si>
  <si>
    <t>Other financial income / expense amount</t>
  </si>
  <si>
    <t>Effective tax rate</t>
  </si>
  <si>
    <t>Marginal tax rate</t>
  </si>
  <si>
    <t>Dividend payout ratio % net income</t>
  </si>
  <si>
    <t>Accounts receivable days</t>
  </si>
  <si>
    <t>Other current assets as % of total revenue</t>
  </si>
  <si>
    <t>Capital expenditure % of total revenue</t>
  </si>
  <si>
    <t>Financial assets amount</t>
  </si>
  <si>
    <t>Accounts payable days</t>
  </si>
  <si>
    <t>Long term debt issuance (repayment)</t>
  </si>
  <si>
    <t>Interest rate on revolver</t>
  </si>
  <si>
    <t>Interest rate on long term debt</t>
  </si>
  <si>
    <t>Interest rate on cash</t>
  </si>
  <si>
    <t>Calculations</t>
  </si>
  <si>
    <t>Beginning</t>
  </si>
  <si>
    <t>Capital expenditure</t>
  </si>
  <si>
    <t>Depreciation</t>
  </si>
  <si>
    <t>Ending</t>
  </si>
  <si>
    <t>Equity</t>
  </si>
  <si>
    <t>Net income</t>
  </si>
  <si>
    <t>Dividends</t>
  </si>
  <si>
    <t>Income statement</t>
  </si>
  <si>
    <t>Revenue</t>
  </si>
  <si>
    <t>Europe</t>
  </si>
  <si>
    <t>USA</t>
  </si>
  <si>
    <t>Americas excluding USA</t>
  </si>
  <si>
    <t>Rest of world</t>
  </si>
  <si>
    <t>Total revenue</t>
  </si>
  <si>
    <t>Cost of goods sold</t>
  </si>
  <si>
    <t>Gross profit</t>
  </si>
  <si>
    <t>Selling, general &amp; admin expenses</t>
  </si>
  <si>
    <t>Marketing expenses</t>
  </si>
  <si>
    <t>Interest income</t>
  </si>
  <si>
    <t>Interest expense</t>
  </si>
  <si>
    <t>Other financial income / (expense)</t>
  </si>
  <si>
    <t>Profit before tax</t>
  </si>
  <si>
    <t>Tax expense</t>
  </si>
  <si>
    <t>Balance sheet</t>
  </si>
  <si>
    <t>Cash</t>
  </si>
  <si>
    <t>Total current assets</t>
  </si>
  <si>
    <t>Financial assets</t>
  </si>
  <si>
    <t>Total assets</t>
  </si>
  <si>
    <t>Revolver</t>
  </si>
  <si>
    <t>Total current liabilities</t>
  </si>
  <si>
    <t>Total liabilities</t>
  </si>
  <si>
    <t>Total liabilities and equity</t>
  </si>
  <si>
    <t>Check</t>
  </si>
  <si>
    <t>Cash flow statement</t>
  </si>
  <si>
    <t>Change in accounts receivable</t>
  </si>
  <si>
    <t>Change in inventories</t>
  </si>
  <si>
    <t>Change in other current assets</t>
  </si>
  <si>
    <t>Change in accounts payable</t>
  </si>
  <si>
    <t>Cash flow from operations</t>
  </si>
  <si>
    <t>(Capital expenditure)</t>
  </si>
  <si>
    <t>Change in financial assets</t>
  </si>
  <si>
    <t>Cash flow from investing activities</t>
  </si>
  <si>
    <t>Change in long term debt</t>
  </si>
  <si>
    <t>Cash flow from financing activities</t>
  </si>
  <si>
    <t>Beginning cash, net of revolver</t>
  </si>
  <si>
    <t>Net cash flow</t>
  </si>
  <si>
    <t>Ending cash, net of revolver</t>
  </si>
  <si>
    <t>Interest calculation</t>
  </si>
  <si>
    <t>Interest on revolver</t>
  </si>
  <si>
    <t>Interest on long term debt</t>
  </si>
  <si>
    <t>Interest on cash</t>
  </si>
  <si>
    <t>Income statement operating statistics</t>
  </si>
  <si>
    <t>Net income margin</t>
  </si>
  <si>
    <t>Number of cans sold</t>
  </si>
  <si>
    <t>Revenue per can (€)</t>
  </si>
  <si>
    <t>Balance sheet operating statistics</t>
  </si>
  <si>
    <t>OWC % revenue</t>
  </si>
  <si>
    <t>Net PP&amp;E % revenue</t>
  </si>
  <si>
    <t>Return on opening invested capital</t>
  </si>
  <si>
    <t>Growth in invested capital</t>
  </si>
  <si>
    <t>Debt and interest statistics</t>
  </si>
  <si>
    <t>Net debt / EBITDA</t>
  </si>
  <si>
    <t>EBITDA / interest expense</t>
  </si>
  <si>
    <t>Net debt / net debt + equity</t>
  </si>
  <si>
    <t>Trading comparables</t>
  </si>
  <si>
    <t>Decide what items are needed to calculate the EV multiples for the companies below.</t>
  </si>
  <si>
    <t>After agreeing with the instructor what these line items are, find the figures using Felix and calculate the multiples.</t>
  </si>
  <si>
    <t>For the share price, go to the company page in Felix and find the closing share price for 6th March 2024, the day before the valuation date of 7th March 2024.</t>
  </si>
  <si>
    <t>Company 1 EV / LTM EBITDA</t>
  </si>
  <si>
    <t>Coca-Cola</t>
  </si>
  <si>
    <t>Basic shares outstanding</t>
  </si>
  <si>
    <t>Number of options</t>
  </si>
  <si>
    <t>Strike price</t>
  </si>
  <si>
    <t>Share price</t>
  </si>
  <si>
    <t>Net new shares from options</t>
  </si>
  <si>
    <t>RSUs - performance based</t>
  </si>
  <si>
    <t>RSUs - time based</t>
  </si>
  <si>
    <t>Diluted shares outstanding</t>
  </si>
  <si>
    <t>Diluted equity</t>
  </si>
  <si>
    <t>Debt - short term</t>
  </si>
  <si>
    <t>Debt - current maturities</t>
  </si>
  <si>
    <t>Debt - long term</t>
  </si>
  <si>
    <t>NCI</t>
  </si>
  <si>
    <t>Cash and short term investments</t>
  </si>
  <si>
    <t>Marketable securities</t>
  </si>
  <si>
    <t>Equity method investments</t>
  </si>
  <si>
    <t>Other investments</t>
  </si>
  <si>
    <t>EV</t>
  </si>
  <si>
    <t>Forward figures</t>
  </si>
  <si>
    <t>LTM Workings</t>
  </si>
  <si>
    <t>From 10-K</t>
  </si>
  <si>
    <t>Old 10-Q</t>
  </si>
  <si>
    <t>New 10-Q</t>
  </si>
  <si>
    <t>LTM</t>
  </si>
  <si>
    <t>2024e</t>
  </si>
  <si>
    <t>2025e</t>
  </si>
  <si>
    <t>2026e</t>
  </si>
  <si>
    <t>Depreciation and amortization</t>
  </si>
  <si>
    <t>EV / EBITDA</t>
  </si>
  <si>
    <t>Company 2 EV / LTM EBITDA</t>
  </si>
  <si>
    <t>PSUs</t>
  </si>
  <si>
    <t>RSUs</t>
  </si>
  <si>
    <t>Unamortized debt discount / original issue discount</t>
  </si>
  <si>
    <t>Equity method investments in unconsolidated affiliates</t>
  </si>
  <si>
    <t>Further adjustments - amortization add back reversed</t>
  </si>
  <si>
    <t>Further adjustments - stock compensation add back reversed</t>
  </si>
  <si>
    <t>Analyst name</t>
  </si>
  <si>
    <t>Your name here</t>
  </si>
  <si>
    <t>Key data</t>
  </si>
  <si>
    <t>Enterprise value summary</t>
  </si>
  <si>
    <t>Ticker</t>
  </si>
  <si>
    <t>KO-US</t>
  </si>
  <si>
    <t>Country</t>
  </si>
  <si>
    <t>United States</t>
  </si>
  <si>
    <t>+ Diluted equity value</t>
  </si>
  <si>
    <t>Analysis date</t>
  </si>
  <si>
    <t>+ Debt</t>
  </si>
  <si>
    <t>Calendarize to</t>
  </si>
  <si>
    <t>- Cash and ST investments</t>
  </si>
  <si>
    <t>Currency / FX</t>
  </si>
  <si>
    <t>- Other adjustments</t>
  </si>
  <si>
    <t>= Enterprise value</t>
  </si>
  <si>
    <t>Historical year end</t>
  </si>
  <si>
    <t>Last filing date US format</t>
  </si>
  <si>
    <t>12/31/2023</t>
  </si>
  <si>
    <t>Calendarized key numbers</t>
  </si>
  <si>
    <t>Last filing date Intl format</t>
  </si>
  <si>
    <t>Home currency</t>
  </si>
  <si>
    <t>USD</t>
  </si>
  <si>
    <t>FX rate</t>
  </si>
  <si>
    <t>Last closing price</t>
  </si>
  <si>
    <t>52 week low</t>
  </si>
  <si>
    <t>EPS</t>
  </si>
  <si>
    <t>52 week high</t>
  </si>
  <si>
    <t>Credit rating</t>
  </si>
  <si>
    <t>A+</t>
  </si>
  <si>
    <t>Calendarized multiples to December 31</t>
  </si>
  <si>
    <t>Beta</t>
  </si>
  <si>
    <t xml:space="preserve"> </t>
  </si>
  <si>
    <t>5 year EPS forward growth</t>
  </si>
  <si>
    <t>EV / Revenue</t>
  </si>
  <si>
    <t>LTM EBIT margin</t>
  </si>
  <si>
    <t>EV / EBIT</t>
  </si>
  <si>
    <t>PE</t>
  </si>
  <si>
    <t>P / BV</t>
  </si>
  <si>
    <t>Total debt / LTM EBITDA</t>
  </si>
  <si>
    <t>Enterprise value calculation (home currency)</t>
  </si>
  <si>
    <t>Share options and RSUs</t>
  </si>
  <si>
    <t>Tranche</t>
  </si>
  <si>
    <t>Number</t>
  </si>
  <si>
    <t>Strike</t>
  </si>
  <si>
    <t>New shares</t>
  </si>
  <si>
    <t>Equity valuation</t>
  </si>
  <si>
    <t>Financial liabilities calculation</t>
  </si>
  <si>
    <t>Financial assets calculation</t>
  </si>
  <si>
    <t>Options</t>
  </si>
  <si>
    <t>Shares outstanding as of</t>
  </si>
  <si>
    <t>Cash and ST investments</t>
  </si>
  <si>
    <t>Performance share units</t>
  </si>
  <si>
    <t>Performance based RSUs are often not included in dilution calculations as it is difficult to judge whether performance will be met and hence whether they will be exercised. Here it is likely that they have been dilutive in the past given the table in Note 13 on 10K p93 showing that most PRSUs in the previous year were released and few were forfeited. So assumed here that we include them</t>
  </si>
  <si>
    <t>Time based RSUs</t>
  </si>
  <si>
    <t>Other adjustments</t>
  </si>
  <si>
    <t>Tranche 4</t>
  </si>
  <si>
    <t>Dilution from share options</t>
  </si>
  <si>
    <t>Preferred equity</t>
  </si>
  <si>
    <t>Tranche 5</t>
  </si>
  <si>
    <t>Tranche 6</t>
  </si>
  <si>
    <t>Diluted equity value</t>
  </si>
  <si>
    <t>Tranche 7</t>
  </si>
  <si>
    <t>Shareholders' equity</t>
  </si>
  <si>
    <t>Tranche 8</t>
  </si>
  <si>
    <t>Net debt and other adjustments</t>
  </si>
  <si>
    <t>Total</t>
  </si>
  <si>
    <t>Total financial liabilities</t>
  </si>
  <si>
    <t>Total financial assets</t>
  </si>
  <si>
    <t>Earnings (home currency)</t>
  </si>
  <si>
    <t>Consensus estimates</t>
  </si>
  <si>
    <t>Annual</t>
  </si>
  <si>
    <t>Old 10-Q/Interim</t>
  </si>
  <si>
    <t>New 10-Q/interim</t>
  </si>
  <si>
    <t>Adj. LTM</t>
  </si>
  <si>
    <t>Fiscal Year</t>
  </si>
  <si>
    <t>FY +1</t>
  </si>
  <si>
    <t>FY +2</t>
  </si>
  <si>
    <t>FY +3</t>
  </si>
  <si>
    <t>FY +4</t>
  </si>
  <si>
    <t>N/A</t>
  </si>
  <si>
    <t>Source: Felix 7th March 2024</t>
  </si>
  <si>
    <t>Factset EBIT</t>
  </si>
  <si>
    <t>Source: Factset 7th March 2024</t>
  </si>
  <si>
    <t>EBITDA (consolidated)</t>
  </si>
  <si>
    <t>Lease adjustments for US and IFRS comparability</t>
  </si>
  <si>
    <t>Lease interest % lease rental expense (from S&amp;P)</t>
  </si>
  <si>
    <t>Operating lease rental expense in home currency</t>
  </si>
  <si>
    <t>EBITDAR (adj for op lease rental expense) in home currency</t>
  </si>
  <si>
    <t>EBITR (adj for op lease interest) in home currency</t>
  </si>
  <si>
    <t>Operating lease liabilities in home currency</t>
  </si>
  <si>
    <t>EVR / EBITDAR</t>
  </si>
  <si>
    <t>EVR / EBITR</t>
  </si>
  <si>
    <t>Calendarization workings</t>
  </si>
  <si>
    <t xml:space="preserve">Fiscal year </t>
  </si>
  <si>
    <t>% last year</t>
  </si>
  <si>
    <t>% curr. year</t>
  </si>
  <si>
    <t>% next year</t>
  </si>
  <si>
    <t>Calendarize?</t>
  </si>
  <si>
    <t>Data?</t>
  </si>
  <si>
    <t>KDP-US</t>
  </si>
  <si>
    <t>BBB+</t>
  </si>
  <si>
    <t>Performance based RSUs are often not included in dilution calculations as it is difficult to judge whether performance will be met and hence whether they will be exercised. Here it is likely that they have been dilutive in the past given that most PRSUs in the previous year were released and few were forfeited. So assumed here that we include them</t>
  </si>
  <si>
    <t>Finance lease liabilities</t>
  </si>
  <si>
    <t>Amortization of intangibles added back by management</t>
  </si>
  <si>
    <t>Stock compensation expense added back by management</t>
  </si>
  <si>
    <t xml:space="preserve">Which companies have the highest P/E and EV multiples and why? </t>
  </si>
  <si>
    <t>Which company has the lowest P/E and EV multiples and why?</t>
  </si>
  <si>
    <t>Identify the three or four closest peer companies to Red Bull and then narrow down to the best two (with reasons). Input their multiples in the 'shortlist' section. What is the median 2025e P/E and 2025e EBITDA of these peers? Use this to provide an implied equity value for Red Bull.</t>
  </si>
  <si>
    <t>Do you think these are robust estimates of Red Bull's equity value? Why or why not?</t>
  </si>
  <si>
    <t>Answers</t>
  </si>
  <si>
    <t>Monster, Fever Tree and Celsius have the highest multiples, due to high growth and/or margins. Monster has higher EV/Revenue than Fever Tree despite lower earnings multiples, as it has much higher margins.</t>
  </si>
  <si>
    <t>San Miguel has the lowest multiples due to low growth and low margins.</t>
  </si>
  <si>
    <t>The closest peers are shown below - all of these companies have energy drinks / mixers in their portfolio and have similar operating metrics.</t>
  </si>
  <si>
    <t>This valuation will overstate Red Bull's equity value as the selected peers are all US based - European companies tend to trade on a discount as they have a higher cost of capital and higher tax rates.</t>
  </si>
  <si>
    <t>Main currency</t>
  </si>
  <si>
    <t>Calendarization date</t>
  </si>
  <si>
    <t>P/E</t>
  </si>
  <si>
    <t>EBITR</t>
  </si>
  <si>
    <t>LTM EBITDA</t>
  </si>
  <si>
    <t>LT EPS</t>
  </si>
  <si>
    <t>Post tax</t>
  </si>
  <si>
    <t>CY1 Revenue</t>
  </si>
  <si>
    <t>CY2 Revenue</t>
  </si>
  <si>
    <t xml:space="preserve">Debt / </t>
  </si>
  <si>
    <t>Historical</t>
  </si>
  <si>
    <t xml:space="preserve">Credit </t>
  </si>
  <si>
    <t>Company</t>
  </si>
  <si>
    <t>Share price $</t>
  </si>
  <si>
    <t>52 week high $</t>
  </si>
  <si>
    <t xml:space="preserve">% of high </t>
  </si>
  <si>
    <t>Market Cap</t>
  </si>
  <si>
    <t>margin</t>
  </si>
  <si>
    <t>growth (%)</t>
  </si>
  <si>
    <t>ROIC</t>
  </si>
  <si>
    <t>growth</t>
  </si>
  <si>
    <t>Rating</t>
  </si>
  <si>
    <t>Debt</t>
  </si>
  <si>
    <t>Trading comparables longlist</t>
  </si>
  <si>
    <t>Monster Beverage</t>
  </si>
  <si>
    <t>MNST-US</t>
  </si>
  <si>
    <t>PEP-US</t>
  </si>
  <si>
    <t>Suntory Beverage &amp; Food</t>
  </si>
  <si>
    <t>2587-JP</t>
  </si>
  <si>
    <t>BN-FR</t>
  </si>
  <si>
    <t>National Beverage</t>
  </si>
  <si>
    <t>FIZZ-US</t>
  </si>
  <si>
    <t>Fevertree Drinks</t>
  </si>
  <si>
    <t>FEVR-GB</t>
  </si>
  <si>
    <t>Asahi Group Holdings</t>
  </si>
  <si>
    <t>2502-JP</t>
  </si>
  <si>
    <t>San Miguel Food and Bev</t>
  </si>
  <si>
    <t>FB-PH</t>
  </si>
  <si>
    <t>Celsius</t>
  </si>
  <si>
    <t>CELH-US</t>
  </si>
  <si>
    <t>LTM EBITDA /</t>
  </si>
  <si>
    <t>Trading comparables shortlist</t>
  </si>
  <si>
    <t>Median</t>
  </si>
  <si>
    <t>Red Bull 2025 net income</t>
  </si>
  <si>
    <t>Implied equity value</t>
  </si>
  <si>
    <t>Red Bull 2025 EBITDA</t>
  </si>
  <si>
    <t>Implied enterprise value</t>
  </si>
  <si>
    <t>Net debt/(cash)</t>
  </si>
  <si>
    <t>DO NOT DELETE</t>
  </si>
  <si>
    <t>COMPANY_NAME</t>
  </si>
  <si>
    <t>COMP_SHAREPRICE</t>
  </si>
  <si>
    <t>SHAREPRICE_HIGH</t>
  </si>
  <si>
    <t>COMP_EQ_VALUE</t>
  </si>
  <si>
    <t>COMP_EV</t>
  </si>
  <si>
    <t>PE_CY1</t>
  </si>
  <si>
    <t>PE_CY2</t>
  </si>
  <si>
    <t>SALES_LTM</t>
  </si>
  <si>
    <t>SALES_CY1</t>
  </si>
  <si>
    <t>SALES_CY2</t>
  </si>
  <si>
    <t>EBITDA_LTM</t>
  </si>
  <si>
    <t>EBITDA_CY1</t>
  </si>
  <si>
    <t>EBITDA_CY2</t>
  </si>
  <si>
    <t>EBIT_LTM</t>
  </si>
  <si>
    <t>EBIT_CY1</t>
  </si>
  <si>
    <t>EBIT_CY2</t>
  </si>
  <si>
    <t>EBITDAR_LTM</t>
  </si>
  <si>
    <t>EBITDAR_CY1</t>
  </si>
  <si>
    <t>EBITDAR_CY2</t>
  </si>
  <si>
    <t>EBITR_LTM</t>
  </si>
  <si>
    <t>EBITR_CY1</t>
  </si>
  <si>
    <t>EBITR_CY2</t>
  </si>
  <si>
    <t>EVR</t>
  </si>
  <si>
    <t>EPS_5YR_GROWTH</t>
  </si>
  <si>
    <t>TOTAL_DEBT</t>
  </si>
  <si>
    <t>BETA</t>
  </si>
  <si>
    <t>CREDIT_RATING</t>
  </si>
  <si>
    <t>COMP_FX</t>
  </si>
  <si>
    <t>Comps checklist</t>
  </si>
  <si>
    <t>Get first set of numbers from Felix or external data provider if available.</t>
  </si>
  <si>
    <t>If you can't reconcile a number, type over the formula and format in blue.</t>
  </si>
  <si>
    <t>Open the latest 10-Q or interim - for US companies use Felix, other data providers or the company's investor relations page to find this.</t>
  </si>
  <si>
    <t>Check the shares outstanding on the front page of the latest accounts for US companies.</t>
  </si>
  <si>
    <t>Check the balance sheet numbers for debt, preferred stock, cash and NCI.</t>
  </si>
  <si>
    <t>Ensure any OID (original issuer discount) or other discounts are added back to the debt so you have par value - the amount the company has to repay to investors. You might have to go to the 10-K / annual report for this.</t>
  </si>
  <si>
    <t>Check the latest 10-Q or interim for stock options information first. If you can't find them then use the 10-K / annual report.</t>
  </si>
  <si>
    <t>Get the earnings related press release (relevant 8K in the US) and calculate adjusted LTM revenue, EBITDA and EBIT.</t>
  </si>
  <si>
    <t>Put in consensus estimates for forecast years.</t>
  </si>
  <si>
    <t>Check the FX (foreign exchange) rate and tax rate. This should be the corporate tax rate in the country. Take from the notes in the annual report.</t>
  </si>
  <si>
    <t>Sanity check the output.</t>
  </si>
  <si>
    <t>Free cash flows</t>
  </si>
  <si>
    <t>Long-term effective tax rate</t>
  </si>
  <si>
    <t>Net operating profit after tax (NOPAT)</t>
  </si>
  <si>
    <t>Depreciation &amp; amortization</t>
  </si>
  <si>
    <t>(Increase) decrease in operating working capital</t>
  </si>
  <si>
    <t>Unlevered free cash flow</t>
  </si>
  <si>
    <t>Key ratios</t>
  </si>
  <si>
    <t>Cash conversion ratio</t>
  </si>
  <si>
    <t>Invested capital growth rate</t>
  </si>
  <si>
    <t>Return on average invested capital</t>
  </si>
  <si>
    <t>Return on new capital invested</t>
  </si>
  <si>
    <t>Terminal value</t>
  </si>
  <si>
    <t>Long term growth rate</t>
  </si>
  <si>
    <t>WACC</t>
  </si>
  <si>
    <t>Terminal value using long term growth rate</t>
  </si>
  <si>
    <t>Implied terminal EBITDA multiple</t>
  </si>
  <si>
    <t>Discounting</t>
  </si>
  <si>
    <t>Year</t>
  </si>
  <si>
    <t>Discount factor</t>
  </si>
  <si>
    <t>Present value of free cash flows</t>
  </si>
  <si>
    <t>Sum of present value of free cash flows</t>
  </si>
  <si>
    <t>Present value of terminal value</t>
  </si>
  <si>
    <t>Enterprise value</t>
  </si>
  <si>
    <t>Cash and other financial assets</t>
  </si>
  <si>
    <t>Debt and revolver</t>
  </si>
  <si>
    <t>Sensitivity</t>
  </si>
  <si>
    <t>WACC increment</t>
  </si>
  <si>
    <t>Long term growth rate increment</t>
  </si>
  <si>
    <t>WACC (for sensitivity data tables only, not connected to DCF model)</t>
  </si>
  <si>
    <t>Long-term growth rate</t>
  </si>
  <si>
    <t>All figures in USDm unless otherwise stated</t>
  </si>
  <si>
    <t>Debt %</t>
  </si>
  <si>
    <t>Unlevered</t>
  </si>
  <si>
    <t>MTR</t>
  </si>
  <si>
    <t>Capital</t>
  </si>
  <si>
    <t>Industry average</t>
  </si>
  <si>
    <t>Long-term</t>
  </si>
  <si>
    <t>Risk free rate</t>
  </si>
  <si>
    <t>Market risk premium</t>
  </si>
  <si>
    <t>Industry average unlevered beta</t>
  </si>
  <si>
    <t>Red Bull MTR</t>
  </si>
  <si>
    <t>Industry average implied debt % of equity</t>
  </si>
  <si>
    <t>Relevered beta</t>
  </si>
  <si>
    <t>Cost of equity</t>
  </si>
  <si>
    <t>Equity % of capital</t>
  </si>
  <si>
    <t>Corporate spread</t>
  </si>
  <si>
    <t>Cost of debt</t>
  </si>
  <si>
    <t>After tax cost of debt</t>
  </si>
  <si>
    <t>Debt % of capital</t>
  </si>
  <si>
    <t>Transaction comparables</t>
  </si>
  <si>
    <t>All figures in USDm unless stated</t>
  </si>
  <si>
    <t>Acquirer</t>
  </si>
  <si>
    <t>Announcement</t>
  </si>
  <si>
    <t>Transaction</t>
  </si>
  <si>
    <t>Enterprise</t>
  </si>
  <si>
    <t>Synergies %</t>
  </si>
  <si>
    <t>Target</t>
  </si>
  <si>
    <t>Reason for</t>
  </si>
  <si>
    <t>Status</t>
  </si>
  <si>
    <t>Value (MM)</t>
  </si>
  <si>
    <t>Value</t>
  </si>
  <si>
    <t>EV/Revenue</t>
  </si>
  <si>
    <t>EV/EBITDA</t>
  </si>
  <si>
    <t>Synergies</t>
  </si>
  <si>
    <t>LTM revenues</t>
  </si>
  <si>
    <t>excluding</t>
  </si>
  <si>
    <t>Synopsis</t>
  </si>
  <si>
    <t>Transactions longlist</t>
  </si>
  <si>
    <t>SABMiller Plc</t>
  </si>
  <si>
    <t>Anheuser-Busch InBev SA /Old/</t>
  </si>
  <si>
    <t>Complete</t>
  </si>
  <si>
    <t>UK</t>
  </si>
  <si>
    <t xml:space="preserve">Anheuser-Busch InBev SA acquired SABMiller Plc for GBP73.1 billion (US$112.2 billion) in cash, via a pre-conditional scheme of arrangement. Under the terms of the transaction, the bidder paid a revised price of GBP45 (US$69.1155) in cash per target share, with a partial share alternative which comprises up to 326 million shares for approximately 41.6% of SABMiller's share capital, was subject to pre-conditions. The offer represents a 53% premium to SABMiller's closing share price of GBP29.34 (US$45.1) on September 14, 2015. SABMiller shareholders who will elect for the partial share alternative will receive 0.483969 AB InBev restricted shares for every 1 SABmiller share, plus GBP4.6588 (US$7.1555) in cash per target share. The cash offer was financed through existing cash resources and new third party debt. The acquisition would enhance AB InBev's market presence in Colombia, Peru and Africa. Moreover, both parties announced the sale of SABmiller's 58% majority stake in MillerCoors LLC to Molson Coors Brewing Co. </t>
  </si>
  <si>
    <t>SABMiller Ltd</t>
  </si>
  <si>
    <t>Asahi Group Holdings Ltd.</t>
  </si>
  <si>
    <t>-</t>
  </si>
  <si>
    <t>Germany</t>
  </si>
  <si>
    <t>Asahi Group Holdings Ltd acquired 8 Central &amp; Eastern European subsidiaries of SABMiller Ltd, a subsidiary of Anheuser-Busch InBev SA/NV for approximately EUR7.3 billion (US$7.7 billion) in cash, funded by bank loans. Approximately EUR23.7 million (US$25.1 million) was also be paid for advisory and related fees. The 8 subsidiaries were mainly located in Czech Republic, Slovakia, Poland, Hungary, and Romania and engages in manufacturing and distributing beers and beverages. Earlier in June 2016, several companies were rumored to be interested to acquire the Central and Eastern European Business.</t>
  </si>
  <si>
    <t>Refresco Group BV (Old)</t>
  </si>
  <si>
    <t>BC Investment Management Corp.; PAI Partners SAS; Refresco Group NV /Private Group/</t>
  </si>
  <si>
    <t>Netherlands</t>
  </si>
  <si>
    <t xml:space="preserve">A private group led by the private equity arm of PAI Partners SAS and BC Investment Management Corp acquired Refresco Group NV for a revised offer of EUR1.6 billion (US$1.7 billion) in cash. The acquisition was funded via debt and equity financing. PAI Partners SAS paid EUR20 (US$21.3) cash for every target share sought, representing a premium of 22% over Refresco Group NV's closing price on July 25, 2017. Refresco Group NV is located in Rotterdam, Zuid-Holland, the Netherlands and engages in the bottling of beverages for retailers and brands. The company has approximately 5,500 employees. On April 3, 2018 the offer closed with 80,655,933 shares, representing 99.4% of Refresco Group NV, tendered. PAI Partners SAS intends to launch a compulsory acquisition procedure to acquire the remaining shares not tendered in the offer. </t>
  </si>
  <si>
    <t>Saigon Beer Alcohol Beverage Corp</t>
  </si>
  <si>
    <t>Thai Beverage Public Co., Ltd.; Vietnam Beverage Co. Ltd.</t>
  </si>
  <si>
    <t>Vietnam</t>
  </si>
  <si>
    <t>Vietnam Beverage Co Ltd, indirectly owned by Thai Beverage Public Co Ltd, acquired a 53.6% majority stake in Saigon Beer Alcohol Beverage Corp from the Government of Vietnam for VND110 trillion (US$4.8 billion) in cash. Under the terms, Vietnam Beverage Co Ltd paid VND0.32 million (US$14.09) cash per share. The offer price was funded through a mix of its existing equity capital and loans. The transaction will enhance the business portfolio of both companies. Based in Ho Chi Minh City, Vietnam, Saigon Beer Alcohol Beverage Corp engages in the manufacture and trading of beer, alcohol and beverages.</t>
  </si>
  <si>
    <t>Dr Pepper Snapple Group, Inc</t>
  </si>
  <si>
    <t>Keurig Green Mountain, Inc.</t>
  </si>
  <si>
    <t>Keurig Green Mountain Inc, acquired Dr Pepper Snapple Group Inc for US$22.7 billion in special cash dividend and stock. Under the terms of the transaction, shareholders of Dr. Pepper Snapple Group Inc received US$103.75 special cash dividend for every share owned. The transaction will be funded through senior notes and borrowings under new credit facilities. The acquisition creates a new beverage company to be called Keurig Dr. Pepper and begins trading on the New York Stock Exchange on July 10 under the symbol "KDP". Located in Plano, Texas, United States, Dr. Pepper Snapple Group Inc manufactures and markets non-alcoholic beverages. Following completion of the deal, Keurig Green Mountain Inc and its investors will hold 87% in the new company and Dr. Pepper Snapple Group Inc will hold the remaining 13%.</t>
  </si>
  <si>
    <t>Sichuan Swellfun Co Ltd</t>
  </si>
  <si>
    <t>Grand Metropolitan International Holdings Ltd.; Grand Metropolitan Ltd.</t>
  </si>
  <si>
    <t>China</t>
  </si>
  <si>
    <t>Grand Metropolitan International Holdings Ltd, owned by Diageo Plc, acquired an additional 20.3% minority stake in Sichuan Swellfun Co Ltd for RMB6.1 billion (US$936.8 million) in cash, via a partial tender offer. Under the terms of the transaction, the bidder paid RMB61.38 (US$9.5) cash for the shares of the target. The offer price represents a 22.6% premium over the closing price of Sichuan Swellfun Co Ltd on June 25, 2018. Upon completion of the offer, Diageo Plc will have a 60% majority stake ownership in the target. Sichuan Swellfun Co Ltd is located in Chengdu, Sichuan, China and manufactures and distributes antibiotics. The company is also engaged in liquor production and distribution.</t>
  </si>
  <si>
    <t>Sodastream International</t>
  </si>
  <si>
    <t>Israel</t>
  </si>
  <si>
    <t>PepsiCo announces plans to acquire at-home carbonated drink maker SodaStream for $3.2 billion. PepsiCo will pay $144.00 per share in cash for SodaStream’s outstanding stock, which is a 32 percent premium to its 30-day volume weighted average price. The deal gives Pepsi a new line through which it can reach customers in their homes, rather than through stores. Sodastream helped create the market for in-home soda making, but in recent years it has promoted the product as a tool to make carbonated water, accommodating for changing tastes.</t>
  </si>
  <si>
    <t>The Fuller's Beer Co Ltd</t>
  </si>
  <si>
    <t>Asahi Europe Ltd.</t>
  </si>
  <si>
    <t>Asahi Europe, a subsidiary of Asahi Group Holdings, acquired the business related to beer production and manufacturing from Fuller Smith &amp; Turner Plc for GBP250 million (US$326.1 million)in cash. In addition, GBP4.2 million (US$5.5 million) will be paid for advisory related fees. The assets to be acquired are located in United Kingdom and produce and brew beer, cider and soft drinks and which collectively had an EBITDA of GBP10.6 million (US$13.8 million) in the period ending in March 2018.</t>
  </si>
  <si>
    <t>CUB Pty Ltd.</t>
  </si>
  <si>
    <t>Australia</t>
  </si>
  <si>
    <t>Asahi Group Holdings agreed to acquire CUB Pty Ltd, a subsidiary of Fosters Group Pty Ltd and ultimately owned by Anheuser-Busch InBev SA/NV, for an enterprise value of AUD16 billion (US$11.3 billion). CUB Pty Ltd is located in Victoria, Australia and operates breweries. The company has around 1,310 employees and has an EBITDA of AUD1.1 billion (US$774.5 million) for the fiscal year ended December 2018.</t>
  </si>
  <si>
    <t>Primo Water Corp.</t>
  </si>
  <si>
    <t>Cott Corp. (Canada)</t>
  </si>
  <si>
    <t>Cott Corp entered into a definitive agreement to acquire Primo Water Corp for US$564.3 million in cash and stock. The acquisition will be funded through Cott Corp's sales and revenues, debt financing and by issuing new shares. The acquisition will expand Cott Corp's channel diversification and consumer reach. Primo Water Corp is located in Winston-Salem, North Carolina, United States and manufactures and markets purified bottled water.</t>
  </si>
  <si>
    <t>Rockstar, Inc.</t>
  </si>
  <si>
    <t>PepsiCo, Inc.</t>
  </si>
  <si>
    <t>PepsiCo Inc acquired Rockstar Inc, doing business as Rockstar Energy Drink, for US$3.85 billion. The transaction accelerates PepsiCo Inc's capabilities to expand its presence in existing brands such as Mountain Dew. Founded in 2001, Rockstar Inc is located in Las Vegas, Nevada, United States and provides energy drinks to athletes and rock stars.</t>
  </si>
  <si>
    <t>Coca-Cola Amatil Ltd.</t>
  </si>
  <si>
    <t>Coca-Cola European Partners Plc</t>
  </si>
  <si>
    <t>Coca-Cola European Partners Plc acquired the remaining 69.2% stake not yet owned in Coca-Cola Amatil Ltd for a revised amount of AUD6.7 billion (US$4.7 billion), representing a 23% premium to the 1-week volume weighted average price. Both companies are bottlers of Coca-Cola products. Coca-Cola Amatil Ltd is located in North Sydney, New South Wales (NSW), Australia.</t>
  </si>
  <si>
    <t>CANarchy Craft Brewery Collective LLC</t>
  </si>
  <si>
    <t>Monster Beverage Corporation</t>
  </si>
  <si>
    <t>Monster Beverage Corporation announced today that it has entered into a definitive agreement to acquire CANarchy Craft Brewery Collective LLC, a craft beer and hard seltzer company for $330 million in cash. CANarchy will function independently, retaining its own organizational structure and team. Evercore served as financial advisor to Monster.</t>
  </si>
  <si>
    <t>Nestle Waters North America, Inc.</t>
  </si>
  <si>
    <t>Round Hill Investments LLC; One Rock Capital Partners LLC; Nestle SA /North American Water Brands/ /Private Group/</t>
  </si>
  <si>
    <t xml:space="preserve">A private group led by One Rock Capital Partners LLC and Round Hill Investments LLC acquired Nestle Waters North America Inc from Nestlé SA for US$4.3 billion in cash. The transaction was funded through secured and unsecured debt. The transaction also includes Poland Spring, Pure Life, Deer Park, Poland Spring, Ozarka, Ice Mountain, Zephyrhills and Arrowhead brands to be sold. Nestlé SA's international premium brands including Perrier, S.Pellegrino and Acqua Panna are not part of the deal. Nestle Waters North America, Inc is located in Stamford, Connecticut and produces, markets, and distributes bottled water. It has around 7,000 employees in United States and more than 230 in Canada. </t>
  </si>
  <si>
    <t>HyEdge, Inc.</t>
  </si>
  <si>
    <t>Ficaar, Inc.</t>
  </si>
  <si>
    <t>Ficaar Inc acquired HyEdge Inc for US$772.4 million in stock. Incorporated in 2014, HyEdge Inc is located in Pennsylvania, United States and manufactures and supplies hydrogen infused water products and other consumer goods. For the year ended December 31, 2021, Hydge Inc generated a net revenue of US$2.3 million.</t>
  </si>
  <si>
    <t>BodyArmor</t>
  </si>
  <si>
    <t>The Coca-Cola Company confirms acquisition of remaining 85% stake in BODYARMOR for $5.6B in cash, valuing BodyArmor at $6.6B. The Company acquired the remaining ownership interest in BA Sports Nutrition, LLC (“BodyArmor”).</t>
  </si>
  <si>
    <t>Refresco Group BV</t>
  </si>
  <si>
    <t>Kohlberg Kravis Roberts &amp; Co LP</t>
  </si>
  <si>
    <t>KKR acquired an undisclosed majority stake in Refresco Group BV, a portfolio company of British Columbia Investment Corp and PAI Partners SAS, for EUR7 billion (US$7.9 billion). The acquisition is in line with global expansion strategy of Refresco Group BV. Following the transaction, British Columbia Investment Corp and PAI Partners SAS would hold minority stake in Refresco Group BV. Founded in 1999, Refresco Group BV is located in Rotterdam, Zuid-Holland, The Netherlands and engages in the bottling of beverages for retailers and brands. The deal was subject to closing conditions. On June 30, 2022, it was announced that, European Commission has approved the transaction.</t>
  </si>
  <si>
    <t>Vital Pharmaceuticals, Inc.</t>
  </si>
  <si>
    <t>Monster Beverage Corp.</t>
  </si>
  <si>
    <t>Monster Beverage Corp acquired Vital Pharmaceuticals Inc, doing business as Bang Energy and VPX Sports, for US$362 million via insolvency. The transaction also includes a beverage production facility located in Phoenix, AZ. Founded in 1993, Vital Pharmaceuticals Inc is located in Florida, United States and manufactures and distributes sports supplements and retails through online. The transaction was subject to obtaining Bankruptcy Court approval.</t>
  </si>
  <si>
    <t>Vrumona BV</t>
  </si>
  <si>
    <t>Royal Unibrew A/S</t>
  </si>
  <si>
    <t>Royal Unibrew A/S acquired Vrumona BV from Heineken NV for EUR300 million (US$327.3 million) in cash on a debt free basis. Vrumona BV is located in Utrecht, the Netherlands and manufactures and supplies soft drinks. It had generated approximately revenues of EUR200 million (US$218.2 million), adjusted EBITDA was EUR25 million (US$27.3 million)</t>
  </si>
  <si>
    <t>The Beverage Co. (South Africa)</t>
  </si>
  <si>
    <t>Varun Beverages Ltd.</t>
  </si>
  <si>
    <t>Pending</t>
  </si>
  <si>
    <t>South Africa</t>
  </si>
  <si>
    <t>Varun Beverages Ltd (one of PepsiCo's largest franchise bottlers worldwide) agreed to acquire The Beverage Co Ltd for ZAR3 billion (US$161 million) in cash. The Beverage Co Ltd is located in Johannesburg, South Africa and manufactures and distributes non-alcoholic beverages. The deal is expected to close on or before July 31, 2024.</t>
  </si>
  <si>
    <t>Comparable transactions shortlist</t>
  </si>
  <si>
    <t>LTM / Actual</t>
  </si>
  <si>
    <t>Red Bull revenue</t>
  </si>
  <si>
    <t>Red Bull EBITDA</t>
  </si>
  <si>
    <t>Red Bull EBITDA margin</t>
  </si>
  <si>
    <t>Min</t>
  </si>
  <si>
    <t>Max</t>
  </si>
  <si>
    <t>EV / LTM EBITDA</t>
  </si>
  <si>
    <t>LTM revenue</t>
  </si>
  <si>
    <t>Average synergies % LTM revenue</t>
  </si>
  <si>
    <t>Synergy value - DCF method</t>
  </si>
  <si>
    <t>Synergies per annum average (no growth)</t>
  </si>
  <si>
    <t>Synergies % realization</t>
  </si>
  <si>
    <t>Synergies achieved</t>
  </si>
  <si>
    <t>Synergies post tax</t>
  </si>
  <si>
    <t>Synergies discount rate</t>
  </si>
  <si>
    <t>Long term growth rate (inflation only)</t>
  </si>
  <si>
    <t>Present value</t>
  </si>
  <si>
    <t>Present value of Y1-Y3</t>
  </si>
  <si>
    <t>Present value of synergies</t>
  </si>
  <si>
    <t>Valuation Summary</t>
  </si>
  <si>
    <t>All figures in EURm unless otherwise stated</t>
  </si>
  <si>
    <t>CY1</t>
  </si>
  <si>
    <t>CY2</t>
  </si>
  <si>
    <t>EV / CY2 Revenue</t>
  </si>
  <si>
    <t>EV / CY2 EBITDA</t>
  </si>
  <si>
    <t>DCF</t>
  </si>
  <si>
    <t>Average synergies % of target LTM revenue</t>
  </si>
  <si>
    <t>Value of synergies DCF method</t>
  </si>
  <si>
    <t>Implied EV including synergies</t>
  </si>
  <si>
    <t>Transaction multiples</t>
  </si>
  <si>
    <t xml:space="preserve">Min </t>
  </si>
  <si>
    <t>IRR range for year 4 exit</t>
  </si>
  <si>
    <t>EV / LTM EBITDA multiple</t>
  </si>
  <si>
    <t>Football field summary</t>
  </si>
  <si>
    <t>Method</t>
  </si>
  <si>
    <t>Difference</t>
  </si>
  <si>
    <t>Transaction multiples EV</t>
  </si>
  <si>
    <t>Standalone valuation range</t>
  </si>
  <si>
    <t>Y</t>
  </si>
  <si>
    <t>X</t>
  </si>
  <si>
    <t>ESG Summary</t>
  </si>
  <si>
    <t>Material ESG risks for beverage companies</t>
  </si>
  <si>
    <t>Risk</t>
  </si>
  <si>
    <t>Risk Category</t>
  </si>
  <si>
    <t>Description</t>
  </si>
  <si>
    <t>Water risk</t>
  </si>
  <si>
    <t>Environmental risk</t>
  </si>
  <si>
    <t>Beverage companies are major consumers of water during their agricultural and manufacturing processes. Agricultural processes typically account for c.75% of water consumption, often in water scarce regions. Water efficiency and water replenishment are an important focus for managing this risk.</t>
  </si>
  <si>
    <t>Product lifecycle risk</t>
  </si>
  <si>
    <t>Beverage companies produce bottled and canned drinks which produce large volumes of packaging waste. Lifecycle risk is particularly acute for PET plastic bottles as use of recycled plastic in the industry is low and consumer recycling rates are low. Use of recycled packaging and increasing recyclability of packaging are a key focus for managing this risk.</t>
  </si>
  <si>
    <t>Customer welfare risk</t>
  </si>
  <si>
    <t>Social risk</t>
  </si>
  <si>
    <t>Beverage companies produce high sugar drinks which negatively impact on the health of consumers and, in some countries, are subject to additional consumer taxes. Managing product portfolio and revising product recipes to reduce sugar content are an important focus for managing this risk.</t>
  </si>
  <si>
    <t>Benchmarking analysis</t>
  </si>
  <si>
    <t>Water efficiency</t>
  </si>
  <si>
    <t>2025 target</t>
  </si>
  <si>
    <t>20.0% improvement in water use ratio by 2025 vs 2017</t>
  </si>
  <si>
    <t>25.0% improvement in water use ratio by 2025 vs 2015</t>
  </si>
  <si>
    <t>Water use ratio (water used % end product)*</t>
  </si>
  <si>
    <t>Improvement in water use ratio vs benchmark year</t>
  </si>
  <si>
    <t>% water consumption in high stress areas</t>
  </si>
  <si>
    <t>*cold beverages only</t>
  </si>
  <si>
    <t xml:space="preserve">Water replenishment </t>
  </si>
  <si>
    <t>2020/2025 target</t>
  </si>
  <si>
    <t>100.0% water replenishment in high risk locations by 2025</t>
  </si>
  <si>
    <t>Water replenishment rate</t>
  </si>
  <si>
    <t>Comments:</t>
  </si>
  <si>
    <t>Recycled content</t>
  </si>
  <si>
    <t>2025/2030 target - all packaging</t>
  </si>
  <si>
    <t>30.0% recycled content in packaging by 2025</t>
  </si>
  <si>
    <t>20% of all beverages sold through reusable models by 2030</t>
  </si>
  <si>
    <t>% recycled content in packaging</t>
  </si>
  <si>
    <t>2025/2030 target - plastic packaging</t>
  </si>
  <si>
    <t>25.0% recycled content in plastic packaging by 2025</t>
  </si>
  <si>
    <t>50% recycled content in plastic packaging by 2030</t>
  </si>
  <si>
    <t>% recycled content in plastic packaging</t>
  </si>
  <si>
    <t>Recyclability of packaging</t>
  </si>
  <si>
    <t>2025 target - all packaging</t>
  </si>
  <si>
    <t>100.0% of packaging recyclable or compostable by 2025</t>
  </si>
  <si>
    <t>% recyclable packaging</t>
  </si>
  <si>
    <t>60.0% portfolio provides serving of fruit/vegetables or is below 40 cal/serving by 2025</t>
  </si>
  <si>
    <t>67% portfolio below 100 cal/serving by 2025</t>
  </si>
  <si>
    <t>% portfolio below calorie target or low calorie</t>
  </si>
  <si>
    <t>% volume sold which is low- or no-calorie</t>
  </si>
  <si>
    <t>Share price local currency</t>
  </si>
  <si>
    <t>Exchange rate 1 EUR / X USD</t>
  </si>
  <si>
    <t>Exchange rate USD / USD</t>
  </si>
  <si>
    <t>Share price US$</t>
  </si>
  <si>
    <t>Max entry EV / LTM EBITDA multiple</t>
  </si>
  <si>
    <t>Debt and equivalents</t>
  </si>
  <si>
    <t>Acquisition enterprise value</t>
  </si>
  <si>
    <t>Acquirer enterprise value</t>
  </si>
  <si>
    <t>Earnings (USD)</t>
  </si>
  <si>
    <t>CY3</t>
  </si>
  <si>
    <t>Key assumptions</t>
  </si>
  <si>
    <t>Fees % enterprise value</t>
  </si>
  <si>
    <t>Equity financing %</t>
  </si>
  <si>
    <t>Synergies % LTM target revenue</t>
  </si>
  <si>
    <t>Synergies run rate</t>
  </si>
  <si>
    <t>Sources and uses of funds</t>
  </si>
  <si>
    <t>Acquisition equity value</t>
  </si>
  <si>
    <t>Equity financing</t>
  </si>
  <si>
    <t>Fees</t>
  </si>
  <si>
    <t>Target cash</t>
  </si>
  <si>
    <t>Refinanced target debt</t>
  </si>
  <si>
    <t>Debt financing</t>
  </si>
  <si>
    <t>Total uses of funds</t>
  </si>
  <si>
    <t>Total sources of funds</t>
  </si>
  <si>
    <t>Income statement combination</t>
  </si>
  <si>
    <t>Acquirer EBITDA</t>
  </si>
  <si>
    <t>Target EBITDA</t>
  </si>
  <si>
    <t>Pro-forma EBITDA</t>
  </si>
  <si>
    <t>Acquirer net income</t>
  </si>
  <si>
    <t>Target net income</t>
  </si>
  <si>
    <t>Synergies post-tax</t>
  </si>
  <si>
    <t xml:space="preserve">Interest expense on acquisition debt, after tax </t>
  </si>
  <si>
    <t xml:space="preserve">Interest expense saved on refinanced target debt, after tax </t>
  </si>
  <si>
    <t>Interest income foregone on target cash used, after tax</t>
  </si>
  <si>
    <t>Pro-forma net income</t>
  </si>
  <si>
    <t>Acquirer diluted shares outstanding</t>
  </si>
  <si>
    <t>New shares issued</t>
  </si>
  <si>
    <t>Pro-forma diluted shares outstanding</t>
  </si>
  <si>
    <t>Pre-deal EPS</t>
  </si>
  <si>
    <t>Pro-forma EPS</t>
  </si>
  <si>
    <t>Accretion (dilution) %</t>
  </si>
  <si>
    <t>Additional synergies to breakeven</t>
  </si>
  <si>
    <t>Analysis of CY3 EPS accretion / dilution arising from sensitizing EV multiple and capital structure</t>
  </si>
  <si>
    <t>Red Bull LTM EBITDA</t>
  </si>
  <si>
    <t>% equity financing</t>
  </si>
  <si>
    <t>Acquisition EV / EBITDA multiple</t>
  </si>
  <si>
    <t>Acquisition EV</t>
  </si>
  <si>
    <t>Leverage ratios</t>
  </si>
  <si>
    <t>Acquirer net debt pre-deal</t>
  </si>
  <si>
    <t>Acquirer EBITDA pre deal</t>
  </si>
  <si>
    <t>Acquirer net debt / EBITDA</t>
  </si>
  <si>
    <t>Acquisition debt</t>
  </si>
  <si>
    <t>Pro-forma net debt</t>
  </si>
  <si>
    <t>Pro-forma net debt / EBITDA</t>
  </si>
  <si>
    <t>Current acquirer credit rating</t>
  </si>
  <si>
    <t>Price earnings analysis</t>
  </si>
  <si>
    <t>Acquirer P/E</t>
  </si>
  <si>
    <t>Debt P/E</t>
  </si>
  <si>
    <t>Acquisition P/E</t>
  </si>
  <si>
    <t>Return on capital analysis</t>
  </si>
  <si>
    <t>NOPAT with synergies</t>
  </si>
  <si>
    <t>Analysis at various prices</t>
  </si>
  <si>
    <t>CY1 EBITDA</t>
  </si>
  <si>
    <t>Median EV / LTM EBITDA trading comp multiple</t>
  </si>
  <si>
    <t>Median EV / LTM EBITDA transaction comp multiple</t>
  </si>
  <si>
    <t>Ownership post deal</t>
  </si>
  <si>
    <t xml:space="preserve">Number </t>
  </si>
  <si>
    <t>Percent</t>
  </si>
  <si>
    <t>Acquirer shares outstanding</t>
  </si>
  <si>
    <t>Pro-forma shares</t>
  </si>
  <si>
    <t>Exchange ratio (new per 1 old)</t>
  </si>
  <si>
    <t>Cash offered per share</t>
  </si>
  <si>
    <t>Implied standalone value</t>
  </si>
  <si>
    <t>Total purchase price</t>
  </si>
  <si>
    <t>Check - Trading comps EV (using CY2 EBITDA)</t>
  </si>
  <si>
    <t>Check - DCF EV using long term growth method</t>
  </si>
  <si>
    <t>X LTM EBITDA</t>
  </si>
  <si>
    <t>Senior debt</t>
  </si>
  <si>
    <t>Max debt / EBITDA multiple</t>
  </si>
  <si>
    <t>Unsecured notes</t>
  </si>
  <si>
    <t>Max exit EV / LTM EBITDA multiple</t>
  </si>
  <si>
    <t>Cost of debt financing - spread</t>
  </si>
  <si>
    <t>Cost of senior debt</t>
  </si>
  <si>
    <t>Cost of unsecured notes</t>
  </si>
  <si>
    <t>Fees % of enterprise value</t>
  </si>
  <si>
    <t>Exit year</t>
  </si>
  <si>
    <t>Key numbers</t>
  </si>
  <si>
    <t>Cost savings % revenue</t>
  </si>
  <si>
    <t>Cost savings</t>
  </si>
  <si>
    <t>Adjusted EBITDA</t>
  </si>
  <si>
    <t>Adjusted EBITDA margin</t>
  </si>
  <si>
    <t>EBIT pre cost savings</t>
  </si>
  <si>
    <t>Cash flows to service debt</t>
  </si>
  <si>
    <t>Cash flow available for debt repayment</t>
  </si>
  <si>
    <t>Debt servicing</t>
  </si>
  <si>
    <t>Beginning senior debt balance</t>
  </si>
  <si>
    <t>Issuance (repayment)</t>
  </si>
  <si>
    <t>Ending senior debt balance</t>
  </si>
  <si>
    <t>Cash flow available for debt, after senior debt repayment</t>
  </si>
  <si>
    <t>Beginning unsecured notes</t>
  </si>
  <si>
    <t>Ending unsecured notes</t>
  </si>
  <si>
    <t>Ending cash</t>
  </si>
  <si>
    <t>Beginning debt repaid</t>
  </si>
  <si>
    <t>Senior debt repayment</t>
  </si>
  <si>
    <t>Unsecured notes repayment</t>
  </si>
  <si>
    <t>Ending debt repaid</t>
  </si>
  <si>
    <t>Total debt at acquisition</t>
  </si>
  <si>
    <t>Debt paydown % of total debt</t>
  </si>
  <si>
    <t>Returns to equity holders</t>
  </si>
  <si>
    <t>Year count</t>
  </si>
  <si>
    <t>Equity value</t>
  </si>
  <si>
    <t>Cash flows to equity holders</t>
  </si>
  <si>
    <t>IRR</t>
  </si>
  <si>
    <t>Sensitivity analysis</t>
  </si>
  <si>
    <t>IRR assuming changes in entry multiple and exit year</t>
  </si>
  <si>
    <t>Entry multiple</t>
  </si>
  <si>
    <t>Scratchpad for additional workings</t>
  </si>
  <si>
    <t>Factset codes</t>
  </si>
  <si>
    <t>Summary sheet code name</t>
  </si>
  <si>
    <t>Delete sheet on new target ticker</t>
  </si>
  <si>
    <t>TUMI-US</t>
  </si>
  <si>
    <t>31/12/2015</t>
  </si>
  <si>
    <t>Last filing date</t>
  </si>
  <si>
    <t>01-Jun-16</t>
  </si>
  <si>
    <t>Trading information</t>
  </si>
  <si>
    <t>Free float (MM)</t>
  </si>
  <si>
    <t>LTM dividend yield</t>
  </si>
  <si>
    <t>Historical 5 year beta</t>
  </si>
  <si>
    <t/>
  </si>
  <si>
    <t>Balance sheet data</t>
  </si>
  <si>
    <t>NCI book value</t>
  </si>
  <si>
    <t xml:space="preserve">Historical income statement NCI </t>
  </si>
  <si>
    <t>Balance sheet ST debt</t>
  </si>
  <si>
    <t>Balance sheet LT debt</t>
  </si>
  <si>
    <t>Financial derivative liabilities</t>
  </si>
  <si>
    <t>Balance sheet cash and equivalents</t>
  </si>
  <si>
    <t>ST financial investments</t>
  </si>
  <si>
    <t>LT financial investments</t>
  </si>
  <si>
    <t>Non-core assets</t>
  </si>
  <si>
    <t>Earnings and estimates</t>
  </si>
  <si>
    <t>Latest annual</t>
  </si>
  <si>
    <t>Revenues</t>
  </si>
  <si>
    <t>Gross interest expense</t>
  </si>
  <si>
    <t>Free cash flow</t>
  </si>
  <si>
    <t>Share options and restricted stock units</t>
  </si>
  <si>
    <t>WA strike price</t>
  </si>
  <si>
    <t>CapIQ - total options year end</t>
  </si>
  <si>
    <t>CapIQ - total options quarter end</t>
  </si>
  <si>
    <t>CapIQ options used</t>
  </si>
  <si>
    <t>Manual tranche 1</t>
  </si>
  <si>
    <t>Manual tranche 2</t>
  </si>
  <si>
    <t>Manual tranche 3</t>
  </si>
  <si>
    <t>Manual tranche 4</t>
  </si>
  <si>
    <t>Manual tranche 5</t>
  </si>
  <si>
    <t>Projected benefit obligation</t>
  </si>
  <si>
    <t>Fair value of plan assets</t>
  </si>
  <si>
    <t>Total pension and OPEB expense</t>
  </si>
  <si>
    <t>Pension service cost</t>
  </si>
  <si>
    <t>Return on plan assets</t>
  </si>
  <si>
    <t>LTM rent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</si>
</sst>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0.0_);\(#,##0.0\);0.0_);@_)"/>
    <numFmt numFmtId="169" formatCode="#,##0.0_);\(#,##0.0\)\,0.0_);@_)"/>
    <numFmt numFmtId="170" formatCode="[$-409]d\-mmm\-yy"/>
    <numFmt numFmtId="171" formatCode="0.0%_);\(0.0%\)"/>
    <numFmt numFmtId="172" formatCode="#,##0.0\ \x_);\(#,##0.0\ \x\)"/>
    <numFmt numFmtId="173" formatCode="dd\-mmm\-yy_)"/>
    <numFmt numFmtId="174" formatCode="#,##0.00_);\(#,##0.00\);0.00_);@_)"/>
    <numFmt numFmtId="175" formatCode="#,##0.000_);\(#,##0.000\);0.000_);@_)"/>
    <numFmt numFmtId="176" formatCode="#,##0.00000_);\(#,##0.00000\);0.00000_);@_)"/>
    <numFmt numFmtId="177" formatCode="0.00%_);\(0.00%\)"/>
    <numFmt numFmtId="178" formatCode="###,###,##0.00"/>
    <numFmt numFmtId="179" formatCode="[$-409]d\-mmm\-yy;@"/>
    <numFmt numFmtId="180" formatCode="#,##0.0\ \x_);\(#,##0.0\ \x\);"/>
    <numFmt numFmtId="181" formatCode="#,##0.0%_);\(#,##0.0%\)"/>
    <numFmt numFmtId="182" formatCode="#,##0.000000_);\(#,##0.000000\);0.000000_);@_)"/>
  </numFmts>
  <fonts count="56" x14ac:knownFonts="1">
    <font>
      <sz val="11"/>
      <name val="Calibri"/>
      <family val="2"/>
      <scheme val="minor"/>
    </font>
    <font>
      <sz val="20"/>
      <color theme="1"/>
      <name val="Calibri"/>
      <family val="2"/>
      <scheme val="minor"/>
    </font>
    <font>
      <sz val="20"/>
      <color theme="1"/>
      <name val="Calibri"/>
      <family val="2"/>
      <scheme val="minor"/>
    </font>
    <font>
      <sz val="11"/>
      <color theme="1"/>
      <name val="Calibri"/>
      <family val="2"/>
    </font>
    <font>
      <sz val="22"/>
      <color theme="0"/>
      <name val="Calibri"/>
      <family val="2"/>
    </font>
    <font>
      <sz val="11"/>
      <name val="Arial"/>
      <family val="2"/>
    </font>
    <font>
      <sz val="18"/>
      <color theme="0"/>
      <name val="Calibri"/>
      <family val="2"/>
    </font>
    <font>
      <sz val="11"/>
      <color rgb="FF6E6E6E"/>
      <name val="Calibri"/>
      <family val="2"/>
    </font>
    <font>
      <b/>
      <sz val="12"/>
      <color rgb="FF163260"/>
      <name val="Calibri"/>
      <family val="2"/>
    </font>
    <font>
      <sz val="10"/>
      <color rgb="FF085393"/>
      <name val="Calibri"/>
      <family val="2"/>
    </font>
    <font>
      <sz val="11"/>
      <color rgb="FF085393"/>
      <name val="Calibri"/>
      <family val="2"/>
    </font>
    <font>
      <u/>
      <sz val="11"/>
      <color theme="10"/>
      <name val="Arial"/>
      <family val="2"/>
    </font>
    <font>
      <sz val="14"/>
      <color theme="0"/>
      <name val="Calibri"/>
      <family val="2"/>
    </font>
    <font>
      <u/>
      <sz val="14"/>
      <color rgb="FF085393"/>
      <name val="Calibri"/>
      <family val="2"/>
    </font>
    <font>
      <sz val="11"/>
      <color rgb="FF0000FF"/>
      <name val="Calibri"/>
      <family val="2"/>
    </font>
    <font>
      <sz val="11"/>
      <color theme="0"/>
      <name val="Calibri"/>
      <family val="2"/>
    </font>
    <font>
      <sz val="11"/>
      <color rgb="FFFF0000"/>
      <name val="Calibri"/>
      <family val="2"/>
    </font>
    <font>
      <sz val="11"/>
      <color rgb="FF404040"/>
      <name val="Calibri"/>
      <family val="2"/>
    </font>
    <font>
      <i/>
      <sz val="11"/>
      <color rgb="FF6E6E6E"/>
      <name val="Calibri"/>
      <family val="2"/>
    </font>
    <font>
      <sz val="10"/>
      <color theme="0"/>
      <name val="Calibri"/>
      <family val="2"/>
    </font>
    <font>
      <sz val="9"/>
      <color indexed="81"/>
      <name val="Tahoma"/>
      <family val="2"/>
    </font>
    <font>
      <b/>
      <sz val="9"/>
      <color indexed="81"/>
      <name val="Tahoma"/>
      <family val="2"/>
    </font>
    <font>
      <sz val="11"/>
      <color rgb="FF0000FF"/>
      <name val="Calibri"/>
      <family val="2"/>
      <scheme val="minor"/>
    </font>
    <font>
      <sz val="11"/>
      <color theme="1"/>
      <name val="Calibri"/>
      <family val="2"/>
      <scheme val="minor"/>
    </font>
    <font>
      <sz val="11"/>
      <color rgb="FF000000"/>
      <name val="Calibri"/>
      <family val="2"/>
      <scheme val="minor"/>
    </font>
    <font>
      <sz val="20"/>
      <color rgb="FF006100"/>
      <name val="Calibri"/>
      <family val="2"/>
      <scheme val="minor"/>
    </font>
    <font>
      <sz val="20"/>
      <color rgb="FF9C0006"/>
      <name val="Calibri"/>
      <family val="2"/>
      <scheme val="minor"/>
    </font>
    <font>
      <sz val="20"/>
      <color rgb="FF9C5700"/>
      <name val="Calibri"/>
      <family val="2"/>
      <scheme val="minor"/>
    </font>
    <font>
      <b/>
      <sz val="20"/>
      <color rgb="FF3F3F3F"/>
      <name val="Calibri"/>
      <family val="2"/>
      <scheme val="minor"/>
    </font>
    <font>
      <b/>
      <sz val="20"/>
      <color rgb="FFFA7D00"/>
      <name val="Calibri"/>
      <family val="2"/>
      <scheme val="minor"/>
    </font>
    <font>
      <sz val="20"/>
      <color rgb="FFFA7D00"/>
      <name val="Calibri"/>
      <family val="2"/>
      <scheme val="minor"/>
    </font>
    <font>
      <b/>
      <sz val="20"/>
      <color theme="0"/>
      <name val="Calibri"/>
      <family val="2"/>
      <scheme val="minor"/>
    </font>
    <font>
      <sz val="20"/>
      <color rgb="FFFF0000"/>
      <name val="Calibri"/>
      <family val="2"/>
      <scheme val="minor"/>
    </font>
    <font>
      <i/>
      <sz val="20"/>
      <color rgb="FF7F7F7F"/>
      <name val="Calibri"/>
      <family val="2"/>
      <scheme val="minor"/>
    </font>
    <font>
      <sz val="11"/>
      <color theme="1" tint="0.249977111117893"/>
      <name val="Calibri"/>
      <family val="2"/>
      <scheme val="minor"/>
    </font>
    <font>
      <sz val="11"/>
      <color theme="0"/>
      <name val="Calibri"/>
      <family val="2"/>
      <scheme val="minor"/>
    </font>
    <font>
      <sz val="11"/>
      <name val="Calibri"/>
      <family val="2"/>
      <scheme val="minor"/>
    </font>
    <font>
      <sz val="9"/>
      <color theme="0"/>
      <name val="Calibri"/>
      <family val="2"/>
      <scheme val="minor"/>
    </font>
    <font>
      <u/>
      <sz val="11"/>
      <color theme="11"/>
      <name val="Calibri"/>
      <family val="2"/>
      <scheme val="minor"/>
    </font>
    <font>
      <u/>
      <sz val="11"/>
      <color theme="10"/>
      <name val="Calibri"/>
      <family val="2"/>
      <scheme val="minor"/>
    </font>
    <font>
      <sz val="22"/>
      <color theme="0"/>
      <name val="Calibri"/>
      <family val="2"/>
      <scheme val="major"/>
    </font>
    <font>
      <sz val="14"/>
      <color theme="0"/>
      <name val="Calibri"/>
      <family val="2"/>
      <scheme val="major"/>
    </font>
    <font>
      <b/>
      <sz val="12"/>
      <color rgb="FF163260"/>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20"/>
      <color theme="1"/>
      <name val="Calibri"/>
      <family val="2"/>
      <scheme val="minor"/>
    </font>
    <font>
      <sz val="20"/>
      <color theme="0"/>
      <name val="Calibri"/>
      <family val="2"/>
      <scheme val="minor"/>
    </font>
    <font>
      <i/>
      <sz val="11"/>
      <color theme="1"/>
      <name val="Calibri"/>
      <family val="2"/>
    </font>
    <font>
      <b/>
      <sz val="11"/>
      <name val="Calibri"/>
      <family val="2"/>
      <scheme val="minor"/>
    </font>
    <font>
      <sz val="11"/>
      <color theme="0"/>
      <name val="Arial"/>
      <family val="2"/>
    </font>
    <font>
      <sz val="12"/>
      <color rgb="FF000000"/>
      <name val="Calibri"/>
      <family val="2"/>
    </font>
    <font>
      <sz val="11"/>
      <color rgb="FFFF0000"/>
      <name val="Calibri"/>
      <family val="2"/>
      <scheme val="minor"/>
    </font>
    <font>
      <i/>
      <sz val="11"/>
      <name val="Calibri"/>
      <family val="2"/>
      <scheme val="minor"/>
    </font>
    <font>
      <sz val="11"/>
      <name val="Calibri"/>
      <family val="2"/>
    </font>
  </fonts>
  <fills count="42">
    <fill>
      <patternFill patternType="none"/>
    </fill>
    <fill>
      <patternFill patternType="gray125"/>
    </fill>
    <fill>
      <patternFill patternType="solid">
        <fgColor rgb="FF163260"/>
        <bgColor rgb="FF163260"/>
      </patternFill>
    </fill>
    <fill>
      <patternFill patternType="solid">
        <fgColor rgb="FF085393"/>
        <bgColor rgb="FF085393"/>
      </patternFill>
    </fill>
    <fill>
      <patternFill patternType="solid">
        <fgColor rgb="FFF2F2F2"/>
        <bgColor rgb="FFF2F2F2"/>
      </patternFill>
    </fill>
    <fill>
      <patternFill patternType="solid">
        <fgColor theme="0"/>
        <bgColor theme="0"/>
      </patternFill>
    </fill>
    <fill>
      <patternFill patternType="solid">
        <fgColor rgb="FFDBEEFD"/>
        <bgColor rgb="FFDBEEFD"/>
      </patternFill>
    </fill>
    <fill>
      <patternFill patternType="solid">
        <fgColor rgb="FFF0F8FE"/>
        <bgColor rgb="FFF0F8FE"/>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tint="-4.9989318521683403E-2"/>
        <bgColor indexed="64"/>
      </patternFill>
    </fill>
    <fill>
      <patternFill patternType="solid">
        <fgColor rgb="FF163260"/>
        <bgColor indexed="64"/>
      </patternFill>
    </fill>
    <fill>
      <patternFill patternType="solid">
        <fgColor rgb="FF085393"/>
        <bgColor indexed="64"/>
      </patternFill>
    </fill>
    <fill>
      <patternFill patternType="solid">
        <fgColor rgb="FFDBEEFD"/>
        <bgColor indexed="64"/>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patternFill>
    </fill>
  </fills>
  <borders count="36">
    <border>
      <left/>
      <right/>
      <top/>
      <bottom/>
      <diagonal/>
    </border>
    <border>
      <left/>
      <right/>
      <top/>
      <bottom/>
      <diagonal/>
    </border>
    <border>
      <left/>
      <right/>
      <top/>
      <bottom style="medium">
        <color rgb="FFD8D8D8"/>
      </bottom>
      <diagonal/>
    </border>
    <border>
      <left style="thin">
        <color rgb="FFBBDEFB"/>
      </left>
      <right style="thin">
        <color rgb="FFBBDEFB"/>
      </right>
      <top style="thin">
        <color rgb="FFBBDEFB"/>
      </top>
      <bottom style="thin">
        <color rgb="FFBBDEFB"/>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BBDEFB"/>
      </left>
      <right style="thin">
        <color rgb="FF000000"/>
      </right>
      <top/>
      <bottom style="thin">
        <color rgb="FFBBDEFB"/>
      </bottom>
      <diagonal/>
    </border>
    <border>
      <left/>
      <right style="thin">
        <color rgb="FF000000"/>
      </right>
      <top/>
      <bottom/>
      <diagonal/>
    </border>
    <border>
      <left style="thin">
        <color rgb="FFBBDEFB"/>
      </left>
      <right style="thin">
        <color rgb="FF000000"/>
      </right>
      <top style="thin">
        <color rgb="FFBBDEFB"/>
      </top>
      <bottom style="thin">
        <color rgb="FFBBDEFB"/>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BBDEFB"/>
      </top>
      <bottom/>
      <diagonal/>
    </border>
    <border>
      <left style="thin">
        <color rgb="FF000000"/>
      </left>
      <right style="thin">
        <color rgb="FFBBDEFB"/>
      </right>
      <top style="thin">
        <color rgb="FFBBDEFB"/>
      </top>
      <bottom style="thin">
        <color rgb="FFBBDEFB"/>
      </bottom>
      <diagonal/>
    </border>
    <border>
      <left/>
      <right/>
      <top/>
      <bottom style="medium">
        <color rgb="FFE2F1FE"/>
      </bottom>
      <diagonal/>
    </border>
    <border>
      <left style="thin">
        <color rgb="FFBBDEFB"/>
      </left>
      <right style="thin">
        <color indexed="64"/>
      </right>
      <top style="thin">
        <color rgb="FFBBDEFB"/>
      </top>
      <bottom style="thin">
        <color rgb="FFBBDEFB"/>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rgb="FF000000"/>
      </top>
      <bottom/>
      <diagonal/>
    </border>
    <border>
      <left/>
      <right/>
      <top/>
      <bottom style="thin">
        <color indexed="64"/>
      </bottom>
      <diagonal/>
    </border>
    <border>
      <left style="thin">
        <color rgb="FFBBDEFB"/>
      </left>
      <right style="thin">
        <color rgb="FFBBDEFB"/>
      </right>
      <top style="thin">
        <color rgb="FFBBDEFB"/>
      </top>
      <bottom/>
      <diagonal/>
    </border>
    <border>
      <left style="thin">
        <color rgb="FFB2B2B2"/>
      </left>
      <right style="thin">
        <color rgb="FFB2B2B2"/>
      </right>
      <top style="thin">
        <color rgb="FFB2B2B2"/>
      </top>
      <bottom style="thin">
        <color rgb="FFB2B2B2"/>
      </bottom>
      <diagonal/>
    </border>
    <border>
      <left style="thin">
        <color rgb="FFBBDEFB"/>
      </left>
      <right/>
      <top style="thin">
        <color rgb="FFBBDEFB"/>
      </top>
      <bottom style="thin">
        <color rgb="FFBBDEFB"/>
      </bottom>
      <diagonal/>
    </border>
    <border>
      <left/>
      <right/>
      <top style="thin">
        <color rgb="FFBBDEFB"/>
      </top>
      <bottom style="thin">
        <color rgb="FFBBDEFB"/>
      </bottom>
      <diagonal/>
    </border>
    <border>
      <left/>
      <right style="thin">
        <color rgb="FFBBDEFB"/>
      </right>
      <top style="thin">
        <color rgb="FFBBDEFB"/>
      </top>
      <bottom style="thin">
        <color rgb="FFBBDEFB"/>
      </bottom>
      <diagonal/>
    </border>
    <border>
      <left style="thin">
        <color indexed="64"/>
      </left>
      <right style="thin">
        <color rgb="FF000000"/>
      </right>
      <top/>
      <bottom/>
      <diagonal/>
    </border>
  </borders>
  <cellStyleXfs count="60">
    <xf numFmtId="168" fontId="0" fillId="0" borderId="1"/>
    <xf numFmtId="168" fontId="39" fillId="0" borderId="1" applyNumberFormat="0" applyFill="0" applyBorder="0" applyAlignment="0" applyProtection="0"/>
    <xf numFmtId="168" fontId="38" fillId="0" borderId="1" applyNumberFormat="0" applyFill="0" applyBorder="0" applyAlignment="0" applyProtection="0"/>
    <xf numFmtId="171" fontId="36" fillId="19" borderId="1" applyFon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180" fontId="22" fillId="21" borderId="3" applyNumberFormat="0">
      <protection locked="0"/>
    </xf>
    <xf numFmtId="0" fontId="28" fillId="11" borderId="19" applyNumberFormat="0" applyAlignment="0" applyProtection="0"/>
    <xf numFmtId="0" fontId="29" fillId="11" borderId="18" applyNumberFormat="0" applyAlignment="0" applyProtection="0"/>
    <xf numFmtId="0" fontId="30" fillId="0" borderId="20" applyNumberFormat="0" applyFill="0" applyAlignment="0" applyProtection="0"/>
    <xf numFmtId="0" fontId="31" fillId="12" borderId="21"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4" fillId="18" borderId="1" applyNumberFormat="0" applyFont="0" applyAlignment="0" applyProtection="0">
      <alignment vertical="top"/>
    </xf>
    <xf numFmtId="169" fontId="35" fillId="19" borderId="1" applyNumberFormat="0" applyBorder="0" applyProtection="0">
      <alignment horizontal="center"/>
    </xf>
    <xf numFmtId="173" fontId="36" fillId="0" borderId="1" applyFont="0" applyFill="0" applyBorder="0" applyAlignment="0" applyProtection="0"/>
    <xf numFmtId="179" fontId="37" fillId="20" borderId="1">
      <alignment horizontal="center"/>
    </xf>
    <xf numFmtId="169" fontId="22" fillId="19" borderId="1" applyNumberFormat="0" applyFill="0" applyBorder="0" applyAlignment="0" applyProtection="0"/>
    <xf numFmtId="169" fontId="35" fillId="20" borderId="1">
      <alignment horizontal="center"/>
    </xf>
    <xf numFmtId="172" fontId="23" fillId="0" borderId="1" applyFont="0" applyFill="0" applyBorder="0" applyAlignment="0" applyProtection="0"/>
    <xf numFmtId="0" fontId="40" fillId="19" borderId="1" applyNumberFormat="0">
      <alignment horizontal="left"/>
    </xf>
    <xf numFmtId="0" fontId="41" fillId="20" borderId="1" applyNumberFormat="0" applyAlignment="0">
      <alignment horizontal="left"/>
    </xf>
    <xf numFmtId="0" fontId="42" fillId="0" borderId="1" applyNumberFormat="0" applyFill="0" applyBorder="0">
      <alignment horizontal="left" vertical="center"/>
    </xf>
    <xf numFmtId="0" fontId="43" fillId="0" borderId="0" applyNumberFormat="0" applyFill="0" applyBorder="0" applyAlignment="0" applyProtection="0"/>
    <xf numFmtId="0" fontId="44" fillId="0" borderId="22" applyNumberFormat="0" applyFill="0" applyAlignment="0" applyProtection="0"/>
    <xf numFmtId="0" fontId="45" fillId="0" borderId="23" applyNumberFormat="0" applyFill="0" applyAlignment="0" applyProtection="0"/>
    <xf numFmtId="0" fontId="46" fillId="0" borderId="24" applyNumberFormat="0" applyFill="0" applyAlignment="0" applyProtection="0"/>
    <xf numFmtId="0" fontId="46" fillId="0" borderId="0" applyNumberFormat="0" applyFill="0" applyBorder="0" applyAlignment="0" applyProtection="0"/>
    <xf numFmtId="0" fontId="47" fillId="0" borderId="25" applyNumberFormat="0" applyFill="0" applyAlignment="0" applyProtection="0"/>
    <xf numFmtId="0" fontId="4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8"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168" fontId="39" fillId="0" borderId="1" applyNumberForma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36" fillId="41" borderId="31" applyNumberFormat="0" applyFont="0" applyAlignment="0" applyProtection="0"/>
  </cellStyleXfs>
  <cellXfs count="263">
    <xf numFmtId="168" fontId="0" fillId="0" borderId="1" xfId="0"/>
    <xf numFmtId="172" fontId="3" fillId="18" borderId="1" xfId="0" applyNumberFormat="1" applyFont="1" applyFill="1"/>
    <xf numFmtId="168" fontId="0" fillId="0" borderId="1" xfId="0" quotePrefix="1"/>
    <xf numFmtId="168" fontId="14" fillId="0" borderId="1" xfId="0" applyFont="1"/>
    <xf numFmtId="179" fontId="37" fillId="20" borderId="1" xfId="22">
      <alignment horizontal="center"/>
    </xf>
    <xf numFmtId="0" fontId="3" fillId="0" borderId="1" xfId="0" applyNumberFormat="1" applyFont="1"/>
    <xf numFmtId="168" fontId="6" fillId="0" borderId="1" xfId="0" applyFont="1"/>
    <xf numFmtId="168" fontId="7" fillId="0" borderId="1" xfId="0" applyFont="1" applyAlignment="1">
      <alignment vertical="top"/>
    </xf>
    <xf numFmtId="168" fontId="7" fillId="0" borderId="1" xfId="0" applyFont="1"/>
    <xf numFmtId="168" fontId="8" fillId="0" borderId="1" xfId="0" applyFont="1" applyAlignment="1">
      <alignment vertical="center"/>
    </xf>
    <xf numFmtId="168" fontId="9" fillId="0" borderId="1" xfId="0" applyFont="1" applyAlignment="1">
      <alignment vertical="center" wrapText="1"/>
    </xf>
    <xf numFmtId="168" fontId="7" fillId="4" borderId="2" xfId="0" applyFont="1" applyFill="1" applyBorder="1" applyAlignment="1">
      <alignment vertical="top"/>
    </xf>
    <xf numFmtId="168" fontId="10" fillId="4" borderId="2" xfId="0" applyFont="1" applyFill="1" applyBorder="1" applyAlignment="1">
      <alignment horizontal="center" vertical="top"/>
    </xf>
    <xf numFmtId="168" fontId="7" fillId="4" borderId="2" xfId="0" applyFont="1" applyFill="1" applyBorder="1"/>
    <xf numFmtId="168" fontId="9" fillId="4" borderId="2" xfId="0" applyFont="1" applyFill="1" applyBorder="1" applyAlignment="1">
      <alignment vertical="center" wrapText="1"/>
    </xf>
    <xf numFmtId="168" fontId="10" fillId="0" borderId="1" xfId="0" applyFont="1" applyAlignment="1">
      <alignment horizontal="center" vertical="top"/>
    </xf>
    <xf numFmtId="169" fontId="14" fillId="6" borderId="3" xfId="0" applyNumberFormat="1" applyFont="1" applyFill="1" applyBorder="1"/>
    <xf numFmtId="169" fontId="14" fillId="0" borderId="1" xfId="0" applyNumberFormat="1" applyFont="1" applyAlignment="1">
      <alignment vertical="top"/>
    </xf>
    <xf numFmtId="169" fontId="7" fillId="0" borderId="1" xfId="0" applyNumberFormat="1" applyFont="1"/>
    <xf numFmtId="169" fontId="8" fillId="0" borderId="1" xfId="0" applyNumberFormat="1" applyFont="1" applyAlignment="1">
      <alignment horizontal="left" vertical="center"/>
    </xf>
    <xf numFmtId="168" fontId="14" fillId="0" borderId="1" xfId="0" applyFont="1" applyAlignment="1">
      <alignment horizontal="center"/>
    </xf>
    <xf numFmtId="168" fontId="8" fillId="0" borderId="1" xfId="0" applyFont="1" applyAlignment="1">
      <alignment horizontal="left" vertical="center"/>
    </xf>
    <xf numFmtId="171" fontId="14" fillId="0" borderId="1" xfId="0" applyNumberFormat="1" applyFont="1"/>
    <xf numFmtId="168" fontId="6" fillId="0" borderId="1" xfId="0" applyFont="1" applyAlignment="1">
      <alignment vertical="center"/>
    </xf>
    <xf numFmtId="168" fontId="12" fillId="0" borderId="1" xfId="0" applyFont="1"/>
    <xf numFmtId="168" fontId="14" fillId="6" borderId="3" xfId="0" applyFont="1" applyFill="1" applyBorder="1"/>
    <xf numFmtId="169" fontId="12" fillId="3" borderId="4" xfId="0" applyNumberFormat="1" applyFont="1" applyFill="1" applyBorder="1" applyAlignment="1">
      <alignment horizontal="left" vertical="center"/>
    </xf>
    <xf numFmtId="169" fontId="12" fillId="3" borderId="5" xfId="0" applyNumberFormat="1" applyFont="1" applyFill="1" applyBorder="1" applyAlignment="1">
      <alignment horizontal="left" vertical="center"/>
    </xf>
    <xf numFmtId="169" fontId="12" fillId="3" borderId="6" xfId="0" applyNumberFormat="1" applyFont="1" applyFill="1" applyBorder="1" applyAlignment="1">
      <alignment horizontal="left" vertical="center"/>
    </xf>
    <xf numFmtId="168" fontId="16" fillId="0" borderId="1" xfId="0" applyFont="1"/>
    <xf numFmtId="169" fontId="8" fillId="0" borderId="7" xfId="0" applyNumberFormat="1" applyFont="1" applyBorder="1" applyAlignment="1">
      <alignment horizontal="left" vertical="center"/>
    </xf>
    <xf numFmtId="11" fontId="14" fillId="6" borderId="8" xfId="0" applyNumberFormat="1" applyFont="1" applyFill="1" applyBorder="1" applyAlignment="1">
      <alignment horizontal="right"/>
    </xf>
    <xf numFmtId="168" fontId="8" fillId="0" borderId="7" xfId="0" applyFont="1" applyBorder="1" applyAlignment="1">
      <alignment horizontal="left" vertical="center"/>
    </xf>
    <xf numFmtId="171" fontId="14" fillId="6" borderId="10" xfId="0" applyNumberFormat="1" applyFont="1" applyFill="1" applyBorder="1"/>
    <xf numFmtId="173" fontId="14" fillId="6" borderId="10" xfId="0" applyNumberFormat="1" applyFont="1" applyFill="1" applyBorder="1"/>
    <xf numFmtId="173" fontId="14" fillId="0" borderId="14" xfId="0" applyNumberFormat="1" applyFont="1" applyBorder="1" applyAlignment="1">
      <alignment horizontal="right"/>
    </xf>
    <xf numFmtId="168" fontId="14" fillId="6" borderId="10" xfId="0" applyFont="1" applyFill="1" applyBorder="1" applyAlignment="1">
      <alignment horizontal="right"/>
    </xf>
    <xf numFmtId="168" fontId="14" fillId="0" borderId="9" xfId="0" applyFont="1" applyBorder="1"/>
    <xf numFmtId="174" fontId="14" fillId="6" borderId="10" xfId="0" applyNumberFormat="1" applyFont="1" applyFill="1" applyBorder="1"/>
    <xf numFmtId="169" fontId="8" fillId="0" borderId="11" xfId="0" applyNumberFormat="1" applyFont="1" applyBorder="1" applyAlignment="1">
      <alignment horizontal="left" vertical="center"/>
    </xf>
    <xf numFmtId="169" fontId="12" fillId="3" borderId="5" xfId="0" applyNumberFormat="1" applyFont="1" applyFill="1" applyBorder="1" applyAlignment="1">
      <alignment vertical="top"/>
    </xf>
    <xf numFmtId="168" fontId="12" fillId="3" borderId="5" xfId="0" applyFont="1" applyFill="1" applyBorder="1"/>
    <xf numFmtId="168" fontId="12" fillId="0" borderId="1" xfId="0" applyFont="1" applyAlignment="1">
      <alignment horizontal="left" vertical="center"/>
    </xf>
    <xf numFmtId="168" fontId="14" fillId="6" borderId="15" xfId="0" applyFont="1" applyFill="1" applyBorder="1"/>
    <xf numFmtId="174" fontId="14" fillId="6" borderId="3" xfId="0" applyNumberFormat="1" applyFont="1" applyFill="1" applyBorder="1"/>
    <xf numFmtId="173" fontId="14" fillId="6" borderId="3" xfId="0" applyNumberFormat="1" applyFont="1" applyFill="1" applyBorder="1"/>
    <xf numFmtId="168" fontId="12" fillId="3" borderId="6" xfId="0" applyFont="1" applyFill="1" applyBorder="1"/>
    <xf numFmtId="170" fontId="14" fillId="6" borderId="3" xfId="0" applyNumberFormat="1" applyFont="1" applyFill="1" applyBorder="1"/>
    <xf numFmtId="168" fontId="14" fillId="0" borderId="9" xfId="0" applyFont="1" applyBorder="1" applyAlignment="1">
      <alignment horizontal="right"/>
    </xf>
    <xf numFmtId="168" fontId="17" fillId="0" borderId="1" xfId="0" applyFont="1"/>
    <xf numFmtId="168" fontId="14" fillId="0" borderId="13" xfId="0" applyFont="1" applyBorder="1" applyAlignment="1">
      <alignment horizontal="right"/>
    </xf>
    <xf numFmtId="168" fontId="18" fillId="0" borderId="1" xfId="0" applyFont="1"/>
    <xf numFmtId="168" fontId="14" fillId="0" borderId="1" xfId="0" applyFont="1" applyAlignment="1">
      <alignment horizontal="right"/>
    </xf>
    <xf numFmtId="168" fontId="14" fillId="6" borderId="3" xfId="0" applyFont="1" applyFill="1" applyBorder="1" applyAlignment="1">
      <alignment horizontal="right"/>
    </xf>
    <xf numFmtId="168" fontId="3" fillId="0" borderId="1" xfId="0" applyFont="1"/>
    <xf numFmtId="171" fontId="14" fillId="6" borderId="3" xfId="0" applyNumberFormat="1" applyFont="1" applyFill="1" applyBorder="1"/>
    <xf numFmtId="172" fontId="14" fillId="6" borderId="3" xfId="0" applyNumberFormat="1" applyFont="1" applyFill="1" applyBorder="1"/>
    <xf numFmtId="172" fontId="14" fillId="0" borderId="1" xfId="0" applyNumberFormat="1" applyFont="1"/>
    <xf numFmtId="173" fontId="14" fillId="0" borderId="1" xfId="0" applyNumberFormat="1" applyFont="1"/>
    <xf numFmtId="176" fontId="14" fillId="0" borderId="3" xfId="0" applyNumberFormat="1" applyFont="1" applyBorder="1"/>
    <xf numFmtId="175" fontId="14" fillId="0" borderId="1" xfId="0" applyNumberFormat="1" applyFont="1" applyAlignment="1">
      <alignment horizontal="right"/>
    </xf>
    <xf numFmtId="177" fontId="14" fillId="6" borderId="3" xfId="0" applyNumberFormat="1" applyFont="1" applyFill="1" applyBorder="1"/>
    <xf numFmtId="168" fontId="23" fillId="0" borderId="1" xfId="0" applyFont="1"/>
    <xf numFmtId="168" fontId="24" fillId="0" borderId="1" xfId="0" applyFont="1"/>
    <xf numFmtId="168" fontId="22" fillId="6" borderId="3" xfId="0" applyFont="1" applyFill="1" applyBorder="1"/>
    <xf numFmtId="174" fontId="14" fillId="6" borderId="17" xfId="0" applyNumberFormat="1" applyFont="1" applyFill="1" applyBorder="1"/>
    <xf numFmtId="168" fontId="22" fillId="0" borderId="1" xfId="23" applyNumberFormat="1" applyFill="1"/>
    <xf numFmtId="168" fontId="22" fillId="21" borderId="3" xfId="7" applyNumberFormat="1">
      <protection locked="0"/>
    </xf>
    <xf numFmtId="177" fontId="22" fillId="21" borderId="3" xfId="7" applyNumberFormat="1">
      <protection locked="0"/>
    </xf>
    <xf numFmtId="168" fontId="49" fillId="0" borderId="1" xfId="0" applyFont="1"/>
    <xf numFmtId="172" fontId="22" fillId="21" borderId="3" xfId="7" applyNumberFormat="1">
      <protection locked="0"/>
    </xf>
    <xf numFmtId="171" fontId="22" fillId="0" borderId="1" xfId="23" applyNumberFormat="1" applyFill="1"/>
    <xf numFmtId="168" fontId="50" fillId="0" borderId="1" xfId="0" applyFont="1"/>
    <xf numFmtId="168" fontId="3" fillId="0" borderId="1" xfId="0" applyFont="1" applyAlignment="1">
      <alignment horizontal="right"/>
    </xf>
    <xf numFmtId="171" fontId="0" fillId="0" borderId="1" xfId="3" applyFont="1" applyFill="1"/>
    <xf numFmtId="172" fontId="0" fillId="0" borderId="1" xfId="25" applyFont="1"/>
    <xf numFmtId="171" fontId="22" fillId="21" borderId="3" xfId="7" applyNumberFormat="1">
      <protection locked="0"/>
    </xf>
    <xf numFmtId="168" fontId="12" fillId="3" borderId="28" xfId="0" applyFont="1" applyFill="1" applyBorder="1"/>
    <xf numFmtId="168" fontId="18" fillId="0" borderId="29" xfId="0" applyFont="1" applyBorder="1"/>
    <xf numFmtId="169" fontId="4" fillId="2" borderId="1" xfId="0" applyNumberFormat="1" applyFont="1" applyFill="1" applyAlignment="1">
      <alignment horizontal="left"/>
    </xf>
    <xf numFmtId="169" fontId="19" fillId="3" borderId="1" xfId="0" applyNumberFormat="1" applyFont="1" applyFill="1" applyAlignment="1">
      <alignment horizontal="center"/>
    </xf>
    <xf numFmtId="168" fontId="22" fillId="21" borderId="30" xfId="7" applyNumberFormat="1" applyBorder="1">
      <protection locked="0"/>
    </xf>
    <xf numFmtId="174" fontId="22" fillId="0" borderId="1" xfId="23" applyNumberFormat="1" applyFill="1" applyAlignment="1">
      <alignment horizontal="right"/>
    </xf>
    <xf numFmtId="168" fontId="4" fillId="2" borderId="1" xfId="0" applyFont="1" applyFill="1" applyAlignment="1">
      <alignment horizontal="left"/>
    </xf>
    <xf numFmtId="169" fontId="15" fillId="2" borderId="1" xfId="0" applyNumberFormat="1" applyFont="1" applyFill="1" applyAlignment="1">
      <alignment horizontal="center"/>
    </xf>
    <xf numFmtId="168" fontId="42" fillId="0" borderId="1" xfId="28" applyNumberFormat="1">
      <alignment horizontal="left" vertical="center"/>
    </xf>
    <xf numFmtId="168" fontId="0" fillId="0" borderId="1" xfId="0" applyAlignment="1">
      <alignment horizontal="center"/>
    </xf>
    <xf numFmtId="174" fontId="22" fillId="21" borderId="3" xfId="7" applyNumberFormat="1">
      <protection locked="0"/>
    </xf>
    <xf numFmtId="174" fontId="0" fillId="0" borderId="1" xfId="0" applyNumberFormat="1"/>
    <xf numFmtId="171" fontId="0" fillId="0" borderId="1" xfId="3" applyFont="1" applyFill="1" applyAlignment="1"/>
    <xf numFmtId="168" fontId="0" fillId="0" borderId="1" xfId="0" applyAlignment="1">
      <alignment horizontal="left" wrapText="1"/>
    </xf>
    <xf numFmtId="168" fontId="42" fillId="0" borderId="1" xfId="28" applyNumberFormat="1" applyFill="1">
      <alignment horizontal="left" vertical="center"/>
    </xf>
    <xf numFmtId="171" fontId="22" fillId="21" borderId="3" xfId="3" applyFont="1" applyFill="1" applyBorder="1" applyProtection="1">
      <protection locked="0"/>
    </xf>
    <xf numFmtId="172" fontId="22" fillId="0" borderId="1" xfId="23" applyNumberFormat="1" applyFill="1"/>
    <xf numFmtId="171" fontId="14" fillId="6" borderId="1" xfId="0" applyNumberFormat="1" applyFont="1" applyFill="1"/>
    <xf numFmtId="169" fontId="15" fillId="3" borderId="1" xfId="0" applyNumberFormat="1" applyFont="1" applyFill="1" applyAlignment="1">
      <alignment horizontal="center"/>
    </xf>
    <xf numFmtId="173" fontId="0" fillId="0" borderId="1" xfId="21" applyFont="1" applyAlignment="1"/>
    <xf numFmtId="169" fontId="42" fillId="0" borderId="1" xfId="28" applyNumberFormat="1">
      <alignment horizontal="left" vertical="center"/>
    </xf>
    <xf numFmtId="168" fontId="0" fillId="0" borderId="1" xfId="0" applyAlignment="1">
      <alignment horizontal="right"/>
    </xf>
    <xf numFmtId="172" fontId="0" fillId="0" borderId="1" xfId="25" applyFont="1" applyAlignment="1"/>
    <xf numFmtId="0" fontId="0" fillId="0" borderId="1" xfId="0" applyNumberFormat="1" applyAlignment="1">
      <alignment wrapText="1"/>
    </xf>
    <xf numFmtId="171" fontId="0" fillId="0" borderId="1" xfId="3" applyFont="1" applyFill="1" applyAlignment="1">
      <alignment horizontal="right"/>
    </xf>
    <xf numFmtId="172" fontId="0" fillId="0" borderId="1" xfId="25" applyFont="1" applyFill="1"/>
    <xf numFmtId="168" fontId="0" fillId="0" borderId="1" xfId="0" applyAlignment="1">
      <alignment wrapText="1"/>
    </xf>
    <xf numFmtId="168" fontId="3" fillId="0" borderId="12" xfId="0" applyFont="1" applyBorder="1"/>
    <xf numFmtId="168" fontId="39" fillId="0" borderId="1" xfId="54"/>
    <xf numFmtId="174" fontId="39" fillId="0" borderId="1" xfId="54" applyNumberFormat="1"/>
    <xf numFmtId="168" fontId="22" fillId="0" borderId="1" xfId="0" applyFont="1"/>
    <xf numFmtId="169" fontId="7" fillId="4" borderId="1" xfId="0" applyNumberFormat="1" applyFont="1" applyFill="1" applyAlignment="1">
      <alignment horizontal="left" vertical="top"/>
    </xf>
    <xf numFmtId="169" fontId="10" fillId="4" borderId="1" xfId="0" applyNumberFormat="1" applyFont="1" applyFill="1" applyAlignment="1">
      <alignment horizontal="center" vertical="top"/>
    </xf>
    <xf numFmtId="169" fontId="7" fillId="4" borderId="1" xfId="0" applyNumberFormat="1" applyFont="1" applyFill="1"/>
    <xf numFmtId="169" fontId="9" fillId="4" borderId="1" xfId="0" applyNumberFormat="1" applyFont="1" applyFill="1" applyAlignment="1">
      <alignment vertical="center" wrapText="1"/>
    </xf>
    <xf numFmtId="169" fontId="4" fillId="2" borderId="1" xfId="0" applyNumberFormat="1" applyFont="1" applyFill="1"/>
    <xf numFmtId="168" fontId="6" fillId="2" borderId="1" xfId="0" applyFont="1" applyFill="1"/>
    <xf numFmtId="169" fontId="12" fillId="3" borderId="1" xfId="0" applyNumberFormat="1" applyFont="1" applyFill="1"/>
    <xf numFmtId="168" fontId="12" fillId="3" borderId="1" xfId="0" applyFont="1" applyFill="1"/>
    <xf numFmtId="168" fontId="7" fillId="5" borderId="1" xfId="0" applyFont="1" applyFill="1"/>
    <xf numFmtId="168" fontId="7" fillId="4" borderId="1" xfId="0" applyFont="1" applyFill="1"/>
    <xf numFmtId="168" fontId="7" fillId="4" borderId="1" xfId="0" applyFont="1" applyFill="1" applyAlignment="1">
      <alignment horizontal="left" vertical="top"/>
    </xf>
    <xf numFmtId="168" fontId="10" fillId="4" borderId="1" xfId="0" applyFont="1" applyFill="1" applyAlignment="1">
      <alignment horizontal="center" vertical="top"/>
    </xf>
    <xf numFmtId="168" fontId="3" fillId="4" borderId="1" xfId="0" applyFont="1" applyFill="1"/>
    <xf numFmtId="168" fontId="7" fillId="4" borderId="1" xfId="0" applyFont="1" applyFill="1" applyAlignment="1">
      <alignment vertical="top"/>
    </xf>
    <xf numFmtId="168" fontId="10" fillId="4" borderId="1" xfId="0" applyFont="1" applyFill="1" applyAlignment="1">
      <alignment vertical="top"/>
    </xf>
    <xf numFmtId="168" fontId="7" fillId="4" borderId="1" xfId="0" applyFont="1" applyFill="1" applyAlignment="1">
      <alignment vertical="top" wrapText="1"/>
    </xf>
    <xf numFmtId="169" fontId="7" fillId="4" borderId="1" xfId="0" applyNumberFormat="1" applyFont="1" applyFill="1" applyAlignment="1">
      <alignment vertical="top"/>
    </xf>
    <xf numFmtId="169" fontId="13" fillId="4" borderId="1" xfId="0" applyNumberFormat="1" applyFont="1" applyFill="1" applyAlignment="1">
      <alignment vertical="center" wrapText="1"/>
    </xf>
    <xf numFmtId="168" fontId="8" fillId="4" borderId="1" xfId="0" applyFont="1" applyFill="1" applyAlignment="1">
      <alignment vertical="center"/>
    </xf>
    <xf numFmtId="168" fontId="6" fillId="2" borderId="1" xfId="0" applyFont="1" applyFill="1" applyAlignment="1">
      <alignment vertical="center"/>
    </xf>
    <xf numFmtId="168" fontId="3" fillId="0" borderId="7" xfId="0" applyFont="1" applyBorder="1"/>
    <xf numFmtId="168" fontId="3" fillId="0" borderId="9" xfId="0" applyFont="1" applyBorder="1"/>
    <xf numFmtId="168" fontId="3" fillId="0" borderId="7" xfId="0" quotePrefix="1" applyFont="1" applyBorder="1"/>
    <xf numFmtId="173" fontId="3" fillId="0" borderId="9" xfId="0" applyNumberFormat="1" applyFont="1" applyBorder="1"/>
    <xf numFmtId="168" fontId="3" fillId="0" borderId="9" xfId="0" applyFont="1" applyBorder="1" applyAlignment="1">
      <alignment horizontal="right"/>
    </xf>
    <xf numFmtId="168" fontId="3" fillId="0" borderId="11" xfId="0" quotePrefix="1" applyFont="1" applyBorder="1"/>
    <xf numFmtId="168" fontId="3" fillId="0" borderId="13" xfId="0" applyFont="1" applyBorder="1"/>
    <xf numFmtId="173" fontId="3" fillId="0" borderId="1" xfId="0" applyNumberFormat="1" applyFont="1" applyAlignment="1">
      <alignment horizontal="right"/>
    </xf>
    <xf numFmtId="173" fontId="3" fillId="0" borderId="9" xfId="0" applyNumberFormat="1" applyFont="1" applyBorder="1" applyAlignment="1">
      <alignment horizontal="right"/>
    </xf>
    <xf numFmtId="168" fontId="3" fillId="0" borderId="11" xfId="0" applyFont="1" applyBorder="1"/>
    <xf numFmtId="174" fontId="3" fillId="0" borderId="12" xfId="0" applyNumberFormat="1" applyFont="1" applyBorder="1" applyAlignment="1">
      <alignment horizontal="right"/>
    </xf>
    <xf numFmtId="174" fontId="3" fillId="0" borderId="13" xfId="0" applyNumberFormat="1" applyFont="1" applyBorder="1" applyAlignment="1">
      <alignment horizontal="right"/>
    </xf>
    <xf numFmtId="172" fontId="3" fillId="0" borderId="1" xfId="0" applyNumberFormat="1" applyFont="1" applyAlignment="1">
      <alignment horizontal="right"/>
    </xf>
    <xf numFmtId="172" fontId="3" fillId="0" borderId="9" xfId="0" applyNumberFormat="1" applyFont="1" applyBorder="1" applyAlignment="1">
      <alignment horizontal="right"/>
    </xf>
    <xf numFmtId="171" fontId="3" fillId="0" borderId="9" xfId="0" applyNumberFormat="1" applyFont="1" applyBorder="1" applyAlignment="1">
      <alignment horizontal="right"/>
    </xf>
    <xf numFmtId="171" fontId="3" fillId="0" borderId="13" xfId="0" applyNumberFormat="1" applyFont="1" applyBorder="1"/>
    <xf numFmtId="172" fontId="3" fillId="0" borderId="12" xfId="0" applyNumberFormat="1" applyFont="1" applyBorder="1" applyAlignment="1">
      <alignment horizontal="right"/>
    </xf>
    <xf numFmtId="168" fontId="3" fillId="0" borderId="1" xfId="0" applyFont="1" applyAlignment="1">
      <alignment horizontal="left" wrapText="1"/>
    </xf>
    <xf numFmtId="168" fontId="3" fillId="0" borderId="1" xfId="0" applyFont="1" applyAlignment="1">
      <alignment horizontal="right" wrapText="1"/>
    </xf>
    <xf numFmtId="173" fontId="3" fillId="0" borderId="1" xfId="0" applyNumberFormat="1" applyFont="1"/>
    <xf numFmtId="168" fontId="3" fillId="0" borderId="12" xfId="0" applyFont="1" applyBorder="1" applyAlignment="1">
      <alignment horizontal="right"/>
    </xf>
    <xf numFmtId="168" fontId="3" fillId="0" borderId="26" xfId="0" applyFont="1" applyBorder="1"/>
    <xf numFmtId="173" fontId="3" fillId="0" borderId="1" xfId="21" applyFont="1" applyBorder="1"/>
    <xf numFmtId="173" fontId="3" fillId="0" borderId="26" xfId="21" applyFont="1" applyBorder="1"/>
    <xf numFmtId="172" fontId="3" fillId="0" borderId="1" xfId="25" applyFont="1" applyBorder="1"/>
    <xf numFmtId="168" fontId="3" fillId="0" borderId="29" xfId="0" applyFont="1" applyBorder="1"/>
    <xf numFmtId="168" fontId="3" fillId="0" borderId="27" xfId="0" applyFont="1" applyBorder="1"/>
    <xf numFmtId="171" fontId="3" fillId="0" borderId="1" xfId="0" applyNumberFormat="1" applyFont="1"/>
    <xf numFmtId="169" fontId="15" fillId="3" borderId="1" xfId="0" applyNumberFormat="1" applyFont="1" applyFill="1" applyAlignment="1">
      <alignment horizontal="left"/>
    </xf>
    <xf numFmtId="169" fontId="19" fillId="3" borderId="16" xfId="0" applyNumberFormat="1" applyFont="1" applyFill="1" applyBorder="1" applyAlignment="1">
      <alignment horizontal="center"/>
    </xf>
    <xf numFmtId="173" fontId="15" fillId="3" borderId="1" xfId="0" applyNumberFormat="1" applyFont="1" applyFill="1" applyAlignment="1">
      <alignment horizontal="center"/>
    </xf>
    <xf numFmtId="172" fontId="3" fillId="0" borderId="1" xfId="0" applyNumberFormat="1" applyFont="1"/>
    <xf numFmtId="168" fontId="3" fillId="0" borderId="1" xfId="0" applyFont="1" applyAlignment="1">
      <alignment horizontal="center"/>
    </xf>
    <xf numFmtId="171" fontId="15" fillId="3" borderId="1" xfId="0" applyNumberFormat="1" applyFont="1" applyFill="1" applyAlignment="1">
      <alignment horizontal="center"/>
    </xf>
    <xf numFmtId="172" fontId="15" fillId="3" borderId="1" xfId="0" applyNumberFormat="1" applyFont="1" applyFill="1" applyAlignment="1">
      <alignment horizontal="center"/>
    </xf>
    <xf numFmtId="178" fontId="3" fillId="0" borderId="1" xfId="0" applyNumberFormat="1" applyFont="1" applyAlignment="1">
      <alignment horizontal="right"/>
    </xf>
    <xf numFmtId="49" fontId="3" fillId="0" borderId="1" xfId="0" applyNumberFormat="1" applyFont="1"/>
    <xf numFmtId="49" fontId="3" fillId="0" borderId="1" xfId="0" applyNumberFormat="1" applyFont="1" applyAlignment="1">
      <alignment horizontal="left"/>
    </xf>
    <xf numFmtId="171" fontId="3" fillId="0" borderId="1" xfId="0" applyNumberFormat="1" applyFont="1" applyAlignment="1">
      <alignment horizontal="right"/>
    </xf>
    <xf numFmtId="0" fontId="3" fillId="0" borderId="1" xfId="0" applyNumberFormat="1" applyFont="1" applyAlignment="1">
      <alignment wrapText="1"/>
    </xf>
    <xf numFmtId="173" fontId="15" fillId="3" borderId="1" xfId="21" applyFont="1" applyFill="1" applyBorder="1" applyAlignment="1">
      <alignment horizontal="center"/>
    </xf>
    <xf numFmtId="177" fontId="3" fillId="0" borderId="1" xfId="0" applyNumberFormat="1" applyFont="1"/>
    <xf numFmtId="169" fontId="15" fillId="3" borderId="1" xfId="0" applyNumberFormat="1" applyFont="1" applyFill="1" applyAlignment="1">
      <alignment horizontal="right"/>
    </xf>
    <xf numFmtId="172" fontId="3" fillId="0" borderId="1" xfId="25" applyFont="1"/>
    <xf numFmtId="169" fontId="12" fillId="3" borderId="1" xfId="0" applyNumberFormat="1" applyFont="1" applyFill="1" applyAlignment="1">
      <alignment horizontal="left" vertical="center"/>
    </xf>
    <xf numFmtId="170" fontId="14" fillId="6" borderId="1" xfId="0" applyNumberFormat="1" applyFont="1" applyFill="1"/>
    <xf numFmtId="168" fontId="3" fillId="7" borderId="1" xfId="0" applyFont="1" applyFill="1"/>
    <xf numFmtId="168" fontId="14" fillId="7" borderId="1" xfId="0" applyFont="1" applyFill="1"/>
    <xf numFmtId="168" fontId="3" fillId="6" borderId="1" xfId="0" applyFont="1" applyFill="1"/>
    <xf numFmtId="168" fontId="14" fillId="6" borderId="1" xfId="0" applyFont="1" applyFill="1"/>
    <xf numFmtId="169" fontId="3" fillId="0" borderId="1" xfId="0" applyNumberFormat="1" applyFont="1" applyAlignment="1">
      <alignment horizontal="right"/>
    </xf>
    <xf numFmtId="168" fontId="3" fillId="0" borderId="1" xfId="0" applyFont="1" applyAlignment="1">
      <alignment horizontal="right" vertical="top" wrapText="1"/>
    </xf>
    <xf numFmtId="170" fontId="3" fillId="0" borderId="1" xfId="0" applyNumberFormat="1" applyFont="1"/>
    <xf numFmtId="173" fontId="14" fillId="7" borderId="1" xfId="0" applyNumberFormat="1" applyFont="1" applyFill="1"/>
    <xf numFmtId="0" fontId="0" fillId="0" borderId="1" xfId="0" applyNumberFormat="1"/>
    <xf numFmtId="171" fontId="39" fillId="0" borderId="1" xfId="54" applyNumberFormat="1" applyFill="1"/>
    <xf numFmtId="168" fontId="39" fillId="0" borderId="1" xfId="54" applyNumberFormat="1" applyFill="1"/>
    <xf numFmtId="168" fontId="39" fillId="0" borderId="1" xfId="54" applyFill="1"/>
    <xf numFmtId="168" fontId="39" fillId="0" borderId="1" xfId="54" applyNumberFormat="1"/>
    <xf numFmtId="171" fontId="22" fillId="0" borderId="1" xfId="3" applyFont="1" applyFill="1" applyAlignment="1">
      <alignment horizontal="right"/>
    </xf>
    <xf numFmtId="169" fontId="42" fillId="0" borderId="1" xfId="28" applyNumberFormat="1" applyFill="1">
      <alignment horizontal="left" vertical="center"/>
    </xf>
    <xf numFmtId="174" fontId="22" fillId="0" borderId="1" xfId="0" applyNumberFormat="1" applyFont="1"/>
    <xf numFmtId="171" fontId="39" fillId="6" borderId="10" xfId="54" applyNumberFormat="1" applyFill="1" applyBorder="1"/>
    <xf numFmtId="168" fontId="39" fillId="6" borderId="3" xfId="54" applyFill="1" applyBorder="1"/>
    <xf numFmtId="168" fontId="39" fillId="21" borderId="3" xfId="54" applyNumberFormat="1" applyFill="1" applyBorder="1" applyProtection="1">
      <protection locked="0"/>
    </xf>
    <xf numFmtId="168" fontId="39" fillId="21" borderId="30" xfId="54" applyNumberFormat="1" applyFill="1" applyBorder="1" applyProtection="1">
      <protection locked="0"/>
    </xf>
    <xf numFmtId="174" fontId="39" fillId="6" borderId="3" xfId="54" applyNumberFormat="1" applyFill="1" applyBorder="1"/>
    <xf numFmtId="174" fontId="14" fillId="0" borderId="1" xfId="0" applyNumberFormat="1" applyFont="1"/>
    <xf numFmtId="172" fontId="14" fillId="0" borderId="1" xfId="25" applyFont="1" applyFill="1"/>
    <xf numFmtId="172" fontId="0" fillId="0" borderId="1" xfId="25" applyFont="1" applyFill="1" applyAlignment="1">
      <alignment horizontal="right"/>
    </xf>
    <xf numFmtId="171" fontId="22" fillId="21" borderId="17" xfId="7" applyNumberFormat="1" applyBorder="1">
      <protection locked="0"/>
    </xf>
    <xf numFmtId="168" fontId="35" fillId="19" borderId="1" xfId="20" applyNumberFormat="1">
      <alignment horizontal="center"/>
    </xf>
    <xf numFmtId="173" fontId="35" fillId="19" borderId="1" xfId="20" applyNumberFormat="1">
      <alignment horizontal="center"/>
    </xf>
    <xf numFmtId="168" fontId="35" fillId="19" borderId="1" xfId="20" applyNumberFormat="1" applyAlignment="1">
      <alignment horizontal="centerContinuous"/>
    </xf>
    <xf numFmtId="168" fontId="0" fillId="0" borderId="1" xfId="0" applyAlignment="1">
      <alignment horizontal="left" indent="1"/>
    </xf>
    <xf numFmtId="177" fontId="14" fillId="0" borderId="1" xfId="0" applyNumberFormat="1" applyFont="1"/>
    <xf numFmtId="168" fontId="52" fillId="0" borderId="1" xfId="0" applyFont="1"/>
    <xf numFmtId="171" fontId="53" fillId="0" borderId="1" xfId="3" applyFont="1" applyFill="1"/>
    <xf numFmtId="168" fontId="54" fillId="0" borderId="1" xfId="0" applyFont="1"/>
    <xf numFmtId="171" fontId="39" fillId="0" borderId="1" xfId="3" applyFont="1" applyFill="1"/>
    <xf numFmtId="171" fontId="22" fillId="0" borderId="1" xfId="3" applyFont="1" applyFill="1"/>
    <xf numFmtId="174" fontId="22" fillId="0" borderId="1" xfId="23" applyNumberFormat="1" applyFill="1"/>
    <xf numFmtId="181" fontId="0" fillId="0" borderId="1" xfId="0" applyNumberFormat="1"/>
    <xf numFmtId="171" fontId="0" fillId="0" borderId="1" xfId="3" quotePrefix="1" applyFont="1" applyFill="1"/>
    <xf numFmtId="168" fontId="39" fillId="6" borderId="3" xfId="54" applyNumberFormat="1" applyFill="1" applyBorder="1"/>
    <xf numFmtId="174" fontId="14" fillId="0" borderId="12" xfId="0" applyNumberFormat="1" applyFont="1" applyBorder="1"/>
    <xf numFmtId="175" fontId="39" fillId="0" borderId="1" xfId="54" applyNumberFormat="1"/>
    <xf numFmtId="171" fontId="22" fillId="21" borderId="32" xfId="7" applyNumberFormat="1" applyBorder="1">
      <protection locked="0"/>
    </xf>
    <xf numFmtId="168" fontId="3" fillId="0" borderId="35" xfId="0" applyFont="1" applyBorder="1"/>
    <xf numFmtId="172" fontId="14" fillId="0" borderId="1" xfId="25" applyFont="1"/>
    <xf numFmtId="49" fontId="0" fillId="0" borderId="1" xfId="0" applyNumberFormat="1"/>
    <xf numFmtId="0" fontId="0" fillId="0" borderId="1" xfId="0" applyNumberFormat="1" applyAlignment="1">
      <alignment horizontal="left" vertical="distributed" wrapText="1"/>
    </xf>
    <xf numFmtId="176" fontId="39" fillId="0" borderId="1" xfId="54" applyNumberFormat="1"/>
    <xf numFmtId="182" fontId="39" fillId="0" borderId="1" xfId="54" applyNumberFormat="1"/>
    <xf numFmtId="181" fontId="16" fillId="0" borderId="1" xfId="0" applyNumberFormat="1" applyFont="1"/>
    <xf numFmtId="168" fontId="0" fillId="18" borderId="1" xfId="0" applyFill="1"/>
    <xf numFmtId="169" fontId="35" fillId="20" borderId="1" xfId="24">
      <alignment horizontal="center"/>
    </xf>
    <xf numFmtId="171" fontId="0" fillId="0" borderId="1" xfId="3" applyFont="1" applyFill="1" applyAlignment="1">
      <alignment horizontal="center"/>
    </xf>
    <xf numFmtId="0" fontId="55" fillId="0" borderId="1" xfId="0" applyNumberFormat="1" applyFont="1" applyAlignment="1">
      <alignment horizontal="right"/>
    </xf>
    <xf numFmtId="169" fontId="11" fillId="4" borderId="1" xfId="0" applyNumberFormat="1" applyFont="1" applyFill="1" applyAlignment="1">
      <alignment horizontal="center" vertical="center" wrapText="1"/>
    </xf>
    <xf numFmtId="0" fontId="5" fillId="0" borderId="1" xfId="0" applyNumberFormat="1" applyFont="1"/>
    <xf numFmtId="169" fontId="4" fillId="2" borderId="1" xfId="0" applyNumberFormat="1" applyFont="1" applyFill="1" applyAlignment="1">
      <alignment horizontal="center"/>
    </xf>
    <xf numFmtId="169" fontId="4" fillId="3" borderId="1" xfId="0" applyNumberFormat="1" applyFont="1" applyFill="1" applyAlignment="1">
      <alignment horizontal="center" vertical="center"/>
    </xf>
    <xf numFmtId="169" fontId="7" fillId="4" borderId="1" xfId="0" applyNumberFormat="1" applyFont="1" applyFill="1" applyAlignment="1">
      <alignment horizontal="left" vertical="top"/>
    </xf>
    <xf numFmtId="169" fontId="3" fillId="4" borderId="1" xfId="0" applyNumberFormat="1" applyFont="1" applyFill="1" applyAlignment="1">
      <alignment horizontal="center" vertical="center" wrapText="1"/>
    </xf>
    <xf numFmtId="168" fontId="3" fillId="4" borderId="1" xfId="0" applyFont="1" applyFill="1" applyAlignment="1">
      <alignment horizontal="left"/>
    </xf>
    <xf numFmtId="168" fontId="8" fillId="4" borderId="1" xfId="0" applyFont="1" applyFill="1" applyAlignment="1">
      <alignment horizontal="left" vertical="center"/>
    </xf>
    <xf numFmtId="168" fontId="3" fillId="4" borderId="1" xfId="0" applyFont="1" applyFill="1"/>
    <xf numFmtId="170" fontId="3" fillId="4" borderId="1" xfId="0" applyNumberFormat="1" applyFont="1" applyFill="1" applyAlignment="1">
      <alignment horizontal="left"/>
    </xf>
    <xf numFmtId="168" fontId="35" fillId="19" borderId="1" xfId="20" applyNumberFormat="1">
      <alignment horizontal="center"/>
    </xf>
    <xf numFmtId="168" fontId="0" fillId="0" borderId="1" xfId="0" applyAlignment="1">
      <alignment wrapText="1"/>
    </xf>
    <xf numFmtId="0" fontId="0" fillId="0" borderId="1" xfId="0" applyNumberFormat="1" applyAlignment="1">
      <alignment wrapText="1"/>
    </xf>
    <xf numFmtId="169" fontId="19" fillId="3" borderId="16" xfId="0" applyNumberFormat="1" applyFont="1" applyFill="1" applyBorder="1" applyAlignment="1">
      <alignment horizontal="center"/>
    </xf>
    <xf numFmtId="0" fontId="5" fillId="0" borderId="16" xfId="0" applyNumberFormat="1" applyFont="1" applyBorder="1"/>
    <xf numFmtId="49" fontId="0" fillId="0" borderId="1" xfId="0" applyNumberFormat="1" applyAlignment="1">
      <alignment horizontal="left" vertical="center" wrapText="1"/>
    </xf>
    <xf numFmtId="169" fontId="15" fillId="2" borderId="1" xfId="0" applyNumberFormat="1" applyFont="1" applyFill="1" applyAlignment="1">
      <alignment horizontal="center"/>
    </xf>
    <xf numFmtId="0" fontId="51" fillId="0" borderId="1" xfId="0" applyNumberFormat="1" applyFont="1"/>
    <xf numFmtId="168" fontId="50" fillId="0" borderId="1" xfId="0" applyFont="1" applyAlignment="1">
      <alignment horizontal="left"/>
    </xf>
    <xf numFmtId="168" fontId="22" fillId="21" borderId="32" xfId="7" applyNumberFormat="1" applyBorder="1" applyAlignment="1">
      <alignment horizontal="left" vertical="top" wrapText="1"/>
      <protection locked="0"/>
    </xf>
    <xf numFmtId="168" fontId="22" fillId="21" borderId="33" xfId="7" applyNumberFormat="1" applyBorder="1" applyAlignment="1">
      <alignment horizontal="left" vertical="top" wrapText="1"/>
      <protection locked="0"/>
    </xf>
    <xf numFmtId="168" fontId="22" fillId="21" borderId="34" xfId="7" applyNumberFormat="1" applyBorder="1" applyAlignment="1">
      <alignment horizontal="left" vertical="top" wrapText="1"/>
      <protection locked="0"/>
    </xf>
    <xf numFmtId="168" fontId="22" fillId="21" borderId="3" xfId="7" applyNumberFormat="1" applyAlignment="1">
      <alignment horizontal="center"/>
      <protection locked="0"/>
    </xf>
    <xf numFmtId="168" fontId="0" fillId="0" borderId="1" xfId="0" applyAlignment="1">
      <alignment horizontal="center"/>
    </xf>
    <xf numFmtId="168" fontId="22" fillId="21" borderId="3" xfId="7" applyNumberFormat="1">
      <protection locked="0"/>
    </xf>
    <xf numFmtId="168" fontId="22" fillId="21" borderId="32" xfId="7" applyNumberFormat="1" applyBorder="1" applyAlignment="1">
      <alignment vertical="top" wrapText="1"/>
      <protection locked="0"/>
    </xf>
    <xf numFmtId="168" fontId="22" fillId="21" borderId="33" xfId="7" applyNumberFormat="1" applyBorder="1" applyAlignment="1">
      <alignment vertical="top" wrapText="1"/>
      <protection locked="0"/>
    </xf>
    <xf numFmtId="168" fontId="22" fillId="21" borderId="34" xfId="7" applyNumberFormat="1" applyBorder="1" applyAlignment="1">
      <alignment vertical="top" wrapText="1"/>
      <protection locked="0"/>
    </xf>
    <xf numFmtId="49" fontId="22" fillId="21" borderId="32" xfId="7" applyNumberFormat="1" applyBorder="1" applyAlignment="1">
      <alignment horizontal="left" vertical="top" wrapText="1"/>
      <protection locked="0"/>
    </xf>
    <xf numFmtId="49" fontId="22" fillId="21" borderId="33" xfId="7" applyNumberFormat="1" applyBorder="1" applyAlignment="1">
      <alignment horizontal="left" vertical="top" wrapText="1"/>
      <protection locked="0"/>
    </xf>
    <xf numFmtId="49" fontId="22" fillId="21" borderId="34" xfId="7" applyNumberFormat="1" applyBorder="1" applyAlignment="1">
      <alignment horizontal="left" vertical="top" wrapText="1"/>
      <protection locked="0"/>
    </xf>
    <xf numFmtId="49" fontId="22" fillId="21" borderId="32" xfId="7" applyNumberFormat="1" applyBorder="1" applyAlignment="1">
      <alignment vertical="top" wrapText="1"/>
      <protection locked="0"/>
    </xf>
    <xf numFmtId="49" fontId="22" fillId="21" borderId="33" xfId="7" applyNumberFormat="1" applyBorder="1" applyAlignment="1">
      <alignment vertical="top" wrapText="1"/>
      <protection locked="0"/>
    </xf>
    <xf numFmtId="49" fontId="22" fillId="21" borderId="34" xfId="7" applyNumberFormat="1" applyBorder="1" applyAlignment="1">
      <alignment vertical="top" wrapText="1"/>
      <protection locked="0"/>
    </xf>
    <xf numFmtId="168" fontId="0" fillId="0" borderId="1" xfId="0" applyAlignment="1">
      <alignment horizontal="left" wrapText="1"/>
    </xf>
    <xf numFmtId="168" fontId="0" fillId="0" borderId="1" xfId="0" applyAlignment="1">
      <alignment horizontal="center" vertical="top"/>
    </xf>
  </cellXfs>
  <cellStyles count="60">
    <cellStyle name="20% - Accent1" xfId="14" builtinId="30" hidden="1"/>
    <cellStyle name="20% - Accent2" xfId="15" builtinId="34" hidden="1"/>
    <cellStyle name="20% - Accent3" xfId="16" builtinId="38" hidden="1"/>
    <cellStyle name="20% - Accent4" xfId="17" builtinId="42" hidden="1"/>
    <cellStyle name="20% - Accent5" xfId="18" builtinId="46" hidden="1"/>
    <cellStyle name="20% - Accent6" xfId="51" builtinId="50" hidden="1"/>
    <cellStyle name="40% - Accent1" xfId="36" builtinId="31" hidden="1"/>
    <cellStyle name="40% - Accent2" xfId="39" builtinId="35" hidden="1"/>
    <cellStyle name="40% - Accent3" xfId="42" builtinId="39" hidden="1"/>
    <cellStyle name="40% - Accent4" xfId="45" builtinId="43" hidden="1"/>
    <cellStyle name="40% - Accent5" xfId="48" builtinId="47" hidden="1"/>
    <cellStyle name="40% - Accent6" xfId="52" builtinId="51" hidden="1"/>
    <cellStyle name="60% - Accent1" xfId="37" builtinId="32" hidden="1"/>
    <cellStyle name="60% - Accent2" xfId="40" builtinId="36" hidden="1"/>
    <cellStyle name="60% - Accent3" xfId="43" builtinId="40" hidden="1"/>
    <cellStyle name="60% - Accent4" xfId="46" builtinId="44" hidden="1"/>
    <cellStyle name="60% - Accent5" xfId="49" builtinId="48" hidden="1"/>
    <cellStyle name="60% - Accent6" xfId="53" builtinId="52" hidden="1"/>
    <cellStyle name="Accent1" xfId="35" builtinId="29" hidden="1"/>
    <cellStyle name="Accent2" xfId="38" builtinId="33" hidden="1"/>
    <cellStyle name="Accent3" xfId="41" builtinId="37" hidden="1"/>
    <cellStyle name="Accent4" xfId="44" builtinId="41" hidden="1"/>
    <cellStyle name="Accent5" xfId="47" builtinId="45" hidden="1"/>
    <cellStyle name="Accent6" xfId="50" builtinId="49" hidden="1"/>
    <cellStyle name="Background Fill" xfId="19" xr:uid="{D191FE50-09C8-424C-B523-D5D33B56345E}"/>
    <cellStyle name="Bad" xfId="5" builtinId="27" hidden="1"/>
    <cellStyle name="Calculation" xfId="9" builtinId="22" hidden="1"/>
    <cellStyle name="Check Cell" xfId="11" builtinId="23" hidden="1"/>
    <cellStyle name="Column Heading" xfId="20" xr:uid="{8CE03F7A-D579-4116-BD76-5386275F696F}"/>
    <cellStyle name="Comma" xfId="55" builtinId="3" hidden="1"/>
    <cellStyle name="Comma [0]" xfId="56" builtinId="6" hidden="1"/>
    <cellStyle name="Currency" xfId="57" builtinId="4" hidden="1"/>
    <cellStyle name="Currency [0]" xfId="58" builtinId="7" hidden="1"/>
    <cellStyle name="Date" xfId="21" xr:uid="{FA95EFB7-623E-4156-84B8-31B8752CCC36}"/>
    <cellStyle name="Date Heading" xfId="22" xr:uid="{44984087-7F5A-4DE4-9F41-09BCF05F1D03}"/>
    <cellStyle name="Explanatory Text" xfId="13" builtinId="53" hidden="1"/>
    <cellStyle name="Followed Hyperlink" xfId="2" builtinId="9" hidden="1" customBuiltin="1"/>
    <cellStyle name="Good" xfId="4" builtinId="26" hidden="1"/>
    <cellStyle name="Hard Coded Number" xfId="23" xr:uid="{82755E70-246C-4CB7-9303-88EF5B451766}"/>
    <cellStyle name="Heading" xfId="24" xr:uid="{C8A98528-CED2-4D7C-97E6-776B729BE0F9}"/>
    <cellStyle name="Heading 1" xfId="30" builtinId="16" hidden="1"/>
    <cellStyle name="Heading 2" xfId="31" builtinId="17" hidden="1"/>
    <cellStyle name="Heading 3" xfId="32" builtinId="18" hidden="1"/>
    <cellStyle name="Heading 4" xfId="33" builtinId="19" hidden="1"/>
    <cellStyle name="Hyperlink" xfId="1" builtinId="8" hidden="1" customBuiltin="1"/>
    <cellStyle name="Hyperlink" xfId="54" builtinId="8"/>
    <cellStyle name="Input" xfId="7" builtinId="20" customBuiltin="1"/>
    <cellStyle name="Linked Cell" xfId="10" builtinId="24" hidden="1"/>
    <cellStyle name="Multiple" xfId="25" xr:uid="{7924ABA2-E6A2-45F9-B328-713CA1055226}"/>
    <cellStyle name="Neutral" xfId="6" builtinId="28" hidden="1"/>
    <cellStyle name="Normal" xfId="0" builtinId="0" customBuiltin="1"/>
    <cellStyle name="Note" xfId="59" builtinId="10" hidden="1"/>
    <cellStyle name="Output" xfId="8" builtinId="21" hidden="1"/>
    <cellStyle name="Percent" xfId="3" builtinId="5" customBuiltin="1"/>
    <cellStyle name="Primary Title" xfId="26" xr:uid="{6B18F1F5-1555-429C-AD8E-4077B9A3BD34}"/>
    <cellStyle name="Secondary Title" xfId="27" xr:uid="{85E7E940-8AA6-49D5-9D0B-C04186ADEBA4}"/>
    <cellStyle name="Tertiary Title" xfId="28" xr:uid="{E083078C-9C44-412C-A3EE-BC4704FC53AB}"/>
    <cellStyle name="Title" xfId="29" builtinId="15" hidden="1"/>
    <cellStyle name="Total" xfId="34" builtinId="25" hidden="1"/>
    <cellStyle name="Warning Text" xfId="12" builtinId="11" hidden="1"/>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solidFill>
                  <a:schemeClr val="tx1"/>
                </a:solidFill>
              </a:rPr>
              <a:t>Benchmarking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1"/>
          <c:order val="1"/>
          <c:tx>
            <c:strRef>
              <c:f>Accounting!$D$11</c:f>
              <c:strCache>
                <c:ptCount val="1"/>
                <c:pt idx="0">
                  <c:v>EBITDA Margin 22 </c:v>
                </c:pt>
              </c:strCache>
            </c:strRef>
          </c:tx>
          <c:spPr>
            <a:solidFill>
              <a:schemeClr val="accent1"/>
            </a:solidFill>
            <a:ln>
              <a:noFill/>
            </a:ln>
            <a:effectLst/>
          </c:spPr>
          <c:invertIfNegative val="0"/>
          <c:cat>
            <c:strRef>
              <c:f>Accounting!$B$13:$B$18</c:f>
              <c:strCache>
                <c:ptCount val="6"/>
                <c:pt idx="0">
                  <c:v>Coca Cola </c:v>
                </c:pt>
                <c:pt idx="1">
                  <c:v>Keurig Dr Pepper </c:v>
                </c:pt>
                <c:pt idx="2">
                  <c:v>PepsiCo </c:v>
                </c:pt>
                <c:pt idx="3">
                  <c:v>Monster </c:v>
                </c:pt>
                <c:pt idx="4">
                  <c:v>Suntory </c:v>
                </c:pt>
                <c:pt idx="5">
                  <c:v>Danone </c:v>
                </c:pt>
              </c:strCache>
            </c:strRef>
          </c:cat>
          <c:val>
            <c:numRef>
              <c:f>Accounting!$D$13:$D$18</c:f>
              <c:numCache>
                <c:formatCode>0.0%_);\(0.0%\)</c:formatCode>
                <c:ptCount val="6"/>
                <c:pt idx="0">
                  <c:v>0.31605724109092598</c:v>
                </c:pt>
                <c:pt idx="1">
                  <c:v>0.27971828982001851</c:v>
                </c:pt>
                <c:pt idx="2">
                  <c:v>0.17464580053708675</c:v>
                </c:pt>
                <c:pt idx="3">
                  <c:v>0.25644222259430238</c:v>
                </c:pt>
                <c:pt idx="4">
                  <c:v>0.1636513661603832</c:v>
                </c:pt>
                <c:pt idx="5">
                  <c:v>0.161418603810419</c:v>
                </c:pt>
              </c:numCache>
            </c:numRef>
          </c:val>
          <c:extLst>
            <c:ext xmlns:c16="http://schemas.microsoft.com/office/drawing/2014/chart" uri="{C3380CC4-5D6E-409C-BE32-E72D297353CC}">
              <c16:uniqueId val="{00000001-14B8-4C41-9EB5-12EA103F42A6}"/>
            </c:ext>
          </c:extLst>
        </c:ser>
        <c:ser>
          <c:idx val="2"/>
          <c:order val="2"/>
          <c:tx>
            <c:strRef>
              <c:f>Accounting!$F$11</c:f>
              <c:strCache>
                <c:ptCount val="1"/>
                <c:pt idx="0">
                  <c:v>EBITDA Margin 23 </c:v>
                </c:pt>
              </c:strCache>
            </c:strRef>
          </c:tx>
          <c:spPr>
            <a:solidFill>
              <a:schemeClr val="accent2"/>
            </a:solidFill>
            <a:ln>
              <a:noFill/>
            </a:ln>
            <a:effectLst/>
          </c:spPr>
          <c:invertIfNegative val="0"/>
          <c:cat>
            <c:strRef>
              <c:f>Accounting!$B$13:$B$18</c:f>
              <c:strCache>
                <c:ptCount val="6"/>
                <c:pt idx="0">
                  <c:v>Coca Cola </c:v>
                </c:pt>
                <c:pt idx="1">
                  <c:v>Keurig Dr Pepper </c:v>
                </c:pt>
                <c:pt idx="2">
                  <c:v>PepsiCo </c:v>
                </c:pt>
                <c:pt idx="3">
                  <c:v>Monster </c:v>
                </c:pt>
                <c:pt idx="4">
                  <c:v>Suntory </c:v>
                </c:pt>
                <c:pt idx="5">
                  <c:v>Danone </c:v>
                </c:pt>
              </c:strCache>
            </c:strRef>
          </c:cat>
          <c:val>
            <c:numRef>
              <c:f>Accounting!$F$13:$F$18</c:f>
              <c:numCache>
                <c:formatCode>0.0%_);\(0.0%\)</c:formatCode>
                <c:ptCount val="6"/>
                <c:pt idx="0">
                  <c:v>0.31591822470732134</c:v>
                </c:pt>
                <c:pt idx="1">
                  <c:v>0.27285000675037124</c:v>
                </c:pt>
                <c:pt idx="2">
                  <c:v>0.18391621388199539</c:v>
                </c:pt>
                <c:pt idx="3">
                  <c:v>0.28751848408463798</c:v>
                </c:pt>
                <c:pt idx="4">
                  <c:v>0.14914504052797128</c:v>
                </c:pt>
                <c:pt idx="5">
                  <c:v>0.17831927296426373</c:v>
                </c:pt>
              </c:numCache>
            </c:numRef>
          </c:val>
          <c:extLst>
            <c:ext xmlns:c16="http://schemas.microsoft.com/office/drawing/2014/chart" uri="{C3380CC4-5D6E-409C-BE32-E72D297353CC}">
              <c16:uniqueId val="{00000002-14B8-4C41-9EB5-12EA103F42A6}"/>
            </c:ext>
          </c:extLst>
        </c:ser>
        <c:dLbls>
          <c:showLegendKey val="0"/>
          <c:showVal val="0"/>
          <c:showCatName val="0"/>
          <c:showSerName val="0"/>
          <c:showPercent val="0"/>
          <c:showBubbleSize val="0"/>
        </c:dLbls>
        <c:gapWidth val="219"/>
        <c:axId val="1598371263"/>
        <c:axId val="1598377087"/>
      </c:barChart>
      <c:lineChart>
        <c:grouping val="standard"/>
        <c:varyColors val="0"/>
        <c:ser>
          <c:idx val="0"/>
          <c:order val="0"/>
          <c:tx>
            <c:strRef>
              <c:f>Accounting!$C$11</c:f>
              <c:strCache>
                <c:ptCount val="1"/>
                <c:pt idx="0">
                  <c:v>Revenue Growth </c:v>
                </c:pt>
              </c:strCache>
            </c:strRef>
          </c:tx>
          <c:spPr>
            <a:ln w="28575" cap="rnd">
              <a:noFill/>
              <a:round/>
            </a:ln>
            <a:effectLst/>
          </c:spPr>
          <c:marker>
            <c:symbol val="diamond"/>
            <c:size val="5"/>
            <c:spPr>
              <a:solidFill>
                <a:schemeClr val="accent6"/>
              </a:solidFill>
              <a:ln w="31750">
                <a:solidFill>
                  <a:schemeClr val="accent6"/>
                </a:solidFill>
              </a:ln>
              <a:effectLst/>
            </c:spPr>
          </c:marker>
          <c:cat>
            <c:strRef>
              <c:f>Accounting!$B$13:$B$18</c:f>
              <c:strCache>
                <c:ptCount val="6"/>
                <c:pt idx="0">
                  <c:v>Coca Cola </c:v>
                </c:pt>
                <c:pt idx="1">
                  <c:v>Keurig Dr Pepper </c:v>
                </c:pt>
                <c:pt idx="2">
                  <c:v>PepsiCo </c:v>
                </c:pt>
                <c:pt idx="3">
                  <c:v>Monster </c:v>
                </c:pt>
                <c:pt idx="4">
                  <c:v>Suntory </c:v>
                </c:pt>
                <c:pt idx="5">
                  <c:v>Danone </c:v>
                </c:pt>
              </c:strCache>
            </c:strRef>
          </c:cat>
          <c:val>
            <c:numRef>
              <c:f>Accounting!$C$13:$C$18</c:f>
              <c:numCache>
                <c:formatCode>0.0%_);\(0.0%\)</c:formatCode>
                <c:ptCount val="6"/>
                <c:pt idx="0">
                  <c:v>6.3606374576034908E-2</c:v>
                </c:pt>
                <c:pt idx="1">
                  <c:v>5.3852173294444139E-2</c:v>
                </c:pt>
                <c:pt idx="2">
                  <c:v>5.879016575608853E-2</c:v>
                </c:pt>
                <c:pt idx="3">
                  <c:v>0.13219110037394044</c:v>
                </c:pt>
                <c:pt idx="4">
                  <c:v>0.16323617170587612</c:v>
                </c:pt>
                <c:pt idx="5">
                  <c:v>-1.5183832833230992E-3</c:v>
                </c:pt>
              </c:numCache>
            </c:numRef>
          </c:val>
          <c:smooth val="0"/>
          <c:extLst>
            <c:ext xmlns:c16="http://schemas.microsoft.com/office/drawing/2014/chart" uri="{C3380CC4-5D6E-409C-BE32-E72D297353CC}">
              <c16:uniqueId val="{00000000-14B8-4C41-9EB5-12EA103F42A6}"/>
            </c:ext>
          </c:extLst>
        </c:ser>
        <c:dLbls>
          <c:showLegendKey val="0"/>
          <c:showVal val="0"/>
          <c:showCatName val="0"/>
          <c:showSerName val="0"/>
          <c:showPercent val="0"/>
          <c:showBubbleSize val="0"/>
        </c:dLbls>
        <c:marker val="1"/>
        <c:smooth val="0"/>
        <c:axId val="1598371263"/>
        <c:axId val="1598377087"/>
      </c:lineChart>
      <c:catAx>
        <c:axId val="159837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98377087"/>
        <c:crosses val="autoZero"/>
        <c:auto val="1"/>
        <c:lblAlgn val="ctr"/>
        <c:lblOffset val="100"/>
        <c:noMultiLvlLbl val="0"/>
      </c:catAx>
      <c:valAx>
        <c:axId val="1598377087"/>
        <c:scaling>
          <c:orientation val="minMax"/>
          <c:max val="0.4"/>
        </c:scaling>
        <c:delete val="0"/>
        <c:axPos val="l"/>
        <c:majorGridlines>
          <c:spPr>
            <a:ln w="9525" cap="flat" cmpd="sng" algn="ctr">
              <a:solidFill>
                <a:schemeClr val="tx1">
                  <a:lumMod val="15000"/>
                  <a:lumOff val="85000"/>
                </a:schemeClr>
              </a:solidFill>
              <a:round/>
            </a:ln>
            <a:effectLst/>
          </c:spPr>
        </c:majorGridlines>
        <c:numFmt formatCode="0.0%_);\(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98371263"/>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979797"/>
                </a:solidFill>
                <a:latin typeface="+mn-lt"/>
              </a:defRPr>
            </a:pPr>
            <a:r>
              <a:rPr lang="en-GB" sz="1400" b="0" i="0">
                <a:solidFill>
                  <a:sysClr val="windowText" lastClr="000000"/>
                </a:solidFill>
                <a:latin typeface="+mn-lt"/>
              </a:rPr>
              <a:t>Red Bull Enterprise Value EURbn</a:t>
            </a:r>
          </a:p>
        </c:rich>
      </c:tx>
      <c:overlay val="0"/>
    </c:title>
    <c:autoTitleDeleted val="0"/>
    <c:plotArea>
      <c:layout/>
      <c:barChart>
        <c:barDir val="bar"/>
        <c:grouping val="stacked"/>
        <c:varyColors val="1"/>
        <c:ser>
          <c:idx val="0"/>
          <c:order val="0"/>
          <c:spPr>
            <a:noFill/>
            <a:ln cmpd="sng">
              <a:noFill/>
            </a:ln>
          </c:spPr>
          <c:invertIfNegative val="1"/>
          <c:cat>
            <c:strRef>
              <c:f>Valuation_summary!$B$46:$B$51</c:f>
              <c:strCache>
                <c:ptCount val="6"/>
                <c:pt idx="0">
                  <c:v>EV / CY2 Revenue </c:v>
                </c:pt>
                <c:pt idx="1">
                  <c:v>EV / CY2 EBITDA </c:v>
                </c:pt>
                <c:pt idx="2">
                  <c:v>DCF WACC 6.4% - 6.6%, LT growth 2.5% - 2.7% </c:v>
                </c:pt>
                <c:pt idx="3">
                  <c:v>DCF with synergies 0.0% of revenue </c:v>
                </c:pt>
                <c:pt idx="4">
                  <c:v>Transaction multiples EV </c:v>
                </c:pt>
                <c:pt idx="5">
                  <c:v>LBO, IRR 20.0% to 22.0% </c:v>
                </c:pt>
              </c:strCache>
            </c:strRef>
          </c:cat>
          <c:val>
            <c:numRef>
              <c:f>Valuation_summary!$C$46:$C$51</c:f>
              <c:numCache>
                <c:formatCode>#,##0.0_);\(#,##0.0\);0.0_);@_)</c:formatCode>
                <c:ptCount val="6"/>
              </c:numCache>
            </c:numRef>
          </c:val>
          <c:extLst>
            <c:ext xmlns:c16="http://schemas.microsoft.com/office/drawing/2014/chart" uri="{C3380CC4-5D6E-409C-BE32-E72D297353CC}">
              <c16:uniqueId val="{00000000-8188-49B6-9796-C5028DA53C2B}"/>
            </c:ext>
          </c:extLst>
        </c:ser>
        <c:ser>
          <c:idx val="1"/>
          <c:order val="1"/>
          <c:spPr>
            <a:solidFill>
              <a:srgbClr val="8064A2"/>
            </a:solidFill>
            <a:ln cmpd="sng">
              <a:noFill/>
            </a:ln>
          </c:spPr>
          <c:invertIfNegative val="1"/>
          <c:cat>
            <c:strRef>
              <c:f>Valuation_summary!$B$46:$B$51</c:f>
              <c:strCache>
                <c:ptCount val="6"/>
                <c:pt idx="0">
                  <c:v>EV / CY2 Revenue </c:v>
                </c:pt>
                <c:pt idx="1">
                  <c:v>EV / CY2 EBITDA </c:v>
                </c:pt>
                <c:pt idx="2">
                  <c:v>DCF WACC 6.4% - 6.6%, LT growth 2.5% - 2.7% </c:v>
                </c:pt>
                <c:pt idx="3">
                  <c:v>DCF with synergies 0.0% of revenue </c:v>
                </c:pt>
                <c:pt idx="4">
                  <c:v>Transaction multiples EV </c:v>
                </c:pt>
                <c:pt idx="5">
                  <c:v>LBO, IRR 20.0% to 22.0% </c:v>
                </c:pt>
              </c:strCache>
            </c:strRef>
          </c:cat>
          <c:val>
            <c:numRef>
              <c:f>Valuation_summary!$D$46:$D$51</c:f>
              <c:numCache>
                <c:formatCode>#,##0.0_);\(#,##0.0\);0.0_);@_)</c:formatCode>
                <c:ptCount val="6"/>
              </c:numCache>
            </c:numRef>
          </c:val>
          <c:extLst>
            <c:ext xmlns:c14="http://schemas.microsoft.com/office/drawing/2007/8/2/chart" uri="{6F2FDCE9-48DA-4B69-8628-5D25D57E5C99}">
              <c14:invertSolidFillFmt>
                <c14:spPr xmlns:c14="http://schemas.microsoft.com/office/drawing/2007/8/2/chart">
                  <a:solidFill>
                    <a:srgbClr val="FFFFFF"/>
                  </a:solidFill>
                  <a:ln cmpd="sng">
                    <a:noFill/>
                  </a:ln>
                </c14:spPr>
              </c14:invertSolidFillFmt>
            </c:ext>
            <c:ext xmlns:c16="http://schemas.microsoft.com/office/drawing/2014/chart" uri="{C3380CC4-5D6E-409C-BE32-E72D297353CC}">
              <c16:uniqueId val="{00000001-8188-49B6-9796-C5028DA53C2B}"/>
            </c:ext>
          </c:extLst>
        </c:ser>
        <c:dLbls>
          <c:showLegendKey val="0"/>
          <c:showVal val="0"/>
          <c:showCatName val="0"/>
          <c:showSerName val="0"/>
          <c:showPercent val="0"/>
          <c:showBubbleSize val="0"/>
        </c:dLbls>
        <c:gapWidth val="150"/>
        <c:overlap val="100"/>
        <c:axId val="1865215349"/>
        <c:axId val="1842525773"/>
      </c:barChart>
      <c:scatterChart>
        <c:scatterStyle val="lineMarker"/>
        <c:varyColors val="1"/>
        <c:ser>
          <c:idx val="2"/>
          <c:order val="2"/>
          <c:tx>
            <c:v>Share Price Low</c:v>
          </c:tx>
          <c:spPr>
            <a:ln>
              <a:solidFill>
                <a:schemeClr val="tx1"/>
              </a:solidFill>
              <a:prstDash val="sysDash"/>
            </a:ln>
          </c:spPr>
          <c:marker>
            <c:symbol val="none"/>
          </c:marker>
          <c:xVal>
            <c:numRef>
              <c:f>Valuation_summary!$I$54:$I$55</c:f>
              <c:numCache>
                <c:formatCode>#,##0.0_);\(#,##0.0\);0.0_);@_)</c:formatCode>
                <c:ptCount val="2"/>
              </c:numCache>
            </c:numRef>
          </c:xVal>
          <c:yVal>
            <c:numRef>
              <c:f>Valuation_summary!$H$54:$H$55</c:f>
              <c:numCache>
                <c:formatCode>#,##0.0_);\(#,##0.0\);0.0_);@_)</c:formatCode>
                <c:ptCount val="2"/>
                <c:pt idx="0">
                  <c:v>0</c:v>
                </c:pt>
                <c:pt idx="1">
                  <c:v>6</c:v>
                </c:pt>
              </c:numCache>
            </c:numRef>
          </c:yVal>
          <c:smooth val="0"/>
          <c:extLst>
            <c:ext xmlns:c16="http://schemas.microsoft.com/office/drawing/2014/chart" uri="{C3380CC4-5D6E-409C-BE32-E72D297353CC}">
              <c16:uniqueId val="{00000002-5A58-4C90-83D1-A8A2F286DB10}"/>
            </c:ext>
          </c:extLst>
        </c:ser>
        <c:ser>
          <c:idx val="3"/>
          <c:order val="3"/>
          <c:tx>
            <c:v>Share Price High</c:v>
          </c:tx>
          <c:spPr>
            <a:ln>
              <a:solidFill>
                <a:schemeClr val="tx1"/>
              </a:solidFill>
              <a:prstDash val="sysDash"/>
            </a:ln>
          </c:spPr>
          <c:marker>
            <c:symbol val="none"/>
          </c:marker>
          <c:xVal>
            <c:numRef>
              <c:f>Valuation_summary!$I$57:$I$58</c:f>
              <c:numCache>
                <c:formatCode>#,##0.0_);\(#,##0.0\);0.0_);@_)</c:formatCode>
                <c:ptCount val="2"/>
              </c:numCache>
            </c:numRef>
          </c:xVal>
          <c:yVal>
            <c:numRef>
              <c:f>Valuation_summary!$H$57:$H$58</c:f>
              <c:numCache>
                <c:formatCode>#,##0.0_);\(#,##0.0\);0.0_);@_)</c:formatCode>
                <c:ptCount val="2"/>
                <c:pt idx="0">
                  <c:v>0</c:v>
                </c:pt>
                <c:pt idx="1">
                  <c:v>6</c:v>
                </c:pt>
              </c:numCache>
            </c:numRef>
          </c:yVal>
          <c:smooth val="0"/>
          <c:extLst>
            <c:ext xmlns:c16="http://schemas.microsoft.com/office/drawing/2014/chart" uri="{C3380CC4-5D6E-409C-BE32-E72D297353CC}">
              <c16:uniqueId val="{00000004-5A58-4C90-83D1-A8A2F286DB10}"/>
            </c:ext>
          </c:extLst>
        </c:ser>
        <c:dLbls>
          <c:showLegendKey val="0"/>
          <c:showVal val="0"/>
          <c:showCatName val="0"/>
          <c:showSerName val="0"/>
          <c:showPercent val="0"/>
          <c:showBubbleSize val="0"/>
        </c:dLbls>
        <c:axId val="829687048"/>
        <c:axId val="829686064"/>
      </c:scatterChart>
      <c:catAx>
        <c:axId val="1865215349"/>
        <c:scaling>
          <c:orientation val="maxMin"/>
        </c:scaling>
        <c:delete val="0"/>
        <c:axPos val="l"/>
        <c:title>
          <c:tx>
            <c:rich>
              <a:bodyPr/>
              <a:lstStyle/>
              <a:p>
                <a:pPr lvl="0">
                  <a:defRPr b="0">
                    <a:solidFill>
                      <a:srgbClr val="3F3F3F"/>
                    </a:solidFill>
                    <a:latin typeface="+mn-lt"/>
                  </a:defRPr>
                </a:pPr>
                <a:endParaRPr lang="en-GB"/>
              </a:p>
            </c:rich>
          </c:tx>
          <c:overlay val="0"/>
        </c:title>
        <c:numFmt formatCode="General" sourceLinked="1"/>
        <c:majorTickMark val="none"/>
        <c:minorTickMark val="none"/>
        <c:tickLblPos val="nextTo"/>
        <c:txPr>
          <a:bodyPr/>
          <a:lstStyle/>
          <a:p>
            <a:pPr lvl="0">
              <a:defRPr sz="1000" b="0" i="0">
                <a:solidFill>
                  <a:sysClr val="windowText" lastClr="000000"/>
                </a:solidFill>
                <a:latin typeface="+mn-lt"/>
              </a:defRPr>
            </a:pPr>
            <a:endParaRPr lang="en-US"/>
          </a:p>
        </c:txPr>
        <c:crossAx val="1842525773"/>
        <c:crosses val="autoZero"/>
        <c:auto val="1"/>
        <c:lblAlgn val="ctr"/>
        <c:lblOffset val="100"/>
        <c:noMultiLvlLbl val="1"/>
      </c:catAx>
      <c:valAx>
        <c:axId val="1842525773"/>
        <c:scaling>
          <c:orientation val="minMax"/>
          <c:min val="0"/>
        </c:scaling>
        <c:delete val="0"/>
        <c:axPos val="b"/>
        <c:title>
          <c:tx>
            <c:rich>
              <a:bodyPr/>
              <a:lstStyle/>
              <a:p>
                <a:pPr lvl="0">
                  <a:defRPr b="0">
                    <a:solidFill>
                      <a:srgbClr val="3F3F3F"/>
                    </a:solidFill>
                    <a:latin typeface="+mn-lt"/>
                  </a:defRPr>
                </a:pPr>
                <a:endParaRPr lang="en-GB"/>
              </a:p>
            </c:rich>
          </c:tx>
          <c:overlay val="0"/>
        </c:title>
        <c:numFmt formatCode="#,##0.0_);\(#,##0.0\);0.0_);@_)" sourceLinked="1"/>
        <c:majorTickMark val="none"/>
        <c:minorTickMark val="none"/>
        <c:tickLblPos val="nextTo"/>
        <c:spPr>
          <a:ln/>
        </c:spPr>
        <c:txPr>
          <a:bodyPr/>
          <a:lstStyle/>
          <a:p>
            <a:pPr lvl="0">
              <a:defRPr sz="1000" b="0" i="0">
                <a:solidFill>
                  <a:sysClr val="windowText" lastClr="000000"/>
                </a:solidFill>
                <a:latin typeface="+mn-lt"/>
              </a:defRPr>
            </a:pPr>
            <a:endParaRPr lang="en-US"/>
          </a:p>
        </c:txPr>
        <c:crossAx val="1865215349"/>
        <c:crosses val="max"/>
        <c:crossBetween val="between"/>
        <c:dispUnits>
          <c:builtInUnit val="thousands"/>
        </c:dispUnits>
      </c:valAx>
      <c:valAx>
        <c:axId val="829686064"/>
        <c:scaling>
          <c:orientation val="minMax"/>
          <c:max val="6"/>
        </c:scaling>
        <c:delete val="1"/>
        <c:axPos val="r"/>
        <c:numFmt formatCode="#,##0.0_);\(#,##0.0\);0.0_);@_)" sourceLinked="1"/>
        <c:majorTickMark val="out"/>
        <c:minorTickMark val="none"/>
        <c:tickLblPos val="nextTo"/>
        <c:crossAx val="829687048"/>
        <c:crosses val="max"/>
        <c:crossBetween val="midCat"/>
      </c:valAx>
      <c:valAx>
        <c:axId val="829687048"/>
        <c:scaling>
          <c:orientation val="minMax"/>
        </c:scaling>
        <c:delete val="1"/>
        <c:axPos val="b"/>
        <c:numFmt formatCode="#,##0.0_);\(#,##0.0\);0.0_);@_)" sourceLinked="1"/>
        <c:majorTickMark val="out"/>
        <c:minorTickMark val="none"/>
        <c:tickLblPos val="nextTo"/>
        <c:crossAx val="829686064"/>
        <c:crosses val="autoZero"/>
        <c:crossBetween val="midCat"/>
      </c:valAx>
    </c:plotArea>
    <c:plotVisOnly val="1"/>
    <c:dispBlanksAs val="zero"/>
    <c:showDLblsOverMax val="1"/>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4</xdr:col>
      <xdr:colOff>19050</xdr:colOff>
      <xdr:row>0</xdr:row>
      <xdr:rowOff>1019175</xdr:rowOff>
    </xdr:from>
    <xdr:ext cx="3590925" cy="5238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1914514</xdr:colOff>
      <xdr:row>0</xdr:row>
      <xdr:rowOff>114300</xdr:rowOff>
    </xdr:from>
    <xdr:ext cx="352425" cy="34290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7843827" y="114300"/>
          <a:ext cx="352425" cy="3429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9</xdr:col>
      <xdr:colOff>424709</xdr:colOff>
      <xdr:row>8</xdr:row>
      <xdr:rowOff>17369</xdr:rowOff>
    </xdr:from>
    <xdr:to>
      <xdr:col>18</xdr:col>
      <xdr:colOff>491378</xdr:colOff>
      <xdr:row>22</xdr:row>
      <xdr:rowOff>131669</xdr:rowOff>
    </xdr:to>
    <xdr:graphicFrame macro="">
      <xdr:nvGraphicFramePr>
        <xdr:cNvPr id="6" name="Chart 5">
          <a:extLst>
            <a:ext uri="{FF2B5EF4-FFF2-40B4-BE49-F238E27FC236}">
              <a16:creationId xmlns:a16="http://schemas.microsoft.com/office/drawing/2014/main" id="{14A6F703-68E9-4A2F-7C9A-9767DF0F02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11206</xdr:colOff>
      <xdr:row>7</xdr:row>
      <xdr:rowOff>67233</xdr:rowOff>
    </xdr:from>
    <xdr:to>
      <xdr:col>5</xdr:col>
      <xdr:colOff>655545</xdr:colOff>
      <xdr:row>26</xdr:row>
      <xdr:rowOff>148477</xdr:rowOff>
    </xdr:to>
    <xdr:grpSp>
      <xdr:nvGrpSpPr>
        <xdr:cNvPr id="3" name="Group 2">
          <a:extLst>
            <a:ext uri="{FF2B5EF4-FFF2-40B4-BE49-F238E27FC236}">
              <a16:creationId xmlns:a16="http://schemas.microsoft.com/office/drawing/2014/main" id="{15AB4BA9-3AA5-BEC0-31A4-1E06A82FB480}"/>
            </a:ext>
          </a:extLst>
        </xdr:cNvPr>
        <xdr:cNvGrpSpPr/>
      </xdr:nvGrpSpPr>
      <xdr:grpSpPr>
        <a:xfrm>
          <a:off x="125506" y="1819833"/>
          <a:ext cx="6959414" cy="3881719"/>
          <a:chOff x="123265" y="1826557"/>
          <a:chExt cx="6964456" cy="3913655"/>
        </a:xfrm>
      </xdr:grpSpPr>
      <xdr:pic>
        <xdr:nvPicPr>
          <xdr:cNvPr id="2" name="Picture 1">
            <a:extLst>
              <a:ext uri="{FF2B5EF4-FFF2-40B4-BE49-F238E27FC236}">
                <a16:creationId xmlns:a16="http://schemas.microsoft.com/office/drawing/2014/main" id="{37220E04-F172-2ACB-413A-D7268A9FC062}"/>
              </a:ext>
            </a:extLst>
          </xdr:cNvPr>
          <xdr:cNvPicPr>
            <a:picLocks noChangeAspect="1"/>
          </xdr:cNvPicPr>
        </xdr:nvPicPr>
        <xdr:blipFill>
          <a:blip xmlns:r="http://schemas.openxmlformats.org/officeDocument/2006/relationships" r:embed="rId1"/>
          <a:stretch>
            <a:fillRect/>
          </a:stretch>
        </xdr:blipFill>
        <xdr:spPr>
          <a:xfrm>
            <a:off x="123265" y="1826557"/>
            <a:ext cx="6964456" cy="3913655"/>
          </a:xfrm>
          <a:prstGeom prst="rect">
            <a:avLst/>
          </a:prstGeom>
          <a:ln>
            <a:solidFill>
              <a:schemeClr val="accent1"/>
            </a:solidFill>
          </a:ln>
        </xdr:spPr>
      </xdr:pic>
      <xdr:sp macro="" textlink="">
        <xdr:nvSpPr>
          <xdr:cNvPr id="4" name="Rectangle: Rounded Corners 3">
            <a:extLst>
              <a:ext uri="{FF2B5EF4-FFF2-40B4-BE49-F238E27FC236}">
                <a16:creationId xmlns:a16="http://schemas.microsoft.com/office/drawing/2014/main" id="{7024186C-5278-8BA7-0F9C-6D34DF912810}"/>
              </a:ext>
            </a:extLst>
          </xdr:cNvPr>
          <xdr:cNvSpPr/>
        </xdr:nvSpPr>
        <xdr:spPr>
          <a:xfrm>
            <a:off x="147676" y="2279554"/>
            <a:ext cx="2491309" cy="29293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5" name="Rectangle: Rounded Corners 4">
            <a:extLst>
              <a:ext uri="{FF2B5EF4-FFF2-40B4-BE49-F238E27FC236}">
                <a16:creationId xmlns:a16="http://schemas.microsoft.com/office/drawing/2014/main" id="{0FEA75D9-A8AE-4E1C-B483-596A68213BBA}"/>
              </a:ext>
            </a:extLst>
          </xdr:cNvPr>
          <xdr:cNvSpPr/>
        </xdr:nvSpPr>
        <xdr:spPr>
          <a:xfrm>
            <a:off x="515471" y="5278495"/>
            <a:ext cx="963705" cy="21238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1</xdr:col>
      <xdr:colOff>1028700</xdr:colOff>
      <xdr:row>51</xdr:row>
      <xdr:rowOff>142875</xdr:rowOff>
    </xdr:from>
    <xdr:ext cx="7172325" cy="2762250"/>
    <xdr:graphicFrame macro="">
      <xdr:nvGraphicFramePr>
        <xdr:cNvPr id="1846476517" name="Chart 1">
          <a:extLst>
            <a:ext uri="{FF2B5EF4-FFF2-40B4-BE49-F238E27FC236}">
              <a16:creationId xmlns:a16="http://schemas.microsoft.com/office/drawing/2014/main" id="{00000000-0008-0000-1000-0000E5FE0E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ibhero-my.sharepoint.com/personal/deborah_taylor_fe_training/Documents/Deborah%20Taylor/D%20Taylor/Useful%20Materials/Materials%20Development/2024%20Case%20in%20Point/Case%20in%20Point%20Beverages%20ESG%20Materials/Case%20in%20Point%20Beverages%202024%20Full%20Instructor%20ESG.xlsx" TargetMode="External"/><Relationship Id="rId2" Type="http://schemas.microsoft.com/office/2019/04/relationships/externalLinkLongPath" Target="/personal/deborah_taylor_fe_training/Documents/Deborah%20Taylor/D%20Taylor/Useful%20Materials/Materials%20Development/2024%20Case%20in%20Point/Case%20in%20Point%20Beverages%20ESG%20Materials/Case%20in%20Point%20Beverages%202024%20Full%20Instructor%20ESG.xlsx?5F4100A2" TargetMode="External"/><Relationship Id="rId1" Type="http://schemas.openxmlformats.org/officeDocument/2006/relationships/externalLinkPath" Target="file:///\\5F4100A2\Case%20in%20Point%20Beverages%202024%20Full%20Instructor%20ES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ibhero.sharepoint.com/FE%20Materials/Final%20Materials/0000%20Case%20Materials%20FE/0040%20Case%20in%20Point%20-%20Intermediate%20FE/In%20Course%20-%20Beverages%202023%20-%20Final/7050%207020%20Case%20in%20Point%20Beverages%202023%20M_A%20Full%20LBO%20Full.xlsx" TargetMode="External"/><Relationship Id="rId1" Type="http://schemas.openxmlformats.org/officeDocument/2006/relationships/externalLinkPath" Target="/FE%20Materials/Final%20Materials/0000%20Case%20Materials%20FE/0040%20Case%20in%20Point%20-%20Intermediate%20FE/In%20Course%20-%20Beverages%202023%20-%20Final/7050%207020%20Case%20in%20Point%20Beverages%202023%20M_A%20Full%20LBO%20Fu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Welcome"/>
      <sheetName val="Info"/>
      <sheetName val="Accounting"/>
      <sheetName val="Accounting Qualitative"/>
      <sheetName val="Trainer Notes"/>
      <sheetName val="Red Bull Model"/>
      <sheetName val="Trading_comps_scratch"/>
      <sheetName val="1"/>
      <sheetName val="2"/>
      <sheetName val="Trading_comps"/>
      <sheetName val="Checklist"/>
      <sheetName val="DCF"/>
      <sheetName val="WACC"/>
      <sheetName val="Transaction_comps"/>
      <sheetName val="Synergies"/>
      <sheetName val="Valuation_summary"/>
      <sheetName val="ESG2"/>
      <sheetName val="M&amp;A"/>
      <sheetName val="LBO"/>
      <sheetName val="Scratchpad"/>
      <sheetName val="Factset cod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Info"/>
      <sheetName val="Accounting"/>
      <sheetName val="Accounting Qualitative"/>
      <sheetName val="Red Bull Model"/>
      <sheetName val="Trading_comps_scratch"/>
      <sheetName val="1"/>
      <sheetName val="2"/>
      <sheetName val="Trading_comps"/>
      <sheetName val="Checklist"/>
      <sheetName val="DCF"/>
      <sheetName val="WACC"/>
      <sheetName val="Transaction_comps"/>
      <sheetName val="Synergies"/>
      <sheetName val="Valuation_summary"/>
      <sheetName val="ESG"/>
      <sheetName val="M&amp;A Redbull"/>
      <sheetName val="LBO"/>
      <sheetName val="Scratchpad"/>
      <sheetName val="Factset cod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Sheets">
  <a:themeElements>
    <a:clrScheme name="Sheets">
      <a:dk1>
        <a:srgbClr val="3F3F3F"/>
      </a:dk1>
      <a:lt1>
        <a:srgbClr val="FFFFFF"/>
      </a:lt1>
      <a:dk2>
        <a:srgbClr val="3F3F3F"/>
      </a:dk2>
      <a:lt2>
        <a:srgbClr val="FFFFFF"/>
      </a:lt2>
      <a:accent1>
        <a:srgbClr val="085393"/>
      </a:accent1>
      <a:accent2>
        <a:srgbClr val="8064A2"/>
      </a:accent2>
      <a:accent3>
        <a:srgbClr val="C0504D"/>
      </a:accent3>
      <a:accent4>
        <a:srgbClr val="ED7D31"/>
      </a:accent4>
      <a:accent5>
        <a:srgbClr val="FFC000"/>
      </a:accent5>
      <a:accent6>
        <a:srgbClr val="70AD47"/>
      </a:accent6>
      <a:hlink>
        <a:srgbClr val="085393"/>
      </a:hlink>
      <a:folHlink>
        <a:srgbClr val="085393"/>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e.trainin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17" Type="http://schemas.openxmlformats.org/officeDocument/2006/relationships/hyperlink" Target="https://felix.fe.training/filing-document/?hid=65e5c0750cfaf" TargetMode="External"/><Relationship Id="rId21" Type="http://schemas.openxmlformats.org/officeDocument/2006/relationships/hyperlink" Target="https://felix.fe.training/filing-document/?hid=65e5a8d635490" TargetMode="External"/><Relationship Id="rId63" Type="http://schemas.openxmlformats.org/officeDocument/2006/relationships/hyperlink" Target="https://felix.fe.training/filing-document/?hid=65e5af83758ef" TargetMode="External"/><Relationship Id="rId159" Type="http://schemas.openxmlformats.org/officeDocument/2006/relationships/hyperlink" Target="https://felix.fe.training/filing-document/?hid=65e5c95fbe9f5" TargetMode="External"/><Relationship Id="rId170" Type="http://schemas.openxmlformats.org/officeDocument/2006/relationships/hyperlink" Target="https://felix.fe.training/filing/document.php/?hid=6602d2c486828" TargetMode="External"/><Relationship Id="rId226" Type="http://schemas.openxmlformats.org/officeDocument/2006/relationships/hyperlink" Target="https://felix.fe.training/filing/document.php/?hid=65e6fa8b201f1" TargetMode="External"/><Relationship Id="rId268" Type="http://schemas.openxmlformats.org/officeDocument/2006/relationships/drawing" Target="../drawings/drawing3.xml"/><Relationship Id="rId11" Type="http://schemas.openxmlformats.org/officeDocument/2006/relationships/hyperlink" Target="https://felix.fe.training/filing-document/?hid=65e5a60f722fe" TargetMode="External"/><Relationship Id="rId32" Type="http://schemas.openxmlformats.org/officeDocument/2006/relationships/hyperlink" Target="https://felix.fe.training/filing-document/?hid=65e5ab438d026" TargetMode="External"/><Relationship Id="rId53" Type="http://schemas.openxmlformats.org/officeDocument/2006/relationships/hyperlink" Target="https://felix.fe.training/filing-document/?hid=65e5ad79214b3" TargetMode="External"/><Relationship Id="rId74" Type="http://schemas.openxmlformats.org/officeDocument/2006/relationships/hyperlink" Target="https://felix.fe.training/filing-document/?hid=65e5b56148dcc" TargetMode="External"/><Relationship Id="rId128" Type="http://schemas.openxmlformats.org/officeDocument/2006/relationships/hyperlink" Target="https://felix.fe.training/filing-document/?hid=65e5c1a2bde1f" TargetMode="External"/><Relationship Id="rId149" Type="http://schemas.openxmlformats.org/officeDocument/2006/relationships/hyperlink" Target="https://felix.fe.training/filing-document/?hid=65e5c6c5d0668" TargetMode="External"/><Relationship Id="rId5" Type="http://schemas.openxmlformats.org/officeDocument/2006/relationships/hyperlink" Target="https://felix.fe.training/filing-document/?hid=6405b9104a727" TargetMode="External"/><Relationship Id="rId95" Type="http://schemas.openxmlformats.org/officeDocument/2006/relationships/hyperlink" Target="https://felix.fe.training/filing-document/?hid=65e5bc9304343" TargetMode="External"/><Relationship Id="rId160" Type="http://schemas.openxmlformats.org/officeDocument/2006/relationships/hyperlink" Target="https://felix.fe.training/filing-document/?hid=65e5c970c4ba4" TargetMode="External"/><Relationship Id="rId181" Type="http://schemas.openxmlformats.org/officeDocument/2006/relationships/hyperlink" Target="https://felix.fe.training/filing-document/?hid=65e5cba65f9c8" TargetMode="External"/><Relationship Id="rId216" Type="http://schemas.openxmlformats.org/officeDocument/2006/relationships/hyperlink" Target="https://felix.fe.training/filing/document.php/?hid=65e6f9014c490" TargetMode="External"/><Relationship Id="rId237" Type="http://schemas.openxmlformats.org/officeDocument/2006/relationships/hyperlink" Target="https://felix.fe.training/filing/document.php/?hid=65e7063814b9c" TargetMode="External"/><Relationship Id="rId258" Type="http://schemas.openxmlformats.org/officeDocument/2006/relationships/hyperlink" Target="https://felix.fe.training/filing/document.php/?hid=65e5e51c03d9c" TargetMode="External"/><Relationship Id="rId22" Type="http://schemas.openxmlformats.org/officeDocument/2006/relationships/hyperlink" Target="https://felix.fe.training/filing-document/?hid=65e5a8e622fcc" TargetMode="External"/><Relationship Id="rId43" Type="http://schemas.openxmlformats.org/officeDocument/2006/relationships/hyperlink" Target="https://felix.fe.training/filing-document/?hid=65e5acabcbdf6" TargetMode="External"/><Relationship Id="rId64" Type="http://schemas.openxmlformats.org/officeDocument/2006/relationships/hyperlink" Target="https://felix.fe.training/filing-document/?hid=65e5af9508d5c" TargetMode="External"/><Relationship Id="rId118" Type="http://schemas.openxmlformats.org/officeDocument/2006/relationships/hyperlink" Target="https://felix.fe.training/filing-document/?hid=65e5c0934e9ec" TargetMode="External"/><Relationship Id="rId139" Type="http://schemas.openxmlformats.org/officeDocument/2006/relationships/hyperlink" Target="https://felix.fe.training/filing-document/?hid=65e5c485d2493" TargetMode="External"/><Relationship Id="rId85" Type="http://schemas.openxmlformats.org/officeDocument/2006/relationships/hyperlink" Target="https://felix.fe.training/filing-document/?hid=65e5b7550a469" TargetMode="External"/><Relationship Id="rId150" Type="http://schemas.openxmlformats.org/officeDocument/2006/relationships/hyperlink" Target="https://felix.fe.training/filing-document/?hid=65e5c6d87dabe" TargetMode="External"/><Relationship Id="rId171" Type="http://schemas.openxmlformats.org/officeDocument/2006/relationships/hyperlink" Target="https://felix.fe.training/filing-document/?hid=65e5ca7ab17b1" TargetMode="External"/><Relationship Id="rId192" Type="http://schemas.openxmlformats.org/officeDocument/2006/relationships/hyperlink" Target="https://felix.fe.training/filing-document/?hid=65e5e3f3e3a2f" TargetMode="External"/><Relationship Id="rId206" Type="http://schemas.openxmlformats.org/officeDocument/2006/relationships/hyperlink" Target="https://felix.fe.training/filing-document/?hid=6401da7317a4d" TargetMode="External"/><Relationship Id="rId227" Type="http://schemas.openxmlformats.org/officeDocument/2006/relationships/hyperlink" Target="https://felix.fe.training/filing/document.php/?hid=65e6fa9fe0301" TargetMode="External"/><Relationship Id="rId248" Type="http://schemas.openxmlformats.org/officeDocument/2006/relationships/hyperlink" Target="https://felix.fe.training/filing/document.php/?hid=65e708249bc79" TargetMode="External"/><Relationship Id="rId269" Type="http://schemas.openxmlformats.org/officeDocument/2006/relationships/vmlDrawing" Target="../drawings/vmlDrawing1.vml"/><Relationship Id="rId12" Type="http://schemas.openxmlformats.org/officeDocument/2006/relationships/hyperlink" Target="https://felix.fe.training/filing-document/?hid=65e5a78fa82b7" TargetMode="External"/><Relationship Id="rId33" Type="http://schemas.openxmlformats.org/officeDocument/2006/relationships/hyperlink" Target="https://felix.fe.training/filing-document/?hid=65e5ab9372b43" TargetMode="External"/><Relationship Id="rId108" Type="http://schemas.openxmlformats.org/officeDocument/2006/relationships/hyperlink" Target="https://felix.fe.training/filing-document/?hid=65e5be0127984" TargetMode="External"/><Relationship Id="rId129" Type="http://schemas.openxmlformats.org/officeDocument/2006/relationships/hyperlink" Target="https://felix.fe.training/filing-document/?hid=65e5c1bbeaee8" TargetMode="External"/><Relationship Id="rId54" Type="http://schemas.openxmlformats.org/officeDocument/2006/relationships/hyperlink" Target="https://felix.fe.training/filing-document/?hid=65e5ad903faa4" TargetMode="External"/><Relationship Id="rId75" Type="http://schemas.openxmlformats.org/officeDocument/2006/relationships/hyperlink" Target="https://felix.fe.training/filing-document/?hid=65e5b5b4d050a" TargetMode="External"/><Relationship Id="rId96" Type="http://schemas.openxmlformats.org/officeDocument/2006/relationships/hyperlink" Target="https://felix.fe.training/filing-document/?hid=65e5bcac530ed" TargetMode="External"/><Relationship Id="rId140" Type="http://schemas.openxmlformats.org/officeDocument/2006/relationships/hyperlink" Target="https://felix.fe.training/filing-document/?hid=65e5c4915f40c" TargetMode="External"/><Relationship Id="rId161" Type="http://schemas.openxmlformats.org/officeDocument/2006/relationships/hyperlink" Target="https://felix.fe.training/filing-document/?hid=65e5c98d79a28" TargetMode="External"/><Relationship Id="rId182" Type="http://schemas.openxmlformats.org/officeDocument/2006/relationships/hyperlink" Target="https://felix.fe.training/filing-document/?hid=65e5cbb41a289" TargetMode="External"/><Relationship Id="rId217" Type="http://schemas.openxmlformats.org/officeDocument/2006/relationships/hyperlink" Target="https://felix.fe.training/filing/document.php/?hid=65e6f91212147" TargetMode="External"/><Relationship Id="rId6" Type="http://schemas.openxmlformats.org/officeDocument/2006/relationships/hyperlink" Target="https://felix.fe.training/filing-document/?hid=65e5f91986e5b" TargetMode="External"/><Relationship Id="rId238" Type="http://schemas.openxmlformats.org/officeDocument/2006/relationships/hyperlink" Target="https://felix.fe.training/filing/document.php/?hid=65e7069eb79c6" TargetMode="External"/><Relationship Id="rId259" Type="http://schemas.openxmlformats.org/officeDocument/2006/relationships/hyperlink" Target="https://felix.fe.training/filing/document.php/?hid=65e76129bc93a" TargetMode="External"/><Relationship Id="rId23" Type="http://schemas.openxmlformats.org/officeDocument/2006/relationships/hyperlink" Target="https://felix.fe.training/filing-document/?hid=65e5a99f7af68" TargetMode="External"/><Relationship Id="rId119" Type="http://schemas.openxmlformats.org/officeDocument/2006/relationships/hyperlink" Target="https://felix.fe.training/filing-document/?hid=65e5c0a23235a" TargetMode="External"/><Relationship Id="rId270" Type="http://schemas.openxmlformats.org/officeDocument/2006/relationships/comments" Target="../comments1.xml"/><Relationship Id="rId44" Type="http://schemas.openxmlformats.org/officeDocument/2006/relationships/hyperlink" Target="https://felix.fe.training/filing-document/?hid=65e5acbbbe5b0" TargetMode="External"/><Relationship Id="rId65" Type="http://schemas.openxmlformats.org/officeDocument/2006/relationships/hyperlink" Target="https://felix.fe.training/filing-document/?hid=65e5afad07d81" TargetMode="External"/><Relationship Id="rId86" Type="http://schemas.openxmlformats.org/officeDocument/2006/relationships/hyperlink" Target="https://felix.fe.training/filing-document/?hid=65e5b76d574b6" TargetMode="External"/><Relationship Id="rId130" Type="http://schemas.openxmlformats.org/officeDocument/2006/relationships/hyperlink" Target="https://felix.fe.training/filing-document/?hid=65e5c1deed0ac" TargetMode="External"/><Relationship Id="rId151" Type="http://schemas.openxmlformats.org/officeDocument/2006/relationships/hyperlink" Target="https://felix.fe.training/filing-document/?hid=65e5c7fc30cd4" TargetMode="External"/><Relationship Id="rId172" Type="http://schemas.openxmlformats.org/officeDocument/2006/relationships/hyperlink" Target="https://felix.fe.training/filing-document/?hid=65e5ca8a42d57" TargetMode="External"/><Relationship Id="rId193" Type="http://schemas.openxmlformats.org/officeDocument/2006/relationships/hyperlink" Target="https://felix.fe.training/filing-document/?hid=65e5e4307fc27" TargetMode="External"/><Relationship Id="rId207" Type="http://schemas.openxmlformats.org/officeDocument/2006/relationships/hyperlink" Target="https://felix.fe.training/filing/document.php/?hid=65e6f5cbb0ada" TargetMode="External"/><Relationship Id="rId228" Type="http://schemas.openxmlformats.org/officeDocument/2006/relationships/hyperlink" Target="https://felix.fe.training/filing/document.php/?hid=65e6fabca6b7c" TargetMode="External"/><Relationship Id="rId249" Type="http://schemas.openxmlformats.org/officeDocument/2006/relationships/hyperlink" Target="https://felix.fe.training/filing/document.php/?hid=65e73c78e732e" TargetMode="External"/><Relationship Id="rId13" Type="http://schemas.openxmlformats.org/officeDocument/2006/relationships/hyperlink" Target="https://felix.fe.training/filing-document/?hid=65e5a7dc09c45" TargetMode="External"/><Relationship Id="rId109" Type="http://schemas.openxmlformats.org/officeDocument/2006/relationships/hyperlink" Target="https://felix.fe.training/filing-document/?hid=65e5be1446d3b" TargetMode="External"/><Relationship Id="rId260" Type="http://schemas.openxmlformats.org/officeDocument/2006/relationships/hyperlink" Target="https://felix.fe.training/filing/document.php/?hid=65e76129bc93a" TargetMode="External"/><Relationship Id="rId34" Type="http://schemas.openxmlformats.org/officeDocument/2006/relationships/hyperlink" Target="https://felix.fe.training/filing-document/?hid=65e5aba86fbc5" TargetMode="External"/><Relationship Id="rId55" Type="http://schemas.openxmlformats.org/officeDocument/2006/relationships/hyperlink" Target="https://felix.fe.training/filing-document/?hid=65e5adc3d5a3c" TargetMode="External"/><Relationship Id="rId76" Type="http://schemas.openxmlformats.org/officeDocument/2006/relationships/hyperlink" Target="https://felix.fe.training/filing-document/?hid=65e5b5c140cd0" TargetMode="External"/><Relationship Id="rId97" Type="http://schemas.openxmlformats.org/officeDocument/2006/relationships/hyperlink" Target="https://felix.fe.training/filing-document/?hid=65e5bcc11d1c3" TargetMode="External"/><Relationship Id="rId120" Type="http://schemas.openxmlformats.org/officeDocument/2006/relationships/hyperlink" Target="https://felix.fe.training/filing-document/?hid=65e5c0c74ef46" TargetMode="External"/><Relationship Id="rId141" Type="http://schemas.openxmlformats.org/officeDocument/2006/relationships/hyperlink" Target="https://felix.fe.training/filing-document/?hid=65e5c4a5759cb" TargetMode="External"/><Relationship Id="rId7" Type="http://schemas.openxmlformats.org/officeDocument/2006/relationships/hyperlink" Target="https://felix.fe.training/filing/document.php/?hid=65e6f579c8e4b" TargetMode="External"/><Relationship Id="rId162" Type="http://schemas.openxmlformats.org/officeDocument/2006/relationships/hyperlink" Target="https://felix.fe.training/filing-document/?hid=65e5c9a69afcd" TargetMode="External"/><Relationship Id="rId183" Type="http://schemas.openxmlformats.org/officeDocument/2006/relationships/hyperlink" Target="https://felix.fe.training/filing-document/?hid=65e5cbc5d824a" TargetMode="External"/><Relationship Id="rId218" Type="http://schemas.openxmlformats.org/officeDocument/2006/relationships/hyperlink" Target="https://felix.fe.training/filing/document.php/?hid=65e6f92c07e19" TargetMode="External"/><Relationship Id="rId239" Type="http://schemas.openxmlformats.org/officeDocument/2006/relationships/hyperlink" Target="https://felix.fe.training/filing/document.php/?hid=65e706c5e6b24" TargetMode="External"/><Relationship Id="rId250" Type="http://schemas.openxmlformats.org/officeDocument/2006/relationships/hyperlink" Target="https://felix.fe.training/filing/document.php/?hid=65e73c9b24a98" TargetMode="External"/><Relationship Id="rId24" Type="http://schemas.openxmlformats.org/officeDocument/2006/relationships/hyperlink" Target="https://felix.fe.training/filing-document/?hid=65e5a9b616da8" TargetMode="External"/><Relationship Id="rId45" Type="http://schemas.openxmlformats.org/officeDocument/2006/relationships/hyperlink" Target="https://felix.fe.training/filing-document/?hid=65e5accbd017c" TargetMode="External"/><Relationship Id="rId66" Type="http://schemas.openxmlformats.org/officeDocument/2006/relationships/hyperlink" Target="https://felix.fe.training/filing-document/?hid=65e5afc18d412" TargetMode="External"/><Relationship Id="rId87" Type="http://schemas.openxmlformats.org/officeDocument/2006/relationships/hyperlink" Target="https://felix.fe.training/filing-document/?hid=65e5bb47c93b8" TargetMode="External"/><Relationship Id="rId110" Type="http://schemas.openxmlformats.org/officeDocument/2006/relationships/hyperlink" Target="https://felix.fe.training/filing-document/?hid=65e5be226acbe" TargetMode="External"/><Relationship Id="rId131" Type="http://schemas.openxmlformats.org/officeDocument/2006/relationships/hyperlink" Target="https://felix.fe.training/filing-document/?hid=65e5c1e9d15cf" TargetMode="External"/><Relationship Id="rId152" Type="http://schemas.openxmlformats.org/officeDocument/2006/relationships/hyperlink" Target="https://felix.fe.training/filing-document/?hid=65e5c815a642a" TargetMode="External"/><Relationship Id="rId173" Type="http://schemas.openxmlformats.org/officeDocument/2006/relationships/hyperlink" Target="https://felix.fe.training/filing-document/?hid=65e5cac3784c5" TargetMode="External"/><Relationship Id="rId194" Type="http://schemas.openxmlformats.org/officeDocument/2006/relationships/hyperlink" Target="https://felix.fe.training/filing-document/?hid=65e5e4467ef8f" TargetMode="External"/><Relationship Id="rId208" Type="http://schemas.openxmlformats.org/officeDocument/2006/relationships/hyperlink" Target="https://felix.fe.training/filing/document.php/?hid=65e6f61b8fb7d" TargetMode="External"/><Relationship Id="rId229" Type="http://schemas.openxmlformats.org/officeDocument/2006/relationships/hyperlink" Target="https://felix.fe.training/filing/document.php/?hid=65e6facfcc7df" TargetMode="External"/><Relationship Id="rId240" Type="http://schemas.openxmlformats.org/officeDocument/2006/relationships/hyperlink" Target="https://felix.fe.training/filing/document.php/?hid=65e706df6573b" TargetMode="External"/><Relationship Id="rId261" Type="http://schemas.openxmlformats.org/officeDocument/2006/relationships/hyperlink" Target="https://felix.fe.training/filing/document.php/?hid=65e9f6dae7e99" TargetMode="External"/><Relationship Id="rId14" Type="http://schemas.openxmlformats.org/officeDocument/2006/relationships/hyperlink" Target="https://felix.fe.training/filing-document/?hid=65e5a83795cec" TargetMode="External"/><Relationship Id="rId35" Type="http://schemas.openxmlformats.org/officeDocument/2006/relationships/hyperlink" Target="https://felix.fe.training/filing-document/?hid=65e5abc65b222" TargetMode="External"/><Relationship Id="rId56" Type="http://schemas.openxmlformats.org/officeDocument/2006/relationships/hyperlink" Target="https://felix.fe.training/filing-document/?hid=65e5add7bed33" TargetMode="External"/><Relationship Id="rId77" Type="http://schemas.openxmlformats.org/officeDocument/2006/relationships/hyperlink" Target="https://felix.fe.training/filing-document/?hid=65e5b5d3883ff" TargetMode="External"/><Relationship Id="rId100" Type="http://schemas.openxmlformats.org/officeDocument/2006/relationships/hyperlink" Target="https://felix.fe.training/filing-document/?hid=65e5bd477e8de" TargetMode="External"/><Relationship Id="rId8" Type="http://schemas.openxmlformats.org/officeDocument/2006/relationships/hyperlink" Target="https://felix.fe.training/filing/document.php/?hid=65e6f7795a173" TargetMode="External"/><Relationship Id="rId98" Type="http://schemas.openxmlformats.org/officeDocument/2006/relationships/hyperlink" Target="https://felix.fe.training/filing-document/?hid=65e5bcd5b31c4" TargetMode="External"/><Relationship Id="rId121" Type="http://schemas.openxmlformats.org/officeDocument/2006/relationships/hyperlink" Target="https://felix.fe.training/filing-document/?hid=65e5c0f6cdcaa" TargetMode="External"/><Relationship Id="rId142" Type="http://schemas.openxmlformats.org/officeDocument/2006/relationships/hyperlink" Target="https://felix.fe.training/filing-document/?hid=65e5c5892b3fc" TargetMode="External"/><Relationship Id="rId163" Type="http://schemas.openxmlformats.org/officeDocument/2006/relationships/hyperlink" Target="https://felix.fe.training/filing-document/?hid=65e5c9e7724a6" TargetMode="External"/><Relationship Id="rId184" Type="http://schemas.openxmlformats.org/officeDocument/2006/relationships/hyperlink" Target="https://felix.fe.training/filing-document/?hid=65e5cbd617c0b" TargetMode="External"/><Relationship Id="rId219" Type="http://schemas.openxmlformats.org/officeDocument/2006/relationships/hyperlink" Target="https://felix.fe.training/filing/document.php/?hid=65e6f944135e7" TargetMode="External"/><Relationship Id="rId230" Type="http://schemas.openxmlformats.org/officeDocument/2006/relationships/hyperlink" Target="https://felix.fe.training/filing/document.php/?hid=65e6fadfed2a2" TargetMode="External"/><Relationship Id="rId251" Type="http://schemas.openxmlformats.org/officeDocument/2006/relationships/hyperlink" Target="https://felix.fe.training/filing/document.php/?hid=65e73cd7f08bf" TargetMode="External"/><Relationship Id="rId25" Type="http://schemas.openxmlformats.org/officeDocument/2006/relationships/hyperlink" Target="https://felix.fe.training/filing-document/?hid=65e5a9dad2063" TargetMode="External"/><Relationship Id="rId46" Type="http://schemas.openxmlformats.org/officeDocument/2006/relationships/hyperlink" Target="https://felix.fe.training/filing-document/?hid=65e5acd8c1b89" TargetMode="External"/><Relationship Id="rId67" Type="http://schemas.openxmlformats.org/officeDocument/2006/relationships/hyperlink" Target="https://felix.fe.training/filing-document/?hid=65e5afe0e2336" TargetMode="External"/><Relationship Id="rId88" Type="http://schemas.openxmlformats.org/officeDocument/2006/relationships/hyperlink" Target="https://felix.fe.training/filing-document/?hid=65e5bb61e25f0" TargetMode="External"/><Relationship Id="rId111" Type="http://schemas.openxmlformats.org/officeDocument/2006/relationships/hyperlink" Target="https://felix.fe.training/filing-document/?hid=65e5be3fe6b13" TargetMode="External"/><Relationship Id="rId132" Type="http://schemas.openxmlformats.org/officeDocument/2006/relationships/hyperlink" Target="https://felix.fe.training/filing-document/?hid=65e5c1ffa410b" TargetMode="External"/><Relationship Id="rId153" Type="http://schemas.openxmlformats.org/officeDocument/2006/relationships/hyperlink" Target="https://felix.fe.training/filing-document/?hid=65e5c851138a3" TargetMode="External"/><Relationship Id="rId174" Type="http://schemas.openxmlformats.org/officeDocument/2006/relationships/hyperlink" Target="https://felix.fe.training/filing-document/?hid=65e5cadd3b28c" TargetMode="External"/><Relationship Id="rId195" Type="http://schemas.openxmlformats.org/officeDocument/2006/relationships/hyperlink" Target="https://felix.fe.training/filing-document/?hid=6405b9104a727" TargetMode="External"/><Relationship Id="rId209" Type="http://schemas.openxmlformats.org/officeDocument/2006/relationships/hyperlink" Target="https://felix.fe.training/filing/document.php/?hid=65e6f67c8e4f6" TargetMode="External"/><Relationship Id="rId220" Type="http://schemas.openxmlformats.org/officeDocument/2006/relationships/hyperlink" Target="https://felix.fe.training/filing/document.php/?hid=65e6f9658d8f1" TargetMode="External"/><Relationship Id="rId241" Type="http://schemas.openxmlformats.org/officeDocument/2006/relationships/hyperlink" Target="https://felix.fe.training/filing/document.php/?hid=65e706edda557" TargetMode="External"/><Relationship Id="rId15" Type="http://schemas.openxmlformats.org/officeDocument/2006/relationships/hyperlink" Target="https://felix.fe.training/filing-document/?hid=65e5a85472e51" TargetMode="External"/><Relationship Id="rId36" Type="http://schemas.openxmlformats.org/officeDocument/2006/relationships/hyperlink" Target="https://felix.fe.training/filing-document/?hid=65e5abdc8484f" TargetMode="External"/><Relationship Id="rId57" Type="http://schemas.openxmlformats.org/officeDocument/2006/relationships/hyperlink" Target="https://felix.fe.training/filing-document/?hid=65e5adf07822f" TargetMode="External"/><Relationship Id="rId262" Type="http://schemas.openxmlformats.org/officeDocument/2006/relationships/hyperlink" Target="https://felix.fe.training/filing/document.php/?hid=65e73d5ba1aca" TargetMode="External"/><Relationship Id="rId78" Type="http://schemas.openxmlformats.org/officeDocument/2006/relationships/hyperlink" Target="https://felix.fe.training/filing-document/?hid=65e5b64c26182" TargetMode="External"/><Relationship Id="rId99" Type="http://schemas.openxmlformats.org/officeDocument/2006/relationships/hyperlink" Target="https://felix.fe.training/filing-document/?hid=65e5bd38646e2" TargetMode="External"/><Relationship Id="rId101" Type="http://schemas.openxmlformats.org/officeDocument/2006/relationships/hyperlink" Target="https://felix.fe.training/filing-document/?hid=65e5bd5f3be04" TargetMode="External"/><Relationship Id="rId122" Type="http://schemas.openxmlformats.org/officeDocument/2006/relationships/hyperlink" Target="https://felix.fe.training/filing-document/?hid=65e5c1090ecb7" TargetMode="External"/><Relationship Id="rId143" Type="http://schemas.openxmlformats.org/officeDocument/2006/relationships/hyperlink" Target="https://felix.fe.training/filing-document/?hid=65e5c5c3d0278" TargetMode="External"/><Relationship Id="rId164" Type="http://schemas.openxmlformats.org/officeDocument/2006/relationships/hyperlink" Target="https://felix.fe.training/filing-document/?hid=65e5c9f75c20c" TargetMode="External"/><Relationship Id="rId185" Type="http://schemas.openxmlformats.org/officeDocument/2006/relationships/hyperlink" Target="https://felix.fe.training/filing-document/?hid=65e5cbe871000" TargetMode="External"/><Relationship Id="rId9" Type="http://schemas.openxmlformats.org/officeDocument/2006/relationships/hyperlink" Target="https://felix.fe.training/filing-document/?hid=65e5c31d8d3a2" TargetMode="External"/><Relationship Id="rId210" Type="http://schemas.openxmlformats.org/officeDocument/2006/relationships/hyperlink" Target="https://felix.fe.training/filing/document.php/?hid=65e6f68e30ad0" TargetMode="External"/><Relationship Id="rId26" Type="http://schemas.openxmlformats.org/officeDocument/2006/relationships/hyperlink" Target="https://felix.fe.training/filing-document/?hid=65e5a9eb6fde5" TargetMode="External"/><Relationship Id="rId231" Type="http://schemas.openxmlformats.org/officeDocument/2006/relationships/hyperlink" Target="https://felix.fe.training/filing/document.php/?hid=65e6fae92a656" TargetMode="External"/><Relationship Id="rId252" Type="http://schemas.openxmlformats.org/officeDocument/2006/relationships/hyperlink" Target="https://felix.fe.training/filing/document.php/?hid=65e73ce66d9ef" TargetMode="External"/><Relationship Id="rId47" Type="http://schemas.openxmlformats.org/officeDocument/2006/relationships/hyperlink" Target="https://felix.fe.training/filing-document/?hid=65e5acf0120c7" TargetMode="External"/><Relationship Id="rId68" Type="http://schemas.openxmlformats.org/officeDocument/2006/relationships/hyperlink" Target="https://felix.fe.training/filing-document/?hid=65e5afed554fb" TargetMode="External"/><Relationship Id="rId89" Type="http://schemas.openxmlformats.org/officeDocument/2006/relationships/hyperlink" Target="https://felix.fe.training/filing-document/?hid=65e5bb7dd5ef9" TargetMode="External"/><Relationship Id="rId112" Type="http://schemas.openxmlformats.org/officeDocument/2006/relationships/hyperlink" Target="https://felix.fe.training/filing-document/?hid=65e5be4fac15b" TargetMode="External"/><Relationship Id="rId133" Type="http://schemas.openxmlformats.org/officeDocument/2006/relationships/hyperlink" Target="https://felix.fe.training/filing-document/?hid=65e5c21499932" TargetMode="External"/><Relationship Id="rId154" Type="http://schemas.openxmlformats.org/officeDocument/2006/relationships/hyperlink" Target="https://felix.fe.training/filing-document/?hid=65e5c871b3f68" TargetMode="External"/><Relationship Id="rId175" Type="http://schemas.openxmlformats.org/officeDocument/2006/relationships/hyperlink" Target="https://felix.fe.training/filing-document/?hid=65e5caf5d322a" TargetMode="External"/><Relationship Id="rId196" Type="http://schemas.openxmlformats.org/officeDocument/2006/relationships/hyperlink" Target="https://felix.fe.training/filing-document/?hid=65e5e4467ef8f" TargetMode="External"/><Relationship Id="rId200" Type="http://schemas.openxmlformats.org/officeDocument/2006/relationships/hyperlink" Target="https://felix.fe.training/filing-document/?hid=65e5f49ca0bae" TargetMode="External"/><Relationship Id="rId16" Type="http://schemas.openxmlformats.org/officeDocument/2006/relationships/hyperlink" Target="https://felix.fe.training/filing-document/?hid=65e5a8622c98a" TargetMode="External"/><Relationship Id="rId221" Type="http://schemas.openxmlformats.org/officeDocument/2006/relationships/hyperlink" Target="https://felix.fe.training/filing/document.php/?hid=65e6f972d3c85" TargetMode="External"/><Relationship Id="rId242" Type="http://schemas.openxmlformats.org/officeDocument/2006/relationships/hyperlink" Target="https://felix.fe.training/filing/document.php/?hid=65e707058783b" TargetMode="External"/><Relationship Id="rId263" Type="http://schemas.openxmlformats.org/officeDocument/2006/relationships/hyperlink" Target="https://felix.fe.training/filing/document.php/?hid=65e73d6ef1959" TargetMode="External"/><Relationship Id="rId37" Type="http://schemas.openxmlformats.org/officeDocument/2006/relationships/hyperlink" Target="https://felix.fe.training/filing-document/?hid=65e5ac0f27cff" TargetMode="External"/><Relationship Id="rId58" Type="http://schemas.openxmlformats.org/officeDocument/2006/relationships/hyperlink" Target="https://felix.fe.training/filing-document/?hid=65e5adfcce74c" TargetMode="External"/><Relationship Id="rId79" Type="http://schemas.openxmlformats.org/officeDocument/2006/relationships/hyperlink" Target="https://felix.fe.training/filing-document/?hid=65e5b65e5b570" TargetMode="External"/><Relationship Id="rId102" Type="http://schemas.openxmlformats.org/officeDocument/2006/relationships/hyperlink" Target="https://felix.fe.training/filing-document/?hid=65e5bd721da32" TargetMode="External"/><Relationship Id="rId123" Type="http://schemas.openxmlformats.org/officeDocument/2006/relationships/hyperlink" Target="https://felix.fe.training/filing-document/?hid=65e5c1199b5ac" TargetMode="External"/><Relationship Id="rId144" Type="http://schemas.openxmlformats.org/officeDocument/2006/relationships/hyperlink" Target="https://felix.fe.training/filing-document/?hid=65e5c5db2c90f" TargetMode="External"/><Relationship Id="rId90" Type="http://schemas.openxmlformats.org/officeDocument/2006/relationships/hyperlink" Target="https://felix.fe.training/filing-document/?hid=65e5bb969f886" TargetMode="External"/><Relationship Id="rId165" Type="http://schemas.openxmlformats.org/officeDocument/2006/relationships/hyperlink" Target="https://felix.fe.training/filing-document/?hid=65e5ca0b31cff" TargetMode="External"/><Relationship Id="rId186" Type="http://schemas.openxmlformats.org/officeDocument/2006/relationships/hyperlink" Target="https://felix.fe.training/filing-document/?hid=65e5cbf3a542a" TargetMode="External"/><Relationship Id="rId211" Type="http://schemas.openxmlformats.org/officeDocument/2006/relationships/hyperlink" Target="https://felix.fe.training/filing/document.php/?hid=65e6f6d4d6d1e" TargetMode="External"/><Relationship Id="rId232" Type="http://schemas.openxmlformats.org/officeDocument/2006/relationships/hyperlink" Target="https://felix.fe.training/filing/document.php/?hid=65e6fb495f6bd" TargetMode="External"/><Relationship Id="rId253" Type="http://schemas.openxmlformats.org/officeDocument/2006/relationships/hyperlink" Target="https://felix.fe.training/filing/document.php/?hid=65e73dc2d48ae" TargetMode="External"/><Relationship Id="rId27" Type="http://schemas.openxmlformats.org/officeDocument/2006/relationships/hyperlink" Target="https://felix.fe.training/filing-document/?hid=65e5aa95c6fb5" TargetMode="External"/><Relationship Id="rId48" Type="http://schemas.openxmlformats.org/officeDocument/2006/relationships/hyperlink" Target="https://felix.fe.training/filing-document/?hid=65e5acff7d4ac" TargetMode="External"/><Relationship Id="rId69" Type="http://schemas.openxmlformats.org/officeDocument/2006/relationships/hyperlink" Target="https://felix.fe.training/filing-document/?hid=65e5b089d88cf" TargetMode="External"/><Relationship Id="rId113" Type="http://schemas.openxmlformats.org/officeDocument/2006/relationships/hyperlink" Target="https://felix.fe.training/filing-document/?hid=65e5beb45ceda" TargetMode="External"/><Relationship Id="rId134" Type="http://schemas.openxmlformats.org/officeDocument/2006/relationships/hyperlink" Target="https://felix.fe.training/filing-document/?hid=65e5c28c1a301" TargetMode="External"/><Relationship Id="rId80" Type="http://schemas.openxmlformats.org/officeDocument/2006/relationships/hyperlink" Target="https://felix.fe.training/filing-document/?hid=65e5b673da930" TargetMode="External"/><Relationship Id="rId155" Type="http://schemas.openxmlformats.org/officeDocument/2006/relationships/hyperlink" Target="https://felix.fe.training/filing-document/?hid=65e5c899134dd" TargetMode="External"/><Relationship Id="rId176" Type="http://schemas.openxmlformats.org/officeDocument/2006/relationships/hyperlink" Target="https://felix.fe.training/filing-document/?hid=65e5cb073f02e" TargetMode="External"/><Relationship Id="rId197" Type="http://schemas.openxmlformats.org/officeDocument/2006/relationships/hyperlink" Target="https://felix.fe.training/filing-document/?hid=65e5e46f127e8" TargetMode="External"/><Relationship Id="rId201" Type="http://schemas.openxmlformats.org/officeDocument/2006/relationships/hyperlink" Target="https://felix.fe.training/filing-document/?hid=65e5f52dbfeab" TargetMode="External"/><Relationship Id="rId222" Type="http://schemas.openxmlformats.org/officeDocument/2006/relationships/hyperlink" Target="https://felix.fe.training/filing/document.php/?hid=65e6fa18261fa" TargetMode="External"/><Relationship Id="rId243" Type="http://schemas.openxmlformats.org/officeDocument/2006/relationships/hyperlink" Target="https://felix.fe.training/filing/document.php/?hid=65e7071c8836e" TargetMode="External"/><Relationship Id="rId264" Type="http://schemas.openxmlformats.org/officeDocument/2006/relationships/hyperlink" Target="https://felix.fe.training/filing-document/?hid=65e5e54aa84cf" TargetMode="External"/><Relationship Id="rId17" Type="http://schemas.openxmlformats.org/officeDocument/2006/relationships/hyperlink" Target="https://felix.fe.training/filing-document/?hid=65e5a877c9d10" TargetMode="External"/><Relationship Id="rId38" Type="http://schemas.openxmlformats.org/officeDocument/2006/relationships/hyperlink" Target="https://felix.fe.training/filing-document/?hid=65e5ac254e86e" TargetMode="External"/><Relationship Id="rId59" Type="http://schemas.openxmlformats.org/officeDocument/2006/relationships/hyperlink" Target="https://felix.fe.training/filing-document/?hid=65e5ae176df1e" TargetMode="External"/><Relationship Id="rId103" Type="http://schemas.openxmlformats.org/officeDocument/2006/relationships/hyperlink" Target="https://felix.fe.training/filing-document/?hid=65e5bdb51a5e3" TargetMode="External"/><Relationship Id="rId124" Type="http://schemas.openxmlformats.org/officeDocument/2006/relationships/hyperlink" Target="https://felix.fe.training/filing-document/?hid=65e5c12ca9eca" TargetMode="External"/><Relationship Id="rId70" Type="http://schemas.openxmlformats.org/officeDocument/2006/relationships/hyperlink" Target="https://felix.fe.training/filing-document/?hid=65e5b089d88cf" TargetMode="External"/><Relationship Id="rId91" Type="http://schemas.openxmlformats.org/officeDocument/2006/relationships/hyperlink" Target="https://felix.fe.training/filing-document/?hid=65e5bc124a78d" TargetMode="External"/><Relationship Id="rId145" Type="http://schemas.openxmlformats.org/officeDocument/2006/relationships/hyperlink" Target="https://felix.fe.training/filing-document/?hid=65e5c5f21f7ad" TargetMode="External"/><Relationship Id="rId166" Type="http://schemas.openxmlformats.org/officeDocument/2006/relationships/hyperlink" Target="https://felix.fe.training/filing-document/?hid=65e5ca18548c7" TargetMode="External"/><Relationship Id="rId187" Type="http://schemas.openxmlformats.org/officeDocument/2006/relationships/hyperlink" Target="https://felix.fe.training/filing-document/?hid=65e5cc0db4ec1" TargetMode="External"/><Relationship Id="rId1" Type="http://schemas.openxmlformats.org/officeDocument/2006/relationships/hyperlink" Target="https://felix.fe.training/filing-document/?hid=65e5bf2e2073c" TargetMode="External"/><Relationship Id="rId212" Type="http://schemas.openxmlformats.org/officeDocument/2006/relationships/hyperlink" Target="https://felix.fe.training/filing/document.php/?hid=65e6f8c1d7882" TargetMode="External"/><Relationship Id="rId233" Type="http://schemas.openxmlformats.org/officeDocument/2006/relationships/hyperlink" Target="https://felix.fe.training/filing/document.php/?hid=65e6fb63a99d8" TargetMode="External"/><Relationship Id="rId254" Type="http://schemas.openxmlformats.org/officeDocument/2006/relationships/hyperlink" Target="https://felix.fe.training/filing/document.php/?hid=65e73dd92067c" TargetMode="External"/><Relationship Id="rId28" Type="http://schemas.openxmlformats.org/officeDocument/2006/relationships/hyperlink" Target="https://felix.fe.training/filing-document/?hid=65e5aabd3f5e7" TargetMode="External"/><Relationship Id="rId49" Type="http://schemas.openxmlformats.org/officeDocument/2006/relationships/hyperlink" Target="https://felix.fe.training/filing-document/?hid=65e5ad1e9f291" TargetMode="External"/><Relationship Id="rId114" Type="http://schemas.openxmlformats.org/officeDocument/2006/relationships/hyperlink" Target="https://felix.fe.training/filing-document/?hid=65e5bf97db2f4" TargetMode="External"/><Relationship Id="rId60" Type="http://schemas.openxmlformats.org/officeDocument/2006/relationships/hyperlink" Target="https://felix.fe.training/filing-document/?hid=65e5ae2e16d36" TargetMode="External"/><Relationship Id="rId81" Type="http://schemas.openxmlformats.org/officeDocument/2006/relationships/hyperlink" Target="https://felix.fe.training/filing-document/?hid=65e5b687e79f6" TargetMode="External"/><Relationship Id="rId135" Type="http://schemas.openxmlformats.org/officeDocument/2006/relationships/hyperlink" Target="https://felix.fe.training/filing-document/?hid=65e5c2a030a30" TargetMode="External"/><Relationship Id="rId156" Type="http://schemas.openxmlformats.org/officeDocument/2006/relationships/hyperlink" Target="https://felix.fe.training/filing-document/?hid=65e5c8abdc76e" TargetMode="External"/><Relationship Id="rId177" Type="http://schemas.openxmlformats.org/officeDocument/2006/relationships/hyperlink" Target="https://felix.fe.training/filing-document/?hid=65e5cb1b972e3" TargetMode="External"/><Relationship Id="rId198" Type="http://schemas.openxmlformats.org/officeDocument/2006/relationships/hyperlink" Target="https://felix.fe.training/filing-document/?hid=65e5e47d415db" TargetMode="External"/><Relationship Id="rId202" Type="http://schemas.openxmlformats.org/officeDocument/2006/relationships/hyperlink" Target="https://felix.fe.training/filing-document/?hid=65e5f71003fd6" TargetMode="External"/><Relationship Id="rId223" Type="http://schemas.openxmlformats.org/officeDocument/2006/relationships/hyperlink" Target="https://felix.fe.training/filing/document.php/?hid=65e6fa298a081" TargetMode="External"/><Relationship Id="rId244" Type="http://schemas.openxmlformats.org/officeDocument/2006/relationships/hyperlink" Target="https://felix.fe.training/filing/document.php/?hid=65e7072d1a3ab" TargetMode="External"/><Relationship Id="rId18" Type="http://schemas.openxmlformats.org/officeDocument/2006/relationships/hyperlink" Target="https://felix.fe.training/filing-document/?hid=65e5a888bc110" TargetMode="External"/><Relationship Id="rId39" Type="http://schemas.openxmlformats.org/officeDocument/2006/relationships/hyperlink" Target="https://felix.fe.training/filing-document/?hid=65e5ac413a344" TargetMode="External"/><Relationship Id="rId265" Type="http://schemas.openxmlformats.org/officeDocument/2006/relationships/hyperlink" Target="https://felix.fe.training/filing/document.php/?hid=6602d1000833f" TargetMode="External"/><Relationship Id="rId50" Type="http://schemas.openxmlformats.org/officeDocument/2006/relationships/hyperlink" Target="https://felix.fe.training/filing-document/?hid=65e5ad2f8c6d2" TargetMode="External"/><Relationship Id="rId104" Type="http://schemas.openxmlformats.org/officeDocument/2006/relationships/hyperlink" Target="https://felix.fe.training/filing-document/?hid=65e5bdc93968e" TargetMode="External"/><Relationship Id="rId125" Type="http://schemas.openxmlformats.org/officeDocument/2006/relationships/hyperlink" Target="https://felix.fe.training/filing-document/?hid=65e5c14213fd8" TargetMode="External"/><Relationship Id="rId146" Type="http://schemas.openxmlformats.org/officeDocument/2006/relationships/hyperlink" Target="https://felix.fe.training/filing-document/?hid=65e5c60b8587a" TargetMode="External"/><Relationship Id="rId167" Type="http://schemas.openxmlformats.org/officeDocument/2006/relationships/hyperlink" Target="https://felix.fe.training/filing-document/?hid=65e5ca29762c6" TargetMode="External"/><Relationship Id="rId188" Type="http://schemas.openxmlformats.org/officeDocument/2006/relationships/hyperlink" Target="https://felix.fe.training/filing-document/?hid=65e5cc24438e6" TargetMode="External"/><Relationship Id="rId71" Type="http://schemas.openxmlformats.org/officeDocument/2006/relationships/hyperlink" Target="https://felix.fe.training/filing-document/?hid=65e5b0aac38b8" TargetMode="External"/><Relationship Id="rId92" Type="http://schemas.openxmlformats.org/officeDocument/2006/relationships/hyperlink" Target="https://felix.fe.training/filing-document/?hid=65e5bc297d9eb" TargetMode="External"/><Relationship Id="rId213" Type="http://schemas.openxmlformats.org/officeDocument/2006/relationships/hyperlink" Target="https://felix.fe.training/filing/document.php/?hid=65e6f8d35ab9a" TargetMode="External"/><Relationship Id="rId234" Type="http://schemas.openxmlformats.org/officeDocument/2006/relationships/hyperlink" Target="https://felix.fe.training/filing/document.php/?hid=65e6fe87198fa" TargetMode="External"/><Relationship Id="rId2" Type="http://schemas.openxmlformats.org/officeDocument/2006/relationships/hyperlink" Target="https://felix.fe.training/filing-document/?hid=65e5f52dbfeab" TargetMode="External"/><Relationship Id="rId29" Type="http://schemas.openxmlformats.org/officeDocument/2006/relationships/hyperlink" Target="https://felix.fe.training/filing-document/?hid=65e5ab09bce60" TargetMode="External"/><Relationship Id="rId255" Type="http://schemas.openxmlformats.org/officeDocument/2006/relationships/hyperlink" Target="https://felix.fe.training/filing/document.php/?hid=65e73f6ec06d6" TargetMode="External"/><Relationship Id="rId40" Type="http://schemas.openxmlformats.org/officeDocument/2006/relationships/hyperlink" Target="https://felix.fe.training/filing-document/?hid=65e5ac5ca8a27" TargetMode="External"/><Relationship Id="rId115" Type="http://schemas.openxmlformats.org/officeDocument/2006/relationships/hyperlink" Target="https://felix.fe.training/filing-document/?hid=65e5bfaa75742" TargetMode="External"/><Relationship Id="rId136" Type="http://schemas.openxmlformats.org/officeDocument/2006/relationships/hyperlink" Target="https://felix.fe.training/filing-document/?hid=65e5c2fbd0850" TargetMode="External"/><Relationship Id="rId157" Type="http://schemas.openxmlformats.org/officeDocument/2006/relationships/hyperlink" Target="https://felix.fe.training/filing-document/?hid=65e5c8c748af1" TargetMode="External"/><Relationship Id="rId178" Type="http://schemas.openxmlformats.org/officeDocument/2006/relationships/hyperlink" Target="https://felix.fe.training/filing-document/?hid=65e5cb2c461fb" TargetMode="External"/><Relationship Id="rId61" Type="http://schemas.openxmlformats.org/officeDocument/2006/relationships/hyperlink" Target="https://felix.fe.training/filing-document/?hid=65e5ae3f05e23" TargetMode="External"/><Relationship Id="rId82" Type="http://schemas.openxmlformats.org/officeDocument/2006/relationships/hyperlink" Target="https://felix.fe.training/filing-document/?hid=65e5b69887f59" TargetMode="External"/><Relationship Id="rId199" Type="http://schemas.openxmlformats.org/officeDocument/2006/relationships/hyperlink" Target="https://felix.fe.training/filing-document/?hid=65e5f48bdf8c4" TargetMode="External"/><Relationship Id="rId203" Type="http://schemas.openxmlformats.org/officeDocument/2006/relationships/hyperlink" Target="https://felix.fe.training/filing/document.php/?hid=65e5e5bd2eb92" TargetMode="External"/><Relationship Id="rId19" Type="http://schemas.openxmlformats.org/officeDocument/2006/relationships/hyperlink" Target="https://felix.fe.training/filing-document/?hid=65e5a8ad26b3c" TargetMode="External"/><Relationship Id="rId224" Type="http://schemas.openxmlformats.org/officeDocument/2006/relationships/hyperlink" Target="https://felix.fe.training/filing/document.php/?hid=65e6fa45cc620" TargetMode="External"/><Relationship Id="rId245" Type="http://schemas.openxmlformats.org/officeDocument/2006/relationships/hyperlink" Target="https://felix.fe.training/filing/document.php/?hid=65e707b4e30b0" TargetMode="External"/><Relationship Id="rId266" Type="http://schemas.openxmlformats.org/officeDocument/2006/relationships/hyperlink" Target="https://felix.fe.training/filing-document-share/?ref=fdhs65e5a44a0fe6b" TargetMode="External"/><Relationship Id="rId30" Type="http://schemas.openxmlformats.org/officeDocument/2006/relationships/hyperlink" Target="https://felix.fe.training/filing-document/?hid=65e5ab1ecc0a6" TargetMode="External"/><Relationship Id="rId105" Type="http://schemas.openxmlformats.org/officeDocument/2006/relationships/hyperlink" Target="https://felix.fe.training/filing-document/?hid=65e5bdd8775c0" TargetMode="External"/><Relationship Id="rId126" Type="http://schemas.openxmlformats.org/officeDocument/2006/relationships/hyperlink" Target="https://felix.fe.training/filing-document/?hid=65e5c16f23378" TargetMode="External"/><Relationship Id="rId147" Type="http://schemas.openxmlformats.org/officeDocument/2006/relationships/hyperlink" Target="https://felix.fe.training/filing-document/?hid=65e5c62620fd6" TargetMode="External"/><Relationship Id="rId168" Type="http://schemas.openxmlformats.org/officeDocument/2006/relationships/hyperlink" Target="https://felix.fe.training/filing-document/?hid=65e5ca39ef5ac" TargetMode="External"/><Relationship Id="rId51" Type="http://schemas.openxmlformats.org/officeDocument/2006/relationships/hyperlink" Target="https://felix.fe.training/filing-document/?hid=65e5ad55124c6" TargetMode="External"/><Relationship Id="rId72" Type="http://schemas.openxmlformats.org/officeDocument/2006/relationships/hyperlink" Target="https://felix.fe.training/filing/document.php/?hid=6602d4a674e18" TargetMode="External"/><Relationship Id="rId93" Type="http://schemas.openxmlformats.org/officeDocument/2006/relationships/hyperlink" Target="https://felix.fe.training/filing-document/?hid=65e5bc3e491e4" TargetMode="External"/><Relationship Id="rId189" Type="http://schemas.openxmlformats.org/officeDocument/2006/relationships/hyperlink" Target="https://felix.fe.training/filing-document/?hid=65e5cc497afb2" TargetMode="External"/><Relationship Id="rId3" Type="http://schemas.openxmlformats.org/officeDocument/2006/relationships/hyperlink" Target="https://felix.fe.training/filing-document/?hid=6401da7317a4d" TargetMode="External"/><Relationship Id="rId214" Type="http://schemas.openxmlformats.org/officeDocument/2006/relationships/hyperlink" Target="https://felix.fe.training/filing/document.php/?hid=65e6f8e43ac27" TargetMode="External"/><Relationship Id="rId235" Type="http://schemas.openxmlformats.org/officeDocument/2006/relationships/hyperlink" Target="https://felix.fe.training/filing/document.php/?hid=65e6feab5d7cc" TargetMode="External"/><Relationship Id="rId256" Type="http://schemas.openxmlformats.org/officeDocument/2006/relationships/hyperlink" Target="https://felix.fe.training/filing/document.php/?hid=65e73f80b18b9" TargetMode="External"/><Relationship Id="rId116" Type="http://schemas.openxmlformats.org/officeDocument/2006/relationships/hyperlink" Target="https://felix.fe.training/filing-document/?hid=65e5c06452f2e" TargetMode="External"/><Relationship Id="rId137" Type="http://schemas.openxmlformats.org/officeDocument/2006/relationships/hyperlink" Target="https://felix.fe.training/filing-document/?hid=65e5c3bb7f923" TargetMode="External"/><Relationship Id="rId158" Type="http://schemas.openxmlformats.org/officeDocument/2006/relationships/hyperlink" Target="https://felix.fe.training/filing-document/?hid=65e5c8e25b476" TargetMode="External"/><Relationship Id="rId20" Type="http://schemas.openxmlformats.org/officeDocument/2006/relationships/hyperlink" Target="https://felix.fe.training/filing-document/?hid=65e5a8bea1b9a" TargetMode="External"/><Relationship Id="rId41" Type="http://schemas.openxmlformats.org/officeDocument/2006/relationships/hyperlink" Target="https://felix.fe.training/filing-document/?hid=65e5ac85b1f79" TargetMode="External"/><Relationship Id="rId62" Type="http://schemas.openxmlformats.org/officeDocument/2006/relationships/hyperlink" Target="https://felix.fe.training/filing-document/?hid=65e5ae4c1411f" TargetMode="External"/><Relationship Id="rId83" Type="http://schemas.openxmlformats.org/officeDocument/2006/relationships/hyperlink" Target="https://felix.fe.training/filing-document/?hid=65e5b6c398e73" TargetMode="External"/><Relationship Id="rId179" Type="http://schemas.openxmlformats.org/officeDocument/2006/relationships/hyperlink" Target="https://felix.fe.training/filing-document/?hid=65e5cb738378c" TargetMode="External"/><Relationship Id="rId190" Type="http://schemas.openxmlformats.org/officeDocument/2006/relationships/hyperlink" Target="https://felix.fe.training/filing-document/?hid=65e5e2a5075d6" TargetMode="External"/><Relationship Id="rId204" Type="http://schemas.openxmlformats.org/officeDocument/2006/relationships/hyperlink" Target="https://felix.fe.training/filing-document/?hid=65e5b722469d6" TargetMode="External"/><Relationship Id="rId225" Type="http://schemas.openxmlformats.org/officeDocument/2006/relationships/hyperlink" Target="https://felix.fe.training/filing/document.php/?hid=65e6fa576e6df" TargetMode="External"/><Relationship Id="rId246" Type="http://schemas.openxmlformats.org/officeDocument/2006/relationships/hyperlink" Target="https://felix.fe.training/filing/document.php/?hid=65e707df15584" TargetMode="External"/><Relationship Id="rId267" Type="http://schemas.openxmlformats.org/officeDocument/2006/relationships/printerSettings" Target="../printerSettings/printerSettings3.bin"/><Relationship Id="rId106" Type="http://schemas.openxmlformats.org/officeDocument/2006/relationships/hyperlink" Target="https://felix.fe.training/filing-document/?hid=65e5bde70c722" TargetMode="External"/><Relationship Id="rId127" Type="http://schemas.openxmlformats.org/officeDocument/2006/relationships/hyperlink" Target="https://felix.fe.training/filing-document/?hid=65e5c18aaf8ca" TargetMode="External"/><Relationship Id="rId10" Type="http://schemas.openxmlformats.org/officeDocument/2006/relationships/hyperlink" Target="https://felix.fe.training/filing-document/?hid=65e5cc7c3a7a0" TargetMode="External"/><Relationship Id="rId31" Type="http://schemas.openxmlformats.org/officeDocument/2006/relationships/hyperlink" Target="https://felix.fe.training/filing-document/?hid=65e5ab35b7e22" TargetMode="External"/><Relationship Id="rId52" Type="http://schemas.openxmlformats.org/officeDocument/2006/relationships/hyperlink" Target="https://felix.fe.training/filing-document/?hid=65e5ad632c3d0" TargetMode="External"/><Relationship Id="rId73" Type="http://schemas.openxmlformats.org/officeDocument/2006/relationships/hyperlink" Target="https://felix.fe.training/filing-document/?hid=65e5b554354bb" TargetMode="External"/><Relationship Id="rId94" Type="http://schemas.openxmlformats.org/officeDocument/2006/relationships/hyperlink" Target="https://felix.fe.training/filing-document/?hid=65e5bc50503f0" TargetMode="External"/><Relationship Id="rId148" Type="http://schemas.openxmlformats.org/officeDocument/2006/relationships/hyperlink" Target="https://felix.fe.training/filing-document/?hid=65e5c642c4e3e" TargetMode="External"/><Relationship Id="rId169" Type="http://schemas.openxmlformats.org/officeDocument/2006/relationships/hyperlink" Target="https://felix.fe.training/filing/document.php/?hid=6602d2dd5e377" TargetMode="External"/><Relationship Id="rId4" Type="http://schemas.openxmlformats.org/officeDocument/2006/relationships/hyperlink" Target="https://felix.fe.training/filing-document/?hid=65e5e3f3e3a2f" TargetMode="External"/><Relationship Id="rId180" Type="http://schemas.openxmlformats.org/officeDocument/2006/relationships/hyperlink" Target="https://felix.fe.training/filing-document/?hid=65e5cb92e9b83" TargetMode="External"/><Relationship Id="rId215" Type="http://schemas.openxmlformats.org/officeDocument/2006/relationships/hyperlink" Target="https://felix.fe.training/filing/document.php/?hid=65e6f8f2df7f2" TargetMode="External"/><Relationship Id="rId236" Type="http://schemas.openxmlformats.org/officeDocument/2006/relationships/hyperlink" Target="https://felix.fe.training/filing/document.php/?hid=65e6ffa90d368" TargetMode="External"/><Relationship Id="rId257" Type="http://schemas.openxmlformats.org/officeDocument/2006/relationships/hyperlink" Target="https://felix.fe.training/filing/document.php/?hid=65e5e50b99e1c" TargetMode="External"/><Relationship Id="rId42" Type="http://schemas.openxmlformats.org/officeDocument/2006/relationships/hyperlink" Target="https://felix.fe.training/filing-document/?hid=65e5ac931960f" TargetMode="External"/><Relationship Id="rId84" Type="http://schemas.openxmlformats.org/officeDocument/2006/relationships/hyperlink" Target="https://felix.fe.training/filing-document/?hid=65e5b6ebeb06b" TargetMode="External"/><Relationship Id="rId138" Type="http://schemas.openxmlformats.org/officeDocument/2006/relationships/hyperlink" Target="https://felix.fe.training/filing-document/?hid=65e5c3c6e842b" TargetMode="External"/><Relationship Id="rId191" Type="http://schemas.openxmlformats.org/officeDocument/2006/relationships/hyperlink" Target="https://felix.fe.training/filing-document/?hid=65e5e2b87a316" TargetMode="External"/><Relationship Id="rId205" Type="http://schemas.openxmlformats.org/officeDocument/2006/relationships/hyperlink" Target="https://felix.fe.training/filing/document.php/?hid=65e6f52abcc9f" TargetMode="External"/><Relationship Id="rId247" Type="http://schemas.openxmlformats.org/officeDocument/2006/relationships/hyperlink" Target="https://felix.fe.training/filing/document.php/?hid=65e7080f6d321" TargetMode="External"/><Relationship Id="rId107" Type="http://schemas.openxmlformats.org/officeDocument/2006/relationships/hyperlink" Target="https://felix.fe.training/filing-document/?hid=65e5bdf35aab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felix.fe.training/filing/document.php/?hid=65e7532972439" TargetMode="External"/><Relationship Id="rId3" Type="http://schemas.openxmlformats.org/officeDocument/2006/relationships/hyperlink" Target="https://felix.fe.training/filing/document.php/?hid=65e7506370cb0" TargetMode="External"/><Relationship Id="rId7" Type="http://schemas.openxmlformats.org/officeDocument/2006/relationships/hyperlink" Target="https://felix.fe.training/filing/document.php/?hid=65e751c6b9b3e" TargetMode="External"/><Relationship Id="rId12" Type="http://schemas.openxmlformats.org/officeDocument/2006/relationships/printerSettings" Target="../printerSettings/printerSettings4.bin"/><Relationship Id="rId2" Type="http://schemas.openxmlformats.org/officeDocument/2006/relationships/hyperlink" Target="https://felix.fe.training/filing/document.php/?hid=65e7514b2e512" TargetMode="External"/><Relationship Id="rId1" Type="http://schemas.openxmlformats.org/officeDocument/2006/relationships/hyperlink" Target="https://felix.fe.training/filing/document.php/?hid=65e756cb82809" TargetMode="External"/><Relationship Id="rId6" Type="http://schemas.openxmlformats.org/officeDocument/2006/relationships/hyperlink" Target="https://felix.fe.training/filing/document.php/?hid=65e7518aecdb7" TargetMode="External"/><Relationship Id="rId11" Type="http://schemas.openxmlformats.org/officeDocument/2006/relationships/hyperlink" Target="https://felix.fe.training/filing/document.php/?hid=65e753f72ecb8" TargetMode="External"/><Relationship Id="rId5" Type="http://schemas.openxmlformats.org/officeDocument/2006/relationships/hyperlink" Target="https://felix.fe.training/filing/document.php/?hid=65e75118471db" TargetMode="External"/><Relationship Id="rId10" Type="http://schemas.openxmlformats.org/officeDocument/2006/relationships/hyperlink" Target="https://felix.fe.training/filing/document.php/?hid=65e7539866380" TargetMode="External"/><Relationship Id="rId4" Type="http://schemas.openxmlformats.org/officeDocument/2006/relationships/hyperlink" Target="https://felix.fe.training/filing/document.php/?hid=65e74feb87061" TargetMode="External"/><Relationship Id="rId9" Type="http://schemas.openxmlformats.org/officeDocument/2006/relationships/hyperlink" Target="https://felix.fe.training/filing/document.php/?hid=65e7536aec011"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s://felix.fe.training/filing/document.php/?hid=65e9ce1a63276" TargetMode="External"/><Relationship Id="rId18" Type="http://schemas.openxmlformats.org/officeDocument/2006/relationships/hyperlink" Target="https://felix.fe.training/filing/document.php/?hid=65e9f47b42315" TargetMode="External"/><Relationship Id="rId26" Type="http://schemas.openxmlformats.org/officeDocument/2006/relationships/hyperlink" Target="https://felix.fe.training/filing/document.php/?hid=65e9f5335f482" TargetMode="External"/><Relationship Id="rId21" Type="http://schemas.openxmlformats.org/officeDocument/2006/relationships/hyperlink" Target="https://felix.fe.training/filing-document/?hid=65e5c0c74ef46" TargetMode="External"/><Relationship Id="rId34" Type="http://schemas.openxmlformats.org/officeDocument/2006/relationships/printerSettings" Target="../printerSettings/printerSettings6.bin"/><Relationship Id="rId7" Type="http://schemas.openxmlformats.org/officeDocument/2006/relationships/hyperlink" Target="https://felix.fe.training/filing/document.php/?hid=65e5ae176df1e" TargetMode="External"/><Relationship Id="rId12" Type="http://schemas.openxmlformats.org/officeDocument/2006/relationships/hyperlink" Target="https://felix.fe.training/filing/document.php/?hid=65e9ce0234bb0" TargetMode="External"/><Relationship Id="rId17" Type="http://schemas.openxmlformats.org/officeDocument/2006/relationships/hyperlink" Target="https://felix.fe.training/filing/document.php/?hid=65e9f47b42315" TargetMode="External"/><Relationship Id="rId25" Type="http://schemas.openxmlformats.org/officeDocument/2006/relationships/hyperlink" Target="https://felix.fe.training/filing-document/?hid=65e5c12ca9eca" TargetMode="External"/><Relationship Id="rId33" Type="http://schemas.openxmlformats.org/officeDocument/2006/relationships/hyperlink" Target="https://felix.fe.training/filing-document/?hid=65e5b65e5b570" TargetMode="External"/><Relationship Id="rId2" Type="http://schemas.openxmlformats.org/officeDocument/2006/relationships/hyperlink" Target="https://felix.fe.training/filing/document.php/?hid=65e9ccb731cd1" TargetMode="External"/><Relationship Id="rId16" Type="http://schemas.openxmlformats.org/officeDocument/2006/relationships/hyperlink" Target="https://felix.fe.training/filing/document.php/?hid=65e9f24145f54" TargetMode="External"/><Relationship Id="rId20" Type="http://schemas.openxmlformats.org/officeDocument/2006/relationships/hyperlink" Target="https://felix.fe.training/filing/document.php/?hid=65e9f43b6bcf5" TargetMode="External"/><Relationship Id="rId29" Type="http://schemas.openxmlformats.org/officeDocument/2006/relationships/hyperlink" Target="https://felix.fe.training/filing/document.php/?hid=65e9f5ae63d78" TargetMode="External"/><Relationship Id="rId1" Type="http://schemas.openxmlformats.org/officeDocument/2006/relationships/hyperlink" Target="https://felix.fe.training/filing/document.php/?hid=65e9cbbad3905" TargetMode="External"/><Relationship Id="rId6" Type="http://schemas.openxmlformats.org/officeDocument/2006/relationships/hyperlink" Target="https://felix.fe.training/filing/document.php/?hid=65e5adf07822f" TargetMode="External"/><Relationship Id="rId11" Type="http://schemas.openxmlformats.org/officeDocument/2006/relationships/hyperlink" Target="https://felix.fe.training/filing/document.php/?hid=65e5afad07d81" TargetMode="External"/><Relationship Id="rId24" Type="http://schemas.openxmlformats.org/officeDocument/2006/relationships/hyperlink" Target="https://felix.fe.training/filing-document/?hid=65e5c1a2bde1f" TargetMode="External"/><Relationship Id="rId32" Type="http://schemas.openxmlformats.org/officeDocument/2006/relationships/hyperlink" Target="https://felix.fe.training/filing-document/?hid=65e5b7550a469" TargetMode="External"/><Relationship Id="rId37" Type="http://schemas.openxmlformats.org/officeDocument/2006/relationships/comments" Target="../comments3.xml"/><Relationship Id="rId5" Type="http://schemas.openxmlformats.org/officeDocument/2006/relationships/hyperlink" Target="https://felix.fe.training/filing/document.php/?hid=65e9ccfaa66b6" TargetMode="External"/><Relationship Id="rId15" Type="http://schemas.openxmlformats.org/officeDocument/2006/relationships/hyperlink" Target="https://felix.fe.training/filing-document/?hid=65e5a99f7af68" TargetMode="External"/><Relationship Id="rId23" Type="http://schemas.openxmlformats.org/officeDocument/2006/relationships/hyperlink" Target="https://felix.fe.training/filing-document/?hid=65e5c16f23378" TargetMode="External"/><Relationship Id="rId28" Type="http://schemas.openxmlformats.org/officeDocument/2006/relationships/hyperlink" Target="https://felix.fe.training/filing-document/?hid=65e5c1deed0ac" TargetMode="External"/><Relationship Id="rId36" Type="http://schemas.openxmlformats.org/officeDocument/2006/relationships/vmlDrawing" Target="../drawings/vmlDrawing3.vml"/><Relationship Id="rId10" Type="http://schemas.openxmlformats.org/officeDocument/2006/relationships/hyperlink" Target="https://felix.fe.training/filing/document.php/?hid=65e5af83758ef" TargetMode="External"/><Relationship Id="rId19" Type="http://schemas.openxmlformats.org/officeDocument/2006/relationships/hyperlink" Target="https://felix.fe.training/filing/document.php/?hid=65e9f41a42b94" TargetMode="External"/><Relationship Id="rId31" Type="http://schemas.openxmlformats.org/officeDocument/2006/relationships/hyperlink" Target="https://felix.fe.training/filing/document.php/?hid=65e9f6dae7e99" TargetMode="External"/><Relationship Id="rId4" Type="http://schemas.openxmlformats.org/officeDocument/2006/relationships/hyperlink" Target="https://felix.fe.training/filing/document.php/?hid=65e9ccd08b36a" TargetMode="External"/><Relationship Id="rId9" Type="http://schemas.openxmlformats.org/officeDocument/2006/relationships/hyperlink" Target="https://felix.fe.training/filing/document.php/?hid=65e9cdb850def" TargetMode="External"/><Relationship Id="rId14" Type="http://schemas.openxmlformats.org/officeDocument/2006/relationships/hyperlink" Target="https://felix.fe.training/filing-document/?hid=65e5a8d635490" TargetMode="External"/><Relationship Id="rId22" Type="http://schemas.openxmlformats.org/officeDocument/2006/relationships/hyperlink" Target="https://felix.fe.training/filing-document/?hid=65e5c1090ecb7" TargetMode="External"/><Relationship Id="rId27" Type="http://schemas.openxmlformats.org/officeDocument/2006/relationships/hyperlink" Target="https://felix.fe.training/filing/document.php/?hid=65e9f5d74daf2" TargetMode="External"/><Relationship Id="rId30" Type="http://schemas.openxmlformats.org/officeDocument/2006/relationships/hyperlink" Target="https://felix.fe.training/filing-document/?hid=65e5b6c398e73" TargetMode="External"/><Relationship Id="rId35" Type="http://schemas.openxmlformats.org/officeDocument/2006/relationships/drawing" Target="../drawings/drawing4.xml"/><Relationship Id="rId8" Type="http://schemas.openxmlformats.org/officeDocument/2006/relationships/hyperlink" Target="https://felix.fe.training/filing/document.php/?hid=65e5ae3f05e23" TargetMode="External"/><Relationship Id="rId3" Type="http://schemas.openxmlformats.org/officeDocument/2006/relationships/hyperlink" Target="https://felix.fe.training/filing/document.php/?hid=65e9ccb731cd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felix.fe.training/filing/document.php/?hid=65e5ae176df1e" TargetMode="External"/><Relationship Id="rId13" Type="http://schemas.openxmlformats.org/officeDocument/2006/relationships/hyperlink" Target="https://felix.fe.training/filing/document.php/?hid=65e9ce0234bb0" TargetMode="External"/><Relationship Id="rId18" Type="http://schemas.openxmlformats.org/officeDocument/2006/relationships/hyperlink" Target="https://felix.fe.training/filing-document/?hid=65e5b089d88cf" TargetMode="External"/><Relationship Id="rId3" Type="http://schemas.openxmlformats.org/officeDocument/2006/relationships/hyperlink" Target="https://felix.fe.training/filing/document.php/?hid=65e9ccd08b36a" TargetMode="External"/><Relationship Id="rId21" Type="http://schemas.openxmlformats.org/officeDocument/2006/relationships/vmlDrawing" Target="../drawings/vmlDrawing4.vml"/><Relationship Id="rId7" Type="http://schemas.openxmlformats.org/officeDocument/2006/relationships/hyperlink" Target="https://felix.fe.training/filing/document.php/?hid=65e5adf07822f" TargetMode="External"/><Relationship Id="rId12" Type="http://schemas.openxmlformats.org/officeDocument/2006/relationships/hyperlink" Target="https://felix.fe.training/filing/document.php/?hid=65e5afad07d81" TargetMode="External"/><Relationship Id="rId17" Type="http://schemas.openxmlformats.org/officeDocument/2006/relationships/hyperlink" Target="https://felix.fe.training/filing-document/?hid=65e5a99f7af68" TargetMode="External"/><Relationship Id="rId2" Type="http://schemas.openxmlformats.org/officeDocument/2006/relationships/hyperlink" Target="https://felix.fe.training/filing/document.php/?hid=65e9cbbad3905" TargetMode="External"/><Relationship Id="rId16" Type="http://schemas.openxmlformats.org/officeDocument/2006/relationships/hyperlink" Target="https://felix.fe.training/filing-document/?hid=65e5a8d635490" TargetMode="External"/><Relationship Id="rId20" Type="http://schemas.openxmlformats.org/officeDocument/2006/relationships/printerSettings" Target="../printerSettings/printerSettings7.bin"/><Relationship Id="rId1" Type="http://schemas.openxmlformats.org/officeDocument/2006/relationships/hyperlink" Target="https://felix.fe.training/filing/document.php/?hid=65e5ab9372b43" TargetMode="External"/><Relationship Id="rId6" Type="http://schemas.openxmlformats.org/officeDocument/2006/relationships/hyperlink" Target="https://felix.fe.training/filing/document.php/?hid=65e5afe0e2336" TargetMode="External"/><Relationship Id="rId11" Type="http://schemas.openxmlformats.org/officeDocument/2006/relationships/hyperlink" Target="https://felix.fe.training/filing/document.php/?hid=65e5af83758ef" TargetMode="External"/><Relationship Id="rId5" Type="http://schemas.openxmlformats.org/officeDocument/2006/relationships/hyperlink" Target="https://felix.fe.training/filing/document.php/?hid=65e9ccfaa66b6" TargetMode="External"/><Relationship Id="rId15" Type="http://schemas.openxmlformats.org/officeDocument/2006/relationships/hyperlink" Target="https://felix.fe.training/filing/document.php/?hid=65e5a7dc09c45" TargetMode="External"/><Relationship Id="rId10" Type="http://schemas.openxmlformats.org/officeDocument/2006/relationships/hyperlink" Target="https://felix.fe.training/filing/document.php/?hid=65e9cdb850def" TargetMode="External"/><Relationship Id="rId19" Type="http://schemas.openxmlformats.org/officeDocument/2006/relationships/hyperlink" Target="https://felix.fe.training/filing-document/?hid=65e5b0aac38b8" TargetMode="External"/><Relationship Id="rId4" Type="http://schemas.openxmlformats.org/officeDocument/2006/relationships/hyperlink" Target="https://felix.fe.training/filing/document.php/?hid=65e9ccb731cd1" TargetMode="External"/><Relationship Id="rId9" Type="http://schemas.openxmlformats.org/officeDocument/2006/relationships/hyperlink" Target="https://felix.fe.training/filing/document.php/?hid=65e5ae3f05e23" TargetMode="External"/><Relationship Id="rId14" Type="http://schemas.openxmlformats.org/officeDocument/2006/relationships/hyperlink" Target="https://felix.fe.training/filing/document.php/?hid=65e9ce1a63276" TargetMode="External"/><Relationship Id="rId22"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hyperlink" Target="https://felix.fe.training/filing-document/?hid=65e5c1a2bde1f" TargetMode="External"/><Relationship Id="rId13" Type="http://schemas.openxmlformats.org/officeDocument/2006/relationships/hyperlink" Target="https://felix.fe.training/filing-document/?hid=65e5b554354bb" TargetMode="External"/><Relationship Id="rId18" Type="http://schemas.openxmlformats.org/officeDocument/2006/relationships/hyperlink" Target="https://felix.fe.training/filing-document/?hid=65e5c2fbd0850" TargetMode="External"/><Relationship Id="rId26" Type="http://schemas.openxmlformats.org/officeDocument/2006/relationships/comments" Target="../comments5.xml"/><Relationship Id="rId3" Type="http://schemas.openxmlformats.org/officeDocument/2006/relationships/hyperlink" Target="https://felix.fe.training/filing/document.php/?hid=65e9f47b42315" TargetMode="External"/><Relationship Id="rId21" Type="http://schemas.openxmlformats.org/officeDocument/2006/relationships/hyperlink" Target="https://felix.fe.training/filing/document.php/?hid=65e9f41a42b94" TargetMode="External"/><Relationship Id="rId7" Type="http://schemas.openxmlformats.org/officeDocument/2006/relationships/hyperlink" Target="https://felix.fe.training/filing-document/?hid=65e5c16f23378" TargetMode="External"/><Relationship Id="rId12" Type="http://schemas.openxmlformats.org/officeDocument/2006/relationships/hyperlink" Target="https://felix.fe.training/filing/document.php/?hid=65e9f5d74daf2" TargetMode="External"/><Relationship Id="rId17" Type="http://schemas.openxmlformats.org/officeDocument/2006/relationships/hyperlink" Target="https://felix.fe.training/filing-document/?hid=65e5c28c1a301" TargetMode="External"/><Relationship Id="rId25" Type="http://schemas.openxmlformats.org/officeDocument/2006/relationships/vmlDrawing" Target="../drawings/vmlDrawing5.vml"/><Relationship Id="rId2" Type="http://schemas.openxmlformats.org/officeDocument/2006/relationships/hyperlink" Target="https://felix.fe.training/filing/document.php/?hid=65e9f24145f54" TargetMode="External"/><Relationship Id="rId16" Type="http://schemas.openxmlformats.org/officeDocument/2006/relationships/hyperlink" Target="https://felix.fe.training/filing-document/?hid=65e5b7550a469" TargetMode="External"/><Relationship Id="rId20" Type="http://schemas.openxmlformats.org/officeDocument/2006/relationships/hyperlink" Target="https://felix.fe.training/filing-document/?hid=65e5c1deed0ac" TargetMode="External"/><Relationship Id="rId1" Type="http://schemas.openxmlformats.org/officeDocument/2006/relationships/hyperlink" Target="https://felix.fe.training/filing-document/?hid=65e5bcc11d1c3" TargetMode="External"/><Relationship Id="rId6" Type="http://schemas.openxmlformats.org/officeDocument/2006/relationships/hyperlink" Target="https://felix.fe.training/filing-document/?hid=65e5c0c74ef46" TargetMode="External"/><Relationship Id="rId11" Type="http://schemas.openxmlformats.org/officeDocument/2006/relationships/hyperlink" Target="https://felix.fe.training/filing/document.php/?hid=65e9f5ae63d78" TargetMode="External"/><Relationship Id="rId24" Type="http://schemas.openxmlformats.org/officeDocument/2006/relationships/printerSettings" Target="../printerSettings/printerSettings8.bin"/><Relationship Id="rId5" Type="http://schemas.openxmlformats.org/officeDocument/2006/relationships/hyperlink" Target="https://felix.fe.training/filing-document/?hid=65e5c1ffa410b" TargetMode="External"/><Relationship Id="rId15" Type="http://schemas.openxmlformats.org/officeDocument/2006/relationships/hyperlink" Target="https://felix.fe.training/filing/document.php/?hid=65e9f6dae7e99" TargetMode="External"/><Relationship Id="rId23" Type="http://schemas.openxmlformats.org/officeDocument/2006/relationships/hyperlink" Target="https://felix.fe.training/filing-document/?hid=65e5b65e5b570" TargetMode="External"/><Relationship Id="rId10" Type="http://schemas.openxmlformats.org/officeDocument/2006/relationships/hyperlink" Target="https://felix.fe.training/filing-document/?hid=65e5c12ca9eca" TargetMode="External"/><Relationship Id="rId19" Type="http://schemas.openxmlformats.org/officeDocument/2006/relationships/hyperlink" Target="https://felix.fe.training/filing/document.php/?hid=65e9f5335f482" TargetMode="External"/><Relationship Id="rId4" Type="http://schemas.openxmlformats.org/officeDocument/2006/relationships/hyperlink" Target="https://felix.fe.training/filing/document.php/?hid=65e9f47b42315" TargetMode="External"/><Relationship Id="rId9" Type="http://schemas.openxmlformats.org/officeDocument/2006/relationships/hyperlink" Target="https://felix.fe.training/filing-document/?hid=65e5c1090ecb7" TargetMode="External"/><Relationship Id="rId14" Type="http://schemas.openxmlformats.org/officeDocument/2006/relationships/hyperlink" Target="https://felix.fe.training/filing-document/?hid=65e5b6c398e73" TargetMode="External"/><Relationship Id="rId22" Type="http://schemas.openxmlformats.org/officeDocument/2006/relationships/hyperlink" Target="https://felix.fe.training/filing/document.php/?hid=65e9f43b6bcf5"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
  <sheetViews>
    <sheetView showGridLines="0" zoomScaleNormal="100" zoomScaleSheetLayoutView="85" workbookViewId="0">
      <selection sqref="A1:N1"/>
    </sheetView>
  </sheetViews>
  <sheetFormatPr defaultColWidth="12.59765625" defaultRowHeight="15" customHeight="1" x14ac:dyDescent="0.45"/>
  <cols>
    <col min="1" max="1" width="8.59765625" customWidth="1"/>
    <col min="2" max="13" width="8" customWidth="1"/>
    <col min="14" max="14" width="8.59765625" customWidth="1"/>
    <col min="15" max="26" width="8" customWidth="1"/>
  </cols>
  <sheetData>
    <row r="1" spans="1:26" ht="189.75" customHeight="1" x14ac:dyDescent="0.85">
      <c r="A1" s="229"/>
      <c r="B1" s="228"/>
      <c r="C1" s="228"/>
      <c r="D1" s="228"/>
      <c r="E1" s="228"/>
      <c r="F1" s="228"/>
      <c r="G1" s="228"/>
      <c r="H1" s="228"/>
      <c r="I1" s="228"/>
      <c r="J1" s="228"/>
      <c r="K1" s="228"/>
      <c r="L1" s="228"/>
      <c r="M1" s="228"/>
      <c r="N1" s="228"/>
      <c r="V1" s="6"/>
      <c r="W1" s="6"/>
      <c r="X1" s="6"/>
      <c r="Y1" s="6"/>
      <c r="Z1" s="6"/>
    </row>
    <row r="2" spans="1:26" ht="75" customHeight="1" x14ac:dyDescent="0.45">
      <c r="A2" s="230" t="s">
        <v>0</v>
      </c>
      <c r="B2" s="228"/>
      <c r="C2" s="228"/>
      <c r="D2" s="228"/>
      <c r="E2" s="228"/>
      <c r="F2" s="228"/>
      <c r="G2" s="228"/>
      <c r="H2" s="228"/>
      <c r="I2" s="228"/>
      <c r="J2" s="228"/>
      <c r="K2" s="228"/>
      <c r="L2" s="228"/>
      <c r="M2" s="228"/>
      <c r="N2" s="228"/>
      <c r="V2" s="7"/>
      <c r="W2" s="7"/>
      <c r="X2" s="7"/>
      <c r="Y2" s="7"/>
      <c r="Z2" s="7"/>
    </row>
    <row r="3" spans="1:26" ht="7.5" customHeight="1" x14ac:dyDescent="0.45">
      <c r="A3" s="8"/>
      <c r="B3" s="9"/>
      <c r="C3" s="9"/>
      <c r="D3" s="8"/>
      <c r="E3" s="8"/>
      <c r="F3" s="10"/>
      <c r="G3" s="10"/>
      <c r="H3" s="10"/>
      <c r="I3" s="10"/>
      <c r="J3" s="10"/>
      <c r="K3" s="10"/>
      <c r="L3" s="8"/>
      <c r="M3" s="8"/>
      <c r="N3" s="8"/>
      <c r="V3" s="8"/>
      <c r="W3" s="8"/>
      <c r="X3" s="8"/>
      <c r="Y3" s="8"/>
      <c r="Z3" s="8"/>
    </row>
    <row r="4" spans="1:26" ht="15" customHeight="1" x14ac:dyDescent="0.45">
      <c r="A4" s="108"/>
      <c r="B4" s="109"/>
      <c r="C4" s="231"/>
      <c r="D4" s="228"/>
      <c r="E4" s="110"/>
      <c r="F4" s="111"/>
      <c r="G4" s="111"/>
      <c r="H4" s="111"/>
      <c r="I4" s="111"/>
      <c r="J4" s="111"/>
      <c r="K4" s="111"/>
      <c r="L4" s="110"/>
      <c r="M4" s="110"/>
      <c r="N4" s="110"/>
      <c r="V4" s="8"/>
      <c r="W4" s="8"/>
      <c r="X4" s="8"/>
      <c r="Y4" s="8"/>
      <c r="Z4" s="8"/>
    </row>
    <row r="5" spans="1:26" ht="15" customHeight="1" x14ac:dyDescent="0.45">
      <c r="A5" s="232" t="s">
        <v>1</v>
      </c>
      <c r="B5" s="228"/>
      <c r="C5" s="228"/>
      <c r="D5" s="228"/>
      <c r="E5" s="228"/>
      <c r="F5" s="228"/>
      <c r="G5" s="228"/>
      <c r="H5" s="228"/>
      <c r="I5" s="228"/>
      <c r="J5" s="228"/>
      <c r="K5" s="228"/>
      <c r="L5" s="228"/>
      <c r="M5" s="228"/>
      <c r="N5" s="228"/>
      <c r="V5" s="8"/>
      <c r="W5" s="8"/>
      <c r="X5" s="8"/>
      <c r="Y5" s="8"/>
      <c r="Z5" s="8"/>
    </row>
    <row r="6" spans="1:26" ht="15" customHeight="1" x14ac:dyDescent="0.45">
      <c r="A6" s="228"/>
      <c r="B6" s="228"/>
      <c r="C6" s="228"/>
      <c r="D6" s="228"/>
      <c r="E6" s="228"/>
      <c r="F6" s="228"/>
      <c r="G6" s="228"/>
      <c r="H6" s="228"/>
      <c r="I6" s="228"/>
      <c r="J6" s="228"/>
      <c r="K6" s="228"/>
      <c r="L6" s="228"/>
      <c r="M6" s="228"/>
      <c r="N6" s="228"/>
      <c r="V6" s="8"/>
      <c r="W6" s="8"/>
      <c r="X6" s="8"/>
      <c r="Y6" s="8"/>
      <c r="Z6" s="8"/>
    </row>
    <row r="7" spans="1:26" ht="15" customHeight="1" x14ac:dyDescent="0.45">
      <c r="A7" s="232" t="str">
        <f ca="1">"© "&amp;YEAR(TODAY())&amp;" Financial Edge Training"</f>
        <v>© 2024 Financial Edge Training</v>
      </c>
      <c r="B7" s="228"/>
      <c r="C7" s="228"/>
      <c r="D7" s="228"/>
      <c r="E7" s="228"/>
      <c r="F7" s="228"/>
      <c r="G7" s="228"/>
      <c r="H7" s="228"/>
      <c r="I7" s="228"/>
      <c r="J7" s="228"/>
      <c r="K7" s="228"/>
      <c r="L7" s="228"/>
      <c r="M7" s="228"/>
      <c r="N7" s="228"/>
      <c r="V7" s="8"/>
      <c r="W7" s="8"/>
      <c r="X7" s="8"/>
      <c r="Y7" s="8"/>
      <c r="Z7" s="8"/>
    </row>
    <row r="8" spans="1:26" ht="15" customHeight="1" x14ac:dyDescent="0.45">
      <c r="A8" s="227" t="s">
        <v>2</v>
      </c>
      <c r="B8" s="228"/>
      <c r="C8" s="228"/>
      <c r="D8" s="228"/>
      <c r="E8" s="228"/>
      <c r="F8" s="228"/>
      <c r="G8" s="228"/>
      <c r="H8" s="228"/>
      <c r="I8" s="228"/>
      <c r="J8" s="228"/>
      <c r="K8" s="228"/>
      <c r="L8" s="228"/>
      <c r="M8" s="228"/>
      <c r="N8" s="228"/>
      <c r="V8" s="8"/>
      <c r="W8" s="8"/>
      <c r="X8" s="8"/>
      <c r="Y8" s="8"/>
      <c r="Z8" s="8"/>
    </row>
    <row r="9" spans="1:26" ht="15" customHeight="1" x14ac:dyDescent="0.45">
      <c r="A9" s="11"/>
      <c r="B9" s="12"/>
      <c r="C9" s="11"/>
      <c r="D9" s="11"/>
      <c r="E9" s="13"/>
      <c r="F9" s="14"/>
      <c r="G9" s="14"/>
      <c r="H9" s="14"/>
      <c r="I9" s="14"/>
      <c r="J9" s="14"/>
      <c r="K9" s="14"/>
      <c r="L9" s="13"/>
      <c r="M9" s="13"/>
      <c r="N9" s="13"/>
      <c r="V9" s="8"/>
      <c r="W9" s="8"/>
      <c r="X9" s="8"/>
      <c r="Y9" s="8"/>
      <c r="Z9" s="8"/>
    </row>
  </sheetData>
  <mergeCells count="6">
    <mergeCell ref="A8:N8"/>
    <mergeCell ref="A1:N1"/>
    <mergeCell ref="A2:N2"/>
    <mergeCell ref="C4:D4"/>
    <mergeCell ref="A5:N6"/>
    <mergeCell ref="A7:N7"/>
  </mergeCells>
  <hyperlinks>
    <hyperlink ref="A8" r:id="rId1" xr:uid="{00000000-0004-0000-0100-000000000000}"/>
  </hyperlinks>
  <pageMargins left="0.7" right="0.7" top="0.75" bottom="0.75" header="0" footer="0"/>
  <pageSetup paperSize="9" scale="98" orientation="landscape" r:id="rId2"/>
  <headerFooter>
    <oddHeader>&amp;R&amp;F  &amp;A</oddHeader>
    <oddFooter>&amp;L© 2019&amp;CPage &amp;P of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A1:P15"/>
  <sheetViews>
    <sheetView zoomScaleNormal="100" zoomScaleSheetLayoutView="85" workbookViewId="0"/>
  </sheetViews>
  <sheetFormatPr defaultColWidth="12.59765625" defaultRowHeight="15" customHeight="1" x14ac:dyDescent="0.45"/>
  <cols>
    <col min="1" max="1" width="4.86328125" bestFit="1" customWidth="1"/>
    <col min="2" max="2" width="24.265625" customWidth="1"/>
    <col min="3" max="16" width="10.265625" customWidth="1"/>
  </cols>
  <sheetData>
    <row r="1" spans="1:16" ht="45" customHeight="1" x14ac:dyDescent="0.85">
      <c r="A1" s="83" t="s">
        <v>488</v>
      </c>
      <c r="B1" s="83"/>
      <c r="C1" s="83"/>
      <c r="D1" s="83"/>
      <c r="E1" s="83"/>
      <c r="F1" s="83"/>
      <c r="G1" s="83"/>
      <c r="H1" s="83"/>
      <c r="I1" s="83"/>
      <c r="J1" s="83"/>
      <c r="K1" s="83"/>
      <c r="L1" s="83"/>
      <c r="M1" s="83"/>
      <c r="N1" s="83"/>
      <c r="O1" s="83"/>
      <c r="P1" s="83"/>
    </row>
    <row r="2" spans="1:16" ht="15" customHeight="1" x14ac:dyDescent="0.45">
      <c r="A2" s="54"/>
      <c r="B2" s="54"/>
      <c r="C2" s="54"/>
      <c r="D2" s="54"/>
      <c r="E2" s="54"/>
      <c r="F2" s="54"/>
      <c r="G2" s="54"/>
      <c r="H2" s="54"/>
      <c r="I2" s="54"/>
      <c r="J2" s="54"/>
      <c r="K2" s="54"/>
      <c r="L2" s="54"/>
      <c r="M2" s="54"/>
      <c r="N2" s="54"/>
    </row>
    <row r="3" spans="1:16" ht="15" customHeight="1" x14ac:dyDescent="0.45">
      <c r="A3">
        <v>1</v>
      </c>
      <c r="B3" t="s">
        <v>489</v>
      </c>
    </row>
    <row r="4" spans="1:16" ht="15" customHeight="1" x14ac:dyDescent="0.45">
      <c r="A4">
        <v>2</v>
      </c>
      <c r="B4" t="s">
        <v>490</v>
      </c>
    </row>
    <row r="5" spans="1:16" ht="15" customHeight="1" x14ac:dyDescent="0.45">
      <c r="A5">
        <v>3</v>
      </c>
      <c r="B5" t="s">
        <v>491</v>
      </c>
    </row>
    <row r="6" spans="1:16" ht="15" customHeight="1" x14ac:dyDescent="0.45">
      <c r="A6">
        <v>4</v>
      </c>
      <c r="B6" t="s">
        <v>492</v>
      </c>
    </row>
    <row r="7" spans="1:16" ht="15" customHeight="1" x14ac:dyDescent="0.45">
      <c r="A7">
        <v>5</v>
      </c>
      <c r="B7" t="s">
        <v>493</v>
      </c>
    </row>
    <row r="8" spans="1:16" ht="15" customHeight="1" x14ac:dyDescent="0.45">
      <c r="A8">
        <v>6</v>
      </c>
      <c r="B8" t="s">
        <v>494</v>
      </c>
    </row>
    <row r="9" spans="1:16" ht="15" customHeight="1" x14ac:dyDescent="0.45">
      <c r="A9">
        <v>7</v>
      </c>
      <c r="B9" t="s">
        <v>495</v>
      </c>
    </row>
    <row r="10" spans="1:16" ht="15" customHeight="1" x14ac:dyDescent="0.45">
      <c r="A10">
        <v>8</v>
      </c>
      <c r="B10" t="s">
        <v>496</v>
      </c>
    </row>
    <row r="11" spans="1:16" ht="15" customHeight="1" x14ac:dyDescent="0.45">
      <c r="A11">
        <v>9</v>
      </c>
      <c r="B11" t="s">
        <v>497</v>
      </c>
    </row>
    <row r="12" spans="1:16" ht="15" customHeight="1" x14ac:dyDescent="0.45">
      <c r="A12">
        <v>10</v>
      </c>
      <c r="B12" t="s">
        <v>498</v>
      </c>
    </row>
    <row r="13" spans="1:16" ht="15" customHeight="1" x14ac:dyDescent="0.45">
      <c r="A13">
        <v>11</v>
      </c>
      <c r="B13" t="s">
        <v>499</v>
      </c>
    </row>
    <row r="14" spans="1:16" ht="15" customHeight="1" x14ac:dyDescent="0.45">
      <c r="A14" s="54"/>
      <c r="B14" s="54"/>
      <c r="C14" s="54"/>
      <c r="D14" s="54"/>
      <c r="E14" s="54"/>
      <c r="F14" s="54"/>
      <c r="G14" s="54"/>
      <c r="H14" s="54"/>
      <c r="I14" s="54"/>
      <c r="J14" s="54"/>
      <c r="K14" s="54"/>
      <c r="L14" s="54"/>
      <c r="M14" s="54"/>
      <c r="N14" s="54"/>
    </row>
    <row r="15" spans="1:16" ht="15" customHeight="1" x14ac:dyDescent="0.45">
      <c r="A15" s="72" t="s">
        <v>147</v>
      </c>
    </row>
  </sheetData>
  <printOptions headings="1" gridLines="1"/>
  <pageMargins left="0.70866141732283472" right="0.70866141732283472" top="0.74803149606299213" bottom="0.74803149606299213" header="0" footer="0"/>
  <pageSetup paperSize="9" scale="69" fitToHeight="0" orientation="landscape" r:id="rId1"/>
  <headerFooter>
    <oddHeader>&amp;R&amp;F  &amp;A</oddHeader>
    <oddFooter>&amp;L© 2016&amp;CPage &amp;P of</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pageSetUpPr fitToPage="1"/>
  </sheetPr>
  <dimension ref="A1:T80"/>
  <sheetViews>
    <sheetView tabSelected="1" zoomScaleNormal="100" zoomScaleSheetLayoutView="85" workbookViewId="0">
      <pane xSplit="2" ySplit="3" topLeftCell="C33" activePane="bottomRight" state="frozen"/>
      <selection pane="topRight" sqref="A1:N1"/>
      <selection pane="bottomLeft" sqref="A1:N1"/>
      <selection pane="bottomRight" activeCell="A33" sqref="A33"/>
    </sheetView>
  </sheetViews>
  <sheetFormatPr defaultColWidth="12.59765625" defaultRowHeight="15" customHeight="1" x14ac:dyDescent="0.45"/>
  <cols>
    <col min="1" max="1" width="1.59765625" customWidth="1"/>
    <col min="2" max="2" width="40.59765625" customWidth="1"/>
    <col min="3" max="18" width="10.265625" customWidth="1"/>
    <col min="19" max="19" width="8" customWidth="1"/>
  </cols>
  <sheetData>
    <row r="1" spans="1:19" ht="45" customHeight="1" x14ac:dyDescent="0.85">
      <c r="A1" s="83" t="str">
        <f>"Discounted cashflow valuation for "&amp;Info!N5</f>
        <v>Discounted cashflow valuation for Red Bull</v>
      </c>
      <c r="B1" s="83"/>
      <c r="C1" s="83"/>
      <c r="D1" s="83"/>
      <c r="E1" s="83"/>
      <c r="F1" s="83"/>
      <c r="G1" s="83"/>
      <c r="H1" s="83"/>
      <c r="I1" s="83"/>
      <c r="J1" s="83"/>
      <c r="K1" s="83"/>
      <c r="L1" s="83"/>
      <c r="M1" s="83"/>
      <c r="N1" s="83"/>
      <c r="O1" s="83"/>
      <c r="P1" s="23"/>
      <c r="Q1" s="23"/>
      <c r="R1" s="23"/>
      <c r="S1" s="23"/>
    </row>
    <row r="2" spans="1:19" ht="15" customHeight="1" x14ac:dyDescent="0.55000000000000004">
      <c r="A2" s="95"/>
      <c r="B2" s="95"/>
      <c r="C2" s="95" t="str">
        <f>'Red Bull Model'!C2</f>
        <v>Actual</v>
      </c>
      <c r="D2" s="95" t="str">
        <f>'Red Bull Model'!D2</f>
        <v>Actual</v>
      </c>
      <c r="E2" s="95" t="str">
        <f>'Red Bull Model'!E2</f>
        <v>Actual</v>
      </c>
      <c r="F2" s="95" t="str">
        <f>'Red Bull Model'!F2</f>
        <v>Actual</v>
      </c>
      <c r="G2" s="95" t="str">
        <f>'Red Bull Model'!G2</f>
        <v>Projected</v>
      </c>
      <c r="H2" s="95" t="str">
        <f>'Red Bull Model'!H2</f>
        <v>Projected</v>
      </c>
      <c r="I2" s="95" t="str">
        <f>'Red Bull Model'!I2</f>
        <v>Projected</v>
      </c>
      <c r="J2" s="95" t="str">
        <f>'Red Bull Model'!J2</f>
        <v>Projected</v>
      </c>
      <c r="K2" s="95" t="str">
        <f>'Red Bull Model'!K2</f>
        <v>Projected</v>
      </c>
      <c r="L2" s="95" t="str">
        <f>'Red Bull Model'!L2</f>
        <v>Projected</v>
      </c>
      <c r="M2" s="95" t="str">
        <f>'Red Bull Model'!M2</f>
        <v>Projected</v>
      </c>
      <c r="N2" s="95" t="str">
        <f>'Red Bull Model'!N2</f>
        <v>Projected</v>
      </c>
      <c r="O2" s="95" t="str">
        <f>'Red Bull Model'!O2</f>
        <v>Projected</v>
      </c>
      <c r="P2" s="24"/>
      <c r="Q2" s="24"/>
      <c r="R2" s="24"/>
      <c r="S2" s="24"/>
    </row>
    <row r="3" spans="1:19" ht="15" customHeight="1" x14ac:dyDescent="0.45">
      <c r="A3" s="95"/>
      <c r="B3" s="95"/>
      <c r="C3" s="158">
        <f>'Red Bull Model'!C3</f>
        <v>44196</v>
      </c>
      <c r="D3" s="158">
        <f t="shared" ref="D3:O3" si="0">EDATE(C3,12)</f>
        <v>44561</v>
      </c>
      <c r="E3" s="158">
        <f t="shared" si="0"/>
        <v>44926</v>
      </c>
      <c r="F3" s="158">
        <f t="shared" si="0"/>
        <v>45291</v>
      </c>
      <c r="G3" s="158">
        <f t="shared" si="0"/>
        <v>45657</v>
      </c>
      <c r="H3" s="158">
        <f t="shared" si="0"/>
        <v>46022</v>
      </c>
      <c r="I3" s="158">
        <f t="shared" si="0"/>
        <v>46387</v>
      </c>
      <c r="J3" s="158">
        <f t="shared" si="0"/>
        <v>46752</v>
      </c>
      <c r="K3" s="158">
        <f t="shared" si="0"/>
        <v>47118</v>
      </c>
      <c r="L3" s="158">
        <f t="shared" si="0"/>
        <v>47483</v>
      </c>
      <c r="M3" s="158">
        <f t="shared" si="0"/>
        <v>47848</v>
      </c>
      <c r="N3" s="158">
        <f t="shared" si="0"/>
        <v>48213</v>
      </c>
      <c r="O3" s="158">
        <f t="shared" si="0"/>
        <v>48579</v>
      </c>
    </row>
    <row r="4" spans="1:19" ht="15" customHeight="1" x14ac:dyDescent="0.45">
      <c r="A4" t="s">
        <v>164</v>
      </c>
    </row>
    <row r="5" spans="1:19" ht="15" customHeight="1" x14ac:dyDescent="0.45">
      <c r="A5" s="21"/>
    </row>
    <row r="6" spans="1:19" ht="15" customHeight="1" x14ac:dyDescent="0.45">
      <c r="A6" s="21" t="s">
        <v>500</v>
      </c>
    </row>
    <row r="7" spans="1:19" ht="15" customHeight="1" x14ac:dyDescent="0.45">
      <c r="A7" s="21"/>
      <c r="B7" t="s">
        <v>65</v>
      </c>
      <c r="C7">
        <f>'Red Bull Model'!C60</f>
        <v>1936.4426361699993</v>
      </c>
      <c r="D7">
        <f>'Red Bull Model'!D60</f>
        <v>2552.4695659999998</v>
      </c>
      <c r="E7">
        <f>'Red Bull Model'!E60</f>
        <v>2684.2700919999988</v>
      </c>
      <c r="F7">
        <f>'Red Bull Model'!F60</f>
        <v>3134.0491827199985</v>
      </c>
      <c r="G7">
        <f>'Red Bull Model'!G60</f>
        <v>3401.9773131782504</v>
      </c>
      <c r="H7">
        <f>'Red Bull Model'!H60</f>
        <v>3767.8415675023462</v>
      </c>
      <c r="I7">
        <f>'Red Bull Model'!I60</f>
        <v>4293.2912964385787</v>
      </c>
      <c r="J7">
        <f>'Red Bull Model'!J60</f>
        <v>4788.3471436522523</v>
      </c>
      <c r="K7">
        <f>'Red Bull Model'!K60</f>
        <v>5154.4702457778758</v>
      </c>
      <c r="L7">
        <f>'Red Bull Model'!L60</f>
        <v>5523.5608056419915</v>
      </c>
      <c r="M7">
        <f>'Red Bull Model'!M60</f>
        <v>5837.5165852719492</v>
      </c>
      <c r="N7">
        <f>'Red Bull Model'!N60</f>
        <v>6080.167937301605</v>
      </c>
      <c r="O7">
        <f>'Red Bull Model'!O60</f>
        <v>6238.2523036714483</v>
      </c>
    </row>
    <row r="8" spans="1:19" ht="15" customHeight="1" x14ac:dyDescent="0.45">
      <c r="A8" s="21"/>
      <c r="B8" t="s">
        <v>63</v>
      </c>
      <c r="C8">
        <f>'Red Bull Model'!C63</f>
        <v>1622.2214971699993</v>
      </c>
      <c r="D8">
        <f>'Red Bull Model'!D63</f>
        <v>2262.9888019999999</v>
      </c>
      <c r="E8">
        <f>'Red Bull Model'!E63</f>
        <v>2291.5549259999989</v>
      </c>
      <c r="F8">
        <f>'Red Bull Model'!F63</f>
        <v>2734.0491827199985</v>
      </c>
      <c r="G8">
        <f>'Red Bull Model'!G63</f>
        <v>2959.7733131782502</v>
      </c>
      <c r="H8">
        <f>'Red Bull Model'!H63</f>
        <v>3267.5008653317</v>
      </c>
      <c r="I8">
        <f>'Red Bull Model'!I63</f>
        <v>3732.8210185691855</v>
      </c>
      <c r="J8">
        <f>'Red Bull Model'!J63</f>
        <v>4165.5998371894493</v>
      </c>
      <c r="K8">
        <f>'Red Bull Model'!K63</f>
        <v>4482.3002002011508</v>
      </c>
      <c r="L8">
        <f>'Red Bull Model'!L63</f>
        <v>4841.147089993643</v>
      </c>
      <c r="M8">
        <f>'Red Bull Model'!M63</f>
        <v>5095.6929927674328</v>
      </c>
      <c r="N8">
        <f>'Red Bull Model'!N63</f>
        <v>5298.9741320581397</v>
      </c>
      <c r="O8">
        <f>'Red Bull Model'!O63</f>
        <v>5417.4172677338483</v>
      </c>
    </row>
    <row r="9" spans="1:19" ht="15" customHeight="1" x14ac:dyDescent="0.45">
      <c r="A9" s="21"/>
      <c r="B9" t="s">
        <v>501</v>
      </c>
      <c r="C9" s="74">
        <f>'Red Bull Model'!C19</f>
        <v>0.25736780715171709</v>
      </c>
      <c r="D9" s="74">
        <f>'Red Bull Model'!D19</f>
        <v>0.25534235653743953</v>
      </c>
      <c r="E9" s="74">
        <f>'Red Bull Model'!E19</f>
        <v>0.25835484685320387</v>
      </c>
      <c r="F9" s="74">
        <f>'Red Bull Model'!F19</f>
        <v>0.22162687370103795</v>
      </c>
      <c r="G9" s="74">
        <f>'Red Bull Model'!G19</f>
        <v>0.255</v>
      </c>
      <c r="H9" s="74">
        <f>'Red Bull Model'!H19</f>
        <v>0.255</v>
      </c>
      <c r="I9" s="74">
        <f>'Red Bull Model'!I19</f>
        <v>0.255</v>
      </c>
      <c r="J9" s="74">
        <f>'Red Bull Model'!J19</f>
        <v>0.255</v>
      </c>
      <c r="K9" s="74">
        <f>'Red Bull Model'!K19</f>
        <v>0.255</v>
      </c>
      <c r="L9" s="74">
        <f>'Red Bull Model'!L19</f>
        <v>0.255</v>
      </c>
      <c r="M9" s="74">
        <f>'Red Bull Model'!M19</f>
        <v>0.255</v>
      </c>
      <c r="N9" s="74">
        <f>'Red Bull Model'!N19</f>
        <v>0.255</v>
      </c>
      <c r="O9" s="74">
        <f>'Red Bull Model'!O19</f>
        <v>0.255</v>
      </c>
    </row>
    <row r="10" spans="1:19" ht="15" customHeight="1" x14ac:dyDescent="0.45">
      <c r="A10" s="21"/>
    </row>
    <row r="11" spans="1:19" ht="15" customHeight="1" x14ac:dyDescent="0.45">
      <c r="A11" s="21"/>
      <c r="B11" t="s">
        <v>502</v>
      </c>
      <c r="C11">
        <f t="shared" ref="C11:O11" si="1">C8*(1-C9)</f>
        <v>1204.713907728981</v>
      </c>
      <c r="D11">
        <f t="shared" si="1"/>
        <v>1685.1519084794827</v>
      </c>
      <c r="E11">
        <f t="shared" si="1"/>
        <v>1699.5206040375642</v>
      </c>
      <c r="F11">
        <f t="shared" si="1"/>
        <v>2128.1104098088872</v>
      </c>
      <c r="G11">
        <f t="shared" si="1"/>
        <v>2205.0311183177964</v>
      </c>
      <c r="H11">
        <f t="shared" si="1"/>
        <v>2434.2881446721167</v>
      </c>
      <c r="I11">
        <f t="shared" si="1"/>
        <v>2780.951658834043</v>
      </c>
      <c r="J11">
        <f t="shared" si="1"/>
        <v>3103.3718787061398</v>
      </c>
      <c r="K11">
        <f t="shared" si="1"/>
        <v>3339.3136491498572</v>
      </c>
      <c r="L11">
        <f t="shared" si="1"/>
        <v>3606.6545820452639</v>
      </c>
      <c r="M11">
        <f t="shared" si="1"/>
        <v>3796.2912796117375</v>
      </c>
      <c r="N11">
        <f t="shared" si="1"/>
        <v>3947.7357283833139</v>
      </c>
      <c r="O11">
        <f t="shared" si="1"/>
        <v>4035.9758644617168</v>
      </c>
    </row>
    <row r="12" spans="1:19" ht="15" customHeight="1" x14ac:dyDescent="0.45">
      <c r="A12" s="21"/>
      <c r="B12" t="s">
        <v>503</v>
      </c>
      <c r="G12">
        <f>'Red Bull Model'!G98</f>
        <v>442.20400000000001</v>
      </c>
      <c r="H12">
        <f>'Red Bull Model'!H98</f>
        <v>500.34070217064595</v>
      </c>
      <c r="I12">
        <f>'Red Bull Model'!I98</f>
        <v>560.47027786939316</v>
      </c>
      <c r="J12">
        <f>'Red Bull Model'!J98</f>
        <v>622.7473064628025</v>
      </c>
      <c r="K12">
        <f>'Red Bull Model'!K98</f>
        <v>672.17004557672533</v>
      </c>
      <c r="L12">
        <f>'Red Bull Model'!L98</f>
        <v>682.4137156483489</v>
      </c>
      <c r="M12">
        <f>'Red Bull Model'!M98</f>
        <v>741.82359250451645</v>
      </c>
      <c r="N12">
        <f>'Red Bull Model'!N98</f>
        <v>781.19380524346502</v>
      </c>
      <c r="O12">
        <f>'Red Bull Model'!O98</f>
        <v>820.8350359376002</v>
      </c>
    </row>
    <row r="13" spans="1:19" ht="15" customHeight="1" x14ac:dyDescent="0.45">
      <c r="A13" s="21"/>
      <c r="B13" t="s">
        <v>504</v>
      </c>
      <c r="G13">
        <f>SUM('Red Bull Model'!G99:G102)</f>
        <v>-38.842300563313415</v>
      </c>
      <c r="H13">
        <f>SUM('Red Bull Model'!H99:H102)</f>
        <v>-48.651893286168729</v>
      </c>
      <c r="I13">
        <f>SUM('Red Bull Model'!I99:I102)</f>
        <v>-23.986505007783308</v>
      </c>
      <c r="J13">
        <f>SUM('Red Bull Model'!J99:J102)</f>
        <v>-103.80583193259224</v>
      </c>
      <c r="K13">
        <f>SUM('Red Bull Model'!K99:K102)</f>
        <v>-14.433016713627467</v>
      </c>
      <c r="L13">
        <f>SUM('Red Bull Model'!L99:L102)</f>
        <v>-29.402788541335326</v>
      </c>
      <c r="M13">
        <f>SUM('Red Bull Model'!M99:M102)</f>
        <v>-25.01059740782398</v>
      </c>
      <c r="N13">
        <f>SUM('Red Bull Model'!N99:N102)</f>
        <v>-19.330286842404689</v>
      </c>
      <c r="O13">
        <f>SUM('Red Bull Model'!O99:O102)</f>
        <v>-12.59344372767157</v>
      </c>
    </row>
    <row r="14" spans="1:19" ht="15" customHeight="1" x14ac:dyDescent="0.45">
      <c r="A14" s="21"/>
      <c r="B14" t="str">
        <f>'Red Bull Model'!B105</f>
        <v>(Capital expenditure)</v>
      </c>
      <c r="G14">
        <f>'Red Bull Model'!G105</f>
        <v>-784.18460100380003</v>
      </c>
      <c r="H14">
        <f>'Red Bull Model'!H105</f>
        <v>-854.04408863386527</v>
      </c>
      <c r="I14">
        <f>'Red Bull Model'!I105</f>
        <v>-926.80574018356606</v>
      </c>
      <c r="J14">
        <f>'Red Bull Model'!J105</f>
        <v>-913.46930125058327</v>
      </c>
      <c r="K14">
        <f>'Red Bull Model'!K105</f>
        <v>-983.31432380993328</v>
      </c>
      <c r="L14">
        <f>'Red Bull Model'!L105</f>
        <v>-1053.7254459993953</v>
      </c>
      <c r="M14">
        <f>'Red Bull Model'!M105</f>
        <v>-987.88742212294505</v>
      </c>
      <c r="N14">
        <f>'Red Bull Model'!N105</f>
        <v>-1028.95149708181</v>
      </c>
      <c r="O14">
        <f>'Red Bull Model'!O105</f>
        <v>-978.92574611459622</v>
      </c>
    </row>
    <row r="15" spans="1:19" ht="15" customHeight="1" x14ac:dyDescent="0.45">
      <c r="A15" s="21"/>
      <c r="B15" t="s">
        <v>505</v>
      </c>
      <c r="G15">
        <f t="shared" ref="G15:O15" si="2">SUM(G11:G14)</f>
        <v>1824.2082167506831</v>
      </c>
      <c r="H15">
        <f t="shared" si="2"/>
        <v>2031.9328649227291</v>
      </c>
      <c r="I15">
        <f t="shared" si="2"/>
        <v>2390.6296915120865</v>
      </c>
      <c r="J15">
        <f t="shared" si="2"/>
        <v>2708.8440519857668</v>
      </c>
      <c r="K15">
        <f t="shared" si="2"/>
        <v>3013.7363542030221</v>
      </c>
      <c r="L15">
        <f t="shared" si="2"/>
        <v>3205.9400631528824</v>
      </c>
      <c r="M15">
        <f t="shared" si="2"/>
        <v>3525.216852585484</v>
      </c>
      <c r="N15">
        <f t="shared" si="2"/>
        <v>3680.6477497025644</v>
      </c>
      <c r="O15">
        <f t="shared" si="2"/>
        <v>3865.2917105570486</v>
      </c>
    </row>
    <row r="16" spans="1:19" ht="15" customHeight="1" x14ac:dyDescent="0.45">
      <c r="A16" s="21"/>
    </row>
    <row r="17" spans="1:15" ht="15" customHeight="1" x14ac:dyDescent="0.45">
      <c r="A17" s="21" t="s">
        <v>506</v>
      </c>
    </row>
    <row r="18" spans="1:15" ht="15" customHeight="1" x14ac:dyDescent="0.45">
      <c r="A18" s="21"/>
      <c r="B18" t="s">
        <v>112</v>
      </c>
      <c r="D18" s="74">
        <f>'Red Bull Model'!D12</f>
        <v>0.23914094359411786</v>
      </c>
      <c r="E18" s="74">
        <f>'Red Bull Model'!E12</f>
        <v>0.23908278458899002</v>
      </c>
      <c r="F18" s="74">
        <f>'Red Bull Model'!F12</f>
        <v>8.9813769866666782E-2</v>
      </c>
      <c r="G18" s="74">
        <f>'Red Bull Model'!G12</f>
        <v>9.2679491862271535E-2</v>
      </c>
      <c r="H18" s="74">
        <f>'Red Bull Model'!H12</f>
        <v>8.908551320778435E-2</v>
      </c>
      <c r="I18" s="74">
        <f>'Red Bull Model'!I12</f>
        <v>8.519659876820973E-2</v>
      </c>
      <c r="J18" s="74">
        <f>'Red Bull Model'!J12</f>
        <v>8.0991962794580541E-2</v>
      </c>
      <c r="K18" s="74">
        <f>'Red Bull Model'!K12</f>
        <v>7.6461269649378272E-2</v>
      </c>
      <c r="L18" s="74">
        <f>'Red Bull Model'!L12</f>
        <v>7.1605915305543721E-2</v>
      </c>
      <c r="M18" s="74">
        <f>'Red Bull Model'!M12</f>
        <v>5.6839381456481597E-2</v>
      </c>
      <c r="N18" s="74">
        <f>'Red Bull Model'!N12</f>
        <v>4.15675653310974E-2</v>
      </c>
      <c r="O18" s="74">
        <f>'Red Bull Model'!O12</f>
        <v>2.6000000000000023E-2</v>
      </c>
    </row>
    <row r="19" spans="1:15" ht="15" customHeight="1" x14ac:dyDescent="0.45">
      <c r="A19" s="21"/>
      <c r="B19" t="s">
        <v>114</v>
      </c>
      <c r="C19" s="74">
        <f>'Red Bull Model'!C123</f>
        <v>0.25719757428300577</v>
      </c>
      <c r="D19" s="74">
        <f>'Red Bull Model'!D123</f>
        <v>0.28954656283225277</v>
      </c>
      <c r="E19" s="74">
        <f>'Red Bull Model'!E123</f>
        <v>0.23662790413466936</v>
      </c>
      <c r="F19" s="74">
        <f>'Red Bull Model'!F123</f>
        <v>0.25905365116278278</v>
      </c>
      <c r="G19" s="74">
        <f>'Red Bull Model'!G123</f>
        <v>0.25665460025418901</v>
      </c>
      <c r="H19" s="74">
        <f>'Red Bull Model'!H123</f>
        <v>0.2601622817833355</v>
      </c>
      <c r="I19" s="74">
        <f>'Red Bull Model'!I123</f>
        <v>0.27387813676297462</v>
      </c>
      <c r="J19" s="74">
        <f>'Red Bull Model'!J123</f>
        <v>0.2827322051788338</v>
      </c>
      <c r="K19" s="74">
        <f>'Red Bull Model'!K123</f>
        <v>0.28261828967945318</v>
      </c>
      <c r="L19" s="74">
        <f>'Red Bull Model'!L123</f>
        <v>0.28484755751051505</v>
      </c>
      <c r="M19" s="74">
        <f>'Red Bull Model'!M123</f>
        <v>0.28369944623844939</v>
      </c>
      <c r="N19" s="74">
        <f>'Red Bull Model'!N123</f>
        <v>0.28324326082400902</v>
      </c>
      <c r="O19" s="74">
        <f>'Red Bull Model'!O123</f>
        <v>0.28223619794558252</v>
      </c>
    </row>
    <row r="20" spans="1:15" ht="15" customHeight="1" x14ac:dyDescent="0.45">
      <c r="A20" s="21"/>
      <c r="B20" t="s">
        <v>507</v>
      </c>
      <c r="G20" s="74">
        <f t="shared" ref="G20:O20" si="3">G15/G11</f>
        <v>0.82729363844187354</v>
      </c>
      <c r="H20" s="74">
        <f t="shared" si="3"/>
        <v>0.8347133716975883</v>
      </c>
      <c r="I20" s="74">
        <f t="shared" si="3"/>
        <v>0.85964446160649732</v>
      </c>
      <c r="J20" s="74">
        <f t="shared" si="3"/>
        <v>0.87287123743453532</v>
      </c>
      <c r="K20" s="74">
        <f t="shared" si="3"/>
        <v>0.9025017326450534</v>
      </c>
      <c r="L20" s="74">
        <f t="shared" si="3"/>
        <v>0.88889578700238492</v>
      </c>
      <c r="M20" s="74">
        <f t="shared" si="3"/>
        <v>0.92859493461893228</v>
      </c>
      <c r="N20" s="74">
        <f t="shared" si="3"/>
        <v>0.93234400753818236</v>
      </c>
      <c r="O20" s="74">
        <f t="shared" si="3"/>
        <v>0.95770932244476326</v>
      </c>
    </row>
    <row r="21" spans="1:15" ht="15" customHeight="1" x14ac:dyDescent="0.45">
      <c r="A21" s="21"/>
    </row>
    <row r="22" spans="1:15" ht="15" customHeight="1" x14ac:dyDescent="0.45">
      <c r="A22" s="21"/>
      <c r="B22" t="s">
        <v>117</v>
      </c>
      <c r="E22" s="54">
        <f>'Red Bull Model'!E91+'Red Bull Model'!E88+'Red Bull Model'!E84-'Red Bull Model'!E74-'Red Bull Model'!E81</f>
        <v>2713.384853</v>
      </c>
      <c r="F22" s="54">
        <f>'Red Bull Model'!F91+'Red Bull Model'!F88+'Red Bull Model'!F84-'Red Bull Model'!F74-'Red Bull Model'!F81</f>
        <v>2782.1000000000004</v>
      </c>
      <c r="G22" s="54">
        <f>'Red Bull Model'!G91+'Red Bull Model'!G88+'Red Bull Model'!G84-'Red Bull Model'!G74-'Red Bull Model'!G81</f>
        <v>3162.9229015671126</v>
      </c>
      <c r="H22" s="54">
        <f>'Red Bull Model'!H91+'Red Bull Model'!H88+'Red Bull Model'!H84-'Red Bull Model'!H74-'Red Bull Model'!H81</f>
        <v>3565.2781813165002</v>
      </c>
      <c r="I22" s="54">
        <f>'Red Bull Model'!I91+'Red Bull Model'!I88+'Red Bull Model'!I84-'Red Bull Model'!I74-'Red Bull Model'!I81</f>
        <v>3955.6001486384557</v>
      </c>
      <c r="J22" s="54">
        <f>'Red Bull Model'!J91+'Red Bull Model'!J88+'Red Bull Model'!J84-'Red Bull Model'!J74-'Red Bull Model'!J81</f>
        <v>4350.1279753588278</v>
      </c>
      <c r="K22" s="54">
        <f>'Red Bull Model'!K91+'Red Bull Model'!K88+'Red Bull Model'!K84-'Red Bull Model'!K74-'Red Bull Model'!K81</f>
        <v>4675.7052703056634</v>
      </c>
      <c r="L22" s="54">
        <f>'Red Bull Model'!L91+'Red Bull Model'!L88+'Red Bull Model'!L84-'Red Bull Model'!L74-'Red Bull Model'!L81</f>
        <v>5076.4197891980475</v>
      </c>
      <c r="M22" s="54">
        <f>'Red Bull Model'!M91+'Red Bull Model'!M88+'Red Bull Model'!M84-'Red Bull Model'!M74-'Red Bull Model'!M81</f>
        <v>5347.4942162243005</v>
      </c>
      <c r="N22" s="54">
        <f>'Red Bull Model'!N91+'Red Bull Model'!N88+'Red Bull Model'!N84-'Red Bull Model'!N74-'Red Bull Model'!N81</f>
        <v>5614.5821949050496</v>
      </c>
      <c r="O22" s="54">
        <f>'Red Bull Model'!O91+'Red Bull Model'!O88+'Red Bull Model'!O84-'Red Bull Model'!O74-'Red Bull Model'!O81</f>
        <v>5785.2663488097169</v>
      </c>
    </row>
    <row r="23" spans="1:15" ht="15" customHeight="1" x14ac:dyDescent="0.45">
      <c r="B23" t="s">
        <v>508</v>
      </c>
      <c r="F23" s="74">
        <f>F22/E22-1</f>
        <v>2.5324511900339797E-2</v>
      </c>
      <c r="G23" s="74">
        <f t="shared" ref="G23:O23" si="4">G22/F22-1</f>
        <v>0.13688325422059311</v>
      </c>
      <c r="H23" s="74">
        <f t="shared" si="4"/>
        <v>0.12720995492809362</v>
      </c>
      <c r="I23" s="74">
        <f t="shared" si="4"/>
        <v>0.10947868510440517</v>
      </c>
      <c r="J23" s="74">
        <f t="shared" si="4"/>
        <v>9.9739056500989243E-2</v>
      </c>
      <c r="K23" s="74">
        <f t="shared" si="4"/>
        <v>7.4843153302858845E-2</v>
      </c>
      <c r="L23" s="74">
        <f t="shared" si="4"/>
        <v>8.5701406681304437E-2</v>
      </c>
      <c r="M23" s="74">
        <f t="shared" si="4"/>
        <v>5.3398741294615526E-2</v>
      </c>
      <c r="N23" s="74">
        <f t="shared" si="4"/>
        <v>4.9946380095261089E-2</v>
      </c>
      <c r="O23" s="74">
        <f t="shared" si="4"/>
        <v>3.0400152314014495E-2</v>
      </c>
    </row>
    <row r="24" spans="1:15" ht="15" customHeight="1" x14ac:dyDescent="0.45">
      <c r="A24" s="21"/>
      <c r="B24" t="s">
        <v>509</v>
      </c>
      <c r="F24" s="74">
        <f t="shared" ref="F24:O24" si="5">F11/AVERAGE(E22:F22)</f>
        <v>0.77449414082076706</v>
      </c>
      <c r="G24" s="74">
        <f t="shared" si="5"/>
        <v>0.74180744290709066</v>
      </c>
      <c r="H24" s="74">
        <f t="shared" si="5"/>
        <v>0.72360742929187694</v>
      </c>
      <c r="I24" s="74">
        <f t="shared" si="5"/>
        <v>0.73952842655565165</v>
      </c>
      <c r="J24" s="74">
        <f t="shared" si="5"/>
        <v>0.74728472504168253</v>
      </c>
      <c r="K24" s="74">
        <f t="shared" si="5"/>
        <v>0.73994578855173909</v>
      </c>
      <c r="L24" s="74">
        <f t="shared" si="5"/>
        <v>0.73966536729971089</v>
      </c>
      <c r="M24" s="74">
        <f t="shared" si="5"/>
        <v>0.72838115848556872</v>
      </c>
      <c r="N24" s="74">
        <f t="shared" si="5"/>
        <v>0.72025327690205454</v>
      </c>
      <c r="O24" s="74">
        <f t="shared" si="5"/>
        <v>0.70807534836713704</v>
      </c>
    </row>
    <row r="25" spans="1:15" ht="15" customHeight="1" x14ac:dyDescent="0.45">
      <c r="A25" s="21"/>
      <c r="B25" t="s">
        <v>510</v>
      </c>
      <c r="F25" s="74">
        <f t="shared" ref="F25:O25" si="6">(F11-E11)/(F22-E22)</f>
        <v>6.2371955017620913</v>
      </c>
      <c r="G25" s="74">
        <f t="shared" si="6"/>
        <v>0.20198551135547591</v>
      </c>
      <c r="H25" s="74">
        <f t="shared" si="6"/>
        <v>0.56978754323073899</v>
      </c>
      <c r="I25" s="74">
        <f t="shared" si="6"/>
        <v>0.88814758887496148</v>
      </c>
      <c r="J25" s="74">
        <f t="shared" si="6"/>
        <v>0.8172306185657654</v>
      </c>
      <c r="K25" s="74">
        <f t="shared" si="6"/>
        <v>0.72468742171423528</v>
      </c>
      <c r="L25" s="74">
        <f t="shared" si="6"/>
        <v>0.66716058513268828</v>
      </c>
      <c r="M25" s="74">
        <f t="shared" si="6"/>
        <v>0.6995742816717555</v>
      </c>
      <c r="N25" s="74">
        <f t="shared" si="6"/>
        <v>0.56702083530535197</v>
      </c>
      <c r="O25" s="74">
        <f t="shared" si="6"/>
        <v>0.51697907544298416</v>
      </c>
    </row>
    <row r="26" spans="1:15" ht="15" customHeight="1" x14ac:dyDescent="0.45">
      <c r="A26" s="21"/>
    </row>
    <row r="27" spans="1:15" ht="15" customHeight="1" x14ac:dyDescent="0.45">
      <c r="A27" s="21" t="s">
        <v>511</v>
      </c>
    </row>
    <row r="28" spans="1:15" ht="15" customHeight="1" x14ac:dyDescent="0.45">
      <c r="A28" s="21"/>
      <c r="B28" t="s">
        <v>512</v>
      </c>
      <c r="F28" s="55">
        <v>2.5999999999999999E-2</v>
      </c>
    </row>
    <row r="29" spans="1:15" ht="15" customHeight="1" x14ac:dyDescent="0.45">
      <c r="A29" s="21"/>
      <c r="B29" t="s">
        <v>513</v>
      </c>
      <c r="F29" s="74">
        <f ca="1">WACC!D31</f>
        <v>6.4947077642137488E-2</v>
      </c>
    </row>
    <row r="30" spans="1:15" ht="15" customHeight="1" x14ac:dyDescent="0.45">
      <c r="A30" s="21"/>
      <c r="B30" t="s">
        <v>514</v>
      </c>
      <c r="O30" s="54">
        <f ca="1">O15*(1+F28)/(WACC-ltg)</f>
        <v>101825.07995775474</v>
      </c>
    </row>
    <row r="31" spans="1:15" ht="15" customHeight="1" x14ac:dyDescent="0.45">
      <c r="A31" s="21"/>
      <c r="B31" t="s">
        <v>515</v>
      </c>
      <c r="O31" s="159">
        <f ca="1">O30*(1+WACC)^0.5/O7</f>
        <v>16.844411296007568</v>
      </c>
    </row>
    <row r="32" spans="1:15" ht="15" customHeight="1" x14ac:dyDescent="0.45">
      <c r="A32" s="21"/>
    </row>
    <row r="33" spans="1:20" ht="15" customHeight="1" x14ac:dyDescent="0.45">
      <c r="A33" s="21" t="s">
        <v>516</v>
      </c>
    </row>
    <row r="34" spans="1:20" ht="15" customHeight="1" x14ac:dyDescent="0.45">
      <c r="A34" s="21"/>
      <c r="B34" t="s">
        <v>517</v>
      </c>
      <c r="G34" s="3">
        <v>0.5</v>
      </c>
      <c r="H34">
        <f>G34+1</f>
        <v>1.5</v>
      </c>
      <c r="I34">
        <f t="shared" ref="I34:O34" si="7">H34+1</f>
        <v>2.5</v>
      </c>
      <c r="J34">
        <f t="shared" si="7"/>
        <v>3.5</v>
      </c>
      <c r="K34">
        <f t="shared" si="7"/>
        <v>4.5</v>
      </c>
      <c r="L34">
        <f t="shared" si="7"/>
        <v>5.5</v>
      </c>
      <c r="M34">
        <f t="shared" si="7"/>
        <v>6.5</v>
      </c>
      <c r="N34">
        <f t="shared" si="7"/>
        <v>7.5</v>
      </c>
      <c r="O34">
        <f t="shared" si="7"/>
        <v>8.5</v>
      </c>
    </row>
    <row r="35" spans="1:20" ht="15" customHeight="1" x14ac:dyDescent="0.45">
      <c r="A35" s="21"/>
      <c r="B35" t="s">
        <v>518</v>
      </c>
      <c r="G35" s="74">
        <f ca="1">1/(1+WACC)^G34</f>
        <v>0.96902724314492084</v>
      </c>
      <c r="H35" s="74">
        <f t="shared" ref="H35:O35" ca="1" si="8">1/(1+WACC)^H34</f>
        <v>0.90992995190935733</v>
      </c>
      <c r="I35" s="74">
        <f t="shared" ca="1" si="8"/>
        <v>0.85443678001727719</v>
      </c>
      <c r="J35" s="74">
        <f t="shared" ca="1" si="8"/>
        <v>0.802327925918212</v>
      </c>
      <c r="K35" s="74">
        <f t="shared" ca="1" si="8"/>
        <v>0.75339699292345919</v>
      </c>
      <c r="L35" s="74">
        <f t="shared" ca="1" si="8"/>
        <v>0.70745017169447466</v>
      </c>
      <c r="M35" s="74">
        <f t="shared" ca="1" si="8"/>
        <v>0.6643054725881925</v>
      </c>
      <c r="N35" s="74">
        <f t="shared" ca="1" si="8"/>
        <v>0.62379200481868846</v>
      </c>
      <c r="O35" s="74">
        <f t="shared" ca="1" si="8"/>
        <v>0.58574929958003619</v>
      </c>
    </row>
    <row r="36" spans="1:20" ht="15" customHeight="1" x14ac:dyDescent="0.45">
      <c r="A36" s="21"/>
      <c r="B36" t="s">
        <v>519</v>
      </c>
      <c r="G36">
        <f t="shared" ref="G36:O36" ca="1" si="9">G15*G35</f>
        <v>1767.7074592002266</v>
      </c>
      <c r="H36">
        <f t="shared" ca="1" si="9"/>
        <v>1848.9165740621816</v>
      </c>
      <c r="I36">
        <f t="shared" ca="1" si="9"/>
        <v>2042.641935829284</v>
      </c>
      <c r="J36">
        <f t="shared" ca="1" si="9"/>
        <v>2173.3812298656253</v>
      </c>
      <c r="K36">
        <f t="shared" ca="1" si="9"/>
        <v>2270.5399067206658</v>
      </c>
      <c r="L36">
        <f t="shared" ca="1" si="9"/>
        <v>2268.0428481197018</v>
      </c>
      <c r="M36">
        <f t="shared" ca="1" si="9"/>
        <v>2341.8208472326605</v>
      </c>
      <c r="N36">
        <f t="shared" ca="1" si="9"/>
        <v>2295.958638818357</v>
      </c>
      <c r="O36">
        <f t="shared" ca="1" si="9"/>
        <v>2264.0919121313113</v>
      </c>
    </row>
    <row r="37" spans="1:20" ht="15" customHeight="1" x14ac:dyDescent="0.45">
      <c r="A37" s="21"/>
      <c r="B37" t="s">
        <v>520</v>
      </c>
      <c r="F37">
        <f ca="1">SUM(G36:O36)</f>
        <v>19273.101351980014</v>
      </c>
      <c r="T37" s="54"/>
    </row>
    <row r="38" spans="1:20" ht="15" customHeight="1" x14ac:dyDescent="0.45">
      <c r="A38" s="21"/>
      <c r="B38" t="s">
        <v>521</v>
      </c>
      <c r="F38">
        <f ca="1">O30*O35</f>
        <v>59643.969264936022</v>
      </c>
      <c r="T38" s="54"/>
    </row>
    <row r="39" spans="1:20" ht="15" customHeight="1" x14ac:dyDescent="0.45">
      <c r="A39" s="21"/>
      <c r="B39" t="s">
        <v>522</v>
      </c>
      <c r="F39">
        <f ca="1">SUM(F37:F38)</f>
        <v>78917.07061691604</v>
      </c>
      <c r="T39" s="54"/>
    </row>
    <row r="40" spans="1:20" ht="15" customHeight="1" x14ac:dyDescent="0.45">
      <c r="A40" s="21"/>
      <c r="T40" s="54"/>
    </row>
    <row r="41" spans="1:20" ht="15" customHeight="1" x14ac:dyDescent="0.45">
      <c r="A41" s="21"/>
      <c r="B41" t="s">
        <v>523</v>
      </c>
      <c r="F41">
        <f>'Red Bull Model'!F74+'Red Bull Model'!F81</f>
        <v>1803.9</v>
      </c>
      <c r="T41" s="54"/>
    </row>
    <row r="42" spans="1:20" ht="15" customHeight="1" x14ac:dyDescent="0.45">
      <c r="A42" s="21"/>
      <c r="B42" t="s">
        <v>524</v>
      </c>
      <c r="F42">
        <f>'Red Bull Model'!F84+'Red Bull Model'!F88</f>
        <v>473.6</v>
      </c>
      <c r="T42" s="54"/>
    </row>
    <row r="43" spans="1:20" ht="15" customHeight="1" x14ac:dyDescent="0.45">
      <c r="A43" s="21"/>
      <c r="B43" t="s">
        <v>455</v>
      </c>
      <c r="F43">
        <f ca="1">F39+F41-F42</f>
        <v>80247.370616916029</v>
      </c>
      <c r="T43" s="54"/>
    </row>
    <row r="44" spans="1:20" ht="15" customHeight="1" x14ac:dyDescent="0.45">
      <c r="A44" s="21"/>
      <c r="B44" t="str">
        <f>"Implied "&amp;YEAR(F3)&amp;" EBITDA multiple"</f>
        <v>Implied 2023 EBITDA multiple</v>
      </c>
      <c r="F44" s="75">
        <f ca="1">F$39/F7</f>
        <v>25.180546320726528</v>
      </c>
      <c r="T44" s="54"/>
    </row>
    <row r="45" spans="1:20" ht="15" customHeight="1" x14ac:dyDescent="0.45">
      <c r="A45" s="21"/>
      <c r="B45" t="str">
        <f>"Implied forward "&amp;YEAR(G3)&amp;" EBITDA multiple"</f>
        <v>Implied forward 2024 EBITDA multiple</v>
      </c>
      <c r="F45" s="75">
        <f ca="1">F$39/G7</f>
        <v>23.197412372861727</v>
      </c>
      <c r="T45" s="54"/>
    </row>
    <row r="46" spans="1:20" ht="15" customHeight="1" x14ac:dyDescent="0.45">
      <c r="A46" s="21"/>
      <c r="B46" t="str">
        <f>"Implied forward "&amp;YEAR(H3)&amp;" EBITDA multiple"</f>
        <v>Implied forward 2025 EBITDA multiple</v>
      </c>
      <c r="F46" s="75">
        <f ca="1">F$39/H7</f>
        <v>20.944901531310713</v>
      </c>
      <c r="T46" s="54"/>
    </row>
    <row r="47" spans="1:20" ht="15" customHeight="1" x14ac:dyDescent="0.45">
      <c r="A47" s="21"/>
    </row>
    <row r="48" spans="1:20" ht="15" customHeight="1" x14ac:dyDescent="0.45">
      <c r="A48" s="21" t="s">
        <v>525</v>
      </c>
    </row>
    <row r="49" spans="1:10" ht="15" customHeight="1" x14ac:dyDescent="0.45">
      <c r="A49" s="21"/>
      <c r="B49" t="s">
        <v>526</v>
      </c>
      <c r="F49" s="76">
        <v>1E-3</v>
      </c>
    </row>
    <row r="50" spans="1:10" ht="15" customHeight="1" x14ac:dyDescent="0.45">
      <c r="A50" s="21"/>
      <c r="B50" t="s">
        <v>527</v>
      </c>
      <c r="F50" s="76">
        <v>1E-3</v>
      </c>
    </row>
    <row r="51" spans="1:10" ht="15" customHeight="1" x14ac:dyDescent="0.45">
      <c r="A51" s="21"/>
      <c r="B51" t="s">
        <v>528</v>
      </c>
      <c r="F51" s="74">
        <f ca="1">WACC!D31</f>
        <v>6.4947077642137488E-2</v>
      </c>
    </row>
    <row r="52" spans="1:10" ht="15" customHeight="1" x14ac:dyDescent="0.45">
      <c r="A52" s="21"/>
    </row>
    <row r="53" spans="1:10" ht="15" customHeight="1" x14ac:dyDescent="0.45">
      <c r="A53" s="21"/>
      <c r="C53" t="s">
        <v>457</v>
      </c>
    </row>
    <row r="54" spans="1:10" ht="15" customHeight="1" x14ac:dyDescent="0.45">
      <c r="A54" s="21"/>
      <c r="E54" s="54"/>
      <c r="H54" s="160" t="s">
        <v>529</v>
      </c>
    </row>
    <row r="55" spans="1:10" ht="15" customHeight="1" x14ac:dyDescent="0.45">
      <c r="A55" s="21"/>
      <c r="F55" s="161">
        <f>G55-$F$50</f>
        <v>2.3999999999999997E-2</v>
      </c>
      <c r="G55" s="161">
        <f>H55-$F$50</f>
        <v>2.4999999999999998E-2</v>
      </c>
      <c r="H55" s="161">
        <v>2.5999999999999999E-2</v>
      </c>
      <c r="I55" s="161">
        <f>H55+$F$50</f>
        <v>2.7E-2</v>
      </c>
      <c r="J55" s="161">
        <f>I55+$F$50</f>
        <v>2.8000000000000001E-2</v>
      </c>
    </row>
    <row r="56" spans="1:10" ht="15" customHeight="1" x14ac:dyDescent="0.45">
      <c r="A56" s="21"/>
      <c r="E56" s="161">
        <f ca="1">E57+$F$49</f>
        <v>6.694707764213749E-2</v>
      </c>
    </row>
    <row r="57" spans="1:10" ht="15" customHeight="1" x14ac:dyDescent="0.45">
      <c r="A57" s="21"/>
      <c r="E57" s="161">
        <f ca="1">E58+$F$49</f>
        <v>6.5947077642137489E-2</v>
      </c>
      <c r="G57" s="223"/>
      <c r="H57" s="223"/>
      <c r="I57" s="223"/>
    </row>
    <row r="58" spans="1:10" ht="15" customHeight="1" x14ac:dyDescent="0.45">
      <c r="A58" s="21"/>
      <c r="D58" s="5" t="s">
        <v>513</v>
      </c>
      <c r="E58" s="161">
        <f ca="1">F51</f>
        <v>6.4947077642137488E-2</v>
      </c>
      <c r="G58" s="223"/>
      <c r="H58" s="223"/>
      <c r="I58" s="223"/>
    </row>
    <row r="59" spans="1:10" ht="15" customHeight="1" x14ac:dyDescent="0.45">
      <c r="A59" s="21"/>
      <c r="E59" s="161">
        <f ca="1">E58-$F$49</f>
        <v>6.3947077642137487E-2</v>
      </c>
      <c r="G59" s="223"/>
      <c r="H59" s="223"/>
      <c r="I59" s="223"/>
    </row>
    <row r="60" spans="1:10" ht="15" customHeight="1" x14ac:dyDescent="0.45">
      <c r="A60" s="21"/>
      <c r="E60" s="161">
        <f ca="1">E59-$F$49</f>
        <v>6.2947077642137486E-2</v>
      </c>
    </row>
    <row r="61" spans="1:10" ht="15" customHeight="1" x14ac:dyDescent="0.45">
      <c r="A61" s="21"/>
    </row>
    <row r="62" spans="1:10" ht="15" customHeight="1" x14ac:dyDescent="0.45">
      <c r="A62" s="21"/>
      <c r="C62" t="str">
        <f>B44</f>
        <v>Implied 2023 EBITDA multiple</v>
      </c>
    </row>
    <row r="63" spans="1:10" ht="15" customHeight="1" x14ac:dyDescent="0.45">
      <c r="A63" s="21"/>
      <c r="E63" s="54"/>
      <c r="H63" s="160" t="s">
        <v>529</v>
      </c>
    </row>
    <row r="64" spans="1:10" ht="15" customHeight="1" x14ac:dyDescent="0.45">
      <c r="A64" s="21"/>
      <c r="E64" s="159"/>
      <c r="F64" s="161">
        <f>G64-$F$50</f>
        <v>2.3999999999999997E-2</v>
      </c>
      <c r="G64" s="161">
        <f>H64-$F$50</f>
        <v>2.4999999999999998E-2</v>
      </c>
      <c r="H64" s="161">
        <f>H55</f>
        <v>2.5999999999999999E-2</v>
      </c>
      <c r="I64" s="161">
        <f>H64+$F$50</f>
        <v>2.7E-2</v>
      </c>
      <c r="J64" s="161">
        <f>I64+$F$50</f>
        <v>2.8000000000000001E-2</v>
      </c>
    </row>
    <row r="65" spans="1:18" ht="15" customHeight="1" x14ac:dyDescent="0.45">
      <c r="A65" s="21"/>
      <c r="E65" s="161">
        <f ca="1">E66+$F$49</f>
        <v>6.694707764213749E-2</v>
      </c>
      <c r="F65" s="159"/>
      <c r="G65" s="159"/>
      <c r="H65" s="159"/>
      <c r="I65" s="159"/>
      <c r="J65" s="159"/>
    </row>
    <row r="66" spans="1:18" ht="15" customHeight="1" x14ac:dyDescent="0.45">
      <c r="A66" s="21"/>
      <c r="E66" s="161">
        <f ca="1">E67+$F$49</f>
        <v>6.5947077642137489E-2</v>
      </c>
      <c r="F66" s="159"/>
      <c r="G66" s="1"/>
      <c r="H66" s="1"/>
      <c r="I66" s="1"/>
      <c r="J66" s="159"/>
    </row>
    <row r="67" spans="1:18" ht="15" customHeight="1" x14ac:dyDescent="0.45">
      <c r="A67" s="21"/>
      <c r="D67" s="5" t="s">
        <v>513</v>
      </c>
      <c r="E67" s="161">
        <f ca="1">$E$58</f>
        <v>6.4947077642137488E-2</v>
      </c>
      <c r="F67" s="159"/>
      <c r="G67" s="1"/>
      <c r="H67" s="1"/>
      <c r="I67" s="1"/>
      <c r="J67" s="159"/>
    </row>
    <row r="68" spans="1:18" ht="15" customHeight="1" x14ac:dyDescent="0.45">
      <c r="A68" s="21"/>
      <c r="E68" s="161">
        <f ca="1">E67-$F$49</f>
        <v>6.3947077642137487E-2</v>
      </c>
      <c r="F68" s="159"/>
      <c r="G68" s="1"/>
      <c r="H68" s="1"/>
      <c r="I68" s="1"/>
      <c r="J68" s="159"/>
    </row>
    <row r="69" spans="1:18" ht="15" customHeight="1" x14ac:dyDescent="0.45">
      <c r="A69" s="21"/>
      <c r="E69" s="161">
        <f ca="1">E68-$F$49</f>
        <v>6.2947077642137486E-2</v>
      </c>
      <c r="F69" s="159"/>
      <c r="G69" s="159"/>
      <c r="H69" s="159"/>
      <c r="I69" s="159"/>
      <c r="J69" s="159"/>
    </row>
    <row r="70" spans="1:18" ht="15" customHeight="1" x14ac:dyDescent="0.45">
      <c r="A70" s="21"/>
    </row>
    <row r="71" spans="1:18" ht="15" customHeight="1" x14ac:dyDescent="0.45">
      <c r="A71" s="21"/>
      <c r="C71" t="s">
        <v>515</v>
      </c>
    </row>
    <row r="72" spans="1:18" ht="15" customHeight="1" x14ac:dyDescent="0.45">
      <c r="A72" s="21"/>
      <c r="E72" s="54"/>
      <c r="H72" s="160" t="s">
        <v>529</v>
      </c>
    </row>
    <row r="73" spans="1:18" ht="15" customHeight="1" x14ac:dyDescent="0.45">
      <c r="A73" s="21"/>
      <c r="E73" s="159"/>
      <c r="F73" s="161">
        <f>G73-$F$50</f>
        <v>2.3999999999999997E-2</v>
      </c>
      <c r="G73" s="161">
        <f>H73-$F$50</f>
        <v>2.4999999999999998E-2</v>
      </c>
      <c r="H73" s="161">
        <f>H64</f>
        <v>2.5999999999999999E-2</v>
      </c>
      <c r="I73" s="161">
        <f>H73+$F$50</f>
        <v>2.7E-2</v>
      </c>
      <c r="J73" s="161">
        <f>I73+$F$50</f>
        <v>2.8000000000000001E-2</v>
      </c>
    </row>
    <row r="74" spans="1:18" ht="15" customHeight="1" x14ac:dyDescent="0.45">
      <c r="A74" s="21"/>
      <c r="E74" s="161">
        <f ca="1">E75+$F$49</f>
        <v>6.694707764213749E-2</v>
      </c>
      <c r="F74" s="159"/>
      <c r="G74" s="159"/>
      <c r="H74" s="159"/>
      <c r="I74" s="159"/>
      <c r="J74" s="159"/>
    </row>
    <row r="75" spans="1:18" ht="15" customHeight="1" x14ac:dyDescent="0.45">
      <c r="A75" s="21"/>
      <c r="E75" s="161">
        <f ca="1">E76+$F$49</f>
        <v>6.5947077642137489E-2</v>
      </c>
      <c r="F75" s="159"/>
      <c r="G75" s="1"/>
      <c r="H75" s="1"/>
      <c r="I75" s="1"/>
      <c r="J75" s="159"/>
    </row>
    <row r="76" spans="1:18" ht="15" customHeight="1" x14ac:dyDescent="0.45">
      <c r="A76" s="21"/>
      <c r="D76" s="5" t="s">
        <v>513</v>
      </c>
      <c r="E76" s="161">
        <f ca="1">$E$58</f>
        <v>6.4947077642137488E-2</v>
      </c>
      <c r="F76" s="159"/>
      <c r="G76" s="1"/>
      <c r="H76" s="1"/>
      <c r="I76" s="1"/>
      <c r="J76" s="159"/>
    </row>
    <row r="77" spans="1:18" ht="15" customHeight="1" x14ac:dyDescent="0.45">
      <c r="A77" s="21"/>
      <c r="E77" s="161">
        <f ca="1">E76-$F$49</f>
        <v>6.3947077642137487E-2</v>
      </c>
      <c r="F77" s="159"/>
      <c r="G77" s="1"/>
      <c r="H77" s="1"/>
      <c r="I77" s="1"/>
      <c r="J77" s="159"/>
    </row>
    <row r="78" spans="1:18" ht="15" customHeight="1" x14ac:dyDescent="0.45">
      <c r="A78" s="21"/>
      <c r="E78" s="161">
        <f ca="1">E77-$F$49</f>
        <v>6.2947077642137486E-2</v>
      </c>
      <c r="F78" s="159"/>
      <c r="G78" s="159"/>
      <c r="H78" s="159"/>
      <c r="I78" s="159"/>
      <c r="J78" s="159"/>
    </row>
    <row r="79" spans="1:18" ht="15" customHeight="1" x14ac:dyDescent="0.45">
      <c r="A79" s="21"/>
      <c r="B79" s="54"/>
      <c r="C79" s="54"/>
      <c r="D79" s="54"/>
      <c r="E79" s="54"/>
      <c r="F79" s="54"/>
      <c r="G79" s="54"/>
      <c r="H79" s="54"/>
      <c r="I79" s="54"/>
      <c r="J79" s="54"/>
      <c r="K79" s="54"/>
      <c r="L79" s="54"/>
      <c r="M79" s="54"/>
      <c r="N79" s="54"/>
      <c r="O79" s="54"/>
      <c r="P79" s="54"/>
      <c r="Q79" s="54"/>
      <c r="R79" s="54"/>
    </row>
    <row r="80" spans="1:18" ht="15" customHeight="1" x14ac:dyDescent="0.45">
      <c r="A80" s="21" t="s">
        <v>147</v>
      </c>
      <c r="B80" s="54"/>
      <c r="C80" s="54"/>
      <c r="D80" s="54"/>
      <c r="E80" s="54"/>
      <c r="F80" s="54"/>
      <c r="G80" s="54"/>
      <c r="H80" s="54"/>
      <c r="I80" s="54"/>
      <c r="J80" s="54"/>
      <c r="K80" s="54"/>
      <c r="L80" s="54"/>
      <c r="M80" s="54"/>
      <c r="N80" s="54"/>
      <c r="O80" s="54"/>
      <c r="P80" s="54"/>
      <c r="Q80" s="54"/>
      <c r="R80" s="54"/>
    </row>
  </sheetData>
  <printOptions headings="1" gridLines="1"/>
  <pageMargins left="0.31496062992125984" right="0.11811023622047245" top="0.74803149606299213" bottom="0.74803149606299213" header="0" footer="0"/>
  <pageSetup paperSize="9" scale="66" fitToHeight="0" orientation="landscape" r:id="rId1"/>
  <headerFooter>
    <oddHeader>&amp;R&amp;F  &amp;A</oddHeader>
    <oddFooter>&amp;L© 2016&amp;CPage &amp;P of</oddFooter>
  </headerFooter>
  <rowBreaks count="1" manualBreakCount="1">
    <brk id="39" max="18"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pageSetUpPr fitToPage="1"/>
  </sheetPr>
  <dimension ref="A1:O33"/>
  <sheetViews>
    <sheetView topLeftCell="A8" zoomScaleNormal="100" zoomScaleSheetLayoutView="85" workbookViewId="0">
      <selection activeCell="K36" sqref="K36"/>
    </sheetView>
  </sheetViews>
  <sheetFormatPr defaultColWidth="12.59765625" defaultRowHeight="15" customHeight="1" x14ac:dyDescent="0.45"/>
  <cols>
    <col min="1" max="1" width="1.59765625" customWidth="1"/>
    <col min="2" max="2" width="9.59765625" customWidth="1"/>
    <col min="3" max="3" width="38.265625" bestFit="1" customWidth="1"/>
    <col min="4" max="15" width="10.59765625" customWidth="1"/>
  </cols>
  <sheetData>
    <row r="1" spans="1:15" ht="45" customHeight="1" x14ac:dyDescent="0.85">
      <c r="A1" s="83" t="str">
        <f>"Weighted average cost of capital for "&amp;Info!N5</f>
        <v>Weighted average cost of capital for Red Bull</v>
      </c>
      <c r="B1" s="127"/>
      <c r="C1" s="79"/>
      <c r="D1" s="79"/>
      <c r="E1" s="79"/>
      <c r="F1" s="79"/>
      <c r="G1" s="79"/>
      <c r="H1" s="79"/>
      <c r="I1" s="79"/>
      <c r="J1" s="79"/>
      <c r="K1" s="79"/>
      <c r="L1" s="79"/>
      <c r="M1" s="79"/>
      <c r="N1" s="79"/>
      <c r="O1" s="79"/>
    </row>
    <row r="2" spans="1:15" ht="15.75" customHeight="1" x14ac:dyDescent="0.45">
      <c r="A2" t="s">
        <v>530</v>
      </c>
    </row>
    <row r="3" spans="1:15" ht="15.75" customHeight="1" x14ac:dyDescent="0.45">
      <c r="A3" s="21"/>
    </row>
    <row r="4" spans="1:15" ht="15.75" customHeight="1" x14ac:dyDescent="0.45">
      <c r="A4" s="19"/>
      <c r="C4" s="156"/>
      <c r="D4" s="95"/>
      <c r="E4" s="80"/>
      <c r="F4" s="95" t="s">
        <v>362</v>
      </c>
      <c r="G4" s="95" t="s">
        <v>420</v>
      </c>
      <c r="H4" s="95" t="s">
        <v>421</v>
      </c>
      <c r="I4" s="95" t="s">
        <v>422</v>
      </c>
      <c r="J4" s="95"/>
      <c r="K4" s="95" t="s">
        <v>531</v>
      </c>
      <c r="L4" s="95" t="s">
        <v>531</v>
      </c>
      <c r="M4" s="95" t="s">
        <v>532</v>
      </c>
    </row>
    <row r="5" spans="1:15" ht="15.75" customHeight="1" x14ac:dyDescent="0.45">
      <c r="A5" s="19"/>
      <c r="C5" s="80" t="s">
        <v>423</v>
      </c>
      <c r="D5" s="95" t="s">
        <v>300</v>
      </c>
      <c r="E5" s="80" t="s">
        <v>427</v>
      </c>
      <c r="F5" s="95" t="s">
        <v>433</v>
      </c>
      <c r="G5" s="95" t="s">
        <v>415</v>
      </c>
      <c r="H5" s="95" t="s">
        <v>327</v>
      </c>
      <c r="I5" s="95" t="s">
        <v>432</v>
      </c>
      <c r="J5" s="95" t="s">
        <v>533</v>
      </c>
      <c r="K5" s="95" t="s">
        <v>534</v>
      </c>
      <c r="L5" s="95" t="s">
        <v>194</v>
      </c>
      <c r="M5" s="95" t="s">
        <v>327</v>
      </c>
    </row>
    <row r="6" spans="1:15" ht="15.75" customHeight="1" x14ac:dyDescent="0.45">
      <c r="K6" s="2"/>
      <c r="L6" s="2"/>
    </row>
    <row r="7" spans="1:15" ht="15.75" customHeight="1" x14ac:dyDescent="0.45">
      <c r="A7" s="19"/>
      <c r="B7" s="17">
        <v>1</v>
      </c>
      <c r="C7" t="str">
        <f ca="1">Trading_comps!C23</f>
        <v>Coca-Cola Company</v>
      </c>
      <c r="D7" t="str">
        <f ca="1">Trading_comps!BH23</f>
        <v>KO-US</v>
      </c>
      <c r="E7">
        <f ca="1">Trading_comps!G23</f>
        <v>257703.13865439995</v>
      </c>
      <c r="F7">
        <f ca="1">Trading_comps!BG23</f>
        <v>42064</v>
      </c>
      <c r="G7" s="75">
        <f ca="1">Trading_comps!BD23</f>
        <v>2.9081858407079646</v>
      </c>
      <c r="H7" s="88">
        <f ca="1">Trading_comps!BE23</f>
        <v>0.79</v>
      </c>
      <c r="I7" s="98" t="str">
        <f ca="1">Trading_comps!BF23</f>
        <v>A+</v>
      </c>
      <c r="J7" s="74">
        <f>Accounting!D57</f>
        <v>0.221</v>
      </c>
      <c r="K7" s="74">
        <f ca="1">F7/(F7+E7)</f>
        <v>0.14032225209480143</v>
      </c>
      <c r="L7" s="74">
        <f ca="1">F7/E7</f>
        <v>0.16322657232518659</v>
      </c>
      <c r="M7" s="88">
        <f ca="1">H7/(1+(1-J7)*L7)</f>
        <v>0.70088058113754292</v>
      </c>
    </row>
    <row r="8" spans="1:15" ht="15.75" customHeight="1" x14ac:dyDescent="0.45">
      <c r="A8" s="19"/>
      <c r="B8" s="17">
        <v>2</v>
      </c>
      <c r="C8" t="str">
        <f ca="1">Trading_comps!C24</f>
        <v>Keurig Dr Pepper</v>
      </c>
      <c r="D8" t="str">
        <f ca="1">Trading_comps!BH24</f>
        <v>KDP-US</v>
      </c>
      <c r="E8">
        <f ca="1">Trading_comps!G24</f>
        <v>40987.664102080002</v>
      </c>
      <c r="F8">
        <f ca="1">Trading_comps!BG24</f>
        <v>14182</v>
      </c>
      <c r="G8" s="75">
        <f ca="1">Trading_comps!BD24</f>
        <v>3.5086590796635329</v>
      </c>
      <c r="H8" s="88">
        <f ca="1">Trading_comps!BE24</f>
        <v>0.51</v>
      </c>
      <c r="I8" s="98" t="str">
        <f ca="1">Trading_comps!BF24</f>
        <v>BBB+</v>
      </c>
      <c r="J8" s="74">
        <f>Accounting!G57</f>
        <v>0.24199999999999999</v>
      </c>
      <c r="K8" s="74">
        <f t="shared" ref="K8:K11" ca="1" si="0">F8/(F8+E8)</f>
        <v>0.2570615614726085</v>
      </c>
      <c r="L8" s="74">
        <f ca="1">F8/E8</f>
        <v>0.34600654393672331</v>
      </c>
      <c r="M8" s="88">
        <f ca="1">H8/(1+(1-J8)*L8)</f>
        <v>0.40403305468664974</v>
      </c>
    </row>
    <row r="9" spans="1:15" ht="15.75" customHeight="1" x14ac:dyDescent="0.45">
      <c r="A9" s="19"/>
      <c r="B9" s="17">
        <v>3</v>
      </c>
      <c r="C9" t="str">
        <f>Trading_comps!C25</f>
        <v>Monster Beverage</v>
      </c>
      <c r="D9" t="str">
        <f>Trading_comps!BH25</f>
        <v>MNST-US</v>
      </c>
      <c r="E9">
        <f>Trading_comps!G25</f>
        <v>61586.849502999998</v>
      </c>
      <c r="F9">
        <f>Trading_comps!BG25</f>
        <v>7.8</v>
      </c>
      <c r="G9" s="75">
        <f>Trading_comps!BD25</f>
        <v>3.939592908732764E-3</v>
      </c>
      <c r="H9" s="88">
        <f>Trading_comps!BE25</f>
        <v>0.83330899999999997</v>
      </c>
      <c r="J9" s="74">
        <f>Accounting!M57</f>
        <v>0.22905551994167703</v>
      </c>
      <c r="K9" s="74">
        <f t="shared" si="0"/>
        <v>1.2663437592286481E-4</v>
      </c>
      <c r="L9" s="74">
        <f>F9/E9</f>
        <v>1.2665041421902981E-4</v>
      </c>
      <c r="M9" s="88">
        <f>H9/(1+(1-J9)*L9)</f>
        <v>0.83322764328817278</v>
      </c>
    </row>
    <row r="10" spans="1:15" ht="15.75" customHeight="1" x14ac:dyDescent="0.45">
      <c r="A10" s="19"/>
      <c r="B10" s="17">
        <v>4</v>
      </c>
      <c r="C10" t="str">
        <f>Trading_comps!C26</f>
        <v>PepsiCo</v>
      </c>
      <c r="D10" t="str">
        <f>Trading_comps!BH26</f>
        <v>PEP-US</v>
      </c>
      <c r="E10">
        <f>Trading_comps!G26</f>
        <v>225298.627473</v>
      </c>
      <c r="F10">
        <f>Trading_comps!BG26</f>
        <v>44105</v>
      </c>
      <c r="G10" s="75">
        <f>Trading_comps!BD26</f>
        <v>2.6217083754383879</v>
      </c>
      <c r="H10" s="88">
        <f>Trading_comps!BE26</f>
        <v>0.66320599999999996</v>
      </c>
      <c r="I10" s="98" t="str">
        <f>Trading_comps!BF26</f>
        <v>A+</v>
      </c>
      <c r="J10" s="74">
        <f>Accounting!J57</f>
        <v>0.22799999999999998</v>
      </c>
      <c r="K10" s="74">
        <f t="shared" si="0"/>
        <v>0.16371346003654041</v>
      </c>
      <c r="L10" s="74">
        <f>F10/E10</f>
        <v>0.19576239986320193</v>
      </c>
      <c r="M10" s="88">
        <f>H10/(1+(1-J10)*L10)</f>
        <v>0.57613546890567169</v>
      </c>
    </row>
    <row r="11" spans="1:15" ht="15.75" customHeight="1" x14ac:dyDescent="0.45">
      <c r="A11" s="19"/>
      <c r="B11" s="17">
        <v>8</v>
      </c>
      <c r="C11" t="str">
        <f>Trading_comps!C30</f>
        <v>Fevertree Drinks</v>
      </c>
      <c r="D11" t="str">
        <f>Trading_comps!BH30</f>
        <v>FEVR-GB</v>
      </c>
      <c r="E11">
        <f>Trading_comps!G30</f>
        <v>1757.289313</v>
      </c>
      <c r="F11">
        <f>Trading_comps!BG30</f>
        <v>0</v>
      </c>
      <c r="G11" s="75">
        <f>Trading_comps!BD30</f>
        <v>0</v>
      </c>
      <c r="H11" s="88">
        <f>Trading_comps!BE30</f>
        <v>1.1002639999999999</v>
      </c>
      <c r="J11" s="71">
        <v>0.25</v>
      </c>
      <c r="K11" s="74">
        <f t="shared" si="0"/>
        <v>0</v>
      </c>
      <c r="L11" s="74">
        <f>F11/E11</f>
        <v>0</v>
      </c>
      <c r="M11" s="88">
        <f>H11/(1+(1-J11)*L11)</f>
        <v>1.1002639999999999</v>
      </c>
    </row>
    <row r="12" spans="1:15" ht="15.75" customHeight="1" x14ac:dyDescent="0.45">
      <c r="A12" s="19"/>
    </row>
    <row r="13" spans="1:15" ht="15.75" customHeight="1" x14ac:dyDescent="0.45">
      <c r="A13" s="19"/>
      <c r="C13" t="s">
        <v>535</v>
      </c>
      <c r="K13" s="74">
        <f ca="1">AVERAGE(K7:K11)</f>
        <v>0.11224478159597465</v>
      </c>
      <c r="M13" s="88">
        <f ca="1">AVERAGE(M7:M11)</f>
        <v>0.7229081496036075</v>
      </c>
    </row>
    <row r="14" spans="1:15" ht="15.75" customHeight="1" x14ac:dyDescent="0.45">
      <c r="A14" s="19"/>
    </row>
    <row r="15" spans="1:15" ht="15.75" customHeight="1" x14ac:dyDescent="0.45">
      <c r="A15" s="19"/>
    </row>
    <row r="16" spans="1:15" ht="15.75" customHeight="1" x14ac:dyDescent="0.45">
      <c r="A16" s="21"/>
      <c r="D16" s="95" t="s">
        <v>536</v>
      </c>
    </row>
    <row r="17" spans="1:4" ht="15.75" customHeight="1" x14ac:dyDescent="0.45">
      <c r="A17" s="21"/>
      <c r="C17" t="s">
        <v>537</v>
      </c>
      <c r="D17" s="203">
        <v>2.4199999999999999E-2</v>
      </c>
    </row>
    <row r="18" spans="1:4" ht="15.75" customHeight="1" x14ac:dyDescent="0.45">
      <c r="A18" s="21"/>
      <c r="C18" t="s">
        <v>538</v>
      </c>
      <c r="D18" s="203">
        <v>5.7200000000000001E-2</v>
      </c>
    </row>
    <row r="19" spans="1:4" ht="15.75" customHeight="1" x14ac:dyDescent="0.45">
      <c r="A19" s="21"/>
      <c r="C19" t="s">
        <v>539</v>
      </c>
      <c r="D19" s="88">
        <f ca="1">M13</f>
        <v>0.7229081496036075</v>
      </c>
    </row>
    <row r="20" spans="1:4" ht="15.75" customHeight="1" x14ac:dyDescent="0.45">
      <c r="A20" s="21"/>
      <c r="C20" t="s">
        <v>540</v>
      </c>
      <c r="D20" s="74">
        <f>'Red Bull Model'!G20</f>
        <v>0.23</v>
      </c>
    </row>
    <row r="21" spans="1:4" ht="15.75" customHeight="1" x14ac:dyDescent="0.45">
      <c r="A21" s="21"/>
      <c r="C21" t="s">
        <v>541</v>
      </c>
      <c r="D21" s="74">
        <f ca="1">K13/(1-K13)</f>
        <v>0.12643663396061394</v>
      </c>
    </row>
    <row r="22" spans="1:4" ht="15.75" customHeight="1" x14ac:dyDescent="0.45">
      <c r="A22" s="21"/>
      <c r="C22" t="s">
        <v>542</v>
      </c>
      <c r="D22" s="88">
        <f ca="1">D19*(1+(1-D20)*D21)</f>
        <v>0.79328774588951112</v>
      </c>
    </row>
    <row r="23" spans="1:4" ht="15.75" customHeight="1" x14ac:dyDescent="0.45">
      <c r="A23" s="21"/>
      <c r="C23" t="s">
        <v>543</v>
      </c>
      <c r="D23" s="74">
        <f ca="1">D17+D18*D22</f>
        <v>6.9576059064880041E-2</v>
      </c>
    </row>
    <row r="24" spans="1:4" ht="15.75" customHeight="1" x14ac:dyDescent="0.45">
      <c r="A24" s="21"/>
      <c r="C24" t="s">
        <v>544</v>
      </c>
      <c r="D24" s="74">
        <f ca="1">1-K13</f>
        <v>0.88775521840402538</v>
      </c>
    </row>
    <row r="25" spans="1:4" ht="15.75" customHeight="1" x14ac:dyDescent="0.45">
      <c r="A25" s="21"/>
    </row>
    <row r="26" spans="1:4" ht="15.75" customHeight="1" x14ac:dyDescent="0.45">
      <c r="A26" s="21"/>
      <c r="C26" t="s">
        <v>545</v>
      </c>
      <c r="D26" s="203">
        <v>1.26E-2</v>
      </c>
    </row>
    <row r="27" spans="1:4" ht="15.75" customHeight="1" x14ac:dyDescent="0.45">
      <c r="A27" s="21"/>
      <c r="C27" t="s">
        <v>546</v>
      </c>
      <c r="D27" s="74">
        <f>D17+D26</f>
        <v>3.6799999999999999E-2</v>
      </c>
    </row>
    <row r="28" spans="1:4" ht="15.75" customHeight="1" x14ac:dyDescent="0.45">
      <c r="A28" s="21"/>
      <c r="C28" t="s">
        <v>547</v>
      </c>
      <c r="D28" s="74">
        <f>D27*(1-D20)</f>
        <v>2.8336E-2</v>
      </c>
    </row>
    <row r="29" spans="1:4" ht="15.75" customHeight="1" x14ac:dyDescent="0.45">
      <c r="A29" s="21"/>
      <c r="C29" t="s">
        <v>548</v>
      </c>
      <c r="D29" s="74">
        <f ca="1">K13</f>
        <v>0.11224478159597465</v>
      </c>
    </row>
    <row r="30" spans="1:4" ht="15.75" customHeight="1" x14ac:dyDescent="0.45">
      <c r="A30" s="21"/>
    </row>
    <row r="31" spans="1:4" ht="15.75" customHeight="1" x14ac:dyDescent="0.45">
      <c r="A31" s="21"/>
      <c r="C31" t="s">
        <v>513</v>
      </c>
      <c r="D31" s="74">
        <f ca="1">D28*D29+D23*D24</f>
        <v>6.4947077642137488E-2</v>
      </c>
    </row>
    <row r="32" spans="1:4" ht="15.75" customHeight="1" x14ac:dyDescent="0.45">
      <c r="A32" s="21"/>
    </row>
    <row r="33" spans="1:1" ht="15.75" customHeight="1" x14ac:dyDescent="0.45">
      <c r="A33" s="21" t="s">
        <v>147</v>
      </c>
    </row>
  </sheetData>
  <printOptions gridLines="1"/>
  <pageMargins left="0.7" right="0.7" top="0.75" bottom="0.75" header="0" footer="0"/>
  <pageSetup paperSize="9" scale="74" fitToHeight="0"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pageSetUpPr fitToPage="1"/>
  </sheetPr>
  <dimension ref="A1:R52"/>
  <sheetViews>
    <sheetView zoomScale="150" zoomScaleNormal="150" zoomScaleSheetLayoutView="85" workbookViewId="0">
      <pane xSplit="3" ySplit="4" topLeftCell="D5" activePane="bottomRight" state="frozen"/>
      <selection pane="topRight" sqref="A1:N1"/>
      <selection pane="bottomLeft" sqref="A1:N1"/>
      <selection pane="bottomRight" activeCell="D5" sqref="D5"/>
    </sheetView>
  </sheetViews>
  <sheetFormatPr defaultColWidth="12.59765625" defaultRowHeight="14.25" x14ac:dyDescent="0.45"/>
  <cols>
    <col min="1" max="1" width="1.59765625" customWidth="1"/>
    <col min="2" max="3" width="26.73046875" customWidth="1"/>
    <col min="4" max="4" width="11.73046875" customWidth="1"/>
    <col min="5" max="9" width="10.265625" customWidth="1"/>
    <col min="10" max="10" width="13" bestFit="1" customWidth="1"/>
    <col min="11" max="16" width="10.265625" customWidth="1"/>
    <col min="17" max="17" width="123.3984375" customWidth="1"/>
    <col min="18" max="18" width="27.1328125" customWidth="1"/>
  </cols>
  <sheetData>
    <row r="1" spans="1:18" ht="28.5" x14ac:dyDescent="0.85">
      <c r="A1" s="83" t="s">
        <v>549</v>
      </c>
      <c r="B1" s="83"/>
      <c r="C1" s="83"/>
      <c r="D1" s="83"/>
      <c r="E1" s="83"/>
      <c r="F1" s="83"/>
      <c r="G1" s="83"/>
      <c r="H1" s="83"/>
      <c r="I1" s="83"/>
      <c r="J1" s="83"/>
      <c r="K1" s="83"/>
      <c r="L1" s="83"/>
      <c r="M1" s="83"/>
      <c r="N1" s="83"/>
      <c r="O1" s="83"/>
      <c r="P1" s="83"/>
      <c r="Q1" s="83"/>
      <c r="R1" s="83"/>
    </row>
    <row r="2" spans="1:18" x14ac:dyDescent="0.45">
      <c r="A2" s="54" t="s">
        <v>550</v>
      </c>
    </row>
    <row r="3" spans="1:18" ht="15.75" x14ac:dyDescent="0.45">
      <c r="A3" s="21"/>
      <c r="B3" s="95"/>
      <c r="C3" s="95" t="s">
        <v>551</v>
      </c>
      <c r="D3" s="95" t="s">
        <v>552</v>
      </c>
      <c r="E3" s="95" t="s">
        <v>553</v>
      </c>
      <c r="F3" s="95" t="s">
        <v>553</v>
      </c>
      <c r="G3" s="95" t="s">
        <v>554</v>
      </c>
      <c r="H3" s="95" t="s">
        <v>283</v>
      </c>
      <c r="I3" s="95" t="s">
        <v>283</v>
      </c>
      <c r="J3" s="95" t="s">
        <v>415</v>
      </c>
      <c r="K3" s="95"/>
      <c r="L3" s="95"/>
      <c r="M3" s="95"/>
      <c r="N3" s="95" t="s">
        <v>555</v>
      </c>
      <c r="O3" s="95" t="s">
        <v>556</v>
      </c>
      <c r="P3" s="95" t="s">
        <v>557</v>
      </c>
      <c r="Q3" s="95"/>
    </row>
    <row r="4" spans="1:18" ht="15.75" x14ac:dyDescent="0.45">
      <c r="A4" s="21"/>
      <c r="B4" s="95" t="s">
        <v>556</v>
      </c>
      <c r="C4" s="95" t="s">
        <v>551</v>
      </c>
      <c r="D4" s="95" t="s">
        <v>11</v>
      </c>
      <c r="E4" s="95" t="s">
        <v>558</v>
      </c>
      <c r="F4" s="95" t="s">
        <v>559</v>
      </c>
      <c r="G4" s="95" t="s">
        <v>560</v>
      </c>
      <c r="H4" s="95" t="s">
        <v>198</v>
      </c>
      <c r="I4" s="95" t="s">
        <v>65</v>
      </c>
      <c r="J4" s="95" t="s">
        <v>428</v>
      </c>
      <c r="K4" s="95" t="s">
        <v>561</v>
      </c>
      <c r="L4" s="95" t="s">
        <v>562</v>
      </c>
      <c r="M4" s="95" t="s">
        <v>563</v>
      </c>
      <c r="N4" s="95" t="s">
        <v>564</v>
      </c>
      <c r="O4" s="95" t="s">
        <v>302</v>
      </c>
      <c r="P4" s="95" t="s">
        <v>565</v>
      </c>
      <c r="Q4" s="95" t="s">
        <v>566</v>
      </c>
    </row>
    <row r="5" spans="1:18" ht="15.75" x14ac:dyDescent="0.45">
      <c r="A5" s="85"/>
    </row>
    <row r="6" spans="1:18" ht="15.75" x14ac:dyDescent="0.45">
      <c r="A6" s="85" t="s">
        <v>567</v>
      </c>
    </row>
    <row r="7" spans="1:18" ht="99.75" x14ac:dyDescent="0.45">
      <c r="A7" s="85"/>
      <c r="B7" t="s">
        <v>568</v>
      </c>
      <c r="C7" t="s">
        <v>569</v>
      </c>
      <c r="D7" s="58">
        <v>42263</v>
      </c>
      <c r="E7" t="s">
        <v>570</v>
      </c>
      <c r="F7" s="3">
        <v>123394.25601700001</v>
      </c>
      <c r="G7" s="3">
        <v>123394.25601700001</v>
      </c>
      <c r="H7" s="3">
        <v>22129.998992000001</v>
      </c>
      <c r="I7">
        <f>G7/L7</f>
        <v>5306.9999843019032</v>
      </c>
      <c r="J7" s="74">
        <f>I7/H7</f>
        <v>0.2398102225951472</v>
      </c>
      <c r="K7" s="75">
        <f t="shared" ref="K7:K22" si="0">G7/H7</f>
        <v>5.5758816826700741</v>
      </c>
      <c r="L7" s="57">
        <v>23.251225999999999</v>
      </c>
      <c r="M7" s="3">
        <v>1400</v>
      </c>
      <c r="N7" s="74">
        <f>M7/H7</f>
        <v>6.326254242063456E-2</v>
      </c>
      <c r="O7" t="s">
        <v>571</v>
      </c>
      <c r="P7" s="103"/>
      <c r="Q7" s="100" t="s">
        <v>572</v>
      </c>
    </row>
    <row r="8" spans="1:18" ht="71.25" x14ac:dyDescent="0.45">
      <c r="A8" s="85"/>
      <c r="B8" t="s">
        <v>573</v>
      </c>
      <c r="C8" t="s">
        <v>574</v>
      </c>
      <c r="D8" s="58">
        <v>42717</v>
      </c>
      <c r="E8" t="s">
        <v>570</v>
      </c>
      <c r="F8" s="3">
        <v>7744.2049310000002</v>
      </c>
      <c r="G8" s="3">
        <v>7744.2049310000002</v>
      </c>
      <c r="H8" s="52" t="s">
        <v>575</v>
      </c>
      <c r="I8">
        <f t="shared" ref="I8:I18" si="1">G8/L8</f>
        <v>523.84772824602987</v>
      </c>
      <c r="J8" s="98" t="s">
        <v>69</v>
      </c>
      <c r="K8" s="98" t="s">
        <v>69</v>
      </c>
      <c r="L8" s="57">
        <v>14.783313</v>
      </c>
      <c r="M8" s="54"/>
      <c r="N8" s="74"/>
      <c r="O8" t="s">
        <v>576</v>
      </c>
      <c r="P8" s="103"/>
      <c r="Q8" s="100" t="s">
        <v>577</v>
      </c>
      <c r="R8" s="54"/>
    </row>
    <row r="9" spans="1:18" ht="85.5" x14ac:dyDescent="0.45">
      <c r="A9" s="85"/>
      <c r="B9" t="s">
        <v>578</v>
      </c>
      <c r="C9" t="s">
        <v>579</v>
      </c>
      <c r="D9" s="58">
        <v>42837</v>
      </c>
      <c r="E9" t="s">
        <v>570</v>
      </c>
      <c r="F9" s="3">
        <v>2409.749593</v>
      </c>
      <c r="G9" s="3">
        <v>2409.749593</v>
      </c>
      <c r="H9" s="3">
        <v>2395.8741759999998</v>
      </c>
      <c r="I9">
        <f>G9/L9</f>
        <v>244.31699591887389</v>
      </c>
      <c r="J9" s="74">
        <f>I9/H9</f>
        <v>0.10197405121114086</v>
      </c>
      <c r="K9" s="75">
        <f>G9/H9</f>
        <v>1.0057913796721853</v>
      </c>
      <c r="L9" s="57">
        <v>9.8632089999999994</v>
      </c>
      <c r="M9" s="54"/>
      <c r="N9" s="74"/>
      <c r="O9" t="s">
        <v>580</v>
      </c>
      <c r="P9" s="103"/>
      <c r="Q9" s="100" t="s">
        <v>581</v>
      </c>
    </row>
    <row r="10" spans="1:18" ht="71.25" x14ac:dyDescent="0.45">
      <c r="A10" s="85"/>
      <c r="B10" t="s">
        <v>582</v>
      </c>
      <c r="C10" t="s">
        <v>583</v>
      </c>
      <c r="D10" s="58">
        <v>43086</v>
      </c>
      <c r="E10" t="s">
        <v>570</v>
      </c>
      <c r="F10" s="3">
        <v>4840.164264</v>
      </c>
      <c r="G10" s="3">
        <v>8638.2876400000005</v>
      </c>
      <c r="H10" s="3">
        <v>1433.7142710000001</v>
      </c>
      <c r="I10">
        <f>G10/L10</f>
        <v>242.27152477725815</v>
      </c>
      <c r="J10" s="74">
        <f>I10/H10</f>
        <v>0.16898173483917156</v>
      </c>
      <c r="K10" s="75">
        <f>G10/H10</f>
        <v>6.0251110104211278</v>
      </c>
      <c r="L10" s="57">
        <v>35.655397999999998</v>
      </c>
      <c r="M10" s="54"/>
      <c r="N10" s="74"/>
      <c r="O10" t="s">
        <v>584</v>
      </c>
      <c r="P10" s="103"/>
      <c r="Q10" s="100" t="s">
        <v>585</v>
      </c>
    </row>
    <row r="11" spans="1:18" ht="85.5" x14ac:dyDescent="0.45">
      <c r="A11" s="85"/>
      <c r="B11" t="s">
        <v>586</v>
      </c>
      <c r="C11" t="s">
        <v>587</v>
      </c>
      <c r="D11" s="58">
        <v>43129</v>
      </c>
      <c r="E11" t="s">
        <v>570</v>
      </c>
      <c r="F11" s="3">
        <v>27024.925839</v>
      </c>
      <c r="G11" s="3">
        <v>27024.925839</v>
      </c>
      <c r="H11" s="3">
        <v>6704</v>
      </c>
      <c r="I11">
        <f>G11/L11</f>
        <v>1580.4050198245614</v>
      </c>
      <c r="J11" s="74">
        <f>I11/H11</f>
        <v>0.23574060558242263</v>
      </c>
      <c r="K11" s="75">
        <f t="shared" si="0"/>
        <v>4.0311643554594268</v>
      </c>
      <c r="L11" s="57">
        <v>17.100000000000001</v>
      </c>
      <c r="M11" s="3">
        <v>600</v>
      </c>
      <c r="N11" s="74">
        <f>M11/H11</f>
        <v>8.9498806682577564E-2</v>
      </c>
      <c r="O11" t="s">
        <v>200</v>
      </c>
      <c r="P11" s="103"/>
      <c r="Q11" s="100" t="s">
        <v>588</v>
      </c>
      <c r="R11" s="54"/>
    </row>
    <row r="12" spans="1:18" ht="71.25" x14ac:dyDescent="0.45">
      <c r="A12" s="85"/>
      <c r="B12" t="s">
        <v>589</v>
      </c>
      <c r="C12" t="s">
        <v>590</v>
      </c>
      <c r="D12" s="58">
        <v>43276</v>
      </c>
      <c r="E12" t="s">
        <v>570</v>
      </c>
      <c r="F12" s="3">
        <v>946.225638</v>
      </c>
      <c r="G12" s="3">
        <v>4551.0063369999998</v>
      </c>
      <c r="H12" s="3">
        <v>306.95898599999998</v>
      </c>
      <c r="I12">
        <f>G12/L12</f>
        <v>83.888540450551787</v>
      </c>
      <c r="J12" s="74">
        <f>I12/H12</f>
        <v>0.27328908511103756</v>
      </c>
      <c r="K12" s="75">
        <f>G12/H12</f>
        <v>14.826105585975581</v>
      </c>
      <c r="L12" s="57">
        <v>54.250632000000003</v>
      </c>
      <c r="M12" s="54"/>
      <c r="N12" s="74"/>
      <c r="O12" t="s">
        <v>591</v>
      </c>
      <c r="P12" s="103"/>
      <c r="Q12" s="100" t="s">
        <v>592</v>
      </c>
    </row>
    <row r="13" spans="1:18" ht="57" x14ac:dyDescent="0.45">
      <c r="A13" s="54"/>
      <c r="B13" t="s">
        <v>593</v>
      </c>
      <c r="C13" t="s">
        <v>29</v>
      </c>
      <c r="D13" s="58">
        <v>43332</v>
      </c>
      <c r="E13" t="s">
        <v>570</v>
      </c>
      <c r="F13" s="3">
        <v>3307.95</v>
      </c>
      <c r="G13" s="3">
        <v>3136.2489999999998</v>
      </c>
      <c r="H13" s="3">
        <v>612.572</v>
      </c>
      <c r="I13" s="66">
        <v>126.741</v>
      </c>
      <c r="J13" s="74">
        <f>I13/H13</f>
        <v>0.20689976035470117</v>
      </c>
      <c r="K13" s="75">
        <f t="shared" si="0"/>
        <v>5.1198046923463689</v>
      </c>
      <c r="L13" s="75">
        <f>G13/I13</f>
        <v>24.745338919528802</v>
      </c>
      <c r="M13" s="3"/>
      <c r="N13" s="74"/>
      <c r="O13" t="s">
        <v>594</v>
      </c>
      <c r="P13" s="103"/>
      <c r="Q13" s="100" t="s">
        <v>595</v>
      </c>
      <c r="R13" s="54"/>
    </row>
    <row r="14" spans="1:18" ht="57" x14ac:dyDescent="0.45">
      <c r="A14" s="85"/>
      <c r="B14" t="s">
        <v>596</v>
      </c>
      <c r="C14" t="s">
        <v>597</v>
      </c>
      <c r="D14" s="58">
        <v>43490</v>
      </c>
      <c r="E14" t="s">
        <v>570</v>
      </c>
      <c r="F14" s="3">
        <v>326.10000100000002</v>
      </c>
      <c r="G14" s="3">
        <v>326.10000100000002</v>
      </c>
      <c r="H14" s="52" t="s">
        <v>575</v>
      </c>
      <c r="I14">
        <f t="shared" si="1"/>
        <v>13.826640429545934</v>
      </c>
      <c r="J14" s="98" t="s">
        <v>69</v>
      </c>
      <c r="K14" s="98" t="s">
        <v>69</v>
      </c>
      <c r="L14" s="57">
        <v>23.584904999999999</v>
      </c>
      <c r="M14" s="54"/>
      <c r="N14" s="74"/>
      <c r="O14" t="s">
        <v>571</v>
      </c>
      <c r="P14" s="103"/>
      <c r="Q14" s="100" t="s">
        <v>598</v>
      </c>
      <c r="R14" s="54"/>
    </row>
    <row r="15" spans="1:18" ht="42.75" x14ac:dyDescent="0.45">
      <c r="A15" s="85"/>
      <c r="B15" t="s">
        <v>599</v>
      </c>
      <c r="C15" t="s">
        <v>574</v>
      </c>
      <c r="D15" s="58">
        <v>43665</v>
      </c>
      <c r="E15" t="s">
        <v>570</v>
      </c>
      <c r="F15" s="3">
        <v>11264.800009000001</v>
      </c>
      <c r="G15" s="3">
        <v>11264.800009000001</v>
      </c>
      <c r="H15" s="163" t="s">
        <v>575</v>
      </c>
      <c r="I15">
        <f t="shared" si="1"/>
        <v>756.85379790804984</v>
      </c>
      <c r="J15" s="98" t="s">
        <v>69</v>
      </c>
      <c r="K15" s="98" t="s">
        <v>69</v>
      </c>
      <c r="L15" s="57">
        <v>14.88372</v>
      </c>
      <c r="M15" s="54"/>
      <c r="N15" s="74">
        <v>0.06</v>
      </c>
      <c r="O15" t="s">
        <v>600</v>
      </c>
      <c r="P15" s="103"/>
      <c r="Q15" s="100" t="s">
        <v>601</v>
      </c>
      <c r="R15" s="164"/>
    </row>
    <row r="16" spans="1:18" ht="42.75" x14ac:dyDescent="0.45">
      <c r="A16" s="85"/>
      <c r="B16" t="s">
        <v>602</v>
      </c>
      <c r="C16" t="s">
        <v>603</v>
      </c>
      <c r="D16" s="58">
        <v>43843</v>
      </c>
      <c r="E16" t="s">
        <v>570</v>
      </c>
      <c r="F16" s="3">
        <v>765.56259599999998</v>
      </c>
      <c r="G16" s="3">
        <v>765.56259599999998</v>
      </c>
      <c r="H16" s="3">
        <v>307.15600000000001</v>
      </c>
      <c r="I16">
        <f t="shared" si="1"/>
        <v>45.536001518892562</v>
      </c>
      <c r="J16" s="74">
        <f>I16/H16</f>
        <v>0.14825040539300083</v>
      </c>
      <c r="K16" s="75">
        <f t="shared" si="0"/>
        <v>2.492422729818073</v>
      </c>
      <c r="L16" s="57">
        <v>16.812249000000001</v>
      </c>
      <c r="M16" s="54">
        <v>35</v>
      </c>
      <c r="N16" s="74">
        <f>M16/H16</f>
        <v>0.11394861243146805</v>
      </c>
      <c r="O16" t="s">
        <v>200</v>
      </c>
      <c r="P16" s="103"/>
      <c r="Q16" s="100" t="s">
        <v>604</v>
      </c>
      <c r="R16" s="54"/>
    </row>
    <row r="17" spans="1:18" ht="42.75" x14ac:dyDescent="0.45">
      <c r="A17" s="97"/>
      <c r="B17" t="s">
        <v>605</v>
      </c>
      <c r="C17" t="s">
        <v>606</v>
      </c>
      <c r="D17" s="58">
        <v>43901</v>
      </c>
      <c r="E17" t="s">
        <v>570</v>
      </c>
      <c r="F17" s="3">
        <v>3850</v>
      </c>
      <c r="G17" s="3">
        <v>3850</v>
      </c>
      <c r="H17" s="52" t="s">
        <v>575</v>
      </c>
      <c r="I17" s="98" t="s">
        <v>69</v>
      </c>
      <c r="J17" s="98" t="s">
        <v>69</v>
      </c>
      <c r="K17" s="98" t="s">
        <v>69</v>
      </c>
      <c r="L17" s="98" t="s">
        <v>69</v>
      </c>
      <c r="N17" s="74"/>
      <c r="O17" t="s">
        <v>200</v>
      </c>
      <c r="P17" s="103"/>
      <c r="Q17" s="100" t="s">
        <v>607</v>
      </c>
      <c r="R17" s="54"/>
    </row>
    <row r="18" spans="1:18" ht="42.75" x14ac:dyDescent="0.45">
      <c r="A18" s="97"/>
      <c r="B18" t="s">
        <v>608</v>
      </c>
      <c r="C18" t="s">
        <v>609</v>
      </c>
      <c r="D18" s="58">
        <v>44129</v>
      </c>
      <c r="E18" t="s">
        <v>570</v>
      </c>
      <c r="F18" s="3">
        <v>5946.8854780000001</v>
      </c>
      <c r="G18" s="3">
        <v>8056.9583899999998</v>
      </c>
      <c r="H18" s="3">
        <v>3269.3144520000001</v>
      </c>
      <c r="I18">
        <f t="shared" si="1"/>
        <v>576.13114248389525</v>
      </c>
      <c r="J18" s="74">
        <f>I18/H18</f>
        <v>0.1762238386495516</v>
      </c>
      <c r="K18" s="75">
        <f t="shared" si="0"/>
        <v>2.4644183079639719</v>
      </c>
      <c r="L18" s="57">
        <v>13.984591</v>
      </c>
      <c r="N18" s="74"/>
      <c r="O18" t="s">
        <v>600</v>
      </c>
      <c r="P18" s="103"/>
      <c r="Q18" s="100" t="s">
        <v>610</v>
      </c>
      <c r="R18" s="54"/>
    </row>
    <row r="19" spans="1:18" ht="42.75" x14ac:dyDescent="0.45">
      <c r="A19" s="97"/>
      <c r="B19" t="s">
        <v>611</v>
      </c>
      <c r="C19" t="s">
        <v>612</v>
      </c>
      <c r="D19" s="58">
        <v>44213</v>
      </c>
      <c r="E19" t="s">
        <v>570</v>
      </c>
      <c r="F19" s="3">
        <v>330</v>
      </c>
      <c r="G19" s="3">
        <v>330</v>
      </c>
      <c r="H19" s="3">
        <v>129.12</v>
      </c>
      <c r="I19" s="98" t="s">
        <v>69</v>
      </c>
      <c r="J19" s="98" t="s">
        <v>69</v>
      </c>
      <c r="K19" s="75">
        <f>G19/H19</f>
        <v>2.5557620817843865</v>
      </c>
      <c r="L19" s="102" t="e">
        <f>K19/$D$39</f>
        <v>#DIV/0!</v>
      </c>
      <c r="M19" s="54"/>
      <c r="N19" s="74"/>
      <c r="O19" t="s">
        <v>200</v>
      </c>
      <c r="P19" s="103"/>
      <c r="Q19" s="100" t="s">
        <v>613</v>
      </c>
      <c r="R19" s="54"/>
    </row>
    <row r="20" spans="1:18" ht="71.25" x14ac:dyDescent="0.45">
      <c r="A20" s="97"/>
      <c r="B20" t="s">
        <v>614</v>
      </c>
      <c r="C20" t="s">
        <v>615</v>
      </c>
      <c r="D20" s="58">
        <v>44243</v>
      </c>
      <c r="E20" t="s">
        <v>570</v>
      </c>
      <c r="F20" s="3">
        <v>4300</v>
      </c>
      <c r="G20" s="3">
        <v>4300</v>
      </c>
      <c r="H20" s="3">
        <v>3820.65</v>
      </c>
      <c r="I20" s="98" t="s">
        <v>69</v>
      </c>
      <c r="J20" s="98" t="s">
        <v>69</v>
      </c>
      <c r="K20" s="75">
        <f t="shared" si="0"/>
        <v>1.1254629447868818</v>
      </c>
      <c r="L20" s="102" t="e">
        <f>K20/$D$39</f>
        <v>#DIV/0!</v>
      </c>
      <c r="N20" s="74"/>
      <c r="O20" t="s">
        <v>200</v>
      </c>
      <c r="P20" s="103"/>
      <c r="Q20" s="100" t="s">
        <v>616</v>
      </c>
      <c r="R20" s="54"/>
    </row>
    <row r="21" spans="1:18" ht="42.75" x14ac:dyDescent="0.45">
      <c r="A21" s="97"/>
      <c r="B21" s="218" t="s">
        <v>617</v>
      </c>
      <c r="C21" s="218" t="s">
        <v>618</v>
      </c>
      <c r="D21" s="58">
        <v>44357</v>
      </c>
      <c r="E21" t="s">
        <v>570</v>
      </c>
      <c r="F21" s="3">
        <v>308.95530000000002</v>
      </c>
      <c r="G21" s="3">
        <v>308.95530000000002</v>
      </c>
      <c r="H21" s="3">
        <v>2.2792970000000001</v>
      </c>
      <c r="I21" s="98" t="s">
        <v>69</v>
      </c>
      <c r="J21" s="98" t="s">
        <v>69</v>
      </c>
      <c r="K21" s="75">
        <f t="shared" si="0"/>
        <v>135.54850464858245</v>
      </c>
      <c r="L21" s="75" t="e">
        <f>K21/$D$39</f>
        <v>#DIV/0!</v>
      </c>
      <c r="N21" s="74"/>
      <c r="O21" t="s">
        <v>200</v>
      </c>
      <c r="P21" s="103"/>
      <c r="Q21" s="219" t="s">
        <v>619</v>
      </c>
      <c r="R21" s="54"/>
    </row>
    <row r="22" spans="1:18" ht="28.5" x14ac:dyDescent="0.45">
      <c r="A22" s="97"/>
      <c r="B22" t="s">
        <v>620</v>
      </c>
      <c r="C22" t="s">
        <v>27</v>
      </c>
      <c r="D22" s="58">
        <v>44501</v>
      </c>
      <c r="E22" t="s">
        <v>570</v>
      </c>
      <c r="F22" s="3">
        <v>6600</v>
      </c>
      <c r="G22" s="3">
        <v>6600</v>
      </c>
      <c r="H22" s="3">
        <v>1400</v>
      </c>
      <c r="I22" s="98" t="s">
        <v>69</v>
      </c>
      <c r="J22" s="98" t="s">
        <v>69</v>
      </c>
      <c r="K22" s="75">
        <f t="shared" si="0"/>
        <v>4.7142857142857144</v>
      </c>
      <c r="L22" s="75" t="e">
        <f>K22/$D$39</f>
        <v>#DIV/0!</v>
      </c>
      <c r="M22" s="54"/>
      <c r="N22" s="74"/>
      <c r="O22" t="s">
        <v>200</v>
      </c>
      <c r="P22" s="103"/>
      <c r="Q22" s="100" t="s">
        <v>621</v>
      </c>
      <c r="R22" s="54"/>
    </row>
    <row r="23" spans="1:18" ht="71.25" x14ac:dyDescent="0.45">
      <c r="A23" s="97"/>
      <c r="B23" t="s">
        <v>622</v>
      </c>
      <c r="C23" t="s">
        <v>623</v>
      </c>
      <c r="D23" s="58">
        <v>44614</v>
      </c>
      <c r="E23" t="s">
        <v>570</v>
      </c>
      <c r="F23" s="3">
        <v>7900</v>
      </c>
      <c r="G23" s="3">
        <v>10896.52</v>
      </c>
      <c r="H23" s="3">
        <v>5012.78</v>
      </c>
      <c r="I23" s="98">
        <f>G23/L23</f>
        <v>808.34718100890211</v>
      </c>
      <c r="J23" s="74">
        <f>I23/H23</f>
        <v>0.16125726263847648</v>
      </c>
      <c r="K23" s="75">
        <f>G23/H23</f>
        <v>2.1737479003666631</v>
      </c>
      <c r="L23" s="57">
        <v>13.48</v>
      </c>
      <c r="M23" s="54"/>
      <c r="N23" s="74"/>
      <c r="O23" t="s">
        <v>580</v>
      </c>
      <c r="P23" s="103"/>
      <c r="Q23" s="100" t="s">
        <v>624</v>
      </c>
      <c r="R23" s="54"/>
    </row>
    <row r="24" spans="1:18" ht="57" x14ac:dyDescent="0.45">
      <c r="A24" s="97"/>
      <c r="B24" t="s">
        <v>625</v>
      </c>
      <c r="C24" t="s">
        <v>626</v>
      </c>
      <c r="D24" s="58">
        <v>45110</v>
      </c>
      <c r="E24" t="s">
        <v>570</v>
      </c>
      <c r="F24" s="3">
        <v>362</v>
      </c>
      <c r="G24" s="3">
        <v>362</v>
      </c>
      <c r="H24" s="3">
        <v>1400</v>
      </c>
      <c r="I24" s="98" t="s">
        <v>69</v>
      </c>
      <c r="J24" s="98" t="s">
        <v>69</v>
      </c>
      <c r="K24" s="75">
        <f>G24/H24</f>
        <v>0.25857142857142856</v>
      </c>
      <c r="L24" s="75" t="e">
        <f>K24/$D$39</f>
        <v>#DIV/0!</v>
      </c>
      <c r="M24" s="54"/>
      <c r="N24" s="74"/>
      <c r="O24" t="s">
        <v>200</v>
      </c>
      <c r="P24" s="103"/>
      <c r="Q24" s="100" t="s">
        <v>627</v>
      </c>
      <c r="R24" s="54"/>
    </row>
    <row r="25" spans="1:18" ht="42.75" x14ac:dyDescent="0.45">
      <c r="A25" s="97"/>
      <c r="B25" t="s">
        <v>628</v>
      </c>
      <c r="C25" t="s">
        <v>629</v>
      </c>
      <c r="D25" s="58">
        <v>45110</v>
      </c>
      <c r="E25" t="s">
        <v>570</v>
      </c>
      <c r="F25" s="3">
        <v>327.29999700000002</v>
      </c>
      <c r="G25" s="3">
        <v>327.29999700000002</v>
      </c>
      <c r="H25" s="3">
        <v>218.19999799999999</v>
      </c>
      <c r="I25" s="66">
        <v>27.3</v>
      </c>
      <c r="J25" s="74">
        <f>I25/H25</f>
        <v>0.12511457493230591</v>
      </c>
      <c r="K25" s="75">
        <f>G25/H25</f>
        <v>1.5000000000000002</v>
      </c>
      <c r="L25" s="75">
        <f>G25/I25</f>
        <v>11.98901087912088</v>
      </c>
      <c r="O25" t="s">
        <v>580</v>
      </c>
      <c r="P25" s="103"/>
      <c r="Q25" s="100" t="s">
        <v>630</v>
      </c>
      <c r="R25" s="54"/>
    </row>
    <row r="26" spans="1:18" ht="42.75" x14ac:dyDescent="0.45">
      <c r="A26" s="97"/>
      <c r="B26" t="s">
        <v>631</v>
      </c>
      <c r="C26" t="s">
        <v>632</v>
      </c>
      <c r="D26" s="58">
        <v>45279</v>
      </c>
      <c r="E26" t="s">
        <v>633</v>
      </c>
      <c r="F26" s="3">
        <v>161.00337099999999</v>
      </c>
      <c r="G26" s="3">
        <v>161.00337099999999</v>
      </c>
      <c r="H26" s="3">
        <v>194.009062</v>
      </c>
      <c r="I26" s="98" t="s">
        <v>69</v>
      </c>
      <c r="J26" s="98" t="s">
        <v>69</v>
      </c>
      <c r="K26" s="75">
        <f>G26/H26</f>
        <v>0.82987551890746214</v>
      </c>
      <c r="L26" s="75" t="e">
        <f>K26/$D$39</f>
        <v>#DIV/0!</v>
      </c>
      <c r="M26" s="54"/>
      <c r="N26" s="74"/>
      <c r="O26" t="s">
        <v>634</v>
      </c>
      <c r="P26" s="103"/>
      <c r="Q26" s="100" t="s">
        <v>635</v>
      </c>
      <c r="R26" s="54"/>
    </row>
    <row r="27" spans="1:18" ht="15.75" x14ac:dyDescent="0.45">
      <c r="A27" s="97"/>
      <c r="D27" s="58"/>
      <c r="F27" s="3"/>
      <c r="G27" s="3"/>
      <c r="H27" s="3"/>
      <c r="I27" s="98"/>
      <c r="J27" s="98"/>
      <c r="K27" s="75"/>
      <c r="L27" s="75"/>
      <c r="M27" s="54"/>
      <c r="N27" s="74"/>
      <c r="P27" s="103"/>
      <c r="Q27" s="100"/>
      <c r="R27" s="54"/>
    </row>
    <row r="28" spans="1:18" ht="15.75" x14ac:dyDescent="0.45">
      <c r="A28" s="97" t="s">
        <v>636</v>
      </c>
      <c r="D28" s="58"/>
      <c r="E28" s="165"/>
      <c r="F28" s="3"/>
      <c r="G28" s="3"/>
      <c r="H28" s="3"/>
      <c r="I28" s="166"/>
      <c r="J28" s="166"/>
      <c r="K28" s="75"/>
      <c r="L28" s="166"/>
      <c r="M28" s="54"/>
      <c r="N28" s="69"/>
      <c r="Q28" s="167"/>
      <c r="R28" s="54"/>
    </row>
    <row r="29" spans="1:18" ht="15.75" x14ac:dyDescent="0.45">
      <c r="A29" s="97"/>
      <c r="D29" s="96"/>
      <c r="J29" s="89"/>
      <c r="K29" s="99"/>
      <c r="L29" s="99"/>
      <c r="Q29" s="167"/>
      <c r="R29" s="54"/>
    </row>
    <row r="30" spans="1:18" ht="15.75" x14ac:dyDescent="0.45">
      <c r="A30" s="97"/>
      <c r="D30" s="96"/>
      <c r="J30" s="89"/>
      <c r="K30" s="99"/>
      <c r="L30" s="99"/>
      <c r="Q30" s="167"/>
      <c r="R30" s="54"/>
    </row>
    <row r="31" spans="1:18" ht="15.75" x14ac:dyDescent="0.45">
      <c r="A31" s="97"/>
      <c r="D31" s="96"/>
      <c r="I31" s="98"/>
      <c r="J31" s="101"/>
      <c r="K31" s="99"/>
      <c r="L31" s="99"/>
      <c r="Q31" s="167"/>
      <c r="R31" s="54"/>
    </row>
    <row r="32" spans="1:18" ht="15.75" x14ac:dyDescent="0.45">
      <c r="A32" s="97"/>
      <c r="D32" s="96"/>
      <c r="I32" s="98"/>
      <c r="J32" s="98"/>
      <c r="K32" s="99"/>
      <c r="L32" s="99"/>
      <c r="Q32" s="167"/>
      <c r="R32" s="54"/>
    </row>
    <row r="33" spans="1:18" ht="15.75" x14ac:dyDescent="0.45">
      <c r="A33" s="97"/>
      <c r="D33" s="58"/>
      <c r="E33" s="165"/>
      <c r="F33" s="3"/>
      <c r="G33" s="3"/>
      <c r="H33" s="3"/>
      <c r="I33" s="166"/>
      <c r="J33" s="166"/>
      <c r="K33" s="75"/>
      <c r="L33" s="166"/>
      <c r="M33" s="54"/>
      <c r="N33" s="69"/>
      <c r="Q33" s="167"/>
      <c r="R33" s="54"/>
    </row>
    <row r="34" spans="1:18" x14ac:dyDescent="0.45">
      <c r="A34" s="95"/>
      <c r="B34" s="95"/>
      <c r="C34" s="95"/>
      <c r="D34" s="95" t="s">
        <v>637</v>
      </c>
      <c r="E34" s="95"/>
      <c r="H34" s="54"/>
      <c r="I34" s="54"/>
      <c r="J34" s="54"/>
      <c r="K34" s="54"/>
      <c r="L34" s="54"/>
      <c r="M34" s="54"/>
      <c r="N34" s="54"/>
      <c r="O34" s="54"/>
      <c r="P34" s="54"/>
      <c r="Q34" s="167"/>
      <c r="R34" s="54"/>
    </row>
    <row r="35" spans="1:18" x14ac:dyDescent="0.45">
      <c r="A35" s="95"/>
      <c r="B35" s="95"/>
      <c r="C35" s="95"/>
      <c r="D35" s="168">
        <f>'Red Bull Model'!F3</f>
        <v>45291</v>
      </c>
      <c r="E35" s="95"/>
      <c r="H35" s="54"/>
      <c r="I35" s="54"/>
      <c r="J35" s="54"/>
      <c r="K35" s="54"/>
      <c r="L35" s="54"/>
      <c r="M35" s="54"/>
      <c r="N35" s="54"/>
      <c r="O35" s="54"/>
      <c r="P35" s="54"/>
      <c r="Q35" s="54"/>
      <c r="R35" s="54"/>
    </row>
    <row r="37" spans="1:18" x14ac:dyDescent="0.45">
      <c r="B37" t="s">
        <v>638</v>
      </c>
    </row>
    <row r="38" spans="1:18" ht="15.75" x14ac:dyDescent="0.45">
      <c r="A38" s="21"/>
      <c r="B38" t="s">
        <v>639</v>
      </c>
    </row>
    <row r="39" spans="1:18" ht="15.75" x14ac:dyDescent="0.45">
      <c r="A39" s="21"/>
      <c r="B39" t="s">
        <v>640</v>
      </c>
      <c r="D39" s="74"/>
    </row>
    <row r="40" spans="1:18" ht="15.75" x14ac:dyDescent="0.45">
      <c r="A40" s="21"/>
    </row>
    <row r="41" spans="1:18" ht="15.75" x14ac:dyDescent="0.45">
      <c r="A41" s="21"/>
      <c r="D41" s="98" t="s">
        <v>641</v>
      </c>
      <c r="E41" s="98" t="s">
        <v>642</v>
      </c>
      <c r="F41" s="98" t="s">
        <v>453</v>
      </c>
    </row>
    <row r="42" spans="1:18" ht="15.75" x14ac:dyDescent="0.45">
      <c r="A42" s="21"/>
      <c r="B42" t="s">
        <v>643</v>
      </c>
      <c r="D42" s="102"/>
      <c r="E42" s="102"/>
      <c r="F42" s="75"/>
    </row>
    <row r="43" spans="1:18" ht="15.75" x14ac:dyDescent="0.45">
      <c r="A43" s="21"/>
      <c r="B43" t="s">
        <v>457</v>
      </c>
    </row>
    <row r="44" spans="1:18" ht="15.75" x14ac:dyDescent="0.45">
      <c r="A44" s="21"/>
    </row>
    <row r="45" spans="1:18" ht="15.75" x14ac:dyDescent="0.45">
      <c r="A45" s="21" t="s">
        <v>147</v>
      </c>
    </row>
    <row r="46" spans="1:18" ht="15.75" x14ac:dyDescent="0.45">
      <c r="A46" s="21"/>
    </row>
    <row r="47" spans="1:18" ht="15.75" x14ac:dyDescent="0.45">
      <c r="A47" s="21"/>
    </row>
    <row r="48" spans="1:18" ht="15.75" x14ac:dyDescent="0.45">
      <c r="A48" s="21"/>
    </row>
    <row r="49" spans="1:1" ht="15.75" x14ac:dyDescent="0.45">
      <c r="A49" s="21"/>
    </row>
    <row r="50" spans="1:1" ht="15.75" x14ac:dyDescent="0.45">
      <c r="A50" s="21"/>
    </row>
    <row r="51" spans="1:1" ht="15.75" x14ac:dyDescent="0.45">
      <c r="A51" s="21"/>
    </row>
    <row r="52" spans="1:1" ht="15.75" x14ac:dyDescent="0.45">
      <c r="A52" s="21"/>
    </row>
  </sheetData>
  <printOptions headings="1" gridLines="1"/>
  <pageMargins left="0.25" right="0.25" top="0.75" bottom="0.75" header="0.3" footer="0.3"/>
  <pageSetup paperSize="9" scale="44" fitToHeight="0" orientation="landscape" r:id="rId1"/>
  <headerFooter>
    <oddHeader>&amp;R&amp;F  &amp;A</oddHeader>
    <oddFooter>&amp;L© 2016&amp;CPage &amp;P of</oddFooter>
  </headerFooter>
  <rowBreaks count="1" manualBreakCount="1">
    <brk id="14" max="16"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pageSetUpPr fitToPage="1"/>
  </sheetPr>
  <dimension ref="A1:M42"/>
  <sheetViews>
    <sheetView zoomScaleNormal="100" zoomScaleSheetLayoutView="85" workbookViewId="0">
      <pane xSplit="2" ySplit="3" topLeftCell="C4" activePane="bottomRight" state="frozen"/>
      <selection pane="topRight" sqref="A1:N1"/>
      <selection pane="bottomLeft" sqref="A1:N1"/>
      <selection pane="bottomRight" activeCell="C4" sqref="C4"/>
    </sheetView>
  </sheetViews>
  <sheetFormatPr defaultColWidth="12.59765625" defaultRowHeight="15" customHeight="1" x14ac:dyDescent="0.45"/>
  <cols>
    <col min="1" max="1" width="1.59765625" customWidth="1"/>
    <col min="2" max="2" width="40.59765625" customWidth="1"/>
    <col min="3" max="13" width="10.265625" customWidth="1"/>
  </cols>
  <sheetData>
    <row r="1" spans="1:13" ht="45" customHeight="1" x14ac:dyDescent="0.85">
      <c r="A1" s="83" t="str">
        <f>"Synergy valuation for "&amp;Info!N5</f>
        <v>Synergy valuation for Red Bull</v>
      </c>
      <c r="B1" s="83"/>
      <c r="C1" s="83"/>
      <c r="D1" s="83"/>
      <c r="E1" s="83"/>
      <c r="F1" s="83"/>
      <c r="G1" s="83"/>
      <c r="H1" s="83"/>
      <c r="I1" s="83"/>
      <c r="J1" s="83"/>
      <c r="K1" s="83"/>
      <c r="L1" s="83"/>
      <c r="M1" s="83"/>
    </row>
    <row r="2" spans="1:13" ht="15" customHeight="1" x14ac:dyDescent="0.45">
      <c r="A2" s="95"/>
      <c r="B2" s="95"/>
      <c r="C2" s="95" t="str">
        <f>'Red Bull Model'!C2</f>
        <v>Actual</v>
      </c>
      <c r="D2" s="95" t="str">
        <f>'Red Bull Model'!D2</f>
        <v>Actual</v>
      </c>
      <c r="E2" s="95" t="str">
        <f>'Red Bull Model'!E2</f>
        <v>Actual</v>
      </c>
      <c r="F2" s="95" t="str">
        <f>'Red Bull Model'!F2</f>
        <v>Actual</v>
      </c>
      <c r="G2" s="95" t="str">
        <f>'Red Bull Model'!G2</f>
        <v>Projected</v>
      </c>
      <c r="H2" s="95" t="str">
        <f>'Red Bull Model'!H2</f>
        <v>Projected</v>
      </c>
      <c r="I2" s="95" t="str">
        <f>'Red Bull Model'!I2</f>
        <v>Projected</v>
      </c>
      <c r="J2" s="95"/>
      <c r="K2" s="95"/>
      <c r="L2" s="95"/>
      <c r="M2" s="95"/>
    </row>
    <row r="3" spans="1:13" ht="15" customHeight="1" x14ac:dyDescent="0.45">
      <c r="A3" s="95"/>
      <c r="B3" s="95"/>
      <c r="C3" s="158">
        <f>'Red Bull Model'!C3</f>
        <v>44196</v>
      </c>
      <c r="D3" s="158">
        <f t="shared" ref="D3:I3" si="0">EDATE(C3,12)</f>
        <v>44561</v>
      </c>
      <c r="E3" s="158">
        <f t="shared" si="0"/>
        <v>44926</v>
      </c>
      <c r="F3" s="158">
        <f t="shared" si="0"/>
        <v>45291</v>
      </c>
      <c r="G3" s="158">
        <f t="shared" si="0"/>
        <v>45657</v>
      </c>
      <c r="H3" s="158">
        <f t="shared" si="0"/>
        <v>46022</v>
      </c>
      <c r="I3" s="158">
        <f t="shared" si="0"/>
        <v>46387</v>
      </c>
      <c r="J3" s="158"/>
      <c r="K3" s="158"/>
      <c r="L3" s="158"/>
      <c r="M3" s="158"/>
    </row>
    <row r="4" spans="1:13" ht="15" customHeight="1" x14ac:dyDescent="0.45">
      <c r="A4" t="s">
        <v>164</v>
      </c>
      <c r="C4" s="54"/>
      <c r="D4" s="54"/>
      <c r="E4" s="54"/>
      <c r="F4" s="54"/>
      <c r="G4" s="54"/>
      <c r="H4" s="54"/>
      <c r="I4" s="54"/>
      <c r="J4" s="54"/>
      <c r="K4" s="54"/>
      <c r="L4" s="54"/>
      <c r="M4" s="54"/>
    </row>
    <row r="5" spans="1:13" ht="15" customHeight="1" x14ac:dyDescent="0.45">
      <c r="A5" s="85"/>
      <c r="C5" s="54"/>
      <c r="D5" s="54"/>
      <c r="E5" s="54"/>
      <c r="F5" s="54"/>
      <c r="G5" s="54"/>
      <c r="H5" s="54"/>
      <c r="I5" s="54"/>
      <c r="J5" s="54"/>
      <c r="K5" s="54"/>
      <c r="L5" s="54"/>
      <c r="M5" s="54"/>
    </row>
    <row r="6" spans="1:13" ht="15" customHeight="1" x14ac:dyDescent="0.45">
      <c r="A6" s="85"/>
      <c r="B6" t="s">
        <v>178</v>
      </c>
      <c r="C6" s="54"/>
      <c r="D6" s="54"/>
      <c r="E6" s="155"/>
      <c r="F6" s="74"/>
      <c r="I6" s="54"/>
      <c r="J6" s="54"/>
      <c r="K6" s="54"/>
      <c r="L6" s="54"/>
      <c r="M6" s="54"/>
    </row>
    <row r="7" spans="1:13" ht="15" customHeight="1" x14ac:dyDescent="0.45">
      <c r="A7" s="85"/>
      <c r="B7" t="s">
        <v>513</v>
      </c>
      <c r="C7" s="54"/>
      <c r="D7" s="54"/>
      <c r="E7" s="155"/>
      <c r="F7" s="74"/>
      <c r="I7" s="54"/>
      <c r="J7" s="54"/>
      <c r="K7" s="54"/>
      <c r="L7" s="54"/>
      <c r="M7" s="54"/>
    </row>
    <row r="8" spans="1:13" ht="15" customHeight="1" x14ac:dyDescent="0.45">
      <c r="A8" s="85"/>
      <c r="C8" s="54"/>
      <c r="D8" s="54"/>
      <c r="E8" s="54"/>
      <c r="F8" s="54"/>
      <c r="G8" s="54"/>
      <c r="I8" s="54"/>
      <c r="J8" s="54"/>
      <c r="K8" s="54"/>
      <c r="L8" s="54"/>
      <c r="M8" s="54"/>
    </row>
    <row r="9" spans="1:13" ht="15" customHeight="1" x14ac:dyDescent="0.45">
      <c r="A9" s="85"/>
      <c r="B9" t="s">
        <v>644</v>
      </c>
      <c r="C9" s="54"/>
      <c r="D9" s="54"/>
      <c r="I9" s="54"/>
      <c r="J9" s="54"/>
      <c r="K9" s="54"/>
      <c r="L9" s="54"/>
      <c r="M9" s="54"/>
    </row>
    <row r="10" spans="1:13" ht="15" customHeight="1" x14ac:dyDescent="0.45">
      <c r="A10" s="85"/>
      <c r="B10" t="s">
        <v>645</v>
      </c>
      <c r="C10" s="54"/>
      <c r="D10" s="54"/>
      <c r="F10" s="74"/>
      <c r="I10" s="54"/>
      <c r="J10" s="54"/>
      <c r="K10" s="54"/>
      <c r="L10" s="54"/>
      <c r="M10" s="54"/>
    </row>
    <row r="11" spans="1:13" ht="15" customHeight="1" x14ac:dyDescent="0.45">
      <c r="A11" s="85"/>
      <c r="C11" s="54"/>
      <c r="D11" s="54"/>
      <c r="F11" s="54"/>
      <c r="G11" s="54"/>
      <c r="I11" s="54"/>
      <c r="J11" s="54"/>
      <c r="K11" s="54"/>
      <c r="L11" s="54"/>
      <c r="M11" s="54"/>
    </row>
    <row r="12" spans="1:13" ht="15" customHeight="1" x14ac:dyDescent="0.45">
      <c r="A12" s="85" t="s">
        <v>646</v>
      </c>
      <c r="C12" s="54"/>
      <c r="D12" s="54"/>
      <c r="F12" s="54"/>
      <c r="G12" s="54"/>
      <c r="H12" s="54"/>
      <c r="I12" s="54"/>
      <c r="J12" s="54"/>
      <c r="K12" s="54"/>
      <c r="L12" s="54"/>
      <c r="M12" s="54"/>
    </row>
    <row r="13" spans="1:13" ht="15" customHeight="1" x14ac:dyDescent="0.45">
      <c r="A13" s="85"/>
      <c r="B13" t="s">
        <v>647</v>
      </c>
      <c r="C13" s="54"/>
      <c r="D13" s="54"/>
      <c r="F13" s="54"/>
      <c r="K13" s="54"/>
      <c r="L13" s="54"/>
      <c r="M13" s="54"/>
    </row>
    <row r="14" spans="1:13" ht="15" customHeight="1" x14ac:dyDescent="0.45">
      <c r="A14" s="85"/>
      <c r="B14" t="s">
        <v>648</v>
      </c>
      <c r="C14" s="54"/>
      <c r="D14" s="54"/>
      <c r="F14" s="54"/>
      <c r="G14" s="71">
        <v>0.2</v>
      </c>
      <c r="H14" s="71">
        <v>0.5</v>
      </c>
      <c r="I14" s="71">
        <v>1</v>
      </c>
      <c r="J14" s="54"/>
      <c r="K14" s="54"/>
      <c r="L14" s="54"/>
      <c r="M14" s="54"/>
    </row>
    <row r="15" spans="1:13" ht="15" customHeight="1" x14ac:dyDescent="0.45">
      <c r="A15" s="85"/>
      <c r="B15" t="s">
        <v>649</v>
      </c>
      <c r="C15" s="54"/>
      <c r="D15" s="54"/>
      <c r="F15" s="54"/>
      <c r="L15" s="54"/>
      <c r="M15" s="54"/>
    </row>
    <row r="16" spans="1:13" ht="15" customHeight="1" x14ac:dyDescent="0.45">
      <c r="A16" s="85"/>
      <c r="B16" t="s">
        <v>650</v>
      </c>
      <c r="C16" s="54"/>
      <c r="D16" s="54"/>
      <c r="F16" s="54"/>
      <c r="L16" s="54"/>
      <c r="M16" s="54"/>
    </row>
    <row r="17" spans="1:13" ht="15" customHeight="1" x14ac:dyDescent="0.45">
      <c r="A17" s="85"/>
      <c r="B17" t="s">
        <v>651</v>
      </c>
      <c r="C17" s="54"/>
      <c r="D17" s="54"/>
      <c r="F17" s="74"/>
      <c r="H17" s="54"/>
      <c r="I17" s="54"/>
      <c r="L17" s="54"/>
      <c r="M17" s="54"/>
    </row>
    <row r="18" spans="1:13" ht="15" customHeight="1" x14ac:dyDescent="0.45">
      <c r="A18" s="85"/>
      <c r="B18" t="s">
        <v>652</v>
      </c>
      <c r="C18" s="54"/>
      <c r="D18" s="54"/>
      <c r="F18" s="68">
        <v>0.02</v>
      </c>
      <c r="G18" s="54"/>
      <c r="H18" s="54"/>
      <c r="I18" s="54"/>
      <c r="J18" s="54"/>
      <c r="L18" s="54"/>
      <c r="M18" s="54"/>
    </row>
    <row r="19" spans="1:13" ht="15" customHeight="1" x14ac:dyDescent="0.45">
      <c r="A19" s="85"/>
      <c r="B19" t="s">
        <v>511</v>
      </c>
      <c r="C19" s="54"/>
      <c r="D19" s="54"/>
      <c r="G19" s="54"/>
      <c r="H19" s="54"/>
      <c r="L19" s="54"/>
      <c r="M19" s="182"/>
    </row>
    <row r="20" spans="1:13" ht="15" customHeight="1" x14ac:dyDescent="0.45">
      <c r="A20" s="85"/>
      <c r="C20" s="54"/>
      <c r="D20" s="54"/>
      <c r="F20" s="54"/>
      <c r="G20" s="54"/>
      <c r="H20" s="54"/>
      <c r="I20" s="54"/>
      <c r="J20" s="54"/>
      <c r="L20" s="54"/>
      <c r="M20" s="54"/>
    </row>
    <row r="21" spans="1:13" ht="15" customHeight="1" x14ac:dyDescent="0.45">
      <c r="A21" s="85"/>
      <c r="B21" t="s">
        <v>517</v>
      </c>
      <c r="C21" s="54"/>
      <c r="D21" s="54"/>
      <c r="F21" s="54"/>
      <c r="G21" s="66">
        <v>0.5</v>
      </c>
      <c r="K21" s="54"/>
      <c r="L21" s="54"/>
      <c r="M21" s="54"/>
    </row>
    <row r="22" spans="1:13" ht="15" customHeight="1" x14ac:dyDescent="0.45">
      <c r="A22" s="85"/>
      <c r="B22" t="s">
        <v>518</v>
      </c>
      <c r="C22" s="54"/>
      <c r="D22" s="54"/>
      <c r="F22" s="155"/>
      <c r="G22" s="74"/>
      <c r="H22" s="74"/>
      <c r="I22" s="74"/>
      <c r="K22" s="54"/>
      <c r="L22" s="54"/>
      <c r="M22" s="54"/>
    </row>
    <row r="23" spans="1:13" ht="15" customHeight="1" x14ac:dyDescent="0.45">
      <c r="A23" s="85"/>
      <c r="B23" t="s">
        <v>653</v>
      </c>
      <c r="C23" s="54"/>
      <c r="D23" s="54"/>
      <c r="K23" s="54"/>
      <c r="L23" s="54"/>
      <c r="M23" s="54"/>
    </row>
    <row r="24" spans="1:13" ht="15" customHeight="1" x14ac:dyDescent="0.45">
      <c r="A24" s="85"/>
      <c r="B24" t="s">
        <v>654</v>
      </c>
      <c r="C24" s="54"/>
      <c r="D24" s="54"/>
      <c r="H24" s="54"/>
      <c r="I24" s="54"/>
      <c r="J24" s="54"/>
      <c r="K24" s="54"/>
      <c r="L24" s="54"/>
      <c r="M24" s="54"/>
    </row>
    <row r="25" spans="1:13" ht="15" customHeight="1" x14ac:dyDescent="0.45">
      <c r="A25" s="85"/>
      <c r="B25" t="s">
        <v>521</v>
      </c>
      <c r="C25" s="54"/>
      <c r="D25" s="54"/>
      <c r="H25" s="54"/>
      <c r="I25" s="54"/>
      <c r="J25" s="54"/>
      <c r="K25" s="54"/>
      <c r="L25" s="54"/>
      <c r="M25" s="54"/>
    </row>
    <row r="26" spans="1:13" ht="15" customHeight="1" x14ac:dyDescent="0.45">
      <c r="A26" s="85"/>
      <c r="B26" t="s">
        <v>655</v>
      </c>
      <c r="C26" s="54"/>
      <c r="D26" s="54"/>
      <c r="H26" s="54"/>
      <c r="I26" s="54"/>
      <c r="J26" s="54"/>
      <c r="K26" s="54"/>
      <c r="L26" s="54"/>
      <c r="M26" s="54"/>
    </row>
    <row r="27" spans="1:13" ht="15" customHeight="1" x14ac:dyDescent="0.45">
      <c r="A27" s="85"/>
      <c r="C27" s="54"/>
      <c r="D27" s="54"/>
      <c r="F27" s="54"/>
      <c r="G27" s="54"/>
      <c r="H27" s="54"/>
      <c r="I27" s="54"/>
      <c r="J27" s="54"/>
      <c r="K27" s="54"/>
      <c r="L27" s="54"/>
      <c r="M27" s="54"/>
    </row>
    <row r="28" spans="1:13" ht="15" customHeight="1" x14ac:dyDescent="0.45">
      <c r="A28" s="85" t="s">
        <v>147</v>
      </c>
      <c r="C28" s="54"/>
      <c r="D28" s="54"/>
      <c r="E28" s="54"/>
      <c r="F28" s="54"/>
      <c r="G28" s="54"/>
      <c r="H28" s="54"/>
      <c r="I28" s="54"/>
      <c r="J28" s="54"/>
      <c r="K28" s="54"/>
      <c r="L28" s="54"/>
      <c r="M28" s="54"/>
    </row>
    <row r="29" spans="1:13" ht="15.75" customHeight="1" x14ac:dyDescent="0.45">
      <c r="A29" s="97"/>
    </row>
    <row r="30" spans="1:13" ht="15" customHeight="1" x14ac:dyDescent="0.45">
      <c r="A30" s="97"/>
    </row>
    <row r="31" spans="1:13" ht="15" customHeight="1" x14ac:dyDescent="0.45">
      <c r="A31" s="97"/>
    </row>
    <row r="32" spans="1:13" ht="15" customHeight="1" x14ac:dyDescent="0.45">
      <c r="A32" s="97"/>
    </row>
    <row r="33" spans="1:1" ht="15" customHeight="1" x14ac:dyDescent="0.45">
      <c r="A33" s="97"/>
    </row>
    <row r="34" spans="1:1" ht="15" customHeight="1" x14ac:dyDescent="0.45">
      <c r="A34" s="85"/>
    </row>
    <row r="35" spans="1:1" ht="15" customHeight="1" x14ac:dyDescent="0.45">
      <c r="A35" s="85"/>
    </row>
    <row r="36" spans="1:1" ht="15" customHeight="1" x14ac:dyDescent="0.45">
      <c r="A36" s="85"/>
    </row>
    <row r="37" spans="1:1" ht="15" customHeight="1" x14ac:dyDescent="0.45">
      <c r="A37" s="85"/>
    </row>
    <row r="38" spans="1:1" ht="15" customHeight="1" x14ac:dyDescent="0.45">
      <c r="A38" s="85"/>
    </row>
    <row r="39" spans="1:1" ht="15" customHeight="1" x14ac:dyDescent="0.45">
      <c r="A39" s="85"/>
    </row>
    <row r="40" spans="1:1" ht="15" customHeight="1" x14ac:dyDescent="0.45">
      <c r="A40" s="85"/>
    </row>
    <row r="41" spans="1:1" ht="15" customHeight="1" x14ac:dyDescent="0.45">
      <c r="A41" s="85"/>
    </row>
    <row r="42" spans="1:1" ht="15" customHeight="1" x14ac:dyDescent="0.45">
      <c r="A42" s="85"/>
    </row>
  </sheetData>
  <printOptions gridLines="1"/>
  <pageMargins left="0.70866141732283472" right="0.70866141732283472" top="0.74803149606299213" bottom="0.74803149606299213" header="0" footer="0"/>
  <pageSetup paperSize="9" scale="84" orientation="landscape" r:id="rId1"/>
  <headerFooter>
    <oddHeader>&amp;R&amp;F  &amp;A</oddHeader>
    <oddFooter>&amp;L© 2016&amp;CPage &amp;P of</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pageSetUpPr fitToPage="1"/>
  </sheetPr>
  <dimension ref="A1:M78"/>
  <sheetViews>
    <sheetView zoomScaleNormal="100" zoomScaleSheetLayoutView="85" workbookViewId="0"/>
  </sheetViews>
  <sheetFormatPr defaultColWidth="12.59765625" defaultRowHeight="15" customHeight="1" x14ac:dyDescent="0.45"/>
  <cols>
    <col min="1" max="1" width="1.59765625" customWidth="1"/>
    <col min="2" max="2" width="40.59765625" customWidth="1"/>
    <col min="3" max="4" width="27.265625" bestFit="1" customWidth="1"/>
    <col min="5" max="5" width="24" customWidth="1"/>
    <col min="6" max="13" width="10.265625" customWidth="1"/>
  </cols>
  <sheetData>
    <row r="1" spans="1:13" ht="45" customHeight="1" x14ac:dyDescent="0.85">
      <c r="A1" s="83" t="s">
        <v>656</v>
      </c>
      <c r="B1" s="83"/>
      <c r="C1" s="83"/>
      <c r="D1" s="83"/>
      <c r="E1" s="83"/>
      <c r="F1" s="83"/>
      <c r="G1" s="83"/>
      <c r="H1" s="83"/>
      <c r="I1" s="83"/>
      <c r="J1" s="83"/>
      <c r="K1" s="83"/>
      <c r="L1" s="83"/>
      <c r="M1" s="83"/>
    </row>
    <row r="2" spans="1:13" ht="15" customHeight="1" x14ac:dyDescent="0.45">
      <c r="A2" t="s">
        <v>657</v>
      </c>
      <c r="L2" s="54"/>
      <c r="M2" s="54"/>
    </row>
    <row r="3" spans="1:13" ht="15" customHeight="1" x14ac:dyDescent="0.45">
      <c r="A3" s="21"/>
      <c r="L3" s="54"/>
      <c r="M3" s="54"/>
    </row>
    <row r="4" spans="1:13" ht="15" customHeight="1" x14ac:dyDescent="0.45">
      <c r="A4" s="21" t="s">
        <v>298</v>
      </c>
      <c r="L4" s="54"/>
      <c r="M4" s="54"/>
    </row>
    <row r="5" spans="1:13" ht="15" customHeight="1" x14ac:dyDescent="0.45">
      <c r="A5" s="21"/>
      <c r="B5" t="s">
        <v>105</v>
      </c>
      <c r="L5" s="54"/>
      <c r="M5" s="54"/>
    </row>
    <row r="6" spans="1:13" ht="15" customHeight="1" x14ac:dyDescent="0.45">
      <c r="A6" s="21"/>
      <c r="B6" t="s">
        <v>108</v>
      </c>
      <c r="L6" s="54"/>
      <c r="M6" s="54"/>
    </row>
    <row r="7" spans="1:13" ht="15" customHeight="1" x14ac:dyDescent="0.45">
      <c r="A7" s="21"/>
      <c r="L7" s="54"/>
      <c r="M7" s="54"/>
    </row>
    <row r="8" spans="1:13" ht="15" customHeight="1" x14ac:dyDescent="0.45">
      <c r="A8" s="21"/>
      <c r="C8" s="98" t="s">
        <v>637</v>
      </c>
      <c r="D8" s="98" t="s">
        <v>658</v>
      </c>
      <c r="E8" s="98" t="s">
        <v>659</v>
      </c>
      <c r="L8" s="54"/>
      <c r="M8" s="54"/>
    </row>
    <row r="9" spans="1:13" ht="15" customHeight="1" x14ac:dyDescent="0.45">
      <c r="A9" s="21"/>
      <c r="C9" s="226">
        <f>YEAR('Red Bull Model'!F3)</f>
        <v>2023</v>
      </c>
      <c r="D9" s="226">
        <f>YEAR('Red Bull Model'!G3)</f>
        <v>2024</v>
      </c>
      <c r="E9" s="226">
        <f>YEAR('Red Bull Model'!H3)</f>
        <v>2025</v>
      </c>
      <c r="L9" s="54"/>
      <c r="M9" s="54"/>
    </row>
    <row r="10" spans="1:13" ht="15" customHeight="1" x14ac:dyDescent="0.45">
      <c r="A10" s="21"/>
      <c r="B10" t="s">
        <v>198</v>
      </c>
      <c r="L10" s="54"/>
      <c r="M10" s="54"/>
    </row>
    <row r="11" spans="1:13" ht="15" customHeight="1" x14ac:dyDescent="0.45">
      <c r="A11" s="21"/>
      <c r="B11" t="s">
        <v>65</v>
      </c>
      <c r="L11" s="54"/>
      <c r="M11" s="54"/>
    </row>
    <row r="12" spans="1:13" ht="15" customHeight="1" x14ac:dyDescent="0.45">
      <c r="A12" s="21"/>
      <c r="L12" s="54"/>
      <c r="M12" s="54"/>
    </row>
    <row r="13" spans="1:13" ht="15" customHeight="1" x14ac:dyDescent="0.45">
      <c r="A13" s="21" t="s">
        <v>254</v>
      </c>
      <c r="L13" s="54"/>
      <c r="M13" s="54"/>
    </row>
    <row r="14" spans="1:13" ht="15" customHeight="1" x14ac:dyDescent="0.45">
      <c r="A14" s="21"/>
      <c r="C14" s="98" t="s">
        <v>641</v>
      </c>
      <c r="D14" s="98" t="s">
        <v>642</v>
      </c>
      <c r="L14" s="54"/>
      <c r="M14" s="54"/>
    </row>
    <row r="15" spans="1:13" ht="15" customHeight="1" x14ac:dyDescent="0.45">
      <c r="A15" s="21"/>
      <c r="C15" s="98"/>
      <c r="D15" s="98"/>
      <c r="L15" s="54"/>
      <c r="M15" s="54"/>
    </row>
    <row r="16" spans="1:13" ht="15" customHeight="1" x14ac:dyDescent="0.45">
      <c r="A16" s="21"/>
      <c r="B16" t="s">
        <v>660</v>
      </c>
      <c r="C16" s="75"/>
      <c r="D16" s="75"/>
      <c r="L16" s="54"/>
      <c r="M16" s="54"/>
    </row>
    <row r="17" spans="1:13" ht="15" customHeight="1" x14ac:dyDescent="0.45">
      <c r="A17" s="21"/>
      <c r="B17" t="s">
        <v>457</v>
      </c>
      <c r="L17" s="54"/>
      <c r="M17" s="54"/>
    </row>
    <row r="18" spans="1:13" ht="15" customHeight="1" x14ac:dyDescent="0.45">
      <c r="A18" s="21"/>
      <c r="L18" s="54"/>
      <c r="M18" s="54"/>
    </row>
    <row r="19" spans="1:13" ht="15" customHeight="1" x14ac:dyDescent="0.45">
      <c r="A19" s="21"/>
      <c r="C19" s="98" t="s">
        <v>641</v>
      </c>
      <c r="D19" s="98" t="s">
        <v>642</v>
      </c>
      <c r="L19" s="54"/>
      <c r="M19" s="54"/>
    </row>
    <row r="20" spans="1:13" ht="15" customHeight="1" x14ac:dyDescent="0.45">
      <c r="A20" s="21"/>
      <c r="C20" s="98"/>
      <c r="D20" s="98"/>
      <c r="L20" s="54"/>
      <c r="M20" s="54"/>
    </row>
    <row r="21" spans="1:13" ht="15" customHeight="1" x14ac:dyDescent="0.45">
      <c r="A21" s="21"/>
      <c r="B21" t="s">
        <v>661</v>
      </c>
      <c r="C21" s="75"/>
      <c r="D21" s="75"/>
      <c r="L21" s="54"/>
      <c r="M21" s="54"/>
    </row>
    <row r="22" spans="1:13" ht="15" customHeight="1" x14ac:dyDescent="0.45">
      <c r="A22" s="21"/>
      <c r="B22" t="s">
        <v>457</v>
      </c>
      <c r="L22" s="54"/>
      <c r="M22" s="54"/>
    </row>
    <row r="23" spans="1:13" ht="15.75" customHeight="1" x14ac:dyDescent="0.45">
      <c r="A23" s="21"/>
      <c r="L23" s="54"/>
      <c r="M23" s="54"/>
    </row>
    <row r="24" spans="1:13" ht="15" customHeight="1" x14ac:dyDescent="0.45">
      <c r="A24" s="21" t="s">
        <v>662</v>
      </c>
      <c r="L24" s="54"/>
      <c r="M24" s="54"/>
    </row>
    <row r="25" spans="1:13" ht="15" customHeight="1" x14ac:dyDescent="0.45">
      <c r="A25" s="21"/>
      <c r="C25" s="98" t="s">
        <v>641</v>
      </c>
      <c r="D25" s="98" t="s">
        <v>642</v>
      </c>
      <c r="L25" s="54"/>
      <c r="M25" s="54"/>
    </row>
    <row r="26" spans="1:13" ht="15" customHeight="1" x14ac:dyDescent="0.45">
      <c r="A26" s="21"/>
      <c r="C26" t="str">
        <f ca="1">"WACC "&amp;TEXT(DCF!$E$57,"0.0%")&amp;" and LT growth "&amp;TEXT(DCF!$G$55,"0.0%")</f>
        <v>WACC 6.6% and LT growth 2.5%</v>
      </c>
      <c r="D26" t="str">
        <f ca="1">"WACC "&amp;TEXT(DCF!$E$59,"0.0%")&amp;" and LT growth "&amp;TEXT(DCF!$I$55,"0.0%")</f>
        <v>WACC 6.4% and LT growth 2.7%</v>
      </c>
      <c r="L26" s="54"/>
      <c r="M26" s="54"/>
    </row>
    <row r="27" spans="1:13" ht="15" customHeight="1" x14ac:dyDescent="0.45">
      <c r="A27" s="21"/>
      <c r="B27" t="s">
        <v>457</v>
      </c>
      <c r="L27" s="54"/>
      <c r="M27" s="54"/>
    </row>
    <row r="28" spans="1:13" ht="15" customHeight="1" x14ac:dyDescent="0.45">
      <c r="A28" s="21"/>
      <c r="L28" s="54"/>
      <c r="M28" s="54"/>
    </row>
    <row r="29" spans="1:13" ht="15" customHeight="1" x14ac:dyDescent="0.45">
      <c r="A29" s="21"/>
      <c r="B29" t="s">
        <v>663</v>
      </c>
      <c r="C29" s="74"/>
      <c r="D29" s="74"/>
      <c r="L29" s="54"/>
      <c r="M29" s="54"/>
    </row>
    <row r="30" spans="1:13" ht="15" customHeight="1" x14ac:dyDescent="0.45">
      <c r="A30" s="21"/>
      <c r="B30" t="s">
        <v>664</v>
      </c>
      <c r="L30" s="54"/>
      <c r="M30" s="54"/>
    </row>
    <row r="31" spans="1:13" ht="15" customHeight="1" x14ac:dyDescent="0.45">
      <c r="A31" s="21"/>
      <c r="B31" t="s">
        <v>665</v>
      </c>
      <c r="L31" s="54"/>
      <c r="M31" s="54"/>
    </row>
    <row r="32" spans="1:13" ht="15" customHeight="1" x14ac:dyDescent="0.45">
      <c r="A32" s="21"/>
      <c r="L32" s="54"/>
      <c r="M32" s="54"/>
    </row>
    <row r="33" spans="1:13" ht="15" customHeight="1" x14ac:dyDescent="0.45">
      <c r="A33" s="21" t="s">
        <v>666</v>
      </c>
      <c r="L33" s="54"/>
      <c r="M33" s="54"/>
    </row>
    <row r="34" spans="1:13" ht="15" customHeight="1" x14ac:dyDescent="0.45">
      <c r="A34" s="21"/>
      <c r="C34" s="98" t="s">
        <v>667</v>
      </c>
      <c r="D34" s="98" t="s">
        <v>642</v>
      </c>
      <c r="L34" s="54"/>
      <c r="M34" s="54"/>
    </row>
    <row r="35" spans="1:13" ht="15" customHeight="1" x14ac:dyDescent="0.45">
      <c r="A35" s="21"/>
      <c r="B35" t="s">
        <v>643</v>
      </c>
      <c r="C35" s="75"/>
      <c r="D35" s="75"/>
      <c r="L35" s="54"/>
      <c r="M35" s="54"/>
    </row>
    <row r="36" spans="1:13" ht="15" customHeight="1" x14ac:dyDescent="0.45">
      <c r="A36" s="21"/>
      <c r="B36" t="s">
        <v>457</v>
      </c>
      <c r="L36" s="54"/>
      <c r="M36" s="54"/>
    </row>
    <row r="37" spans="1:13" ht="15" customHeight="1" x14ac:dyDescent="0.45">
      <c r="A37" s="21"/>
      <c r="L37" s="54"/>
      <c r="M37" s="54"/>
    </row>
    <row r="38" spans="1:13" ht="15" customHeight="1" x14ac:dyDescent="0.45">
      <c r="A38" s="21" t="s">
        <v>18</v>
      </c>
      <c r="L38" s="54"/>
      <c r="M38" s="54"/>
    </row>
    <row r="39" spans="1:13" ht="15" customHeight="1" x14ac:dyDescent="0.45">
      <c r="A39" s="21"/>
      <c r="B39" t="s">
        <v>668</v>
      </c>
      <c r="C39" s="22">
        <v>0.22</v>
      </c>
      <c r="D39" s="22">
        <v>0.2</v>
      </c>
      <c r="L39" s="54"/>
      <c r="M39" s="54"/>
    </row>
    <row r="40" spans="1:13" ht="15" customHeight="1" x14ac:dyDescent="0.45">
      <c r="A40" s="21"/>
      <c r="B40" t="s">
        <v>669</v>
      </c>
      <c r="C40" s="102"/>
      <c r="D40" s="102"/>
      <c r="L40" s="54"/>
      <c r="M40" s="54"/>
    </row>
    <row r="41" spans="1:13" ht="15" customHeight="1" x14ac:dyDescent="0.45">
      <c r="A41" s="21"/>
      <c r="B41" t="s">
        <v>457</v>
      </c>
      <c r="L41" s="54"/>
      <c r="M41" s="54"/>
    </row>
    <row r="42" spans="1:13" ht="15" customHeight="1" x14ac:dyDescent="0.45">
      <c r="A42" s="21"/>
      <c r="L42" s="54"/>
      <c r="M42" s="54"/>
    </row>
    <row r="43" spans="1:13" ht="15" customHeight="1" x14ac:dyDescent="0.45">
      <c r="A43" s="21" t="s">
        <v>670</v>
      </c>
      <c r="L43" s="54"/>
      <c r="M43" s="54"/>
    </row>
    <row r="44" spans="1:13" ht="15" customHeight="1" x14ac:dyDescent="0.45">
      <c r="A44" s="21"/>
      <c r="L44" s="54"/>
      <c r="M44" s="54"/>
    </row>
    <row r="45" spans="1:13" ht="15" customHeight="1" x14ac:dyDescent="0.45">
      <c r="A45" s="21"/>
      <c r="B45" t="s">
        <v>671</v>
      </c>
      <c r="C45" s="98" t="s">
        <v>641</v>
      </c>
      <c r="D45" s="98" t="s">
        <v>672</v>
      </c>
      <c r="E45" s="98" t="s">
        <v>642</v>
      </c>
      <c r="L45" s="54"/>
      <c r="M45" s="54"/>
    </row>
    <row r="46" spans="1:13" ht="15" customHeight="1" x14ac:dyDescent="0.45">
      <c r="A46" s="21"/>
      <c r="B46" t="str">
        <f>B16</f>
        <v>EV / CY2 Revenue</v>
      </c>
      <c r="L46" s="54"/>
      <c r="M46" s="54"/>
    </row>
    <row r="47" spans="1:13" ht="15" customHeight="1" x14ac:dyDescent="0.45">
      <c r="A47" s="21"/>
      <c r="B47" t="str">
        <f>B21</f>
        <v>EV / CY2 EBITDA</v>
      </c>
      <c r="L47" s="54"/>
      <c r="M47" s="54"/>
    </row>
    <row r="48" spans="1:13" ht="15" customHeight="1" x14ac:dyDescent="0.45">
      <c r="A48" s="21"/>
      <c r="B48" t="str">
        <f ca="1">A24&amp;" WACC "&amp;TEXT(DCF!E59,"0.0%")&amp;" - "&amp;TEXT(DCF!E57,"0.0%")&amp;", LT growth "&amp;TEXT(DCF!G55,"0.0%")&amp;" - "&amp;TEXT(DCF!I55,"0.0%")</f>
        <v>DCF WACC 6.4% - 6.6%, LT growth 2.5% - 2.7%</v>
      </c>
      <c r="L48" s="54"/>
      <c r="M48" s="54"/>
    </row>
    <row r="49" spans="1:13" ht="15" customHeight="1" x14ac:dyDescent="0.45">
      <c r="A49" s="21"/>
      <c r="B49" t="str">
        <f>A24&amp;" with synergies "&amp;TEXT(C29,"0.0%")&amp;" of revenue"</f>
        <v>DCF with synergies 0.0% of revenue</v>
      </c>
      <c r="L49" s="54"/>
      <c r="M49" s="54"/>
    </row>
    <row r="50" spans="1:13" ht="15" customHeight="1" x14ac:dyDescent="0.45">
      <c r="A50" s="21"/>
      <c r="B50" t="s">
        <v>673</v>
      </c>
      <c r="L50" s="54"/>
      <c r="M50" s="54"/>
    </row>
    <row r="51" spans="1:13" ht="15" customHeight="1" x14ac:dyDescent="0.45">
      <c r="A51" s="21"/>
      <c r="B51" t="str">
        <f>A38&amp;", IRR "&amp;TEXT(D39,"0.0%")&amp;" to "&amp;TEXT(C39,"0.0%")</f>
        <v>LBO, IRR 20.0% to 22.0%</v>
      </c>
      <c r="L51" s="54"/>
      <c r="M51" s="54"/>
    </row>
    <row r="52" spans="1:13" ht="15" customHeight="1" x14ac:dyDescent="0.45">
      <c r="A52" s="21"/>
      <c r="H52" t="s">
        <v>674</v>
      </c>
      <c r="L52" s="54"/>
      <c r="M52" s="54"/>
    </row>
    <row r="53" spans="1:13" ht="15" customHeight="1" x14ac:dyDescent="0.45">
      <c r="A53" s="21"/>
      <c r="H53" s="73" t="s">
        <v>675</v>
      </c>
      <c r="I53" s="73" t="s">
        <v>676</v>
      </c>
      <c r="L53" s="54"/>
      <c r="M53" s="54"/>
    </row>
    <row r="54" spans="1:13" ht="15" customHeight="1" x14ac:dyDescent="0.45">
      <c r="H54" s="3">
        <v>0</v>
      </c>
      <c r="I54" s="3"/>
      <c r="M54" s="54"/>
    </row>
    <row r="55" spans="1:13" ht="15" customHeight="1" x14ac:dyDescent="0.45">
      <c r="A55" s="19"/>
      <c r="H55">
        <f ca="1">COUNTA($B$46:$B$51)</f>
        <v>6</v>
      </c>
      <c r="I55" s="3"/>
      <c r="M55" s="54"/>
    </row>
    <row r="56" spans="1:13" ht="15" customHeight="1" x14ac:dyDescent="0.45">
      <c r="A56" s="19"/>
      <c r="M56" s="54"/>
    </row>
    <row r="57" spans="1:13" ht="15" customHeight="1" x14ac:dyDescent="0.45">
      <c r="A57" s="19"/>
      <c r="H57" s="66">
        <v>0</v>
      </c>
      <c r="I57" s="66"/>
      <c r="M57" s="54"/>
    </row>
    <row r="58" spans="1:13" ht="15" customHeight="1" x14ac:dyDescent="0.45">
      <c r="A58" s="19"/>
      <c r="H58">
        <f ca="1">COUNTA($B$46:$B$51)</f>
        <v>6</v>
      </c>
      <c r="I58" s="66"/>
      <c r="M58" s="54"/>
    </row>
    <row r="59" spans="1:13" ht="15" customHeight="1" x14ac:dyDescent="0.45">
      <c r="A59" s="19"/>
      <c r="L59" s="54"/>
      <c r="M59" s="54"/>
    </row>
    <row r="60" spans="1:13" ht="15" customHeight="1" x14ac:dyDescent="0.45">
      <c r="A60" s="19"/>
      <c r="L60" s="54"/>
      <c r="M60" s="54"/>
    </row>
    <row r="61" spans="1:13" ht="15" customHeight="1" x14ac:dyDescent="0.45">
      <c r="A61" s="19"/>
      <c r="L61" s="54"/>
      <c r="M61" s="54"/>
    </row>
    <row r="62" spans="1:13" ht="15" customHeight="1" x14ac:dyDescent="0.45">
      <c r="A62" s="19"/>
      <c r="L62" s="54"/>
      <c r="M62" s="54"/>
    </row>
    <row r="63" spans="1:13" ht="15" customHeight="1" x14ac:dyDescent="0.45">
      <c r="A63" s="19"/>
      <c r="L63" s="54"/>
      <c r="M63" s="54"/>
    </row>
    <row r="64" spans="1:13" ht="15" customHeight="1" x14ac:dyDescent="0.45">
      <c r="A64" s="19"/>
      <c r="L64" s="54"/>
      <c r="M64" s="54"/>
    </row>
    <row r="65" spans="1:1" ht="15.75" customHeight="1" x14ac:dyDescent="0.45">
      <c r="A65" s="19"/>
    </row>
    <row r="66" spans="1:1" ht="15.75" customHeight="1" x14ac:dyDescent="0.45">
      <c r="A66" s="19"/>
    </row>
    <row r="67" spans="1:1" ht="15.75" customHeight="1" x14ac:dyDescent="0.45">
      <c r="A67" s="19"/>
    </row>
    <row r="68" spans="1:1" ht="15" customHeight="1" x14ac:dyDescent="0.45">
      <c r="A68" s="19"/>
    </row>
    <row r="69" spans="1:1" ht="15" customHeight="1" x14ac:dyDescent="0.45">
      <c r="A69" s="19"/>
    </row>
    <row r="70" spans="1:1" ht="15" customHeight="1" x14ac:dyDescent="0.45">
      <c r="A70" s="19"/>
    </row>
    <row r="71" spans="1:1" ht="15" customHeight="1" x14ac:dyDescent="0.45">
      <c r="A71" s="19"/>
    </row>
    <row r="72" spans="1:1" ht="15" customHeight="1" x14ac:dyDescent="0.45">
      <c r="A72" s="19"/>
    </row>
    <row r="73" spans="1:1" ht="15" customHeight="1" x14ac:dyDescent="0.45">
      <c r="A73" s="19"/>
    </row>
    <row r="74" spans="1:1" ht="15" customHeight="1" x14ac:dyDescent="0.45">
      <c r="A74" s="19"/>
    </row>
    <row r="75" spans="1:1" ht="15" customHeight="1" x14ac:dyDescent="0.45">
      <c r="A75" s="19"/>
    </row>
    <row r="76" spans="1:1" ht="15" customHeight="1" x14ac:dyDescent="0.45">
      <c r="A76" s="19"/>
    </row>
    <row r="77" spans="1:1" ht="15" customHeight="1" x14ac:dyDescent="0.45">
      <c r="A77" s="19"/>
    </row>
    <row r="78" spans="1:1" ht="15" customHeight="1" x14ac:dyDescent="0.45">
      <c r="A78" s="85" t="s">
        <v>147</v>
      </c>
    </row>
  </sheetData>
  <printOptions headings="1" gridLines="1"/>
  <pageMargins left="0.70866141732283472" right="0.70866141732283472" top="0.74803149606299213" bottom="0.74803149606299213" header="0" footer="0"/>
  <pageSetup paperSize="9" scale="70" fitToHeight="0" orientation="landscape" r:id="rId1"/>
  <headerFooter>
    <oddHeader>&amp;R&amp;F  &amp;A</oddHeader>
    <oddFooter>&amp;L© 2016&amp;CPage &amp;P of</oddFooter>
  </headerFooter>
  <rowBreaks count="1" manualBreakCount="1">
    <brk id="36" max="10"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5E80-1ACC-4DDF-B402-67EABEC79816}">
  <sheetPr>
    <tabColor theme="7"/>
    <pageSetUpPr fitToPage="1"/>
  </sheetPr>
  <dimension ref="A1:M49"/>
  <sheetViews>
    <sheetView zoomScaleNormal="100" zoomScaleSheetLayoutView="85" workbookViewId="0">
      <pane xSplit="2" topLeftCell="C1" activePane="topRight" state="frozen"/>
      <selection pane="topRight" activeCell="C1" sqref="C1:D1"/>
    </sheetView>
  </sheetViews>
  <sheetFormatPr defaultRowHeight="14.25" x14ac:dyDescent="0.45"/>
  <cols>
    <col min="1" max="1" width="1.59765625" customWidth="1"/>
    <col min="2" max="2" width="50.59765625" customWidth="1"/>
    <col min="3" max="3" width="23.3984375" customWidth="1"/>
    <col min="4" max="4" width="31.86328125" customWidth="1"/>
    <col min="6" max="7" width="26" customWidth="1"/>
    <col min="9" max="10" width="30.59765625" customWidth="1"/>
  </cols>
  <sheetData>
    <row r="1" spans="1:13" ht="45" customHeight="1" x14ac:dyDescent="0.85">
      <c r="A1" s="83" t="s">
        <v>677</v>
      </c>
      <c r="B1" s="83"/>
      <c r="C1" s="243"/>
      <c r="D1" s="244"/>
      <c r="E1" s="84"/>
      <c r="F1" s="243"/>
      <c r="G1" s="244"/>
      <c r="H1" s="84"/>
      <c r="I1" s="243"/>
      <c r="J1" s="244"/>
      <c r="K1" s="83"/>
      <c r="L1" s="83"/>
      <c r="M1" s="83"/>
    </row>
    <row r="3" spans="1:13" ht="15.75" x14ac:dyDescent="0.45">
      <c r="A3" s="85" t="s">
        <v>678</v>
      </c>
    </row>
    <row r="4" spans="1:13" x14ac:dyDescent="0.45">
      <c r="B4" s="72" t="s">
        <v>679</v>
      </c>
      <c r="C4" s="72" t="s">
        <v>680</v>
      </c>
      <c r="D4" s="245" t="s">
        <v>681</v>
      </c>
      <c r="E4" s="245"/>
      <c r="F4" s="245"/>
      <c r="G4" s="245"/>
    </row>
    <row r="5" spans="1:13" ht="57" customHeight="1" x14ac:dyDescent="0.45">
      <c r="B5" t="s">
        <v>682</v>
      </c>
      <c r="C5" t="s">
        <v>683</v>
      </c>
      <c r="D5" s="242" t="s">
        <v>684</v>
      </c>
      <c r="E5" s="242"/>
      <c r="F5" s="242"/>
      <c r="G5" s="242"/>
    </row>
    <row r="6" spans="1:13" ht="57" customHeight="1" x14ac:dyDescent="0.45">
      <c r="B6" t="s">
        <v>685</v>
      </c>
      <c r="C6" t="s">
        <v>683</v>
      </c>
      <c r="D6" s="242" t="s">
        <v>686</v>
      </c>
      <c r="E6" s="242"/>
      <c r="F6" s="242"/>
      <c r="G6" s="242"/>
    </row>
    <row r="7" spans="1:13" ht="57" customHeight="1" x14ac:dyDescent="0.45">
      <c r="B7" t="s">
        <v>687</v>
      </c>
      <c r="C7" t="s">
        <v>688</v>
      </c>
      <c r="D7" s="242" t="s">
        <v>689</v>
      </c>
      <c r="E7" s="242"/>
      <c r="F7" s="242"/>
      <c r="G7" s="242"/>
    </row>
    <row r="9" spans="1:13" ht="15.75" x14ac:dyDescent="0.45">
      <c r="A9" s="85" t="s">
        <v>690</v>
      </c>
    </row>
    <row r="11" spans="1:13" x14ac:dyDescent="0.45">
      <c r="C11" s="243" t="s">
        <v>27</v>
      </c>
      <c r="D11" s="244"/>
      <c r="E11" s="84"/>
      <c r="F11" s="243" t="s">
        <v>28</v>
      </c>
      <c r="G11" s="244"/>
      <c r="H11" s="84"/>
      <c r="I11" s="243" t="s">
        <v>29</v>
      </c>
      <c r="J11" s="244"/>
    </row>
    <row r="12" spans="1:13" x14ac:dyDescent="0.45">
      <c r="C12" s="4">
        <v>44561</v>
      </c>
      <c r="D12" s="4">
        <v>44926</v>
      </c>
      <c r="E12" s="4"/>
      <c r="F12" s="4">
        <v>44561</v>
      </c>
      <c r="G12" s="4">
        <v>44926</v>
      </c>
      <c r="H12" s="4"/>
      <c r="I12" s="4">
        <v>44561</v>
      </c>
      <c r="J12" s="4">
        <v>44926</v>
      </c>
    </row>
    <row r="13" spans="1:13" ht="15.75" x14ac:dyDescent="0.45">
      <c r="A13" s="85" t="s">
        <v>682</v>
      </c>
    </row>
    <row r="14" spans="1:13" x14ac:dyDescent="0.45">
      <c r="B14" t="s">
        <v>691</v>
      </c>
    </row>
    <row r="15" spans="1:13" x14ac:dyDescent="0.45">
      <c r="B15" t="s">
        <v>692</v>
      </c>
      <c r="C15" s="249"/>
      <c r="D15" s="249"/>
      <c r="F15" s="250" t="s">
        <v>693</v>
      </c>
      <c r="G15" s="250"/>
      <c r="H15" s="86"/>
      <c r="I15" s="250" t="s">
        <v>694</v>
      </c>
      <c r="J15" s="250"/>
    </row>
    <row r="16" spans="1:13" x14ac:dyDescent="0.45">
      <c r="B16" t="s">
        <v>695</v>
      </c>
      <c r="C16" s="88">
        <v>1.81</v>
      </c>
      <c r="D16" s="87"/>
      <c r="F16" s="88">
        <v>1.82</v>
      </c>
      <c r="G16" s="88">
        <v>1.82</v>
      </c>
      <c r="I16" s="88">
        <v>1.8</v>
      </c>
      <c r="J16" s="88">
        <v>1.7</v>
      </c>
    </row>
    <row r="17" spans="1:10" x14ac:dyDescent="0.45">
      <c r="B17" t="s">
        <v>696</v>
      </c>
      <c r="C17" s="89">
        <f>(1.81/1.98-1)*-1</f>
        <v>8.5858585858585856E-2</v>
      </c>
      <c r="D17" s="76"/>
      <c r="F17" s="89">
        <v>7.0000000000000007E-2</v>
      </c>
      <c r="G17" s="89">
        <v>7.0000000000000007E-2</v>
      </c>
      <c r="I17" s="89">
        <v>0.19</v>
      </c>
      <c r="J17" s="89">
        <v>0.22</v>
      </c>
    </row>
    <row r="18" spans="1:10" x14ac:dyDescent="0.45">
      <c r="B18" t="s">
        <v>697</v>
      </c>
      <c r="C18" s="89">
        <v>0.2</v>
      </c>
      <c r="D18" s="76"/>
      <c r="F18" s="89">
        <v>0.38</v>
      </c>
      <c r="G18" s="89">
        <v>0.59</v>
      </c>
      <c r="I18" t="s">
        <v>376</v>
      </c>
      <c r="J18" t="s">
        <v>376</v>
      </c>
    </row>
    <row r="19" spans="1:10" x14ac:dyDescent="0.45">
      <c r="B19" t="s">
        <v>698</v>
      </c>
      <c r="C19" s="225"/>
      <c r="D19" s="225"/>
    </row>
    <row r="20" spans="1:10" x14ac:dyDescent="0.45">
      <c r="C20" s="86"/>
      <c r="D20" s="86"/>
    </row>
    <row r="21" spans="1:10" x14ac:dyDescent="0.45">
      <c r="B21" t="s">
        <v>699</v>
      </c>
    </row>
    <row r="22" spans="1:10" x14ac:dyDescent="0.45">
      <c r="B22" t="s">
        <v>700</v>
      </c>
      <c r="C22" s="251"/>
      <c r="D22" s="251"/>
      <c r="F22" s="250" t="s">
        <v>701</v>
      </c>
      <c r="G22" s="250"/>
      <c r="I22" s="250" t="s">
        <v>701</v>
      </c>
      <c r="J22" s="250"/>
    </row>
    <row r="23" spans="1:10" x14ac:dyDescent="0.45">
      <c r="B23" t="s">
        <v>702</v>
      </c>
      <c r="C23" s="89">
        <v>1.67</v>
      </c>
      <c r="D23" s="76"/>
      <c r="F23" s="89">
        <v>0.85</v>
      </c>
      <c r="G23" s="89">
        <v>0.55000000000000004</v>
      </c>
      <c r="I23" s="89">
        <v>0.34</v>
      </c>
      <c r="J23" s="89">
        <v>0.45</v>
      </c>
    </row>
    <row r="24" spans="1:10" x14ac:dyDescent="0.45">
      <c r="C24" s="89"/>
      <c r="D24" s="89"/>
      <c r="F24" s="89"/>
      <c r="G24" s="89"/>
      <c r="I24" s="89"/>
      <c r="J24" s="89"/>
    </row>
    <row r="25" spans="1:10" ht="15.75" customHeight="1" x14ac:dyDescent="0.45">
      <c r="B25" t="s">
        <v>703</v>
      </c>
      <c r="C25" s="246"/>
      <c r="D25" s="247"/>
      <c r="E25" s="247"/>
      <c r="F25" s="247"/>
      <c r="G25" s="247"/>
      <c r="H25" s="247"/>
      <c r="I25" s="247"/>
      <c r="J25" s="248"/>
    </row>
    <row r="26" spans="1:10" ht="15.75" customHeight="1" x14ac:dyDescent="0.45">
      <c r="C26" s="252"/>
      <c r="D26" s="253"/>
      <c r="E26" s="253"/>
      <c r="F26" s="253"/>
      <c r="G26" s="253"/>
      <c r="H26" s="253"/>
      <c r="I26" s="253"/>
      <c r="J26" s="254"/>
    </row>
    <row r="27" spans="1:10" ht="15.4" customHeight="1" x14ac:dyDescent="0.45">
      <c r="C27" s="246"/>
      <c r="D27" s="247"/>
      <c r="E27" s="247"/>
      <c r="F27" s="247"/>
      <c r="G27" s="247"/>
      <c r="H27" s="247"/>
      <c r="I27" s="247"/>
      <c r="J27" s="248"/>
    </row>
    <row r="29" spans="1:10" ht="15.75" x14ac:dyDescent="0.45">
      <c r="A29" s="85" t="s">
        <v>685</v>
      </c>
      <c r="C29" s="250"/>
      <c r="D29" s="250"/>
    </row>
    <row r="30" spans="1:10" ht="15.75" x14ac:dyDescent="0.45">
      <c r="A30" s="85"/>
      <c r="B30" t="s">
        <v>704</v>
      </c>
      <c r="C30" s="86"/>
      <c r="D30" s="86"/>
    </row>
    <row r="31" spans="1:10" ht="15.75" x14ac:dyDescent="0.45">
      <c r="A31" s="85"/>
      <c r="B31" t="s">
        <v>705</v>
      </c>
      <c r="C31" s="249"/>
      <c r="D31" s="249"/>
      <c r="F31" s="250" t="s">
        <v>706</v>
      </c>
      <c r="G31" s="250"/>
      <c r="I31" s="250" t="s">
        <v>707</v>
      </c>
      <c r="J31" s="250"/>
    </row>
    <row r="32" spans="1:10" ht="15.75" x14ac:dyDescent="0.45">
      <c r="A32" s="85"/>
      <c r="B32" t="s">
        <v>708</v>
      </c>
      <c r="C32" s="89">
        <v>0.23</v>
      </c>
      <c r="D32" s="76"/>
      <c r="F32" s="89">
        <v>0.24</v>
      </c>
      <c r="G32" s="89">
        <v>0.24</v>
      </c>
      <c r="I32" t="s">
        <v>376</v>
      </c>
      <c r="J32" t="s">
        <v>376</v>
      </c>
    </row>
    <row r="33" spans="1:10" ht="15.75" x14ac:dyDescent="0.45">
      <c r="A33" s="85"/>
      <c r="B33" t="s">
        <v>709</v>
      </c>
      <c r="C33" s="250" t="s">
        <v>376</v>
      </c>
      <c r="D33" s="250"/>
      <c r="F33" s="250" t="s">
        <v>710</v>
      </c>
      <c r="G33" s="250"/>
      <c r="I33" s="250" t="s">
        <v>711</v>
      </c>
      <c r="J33" s="250"/>
    </row>
    <row r="34" spans="1:10" ht="15.75" x14ac:dyDescent="0.45">
      <c r="A34" s="85"/>
      <c r="B34" t="s">
        <v>712</v>
      </c>
      <c r="C34" s="89">
        <v>0.13600000000000001</v>
      </c>
      <c r="D34" s="76"/>
      <c r="F34" s="89">
        <v>0.11</v>
      </c>
      <c r="G34" s="89">
        <v>0.18</v>
      </c>
      <c r="I34" s="89">
        <v>0.06</v>
      </c>
      <c r="J34" s="89">
        <v>7.0000000000000007E-2</v>
      </c>
    </row>
    <row r="35" spans="1:10" ht="15.75" x14ac:dyDescent="0.45">
      <c r="A35" s="85"/>
      <c r="C35" s="86"/>
      <c r="D35" s="86"/>
    </row>
    <row r="36" spans="1:10" ht="15.75" x14ac:dyDescent="0.45">
      <c r="A36" s="85"/>
      <c r="B36" t="s">
        <v>713</v>
      </c>
      <c r="C36" s="86"/>
      <c r="D36" s="86"/>
    </row>
    <row r="37" spans="1:10" x14ac:dyDescent="0.45">
      <c r="B37" t="s">
        <v>714</v>
      </c>
      <c r="C37" s="249"/>
      <c r="D37" s="249"/>
      <c r="F37" s="250" t="s">
        <v>715</v>
      </c>
      <c r="G37" s="250"/>
      <c r="I37" s="250" t="s">
        <v>715</v>
      </c>
      <c r="J37" s="250"/>
    </row>
    <row r="38" spans="1:10" x14ac:dyDescent="0.45">
      <c r="B38" t="s">
        <v>716</v>
      </c>
      <c r="C38" s="89">
        <v>0.9</v>
      </c>
      <c r="D38" s="76"/>
      <c r="F38" s="89">
        <v>0.92</v>
      </c>
      <c r="G38" s="89">
        <v>0.9</v>
      </c>
      <c r="I38" s="89">
        <v>0.87</v>
      </c>
      <c r="J38" s="89">
        <v>0.88</v>
      </c>
    </row>
    <row r="39" spans="1:10" x14ac:dyDescent="0.45">
      <c r="C39" s="89"/>
      <c r="D39" s="89"/>
      <c r="F39" s="89"/>
      <c r="G39" s="89"/>
      <c r="I39" s="89"/>
      <c r="J39" s="89"/>
    </row>
    <row r="40" spans="1:10" ht="28.9" customHeight="1" x14ac:dyDescent="0.45">
      <c r="B40" t="s">
        <v>703</v>
      </c>
      <c r="C40" s="258"/>
      <c r="D40" s="259"/>
      <c r="E40" s="259"/>
      <c r="F40" s="259"/>
      <c r="G40" s="259"/>
      <c r="H40" s="259"/>
      <c r="I40" s="259"/>
      <c r="J40" s="260"/>
    </row>
    <row r="41" spans="1:10" x14ac:dyDescent="0.45">
      <c r="C41" s="90"/>
      <c r="D41" s="90"/>
      <c r="E41" s="90"/>
      <c r="F41" s="90"/>
      <c r="G41" s="90"/>
      <c r="H41" s="90"/>
      <c r="I41" s="90"/>
      <c r="J41" s="90"/>
    </row>
    <row r="42" spans="1:10" ht="15.75" x14ac:dyDescent="0.45">
      <c r="A42" s="91" t="s">
        <v>687</v>
      </c>
      <c r="C42" s="250"/>
      <c r="D42" s="250"/>
    </row>
    <row r="43" spans="1:10" ht="28.5" customHeight="1" x14ac:dyDescent="0.45">
      <c r="B43" t="s">
        <v>556</v>
      </c>
      <c r="C43" s="250" t="s">
        <v>376</v>
      </c>
      <c r="D43" s="250"/>
      <c r="F43" s="261" t="s">
        <v>717</v>
      </c>
      <c r="G43" s="261"/>
      <c r="I43" s="262" t="s">
        <v>718</v>
      </c>
      <c r="J43" s="262"/>
    </row>
    <row r="44" spans="1:10" x14ac:dyDescent="0.45">
      <c r="B44" t="s">
        <v>719</v>
      </c>
      <c r="C44" s="74">
        <v>0.66</v>
      </c>
      <c r="D44" s="92"/>
      <c r="F44" s="74">
        <v>0.56000000000000005</v>
      </c>
      <c r="G44" s="89">
        <v>0.56999999999999995</v>
      </c>
      <c r="I44" s="89">
        <v>0.53</v>
      </c>
      <c r="J44" s="89">
        <v>0.56000000000000005</v>
      </c>
    </row>
    <row r="45" spans="1:10" x14ac:dyDescent="0.45">
      <c r="B45" t="s">
        <v>720</v>
      </c>
      <c r="C45" s="74">
        <v>0.28000000000000003</v>
      </c>
      <c r="D45" s="76"/>
      <c r="F45" t="s">
        <v>376</v>
      </c>
      <c r="G45" t="s">
        <v>376</v>
      </c>
      <c r="I45" t="s">
        <v>376</v>
      </c>
      <c r="J45" t="s">
        <v>376</v>
      </c>
    </row>
    <row r="46" spans="1:10" x14ac:dyDescent="0.45">
      <c r="C46" s="89"/>
      <c r="D46" s="89"/>
    </row>
    <row r="47" spans="1:10" s="72" customFormat="1" ht="30.4" customHeight="1" x14ac:dyDescent="0.45">
      <c r="B47" t="s">
        <v>703</v>
      </c>
      <c r="C47" s="255"/>
      <c r="D47" s="256"/>
      <c r="E47" s="256"/>
      <c r="F47" s="256"/>
      <c r="G47" s="256"/>
      <c r="H47" s="256"/>
      <c r="I47" s="256"/>
      <c r="J47" s="257"/>
    </row>
    <row r="49" spans="1:1" ht="15.75" x14ac:dyDescent="0.45">
      <c r="A49" s="91" t="s">
        <v>147</v>
      </c>
    </row>
  </sheetData>
  <mergeCells count="35">
    <mergeCell ref="C47:J47"/>
    <mergeCell ref="C37:D37"/>
    <mergeCell ref="F37:G37"/>
    <mergeCell ref="I37:J37"/>
    <mergeCell ref="C40:J40"/>
    <mergeCell ref="C42:D42"/>
    <mergeCell ref="C43:D43"/>
    <mergeCell ref="F43:G43"/>
    <mergeCell ref="I43:J43"/>
    <mergeCell ref="C29:D29"/>
    <mergeCell ref="C31:D31"/>
    <mergeCell ref="F31:G31"/>
    <mergeCell ref="I31:J31"/>
    <mergeCell ref="C33:D33"/>
    <mergeCell ref="F33:G33"/>
    <mergeCell ref="I33:J33"/>
    <mergeCell ref="C27:J27"/>
    <mergeCell ref="D7:G7"/>
    <mergeCell ref="C11:D11"/>
    <mergeCell ref="F11:G11"/>
    <mergeCell ref="I11:J11"/>
    <mergeCell ref="C15:D15"/>
    <mergeCell ref="F15:G15"/>
    <mergeCell ref="I15:J15"/>
    <mergeCell ref="C22:D22"/>
    <mergeCell ref="F22:G22"/>
    <mergeCell ref="I22:J22"/>
    <mergeCell ref="C25:J25"/>
    <mergeCell ref="C26:J26"/>
    <mergeCell ref="D6:G6"/>
    <mergeCell ref="C1:D1"/>
    <mergeCell ref="F1:G1"/>
    <mergeCell ref="I1:J1"/>
    <mergeCell ref="D4:G4"/>
    <mergeCell ref="D5:G5"/>
  </mergeCells>
  <printOptions headings="1" gridLines="1"/>
  <pageMargins left="0.11811023622047245" right="0.31496062992125984" top="0.74803149606299213" bottom="0.74803149606299213" header="0.31496062992125984" footer="0.31496062992125984"/>
  <pageSetup paperSize="9" scale="59" fitToHeight="0" orientation="landscape" r:id="rId1"/>
  <rowBreaks count="1" manualBreakCount="1">
    <brk id="8" max="9" man="1"/>
  </rowBreaks>
  <colBreaks count="1" manualBreakCount="1">
    <brk id="16" max="44" man="1"/>
  </col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pageSetUpPr fitToPage="1"/>
  </sheetPr>
  <dimension ref="A1:Q182"/>
  <sheetViews>
    <sheetView zoomScaleNormal="100" zoomScaleSheetLayoutView="85" workbookViewId="0"/>
  </sheetViews>
  <sheetFormatPr defaultColWidth="12.59765625" defaultRowHeight="15" customHeight="1" x14ac:dyDescent="0.45"/>
  <cols>
    <col min="1" max="1" width="1.59765625" customWidth="1"/>
    <col min="2" max="2" width="50.59765625" customWidth="1"/>
    <col min="3" max="16" width="10.265625" customWidth="1"/>
  </cols>
  <sheetData>
    <row r="1" spans="1:16" ht="45" customHeight="1" x14ac:dyDescent="0.85">
      <c r="A1" s="83" t="str">
        <f>"M&amp;A analysis for "&amp;C6</f>
        <v>M&amp;A analysis for Red Bull</v>
      </c>
      <c r="B1" s="83"/>
      <c r="C1" s="83"/>
      <c r="D1" s="83"/>
      <c r="E1" s="83"/>
      <c r="F1" s="83"/>
      <c r="G1" s="83"/>
      <c r="H1" s="83"/>
      <c r="I1" s="83"/>
      <c r="J1" s="83"/>
      <c r="K1" s="83"/>
      <c r="L1" s="83"/>
      <c r="M1" s="83"/>
      <c r="N1" s="83"/>
      <c r="O1" s="83"/>
      <c r="P1" s="83"/>
    </row>
    <row r="2" spans="1:16" ht="15" customHeight="1" x14ac:dyDescent="0.45">
      <c r="A2" s="5" t="s">
        <v>530</v>
      </c>
    </row>
    <row r="3" spans="1:16" ht="15" customHeight="1" x14ac:dyDescent="0.45">
      <c r="A3" s="21"/>
    </row>
    <row r="4" spans="1:16" ht="15" customHeight="1" x14ac:dyDescent="0.45">
      <c r="A4" s="21" t="s">
        <v>12</v>
      </c>
    </row>
    <row r="5" spans="1:16" ht="15" customHeight="1" x14ac:dyDescent="0.45">
      <c r="A5" s="21"/>
      <c r="B5" t="s">
        <v>556</v>
      </c>
      <c r="J5" t="s">
        <v>551</v>
      </c>
    </row>
    <row r="6" spans="1:16" ht="15" customHeight="1" x14ac:dyDescent="0.45">
      <c r="A6" s="21"/>
      <c r="B6" t="s">
        <v>8</v>
      </c>
      <c r="C6" t="s">
        <v>9</v>
      </c>
      <c r="J6" t="s">
        <v>8</v>
      </c>
      <c r="M6" t="str">
        <f>'1'!COMPANY_NAME</f>
        <v>Coca-Cola Company</v>
      </c>
    </row>
    <row r="7" spans="1:16" ht="15" customHeight="1" x14ac:dyDescent="0.45">
      <c r="A7" s="21"/>
      <c r="J7" t="s">
        <v>721</v>
      </c>
    </row>
    <row r="8" spans="1:16" ht="15" customHeight="1" x14ac:dyDescent="0.45">
      <c r="A8" s="21"/>
      <c r="B8" t="s">
        <v>722</v>
      </c>
      <c r="C8" s="59">
        <v>1.1000000000000001</v>
      </c>
      <c r="J8" t="s">
        <v>723</v>
      </c>
    </row>
    <row r="9" spans="1:16" ht="15" customHeight="1" x14ac:dyDescent="0.45">
      <c r="A9" s="21"/>
      <c r="J9" t="s">
        <v>724</v>
      </c>
    </row>
    <row r="10" spans="1:16" ht="15" customHeight="1" x14ac:dyDescent="0.45">
      <c r="A10" s="21"/>
      <c r="B10" t="s">
        <v>178</v>
      </c>
      <c r="C10" s="74"/>
      <c r="J10" t="str">
        <f>B10</f>
        <v>Marginal tax rate</v>
      </c>
      <c r="M10" s="74"/>
    </row>
    <row r="11" spans="1:16" ht="15" customHeight="1" x14ac:dyDescent="0.45">
      <c r="A11" s="21"/>
    </row>
    <row r="12" spans="1:16" ht="15" customHeight="1" x14ac:dyDescent="0.45">
      <c r="A12" s="21"/>
      <c r="B12" t="s">
        <v>725</v>
      </c>
      <c r="C12" s="70">
        <v>25</v>
      </c>
      <c r="J12" t="s">
        <v>267</v>
      </c>
    </row>
    <row r="13" spans="1:16" ht="15" customHeight="1" x14ac:dyDescent="0.45">
      <c r="A13" s="21"/>
      <c r="B13" t="s">
        <v>415</v>
      </c>
      <c r="J13" t="s">
        <v>357</v>
      </c>
    </row>
    <row r="14" spans="1:16" ht="15" customHeight="1" x14ac:dyDescent="0.45">
      <c r="A14" s="21"/>
      <c r="B14" t="s">
        <v>726</v>
      </c>
      <c r="J14" t="s">
        <v>726</v>
      </c>
    </row>
    <row r="15" spans="1:16" ht="15" customHeight="1" x14ac:dyDescent="0.45">
      <c r="A15" s="21"/>
      <c r="B15" t="s">
        <v>214</v>
      </c>
      <c r="J15" t="s">
        <v>214</v>
      </c>
    </row>
    <row r="16" spans="1:16" ht="15" customHeight="1" x14ac:dyDescent="0.45">
      <c r="A16" s="21"/>
      <c r="B16" t="s">
        <v>216</v>
      </c>
      <c r="J16" t="s">
        <v>351</v>
      </c>
    </row>
    <row r="17" spans="1:16" ht="15" customHeight="1" x14ac:dyDescent="0.45">
      <c r="A17" s="21"/>
      <c r="B17" t="s">
        <v>727</v>
      </c>
      <c r="J17" t="s">
        <v>728</v>
      </c>
    </row>
    <row r="18" spans="1:16" ht="15" customHeight="1" x14ac:dyDescent="0.45">
      <c r="A18" s="21"/>
    </row>
    <row r="19" spans="1:16" ht="15" customHeight="1" x14ac:dyDescent="0.45">
      <c r="A19" s="21" t="s">
        <v>729</v>
      </c>
    </row>
    <row r="20" spans="1:16" ht="15" customHeight="1" x14ac:dyDescent="0.45">
      <c r="A20" s="21"/>
      <c r="B20" t="s">
        <v>11</v>
      </c>
      <c r="C20" s="98" t="s">
        <v>283</v>
      </c>
      <c r="D20" s="98" t="s">
        <v>658</v>
      </c>
      <c r="E20" s="98" t="s">
        <v>659</v>
      </c>
      <c r="F20" s="98" t="s">
        <v>730</v>
      </c>
      <c r="J20" t="s">
        <v>11</v>
      </c>
      <c r="M20" s="98" t="str">
        <f>C20</f>
        <v>LTM</v>
      </c>
      <c r="N20" s="98" t="str">
        <f>D20</f>
        <v>CY1</v>
      </c>
      <c r="O20" s="98" t="str">
        <f>E20</f>
        <v>CY2</v>
      </c>
      <c r="P20" s="98" t="str">
        <f>F20</f>
        <v>CY3</v>
      </c>
    </row>
    <row r="21" spans="1:16" ht="15" customHeight="1" x14ac:dyDescent="0.45">
      <c r="A21" s="21"/>
      <c r="B21" t="s">
        <v>198</v>
      </c>
      <c r="J21" t="s">
        <v>198</v>
      </c>
    </row>
    <row r="22" spans="1:16" ht="15" customHeight="1" x14ac:dyDescent="0.45">
      <c r="A22" s="21"/>
      <c r="B22" t="s">
        <v>65</v>
      </c>
      <c r="J22" t="s">
        <v>65</v>
      </c>
    </row>
    <row r="23" spans="1:16" ht="15" customHeight="1" x14ac:dyDescent="0.45">
      <c r="A23" s="21"/>
      <c r="B23" t="s">
        <v>63</v>
      </c>
      <c r="J23" t="s">
        <v>63</v>
      </c>
    </row>
    <row r="24" spans="1:16" ht="15" customHeight="1" x14ac:dyDescent="0.45">
      <c r="A24" s="21"/>
      <c r="B24" t="s">
        <v>195</v>
      </c>
      <c r="J24" t="s">
        <v>322</v>
      </c>
      <c r="N24" s="88"/>
      <c r="O24" s="88"/>
      <c r="P24" s="88"/>
    </row>
    <row r="25" spans="1:16" ht="15" customHeight="1" x14ac:dyDescent="0.45">
      <c r="A25" s="21"/>
    </row>
    <row r="26" spans="1:16" ht="15" customHeight="1" x14ac:dyDescent="0.45">
      <c r="A26" s="21" t="s">
        <v>731</v>
      </c>
    </row>
    <row r="27" spans="1:16" ht="15" customHeight="1" x14ac:dyDescent="0.45">
      <c r="A27" s="21"/>
      <c r="B27" t="s">
        <v>732</v>
      </c>
      <c r="C27" s="55">
        <v>0.01</v>
      </c>
    </row>
    <row r="28" spans="1:16" ht="15" customHeight="1" x14ac:dyDescent="0.45">
      <c r="A28" s="21"/>
      <c r="B28" t="s">
        <v>733</v>
      </c>
      <c r="C28" s="55">
        <v>0.7</v>
      </c>
    </row>
    <row r="29" spans="1:16" ht="15" customHeight="1" x14ac:dyDescent="0.45">
      <c r="A29" s="21"/>
      <c r="B29" t="s">
        <v>546</v>
      </c>
      <c r="C29" s="55">
        <v>0.05</v>
      </c>
    </row>
    <row r="30" spans="1:16" ht="15" customHeight="1" x14ac:dyDescent="0.45">
      <c r="A30" s="21"/>
      <c r="B30" t="s">
        <v>188</v>
      </c>
      <c r="C30" s="94">
        <v>0.03</v>
      </c>
    </row>
    <row r="31" spans="1:16" ht="15" customHeight="1" x14ac:dyDescent="0.45">
      <c r="A31" s="21"/>
      <c r="B31" t="s">
        <v>734</v>
      </c>
      <c r="D31" s="74"/>
      <c r="E31" s="74"/>
      <c r="F31" s="74"/>
    </row>
    <row r="32" spans="1:16" ht="15" customHeight="1" x14ac:dyDescent="0.45">
      <c r="A32" s="21"/>
      <c r="B32" t="s">
        <v>735</v>
      </c>
      <c r="D32" s="74"/>
      <c r="E32" s="74"/>
      <c r="F32" s="74"/>
    </row>
    <row r="33" spans="1:6" ht="15" customHeight="1" x14ac:dyDescent="0.45">
      <c r="A33" s="21"/>
    </row>
    <row r="34" spans="1:6" ht="15" customHeight="1" x14ac:dyDescent="0.45">
      <c r="A34" s="21" t="s">
        <v>736</v>
      </c>
    </row>
    <row r="35" spans="1:6" ht="15" customHeight="1" x14ac:dyDescent="0.45">
      <c r="A35" s="21"/>
      <c r="B35" t="s">
        <v>737</v>
      </c>
      <c r="F35" t="s">
        <v>738</v>
      </c>
    </row>
    <row r="36" spans="1:6" ht="15" customHeight="1" x14ac:dyDescent="0.45">
      <c r="A36" s="21"/>
      <c r="B36" t="s">
        <v>739</v>
      </c>
      <c r="F36" t="s">
        <v>740</v>
      </c>
    </row>
    <row r="37" spans="1:6" ht="15" customHeight="1" x14ac:dyDescent="0.45">
      <c r="A37" s="21"/>
      <c r="B37" t="s">
        <v>741</v>
      </c>
      <c r="F37" t="s">
        <v>742</v>
      </c>
    </row>
    <row r="38" spans="1:6" ht="15" customHeight="1" x14ac:dyDescent="0.45">
      <c r="A38" s="21"/>
      <c r="B38" t="s">
        <v>743</v>
      </c>
      <c r="F38" t="s">
        <v>744</v>
      </c>
    </row>
    <row r="39" spans="1:6" ht="15" customHeight="1" x14ac:dyDescent="0.45">
      <c r="A39" s="21"/>
    </row>
    <row r="40" spans="1:6" ht="15" customHeight="1" x14ac:dyDescent="0.45">
      <c r="A40" s="21" t="s">
        <v>745</v>
      </c>
      <c r="C40" s="98" t="s">
        <v>283</v>
      </c>
      <c r="D40" s="98" t="s">
        <v>658</v>
      </c>
      <c r="E40" s="98" t="s">
        <v>659</v>
      </c>
      <c r="F40" s="98" t="s">
        <v>730</v>
      </c>
    </row>
    <row r="41" spans="1:6" ht="15" customHeight="1" x14ac:dyDescent="0.45">
      <c r="A41" s="21"/>
      <c r="B41" t="s">
        <v>746</v>
      </c>
    </row>
    <row r="42" spans="1:6" ht="15" customHeight="1" x14ac:dyDescent="0.45">
      <c r="A42" s="21"/>
      <c r="B42" t="s">
        <v>747</v>
      </c>
    </row>
    <row r="43" spans="1:6" ht="15" customHeight="1" x14ac:dyDescent="0.45">
      <c r="A43" s="21"/>
      <c r="B43" t="s">
        <v>563</v>
      </c>
    </row>
    <row r="44" spans="1:6" ht="15" customHeight="1" x14ac:dyDescent="0.45">
      <c r="A44" s="21"/>
      <c r="B44" t="s">
        <v>748</v>
      </c>
    </row>
    <row r="45" spans="1:6" ht="15.75" customHeight="1" x14ac:dyDescent="0.45">
      <c r="A45" s="21"/>
    </row>
    <row r="46" spans="1:6" ht="15" customHeight="1" x14ac:dyDescent="0.45">
      <c r="A46" s="21"/>
      <c r="B46" t="s">
        <v>749</v>
      </c>
    </row>
    <row r="47" spans="1:6" ht="15" customHeight="1" x14ac:dyDescent="0.45">
      <c r="A47" s="21"/>
      <c r="B47" t="s">
        <v>750</v>
      </c>
    </row>
    <row r="48" spans="1:6" ht="15" customHeight="1" x14ac:dyDescent="0.45">
      <c r="A48" s="21"/>
      <c r="B48" t="s">
        <v>751</v>
      </c>
    </row>
    <row r="49" spans="1:11" ht="15" customHeight="1" x14ac:dyDescent="0.45">
      <c r="A49" s="21"/>
      <c r="B49" t="s">
        <v>752</v>
      </c>
    </row>
    <row r="50" spans="1:11" ht="15" customHeight="1" x14ac:dyDescent="0.45">
      <c r="A50" s="21"/>
      <c r="B50" t="s">
        <v>753</v>
      </c>
    </row>
    <row r="51" spans="1:11" ht="15" customHeight="1" x14ac:dyDescent="0.45">
      <c r="A51" s="21"/>
      <c r="B51" t="s">
        <v>754</v>
      </c>
    </row>
    <row r="52" spans="1:11" ht="15" customHeight="1" x14ac:dyDescent="0.45">
      <c r="A52" s="21"/>
      <c r="B52" t="s">
        <v>755</v>
      </c>
    </row>
    <row r="53" spans="1:11" ht="15" customHeight="1" x14ac:dyDescent="0.45">
      <c r="A53" s="21"/>
    </row>
    <row r="54" spans="1:11" ht="15" customHeight="1" x14ac:dyDescent="0.45">
      <c r="A54" s="21"/>
      <c r="B54" t="s">
        <v>756</v>
      </c>
    </row>
    <row r="55" spans="1:11" ht="15" customHeight="1" x14ac:dyDescent="0.45">
      <c r="A55" s="21"/>
      <c r="B55" t="s">
        <v>757</v>
      </c>
    </row>
    <row r="56" spans="1:11" ht="15" customHeight="1" x14ac:dyDescent="0.45">
      <c r="A56" s="21"/>
      <c r="B56" t="s">
        <v>758</v>
      </c>
    </row>
    <row r="57" spans="1:11" ht="15" customHeight="1" x14ac:dyDescent="0.45">
      <c r="A57" s="21"/>
    </row>
    <row r="58" spans="1:11" ht="15" customHeight="1" x14ac:dyDescent="0.45">
      <c r="A58" s="21"/>
      <c r="B58" t="s">
        <v>759</v>
      </c>
      <c r="D58" s="88"/>
      <c r="E58" s="88"/>
      <c r="F58" s="88"/>
    </row>
    <row r="59" spans="1:11" ht="15" customHeight="1" x14ac:dyDescent="0.45">
      <c r="A59" s="21"/>
      <c r="B59" t="s">
        <v>760</v>
      </c>
      <c r="D59" s="88"/>
      <c r="E59" s="88"/>
      <c r="F59" s="88"/>
    </row>
    <row r="60" spans="1:11" ht="15" customHeight="1" x14ac:dyDescent="0.45">
      <c r="A60" s="21"/>
      <c r="B60" t="s">
        <v>761</v>
      </c>
      <c r="D60" s="74"/>
      <c r="E60" s="74"/>
      <c r="F60" s="74"/>
    </row>
    <row r="61" spans="1:11" ht="15" customHeight="1" x14ac:dyDescent="0.45">
      <c r="A61" s="21"/>
      <c r="B61" t="s">
        <v>762</v>
      </c>
    </row>
    <row r="62" spans="1:11" ht="15" customHeight="1" x14ac:dyDescent="0.45">
      <c r="A62" s="21"/>
    </row>
    <row r="63" spans="1:11" ht="15" customHeight="1" x14ac:dyDescent="0.45">
      <c r="A63" s="21" t="s">
        <v>525</v>
      </c>
    </row>
    <row r="64" spans="1:11" ht="15" customHeight="1" x14ac:dyDescent="0.45">
      <c r="A64" s="21"/>
      <c r="B64" t="s">
        <v>763</v>
      </c>
      <c r="K64" t="s">
        <v>764</v>
      </c>
    </row>
    <row r="65" spans="1:17" ht="15" customHeight="1" x14ac:dyDescent="0.45">
      <c r="A65" s="21"/>
    </row>
    <row r="66" spans="1:17" ht="15" customHeight="1" x14ac:dyDescent="0.45">
      <c r="A66" s="21"/>
      <c r="C66" s="98"/>
      <c r="F66" t="s">
        <v>765</v>
      </c>
      <c r="O66" t="s">
        <v>765</v>
      </c>
    </row>
    <row r="67" spans="1:17" ht="15" customHeight="1" x14ac:dyDescent="0.45">
      <c r="A67" s="21"/>
      <c r="C67" s="74"/>
      <c r="D67" s="161">
        <f>E67-0.1</f>
        <v>0.5</v>
      </c>
      <c r="E67" s="161">
        <f>F67-0.1</f>
        <v>0.6</v>
      </c>
      <c r="F67" s="161">
        <v>0.7</v>
      </c>
      <c r="G67" s="161">
        <f>F67+0.1</f>
        <v>0.79999999999999993</v>
      </c>
      <c r="H67" s="161">
        <f>G67+0.1</f>
        <v>0.89999999999999991</v>
      </c>
      <c r="L67" s="74"/>
      <c r="M67" s="161">
        <f>N67-0.1</f>
        <v>0.5</v>
      </c>
      <c r="N67" s="161">
        <f>O67-0.1</f>
        <v>0.6</v>
      </c>
      <c r="O67" s="161">
        <v>0.7</v>
      </c>
      <c r="P67" s="161">
        <f>O67+0.1</f>
        <v>0.79999999999999993</v>
      </c>
      <c r="Q67" s="161">
        <f>P67+0.1</f>
        <v>0.89999999999999991</v>
      </c>
    </row>
    <row r="68" spans="1:17" ht="15" customHeight="1" x14ac:dyDescent="0.45">
      <c r="A68" s="21"/>
      <c r="C68" s="162">
        <f>C69-1</f>
        <v>21</v>
      </c>
      <c r="D68" s="74"/>
      <c r="E68" s="74"/>
      <c r="F68" s="74"/>
      <c r="G68" s="74"/>
      <c r="H68" s="74"/>
      <c r="L68" s="224">
        <f>C68*$M$64</f>
        <v>0</v>
      </c>
      <c r="M68" s="74"/>
      <c r="N68" s="74"/>
      <c r="O68" s="74"/>
      <c r="P68" s="74"/>
      <c r="Q68" s="74"/>
    </row>
    <row r="69" spans="1:17" ht="15" customHeight="1" x14ac:dyDescent="0.45">
      <c r="A69" s="21"/>
      <c r="C69" s="162">
        <f>C70-1</f>
        <v>22</v>
      </c>
      <c r="D69" s="74"/>
      <c r="E69" s="74"/>
      <c r="F69" s="74"/>
      <c r="G69" s="74"/>
      <c r="H69" s="74"/>
      <c r="L69" s="224">
        <f t="shared" ref="L69:L76" si="0">C69*$M$64</f>
        <v>0</v>
      </c>
      <c r="M69" s="74"/>
      <c r="N69" s="74"/>
      <c r="O69" s="74"/>
      <c r="P69" s="74"/>
      <c r="Q69" s="74"/>
    </row>
    <row r="70" spans="1:17" ht="15" customHeight="1" x14ac:dyDescent="0.45">
      <c r="A70" s="21"/>
      <c r="C70" s="162">
        <f>C71-1</f>
        <v>23</v>
      </c>
      <c r="D70" s="74"/>
      <c r="E70" s="74"/>
      <c r="F70" s="74"/>
      <c r="G70" s="74"/>
      <c r="H70" s="74"/>
      <c r="L70" s="224">
        <f t="shared" si="0"/>
        <v>0</v>
      </c>
      <c r="M70" s="74"/>
      <c r="N70" s="74"/>
      <c r="O70" s="74"/>
      <c r="P70" s="74"/>
      <c r="Q70" s="74"/>
    </row>
    <row r="71" spans="1:17" ht="15" customHeight="1" x14ac:dyDescent="0.45">
      <c r="A71" s="21"/>
      <c r="B71" t="s">
        <v>766</v>
      </c>
      <c r="C71" s="162">
        <f>C72-1</f>
        <v>24</v>
      </c>
      <c r="D71" s="74"/>
      <c r="E71" s="74"/>
      <c r="F71" s="74"/>
      <c r="G71" s="74"/>
      <c r="H71" s="74"/>
      <c r="K71" s="98" t="s">
        <v>767</v>
      </c>
      <c r="L71" s="224">
        <f t="shared" si="0"/>
        <v>0</v>
      </c>
      <c r="M71" s="74"/>
      <c r="N71" s="74"/>
      <c r="O71" s="74"/>
      <c r="P71" s="74"/>
      <c r="Q71" s="74"/>
    </row>
    <row r="72" spans="1:17" ht="15" customHeight="1" x14ac:dyDescent="0.45">
      <c r="A72" s="21"/>
      <c r="C72" s="162">
        <v>25</v>
      </c>
      <c r="D72" s="74"/>
      <c r="E72" s="74"/>
      <c r="F72" s="74"/>
      <c r="G72" s="74"/>
      <c r="H72" s="74"/>
      <c r="L72" s="224">
        <f t="shared" si="0"/>
        <v>0</v>
      </c>
      <c r="M72" s="74"/>
      <c r="N72" s="74"/>
      <c r="O72" s="74"/>
      <c r="P72" s="74"/>
      <c r="Q72" s="74"/>
    </row>
    <row r="73" spans="1:17" ht="15" customHeight="1" x14ac:dyDescent="0.45">
      <c r="A73" s="21"/>
      <c r="C73" s="162">
        <f>C72+1</f>
        <v>26</v>
      </c>
      <c r="D73" s="74"/>
      <c r="E73" s="74"/>
      <c r="F73" s="74"/>
      <c r="G73" s="74"/>
      <c r="H73" s="74"/>
      <c r="L73" s="224">
        <f t="shared" si="0"/>
        <v>0</v>
      </c>
      <c r="M73" s="74"/>
      <c r="N73" s="74"/>
      <c r="O73" s="74"/>
      <c r="P73" s="74"/>
      <c r="Q73" s="74"/>
    </row>
    <row r="74" spans="1:17" ht="15" customHeight="1" x14ac:dyDescent="0.45">
      <c r="A74" s="21"/>
      <c r="C74" s="162">
        <f>C73+1</f>
        <v>27</v>
      </c>
      <c r="D74" s="74"/>
      <c r="E74" s="74"/>
      <c r="F74" s="74"/>
      <c r="G74" s="74"/>
      <c r="H74" s="74"/>
      <c r="L74" s="224">
        <f t="shared" si="0"/>
        <v>0</v>
      </c>
      <c r="M74" s="74"/>
      <c r="N74" s="74"/>
      <c r="O74" s="74"/>
      <c r="P74" s="74"/>
      <c r="Q74" s="74"/>
    </row>
    <row r="75" spans="1:17" ht="15" customHeight="1" x14ac:dyDescent="0.45">
      <c r="A75" s="21"/>
      <c r="C75" s="162">
        <f>C74+1</f>
        <v>28</v>
      </c>
      <c r="D75" s="74"/>
      <c r="E75" s="74"/>
      <c r="F75" s="74"/>
      <c r="G75" s="74"/>
      <c r="H75" s="74"/>
      <c r="L75" s="224">
        <f t="shared" si="0"/>
        <v>0</v>
      </c>
      <c r="M75" s="74"/>
      <c r="N75" s="74"/>
      <c r="O75" s="74"/>
      <c r="P75" s="74"/>
      <c r="Q75" s="74"/>
    </row>
    <row r="76" spans="1:17" ht="15" customHeight="1" x14ac:dyDescent="0.45">
      <c r="A76" s="21"/>
      <c r="C76" s="162">
        <f>C75+1</f>
        <v>29</v>
      </c>
      <c r="D76" s="74"/>
      <c r="E76" s="74"/>
      <c r="F76" s="74"/>
      <c r="G76" s="74"/>
      <c r="H76" s="74"/>
      <c r="L76" s="224">
        <f t="shared" si="0"/>
        <v>0</v>
      </c>
      <c r="M76" s="74"/>
      <c r="N76" s="74"/>
      <c r="O76" s="74"/>
      <c r="P76" s="74"/>
      <c r="Q76" s="74"/>
    </row>
    <row r="77" spans="1:17" ht="15" customHeight="1" x14ac:dyDescent="0.45">
      <c r="A77" s="21"/>
    </row>
    <row r="78" spans="1:17" ht="15" customHeight="1" x14ac:dyDescent="0.45">
      <c r="A78" s="21" t="s">
        <v>768</v>
      </c>
    </row>
    <row r="79" spans="1:17" ht="15" customHeight="1" x14ac:dyDescent="0.45">
      <c r="A79" s="21"/>
      <c r="C79" s="98" t="s">
        <v>283</v>
      </c>
      <c r="D79" s="98" t="s">
        <v>658</v>
      </c>
      <c r="E79" s="98" t="s">
        <v>659</v>
      </c>
      <c r="F79" s="98" t="s">
        <v>730</v>
      </c>
    </row>
    <row r="80" spans="1:17" ht="15" customHeight="1" x14ac:dyDescent="0.45">
      <c r="A80" s="21"/>
      <c r="B80" t="s">
        <v>769</v>
      </c>
    </row>
    <row r="81" spans="1:6" ht="15" customHeight="1" x14ac:dyDescent="0.45">
      <c r="A81" s="21"/>
      <c r="B81" t="s">
        <v>770</v>
      </c>
    </row>
    <row r="82" spans="1:6" ht="15" customHeight="1" x14ac:dyDescent="0.45">
      <c r="A82" s="21"/>
      <c r="B82" t="s">
        <v>771</v>
      </c>
      <c r="C82" s="75"/>
      <c r="D82" s="75"/>
      <c r="E82" s="75"/>
      <c r="F82" s="75"/>
    </row>
    <row r="83" spans="1:6" ht="15" customHeight="1" x14ac:dyDescent="0.45">
      <c r="A83" s="21"/>
    </row>
    <row r="84" spans="1:6" ht="15" customHeight="1" x14ac:dyDescent="0.45">
      <c r="A84" s="21"/>
      <c r="B84" t="s">
        <v>772</v>
      </c>
    </row>
    <row r="85" spans="1:6" ht="15" customHeight="1" x14ac:dyDescent="0.45">
      <c r="A85" s="21"/>
      <c r="B85" t="s">
        <v>773</v>
      </c>
    </row>
    <row r="86" spans="1:6" ht="15" customHeight="1" x14ac:dyDescent="0.45">
      <c r="A86" s="21"/>
      <c r="B86" t="s">
        <v>748</v>
      </c>
    </row>
    <row r="87" spans="1:6" ht="15" customHeight="1" x14ac:dyDescent="0.45">
      <c r="A87" s="21"/>
      <c r="B87" t="s">
        <v>774</v>
      </c>
      <c r="D87" s="75"/>
      <c r="E87" s="75"/>
      <c r="F87" s="75"/>
    </row>
    <row r="88" spans="1:6" ht="15" customHeight="1" x14ac:dyDescent="0.45">
      <c r="A88" s="21"/>
    </row>
    <row r="89" spans="1:6" ht="15" customHeight="1" x14ac:dyDescent="0.45">
      <c r="A89" s="21"/>
      <c r="B89" t="s">
        <v>775</v>
      </c>
      <c r="C89" s="98" t="str">
        <f>'1'!$C$19</f>
        <v>A+</v>
      </c>
      <c r="D89" s="98" t="str">
        <f>'1'!$C$19</f>
        <v>A+</v>
      </c>
      <c r="E89" s="98" t="str">
        <f>'1'!$C$19</f>
        <v>A+</v>
      </c>
      <c r="F89" s="98" t="str">
        <f>'1'!$C$19</f>
        <v>A+</v>
      </c>
    </row>
    <row r="90" spans="1:6" ht="15" customHeight="1" x14ac:dyDescent="0.45">
      <c r="A90" s="21"/>
    </row>
    <row r="91" spans="1:6" ht="15" customHeight="1" x14ac:dyDescent="0.45">
      <c r="A91" s="21" t="s">
        <v>776</v>
      </c>
      <c r="D91" s="98"/>
      <c r="E91" s="98"/>
      <c r="F91" s="98"/>
    </row>
    <row r="92" spans="1:6" ht="15" customHeight="1" x14ac:dyDescent="0.45">
      <c r="A92" s="21"/>
      <c r="B92" t="s">
        <v>777</v>
      </c>
      <c r="D92" s="75"/>
      <c r="E92" s="75"/>
      <c r="F92" s="75"/>
    </row>
    <row r="93" spans="1:6" ht="15" customHeight="1" x14ac:dyDescent="0.45">
      <c r="A93" s="21"/>
      <c r="B93" t="s">
        <v>778</v>
      </c>
      <c r="D93" s="75"/>
      <c r="E93" s="75"/>
      <c r="F93" s="75"/>
    </row>
    <row r="94" spans="1:6" ht="15" customHeight="1" x14ac:dyDescent="0.45">
      <c r="A94" s="21"/>
      <c r="B94" t="s">
        <v>779</v>
      </c>
      <c r="D94" s="75"/>
      <c r="E94" s="75"/>
      <c r="F94" s="75"/>
    </row>
    <row r="95" spans="1:6" ht="15" customHeight="1" x14ac:dyDescent="0.45">
      <c r="A95" s="21"/>
    </row>
    <row r="96" spans="1:6" ht="15" customHeight="1" x14ac:dyDescent="0.45">
      <c r="A96" s="21" t="s">
        <v>780</v>
      </c>
    </row>
    <row r="97" spans="1:7" ht="15" customHeight="1" x14ac:dyDescent="0.45">
      <c r="A97" s="21"/>
      <c r="B97" t="s">
        <v>737</v>
      </c>
    </row>
    <row r="98" spans="1:7" ht="15" customHeight="1" x14ac:dyDescent="0.45">
      <c r="A98" s="21"/>
      <c r="B98" t="s">
        <v>739</v>
      </c>
    </row>
    <row r="99" spans="1:7" ht="15" customHeight="1" x14ac:dyDescent="0.45">
      <c r="A99" s="21"/>
      <c r="B99" t="s">
        <v>109</v>
      </c>
    </row>
    <row r="100" spans="1:7" ht="15" customHeight="1" x14ac:dyDescent="0.45">
      <c r="A100" s="21"/>
      <c r="B100" t="s">
        <v>117</v>
      </c>
    </row>
    <row r="101" spans="1:7" ht="15" customHeight="1" x14ac:dyDescent="0.45">
      <c r="A101" s="21"/>
    </row>
    <row r="102" spans="1:7" ht="15" customHeight="1" x14ac:dyDescent="0.45">
      <c r="A102" s="21"/>
      <c r="B102" t="s">
        <v>63</v>
      </c>
      <c r="G102" s="54"/>
    </row>
    <row r="103" spans="1:7" ht="15" customHeight="1" x14ac:dyDescent="0.45">
      <c r="A103" s="21"/>
      <c r="B103" t="s">
        <v>563</v>
      </c>
      <c r="G103" s="54"/>
    </row>
    <row r="104" spans="1:7" ht="15" customHeight="1" x14ac:dyDescent="0.45">
      <c r="A104" s="21"/>
      <c r="B104" t="s">
        <v>781</v>
      </c>
      <c r="G104" s="54"/>
    </row>
    <row r="105" spans="1:7" ht="15" customHeight="1" x14ac:dyDescent="0.45">
      <c r="A105" s="21"/>
    </row>
    <row r="106" spans="1:7" ht="15" customHeight="1" x14ac:dyDescent="0.45">
      <c r="A106" s="21"/>
      <c r="B106" t="s">
        <v>118</v>
      </c>
      <c r="D106" s="74"/>
      <c r="E106" s="74"/>
      <c r="F106" s="74"/>
      <c r="G106" s="54"/>
    </row>
    <row r="107" spans="1:7" ht="15" customHeight="1" x14ac:dyDescent="0.45">
      <c r="A107" s="21"/>
      <c r="B107" t="s">
        <v>513</v>
      </c>
      <c r="D107" s="74"/>
    </row>
    <row r="108" spans="1:7" ht="15" customHeight="1" x14ac:dyDescent="0.45">
      <c r="A108" s="19"/>
    </row>
    <row r="109" spans="1:7" ht="15" customHeight="1" x14ac:dyDescent="0.45">
      <c r="A109" s="21" t="s">
        <v>782</v>
      </c>
    </row>
    <row r="110" spans="1:7" ht="15" customHeight="1" x14ac:dyDescent="0.45">
      <c r="A110" s="21"/>
    </row>
    <row r="111" spans="1:7" ht="15" customHeight="1" x14ac:dyDescent="0.45">
      <c r="A111" s="21"/>
      <c r="B111" s="95" t="s">
        <v>766</v>
      </c>
      <c r="C111" s="95" t="s">
        <v>783</v>
      </c>
      <c r="D111" s="95" t="s">
        <v>277</v>
      </c>
    </row>
    <row r="112" spans="1:7" ht="15" customHeight="1" x14ac:dyDescent="0.45">
      <c r="A112" s="21"/>
      <c r="B112" s="75"/>
    </row>
    <row r="113" spans="1:4" ht="15" customHeight="1" x14ac:dyDescent="0.45">
      <c r="A113" s="21"/>
      <c r="B113" s="75"/>
    </row>
    <row r="114" spans="1:4" ht="15" customHeight="1" x14ac:dyDescent="0.45">
      <c r="A114" s="21"/>
      <c r="B114" s="75"/>
    </row>
    <row r="115" spans="1:4" ht="15" customHeight="1" x14ac:dyDescent="0.45">
      <c r="A115" s="21"/>
      <c r="B115" s="75"/>
    </row>
    <row r="116" spans="1:4" ht="15" customHeight="1" x14ac:dyDescent="0.45">
      <c r="A116" s="21"/>
      <c r="B116" s="75"/>
    </row>
    <row r="117" spans="1:4" ht="15" customHeight="1" x14ac:dyDescent="0.45">
      <c r="A117" s="21"/>
      <c r="B117" s="75"/>
    </row>
    <row r="118" spans="1:4" ht="15" customHeight="1" x14ac:dyDescent="0.45">
      <c r="A118" s="21"/>
      <c r="B118" s="75"/>
    </row>
    <row r="119" spans="1:4" ht="15" customHeight="1" x14ac:dyDescent="0.45">
      <c r="A119" s="19"/>
      <c r="B119" s="75"/>
    </row>
    <row r="120" spans="1:4" ht="15" customHeight="1" x14ac:dyDescent="0.45">
      <c r="A120" s="19"/>
      <c r="B120" s="75"/>
    </row>
    <row r="121" spans="1:4" ht="15" customHeight="1" x14ac:dyDescent="0.45">
      <c r="A121" s="19"/>
      <c r="B121" s="75"/>
    </row>
    <row r="122" spans="1:4" ht="15" customHeight="1" x14ac:dyDescent="0.45">
      <c r="A122" s="19"/>
      <c r="B122" s="75"/>
    </row>
    <row r="123" spans="1:4" ht="15" customHeight="1" x14ac:dyDescent="0.45">
      <c r="A123" s="19"/>
    </row>
    <row r="124" spans="1:4" ht="15" customHeight="1" x14ac:dyDescent="0.45">
      <c r="A124" s="19"/>
      <c r="B124" t="s">
        <v>784</v>
      </c>
      <c r="C124" s="75"/>
    </row>
    <row r="125" spans="1:4" ht="15" customHeight="1" x14ac:dyDescent="0.45">
      <c r="A125" s="19"/>
      <c r="B125" t="s">
        <v>785</v>
      </c>
      <c r="C125" s="75"/>
    </row>
    <row r="126" spans="1:4" ht="15" customHeight="1" x14ac:dyDescent="0.45">
      <c r="A126" s="19"/>
    </row>
    <row r="127" spans="1:4" ht="15" customHeight="1" x14ac:dyDescent="0.45">
      <c r="A127" s="21" t="s">
        <v>786</v>
      </c>
      <c r="C127" s="95" t="s">
        <v>787</v>
      </c>
      <c r="D127" s="95" t="s">
        <v>788</v>
      </c>
    </row>
    <row r="128" spans="1:4" ht="15" customHeight="1" x14ac:dyDescent="0.45">
      <c r="A128" s="21"/>
      <c r="B128" t="s">
        <v>789</v>
      </c>
      <c r="D128" s="74"/>
    </row>
    <row r="129" spans="1:4" ht="15" customHeight="1" x14ac:dyDescent="0.45">
      <c r="A129" s="21"/>
      <c r="B129" t="s">
        <v>757</v>
      </c>
      <c r="D129" s="74"/>
    </row>
    <row r="130" spans="1:4" ht="15" customHeight="1" x14ac:dyDescent="0.45">
      <c r="A130" s="21"/>
      <c r="B130" t="s">
        <v>790</v>
      </c>
    </row>
    <row r="131" spans="1:4" ht="15" customHeight="1" x14ac:dyDescent="0.45">
      <c r="A131" s="21"/>
      <c r="B131" t="s">
        <v>791</v>
      </c>
      <c r="C131" s="60" t="s">
        <v>69</v>
      </c>
    </row>
    <row r="132" spans="1:4" ht="15" customHeight="1" x14ac:dyDescent="0.45">
      <c r="A132" s="21"/>
      <c r="B132" t="s">
        <v>792</v>
      </c>
      <c r="C132" s="60" t="s">
        <v>69</v>
      </c>
    </row>
    <row r="133" spans="1:4" ht="15" customHeight="1" x14ac:dyDescent="0.45">
      <c r="A133" s="21"/>
    </row>
    <row r="134" spans="1:4" ht="15" customHeight="1" x14ac:dyDescent="0.45">
      <c r="A134" s="21" t="s">
        <v>793</v>
      </c>
    </row>
    <row r="135" spans="1:4" ht="15" customHeight="1" x14ac:dyDescent="0.45">
      <c r="A135" s="21"/>
      <c r="B135" t="s">
        <v>727</v>
      </c>
    </row>
    <row r="136" spans="1:4" ht="15" customHeight="1" x14ac:dyDescent="0.45">
      <c r="A136" s="21"/>
      <c r="B136" t="s">
        <v>739</v>
      </c>
    </row>
    <row r="137" spans="1:4" ht="15" customHeight="1" x14ac:dyDescent="0.45">
      <c r="A137" s="21"/>
    </row>
    <row r="138" spans="1:4" ht="15" customHeight="1" x14ac:dyDescent="0.45">
      <c r="A138" s="21"/>
      <c r="B138" t="s">
        <v>794</v>
      </c>
    </row>
    <row r="139" spans="1:4" ht="15" customHeight="1" x14ac:dyDescent="0.45">
      <c r="A139" s="21"/>
    </row>
    <row r="140" spans="1:4" ht="15" customHeight="1" x14ac:dyDescent="0.45">
      <c r="A140" s="21"/>
      <c r="B140" t="s">
        <v>664</v>
      </c>
    </row>
    <row r="141" spans="1:4" ht="15" customHeight="1" x14ac:dyDescent="0.45">
      <c r="A141" s="21"/>
      <c r="B141" t="s">
        <v>793</v>
      </c>
    </row>
    <row r="142" spans="1:4" ht="15" customHeight="1" x14ac:dyDescent="0.45">
      <c r="A142" s="21"/>
    </row>
    <row r="143" spans="1:4" ht="15" customHeight="1" x14ac:dyDescent="0.45">
      <c r="A143" s="21"/>
      <c r="C143" s="98" t="s">
        <v>641</v>
      </c>
      <c r="D143" s="98" t="s">
        <v>642</v>
      </c>
    </row>
    <row r="144" spans="1:4" ht="15" customHeight="1" x14ac:dyDescent="0.45">
      <c r="A144" s="21"/>
      <c r="B144" t="s">
        <v>795</v>
      </c>
    </row>
    <row r="145" spans="1:2" ht="15" customHeight="1" x14ac:dyDescent="0.45">
      <c r="A145" s="21"/>
      <c r="B145" t="s">
        <v>796</v>
      </c>
    </row>
    <row r="146" spans="1:2" ht="15" customHeight="1" x14ac:dyDescent="0.45">
      <c r="A146" s="21"/>
    </row>
    <row r="147" spans="1:2" ht="15" customHeight="1" x14ac:dyDescent="0.45">
      <c r="A147" s="85" t="s">
        <v>147</v>
      </c>
    </row>
    <row r="148" spans="1:2" ht="15" customHeight="1" x14ac:dyDescent="0.45">
      <c r="A148" s="85"/>
    </row>
    <row r="149" spans="1:2" ht="15" customHeight="1" x14ac:dyDescent="0.45">
      <c r="A149" s="85"/>
    </row>
    <row r="150" spans="1:2" ht="15" customHeight="1" x14ac:dyDescent="0.45">
      <c r="A150" s="85"/>
    </row>
    <row r="151" spans="1:2" ht="15" customHeight="1" x14ac:dyDescent="0.45">
      <c r="A151" s="85"/>
    </row>
    <row r="152" spans="1:2" ht="15" customHeight="1" x14ac:dyDescent="0.45">
      <c r="A152" s="85"/>
    </row>
    <row r="153" spans="1:2" ht="15" customHeight="1" x14ac:dyDescent="0.45">
      <c r="A153" s="85"/>
    </row>
    <row r="154" spans="1:2" ht="15" customHeight="1" x14ac:dyDescent="0.45">
      <c r="A154" s="85"/>
    </row>
    <row r="155" spans="1:2" ht="15" customHeight="1" x14ac:dyDescent="0.45">
      <c r="A155" s="85"/>
    </row>
    <row r="156" spans="1:2" ht="15" customHeight="1" x14ac:dyDescent="0.45">
      <c r="A156" s="85"/>
    </row>
    <row r="157" spans="1:2" ht="15" customHeight="1" x14ac:dyDescent="0.45">
      <c r="A157" s="85"/>
    </row>
    <row r="158" spans="1:2" ht="15" customHeight="1" x14ac:dyDescent="0.45">
      <c r="A158" s="85"/>
    </row>
    <row r="159" spans="1:2" ht="15" customHeight="1" x14ac:dyDescent="0.45">
      <c r="A159" s="85"/>
    </row>
    <row r="160" spans="1:2" ht="15" customHeight="1" x14ac:dyDescent="0.45">
      <c r="A160" s="85"/>
    </row>
    <row r="161" spans="1:1" ht="15" customHeight="1" x14ac:dyDescent="0.45">
      <c r="A161" s="85"/>
    </row>
    <row r="162" spans="1:1" ht="15" customHeight="1" x14ac:dyDescent="0.45">
      <c r="A162" s="85"/>
    </row>
    <row r="163" spans="1:1" ht="15" customHeight="1" x14ac:dyDescent="0.45">
      <c r="A163" s="85"/>
    </row>
    <row r="164" spans="1:1" ht="15" customHeight="1" x14ac:dyDescent="0.45">
      <c r="A164" s="85"/>
    </row>
    <row r="165" spans="1:1" ht="15" customHeight="1" x14ac:dyDescent="0.45">
      <c r="A165" s="85"/>
    </row>
    <row r="166" spans="1:1" ht="15" customHeight="1" x14ac:dyDescent="0.45">
      <c r="A166" s="85"/>
    </row>
    <row r="167" spans="1:1" ht="15" customHeight="1" x14ac:dyDescent="0.45">
      <c r="A167" s="85"/>
    </row>
    <row r="168" spans="1:1" ht="15" customHeight="1" x14ac:dyDescent="0.45">
      <c r="A168" s="85"/>
    </row>
    <row r="169" spans="1:1" ht="15" customHeight="1" x14ac:dyDescent="0.45">
      <c r="A169" s="85"/>
    </row>
    <row r="170" spans="1:1" ht="15" customHeight="1" x14ac:dyDescent="0.45">
      <c r="A170" s="85"/>
    </row>
    <row r="171" spans="1:1" ht="15" customHeight="1" x14ac:dyDescent="0.45">
      <c r="A171" s="85"/>
    </row>
    <row r="172" spans="1:1" ht="15" customHeight="1" x14ac:dyDescent="0.45">
      <c r="A172" s="85"/>
    </row>
    <row r="173" spans="1:1" ht="15" customHeight="1" x14ac:dyDescent="0.45">
      <c r="A173" s="85"/>
    </row>
    <row r="174" spans="1:1" ht="15" customHeight="1" x14ac:dyDescent="0.45">
      <c r="A174" s="85"/>
    </row>
    <row r="175" spans="1:1" ht="15" customHeight="1" x14ac:dyDescent="0.45">
      <c r="A175" s="85"/>
    </row>
    <row r="176" spans="1:1" ht="15" customHeight="1" x14ac:dyDescent="0.45">
      <c r="A176" s="85"/>
    </row>
    <row r="177" spans="1:1" ht="15" customHeight="1" x14ac:dyDescent="0.45">
      <c r="A177" s="85"/>
    </row>
    <row r="178" spans="1:1" ht="15" customHeight="1" x14ac:dyDescent="0.45">
      <c r="A178" s="85"/>
    </row>
    <row r="179" spans="1:1" ht="15" customHeight="1" x14ac:dyDescent="0.45">
      <c r="A179" s="85"/>
    </row>
    <row r="180" spans="1:1" ht="15" customHeight="1" x14ac:dyDescent="0.45">
      <c r="A180" s="85"/>
    </row>
    <row r="181" spans="1:1" ht="15" customHeight="1" x14ac:dyDescent="0.45">
      <c r="A181" s="85"/>
    </row>
    <row r="182" spans="1:1" ht="15" customHeight="1" x14ac:dyDescent="0.45">
      <c r="A182" s="85"/>
    </row>
  </sheetData>
  <conditionalFormatting sqref="D68:H76">
    <cfRule type="cellIs" dxfId="1" priority="2" operator="greaterThan">
      <formula>0</formula>
    </cfRule>
  </conditionalFormatting>
  <conditionalFormatting sqref="M68:Q76">
    <cfRule type="cellIs" dxfId="0" priority="1" operator="greaterThan">
      <formula>0</formula>
    </cfRule>
  </conditionalFormatting>
  <printOptions gridLines="1"/>
  <pageMargins left="0.31496062992125984" right="0.11811023622047245" top="0.74803149606299213" bottom="0.74803149606299213" header="0" footer="0"/>
  <pageSetup paperSize="9" scale="69" fitToHeight="0" orientation="landscape" r:id="rId1"/>
  <headerFooter>
    <oddHeader>&amp;R&amp;F  &amp;A</oddHeader>
    <oddFooter>&amp;L© 2016&amp;CPage &amp;P of</oddFooter>
  </headerFooter>
  <rowBreaks count="3" manualBreakCount="3">
    <brk id="39" max="16" man="1"/>
    <brk id="77" max="16" man="1"/>
    <brk id="108" max="16"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pageSetUpPr fitToPage="1"/>
  </sheetPr>
  <dimension ref="A1:P109"/>
  <sheetViews>
    <sheetView zoomScaleNormal="100" zoomScaleSheetLayoutView="85" workbookViewId="0">
      <pane xSplit="2" ySplit="3" topLeftCell="C4" activePane="bottomRight" state="frozen"/>
      <selection pane="topRight" sqref="A1:N1"/>
      <selection pane="bottomLeft" sqref="A1:N1"/>
      <selection pane="bottomRight" activeCell="C4" sqref="C4"/>
    </sheetView>
  </sheetViews>
  <sheetFormatPr defaultColWidth="12.59765625" defaultRowHeight="15" customHeight="1" x14ac:dyDescent="0.45"/>
  <cols>
    <col min="1" max="1" width="1.59765625" customWidth="1"/>
    <col min="2" max="2" width="50.59765625" customWidth="1"/>
    <col min="3" max="9" width="10.265625" customWidth="1"/>
    <col min="10" max="10" width="12.73046875" bestFit="1" customWidth="1"/>
    <col min="11" max="15" width="10.265625" customWidth="1"/>
    <col min="16" max="16" width="29" bestFit="1" customWidth="1"/>
  </cols>
  <sheetData>
    <row r="1" spans="1:16" ht="45" customHeight="1" x14ac:dyDescent="0.85">
      <c r="A1" s="83" t="str">
        <f>"LBO valuation for "&amp;Info!N5</f>
        <v>LBO valuation for Red Bull</v>
      </c>
      <c r="B1" s="83"/>
      <c r="C1" s="83"/>
      <c r="D1" s="83"/>
      <c r="E1" s="83"/>
      <c r="F1" s="83"/>
      <c r="G1" s="83"/>
      <c r="H1" s="83"/>
      <c r="I1" s="83"/>
      <c r="J1" s="83"/>
      <c r="K1" s="83"/>
      <c r="L1" s="83"/>
      <c r="M1" s="83"/>
      <c r="N1" s="83"/>
      <c r="O1" s="83"/>
      <c r="P1" s="23"/>
    </row>
    <row r="2" spans="1:16" ht="15" customHeight="1" x14ac:dyDescent="0.55000000000000004">
      <c r="A2" s="95"/>
      <c r="B2" s="95"/>
      <c r="C2" s="95" t="str">
        <f>'Red Bull Model'!C2</f>
        <v>Actual</v>
      </c>
      <c r="D2" s="95" t="str">
        <f>'Red Bull Model'!D2</f>
        <v>Actual</v>
      </c>
      <c r="E2" s="95" t="str">
        <f>'Red Bull Model'!E2</f>
        <v>Actual</v>
      </c>
      <c r="F2" s="95" t="str">
        <f>'Red Bull Model'!F2</f>
        <v>Actual</v>
      </c>
      <c r="G2" s="95" t="str">
        <f>'Red Bull Model'!G2</f>
        <v>Projected</v>
      </c>
      <c r="H2" s="95" t="str">
        <f>'Red Bull Model'!H2</f>
        <v>Projected</v>
      </c>
      <c r="I2" s="95" t="str">
        <f>'Red Bull Model'!I2</f>
        <v>Projected</v>
      </c>
      <c r="J2" s="95" t="str">
        <f>'Red Bull Model'!J2</f>
        <v>Projected</v>
      </c>
      <c r="K2" s="95" t="str">
        <f>'Red Bull Model'!K2</f>
        <v>Projected</v>
      </c>
      <c r="L2" s="95" t="str">
        <f>'Red Bull Model'!L2</f>
        <v>Projected</v>
      </c>
      <c r="M2" s="95" t="str">
        <f>'Red Bull Model'!M2</f>
        <v>Projected</v>
      </c>
      <c r="N2" s="95" t="str">
        <f>'Red Bull Model'!N2</f>
        <v>Projected</v>
      </c>
      <c r="O2" s="95" t="str">
        <f>'Red Bull Model'!O2</f>
        <v>Projected</v>
      </c>
      <c r="P2" s="24"/>
    </row>
    <row r="3" spans="1:16" ht="15" customHeight="1" x14ac:dyDescent="0.45">
      <c r="A3" s="95"/>
      <c r="B3" s="95"/>
      <c r="C3" s="158">
        <f>'Red Bull Model'!C3</f>
        <v>44196</v>
      </c>
      <c r="D3" s="158">
        <f>'Red Bull Model'!D3</f>
        <v>44561</v>
      </c>
      <c r="E3" s="158">
        <f>'Red Bull Model'!E3</f>
        <v>44926</v>
      </c>
      <c r="F3" s="158">
        <f>'Red Bull Model'!F3</f>
        <v>45291</v>
      </c>
      <c r="G3" s="158">
        <f>'Red Bull Model'!G3</f>
        <v>45657</v>
      </c>
      <c r="H3" s="158">
        <f>'Red Bull Model'!H3</f>
        <v>46022</v>
      </c>
      <c r="I3" s="158">
        <f>'Red Bull Model'!I3</f>
        <v>46387</v>
      </c>
      <c r="J3" s="158">
        <f>'Red Bull Model'!J3</f>
        <v>46752</v>
      </c>
      <c r="K3" s="158">
        <f>'Red Bull Model'!K3</f>
        <v>47118</v>
      </c>
      <c r="L3" s="158">
        <f>'Red Bull Model'!L3</f>
        <v>47483</v>
      </c>
      <c r="M3" s="158">
        <f>'Red Bull Model'!M3</f>
        <v>47848</v>
      </c>
      <c r="N3" s="158">
        <f>'Red Bull Model'!N3</f>
        <v>48213</v>
      </c>
      <c r="O3" s="158">
        <f>'Red Bull Model'!O3</f>
        <v>48579</v>
      </c>
    </row>
    <row r="4" spans="1:16" ht="15" customHeight="1" x14ac:dyDescent="0.45">
      <c r="A4" s="5" t="s">
        <v>164</v>
      </c>
      <c r="B4" s="54"/>
      <c r="C4" s="54"/>
      <c r="D4" s="54"/>
      <c r="E4" s="54"/>
      <c r="F4" s="54"/>
      <c r="G4" s="54"/>
      <c r="H4" s="54"/>
      <c r="I4" s="54"/>
      <c r="J4" s="54"/>
      <c r="K4" s="54"/>
      <c r="L4" s="54"/>
      <c r="M4" s="54"/>
      <c r="N4" s="54"/>
      <c r="O4" s="54"/>
      <c r="P4" s="54"/>
    </row>
    <row r="5" spans="1:16" ht="15" customHeight="1" x14ac:dyDescent="0.45">
      <c r="B5" s="54"/>
      <c r="C5" s="54"/>
      <c r="D5" s="54"/>
      <c r="E5" s="54"/>
      <c r="F5" s="54"/>
      <c r="G5" s="54"/>
      <c r="H5" s="54"/>
      <c r="I5" s="54"/>
      <c r="J5" s="54"/>
      <c r="K5" s="54"/>
      <c r="L5" s="54"/>
      <c r="M5" s="54"/>
      <c r="N5" s="54"/>
      <c r="O5" s="54"/>
      <c r="P5" s="54"/>
    </row>
    <row r="6" spans="1:16" ht="15" customHeight="1" x14ac:dyDescent="0.45">
      <c r="A6" s="21" t="s">
        <v>165</v>
      </c>
      <c r="B6" s="54"/>
      <c r="C6" s="54"/>
      <c r="D6" s="54"/>
      <c r="E6" s="54"/>
      <c r="F6" s="54"/>
      <c r="G6" s="21" t="s">
        <v>736</v>
      </c>
      <c r="H6" s="54"/>
      <c r="I6" s="54"/>
      <c r="J6" s="54"/>
      <c r="K6" s="54"/>
      <c r="L6" s="54"/>
      <c r="M6" s="5" t="s">
        <v>797</v>
      </c>
      <c r="N6" s="54"/>
      <c r="O6" s="54"/>
      <c r="P6" s="54"/>
    </row>
    <row r="7" spans="1:16" ht="15" customHeight="1" x14ac:dyDescent="0.45">
      <c r="A7" s="21"/>
      <c r="B7" s="5" t="s">
        <v>415</v>
      </c>
      <c r="C7" s="54"/>
      <c r="D7" s="54"/>
      <c r="E7" s="73"/>
      <c r="F7" s="54"/>
      <c r="G7" t="s">
        <v>522</v>
      </c>
      <c r="K7" t="s">
        <v>798</v>
      </c>
      <c r="M7" s="56">
        <v>4</v>
      </c>
      <c r="P7" s="54"/>
    </row>
    <row r="8" spans="1:16" ht="15" customHeight="1" x14ac:dyDescent="0.45">
      <c r="A8" s="21"/>
      <c r="B8" s="5" t="s">
        <v>799</v>
      </c>
      <c r="C8" s="54"/>
      <c r="D8" s="54"/>
      <c r="E8" s="54"/>
      <c r="F8" s="56">
        <v>6</v>
      </c>
      <c r="G8" t="s">
        <v>739</v>
      </c>
      <c r="K8" t="s">
        <v>800</v>
      </c>
      <c r="M8" s="171"/>
      <c r="P8" s="54"/>
    </row>
    <row r="9" spans="1:16" ht="15" customHeight="1" x14ac:dyDescent="0.45">
      <c r="A9" s="21"/>
      <c r="B9" s="54" t="s">
        <v>725</v>
      </c>
      <c r="C9" s="54"/>
      <c r="D9" s="54"/>
      <c r="E9" s="159"/>
      <c r="F9" s="70">
        <v>25</v>
      </c>
      <c r="G9" t="s">
        <v>743</v>
      </c>
      <c r="K9" t="s">
        <v>194</v>
      </c>
      <c r="M9" s="54"/>
      <c r="P9" s="54"/>
    </row>
    <row r="10" spans="1:16" ht="15" customHeight="1" x14ac:dyDescent="0.45">
      <c r="A10" s="21"/>
      <c r="B10" s="54" t="s">
        <v>801</v>
      </c>
      <c r="F10" s="75"/>
      <c r="J10" s="54"/>
      <c r="K10" t="s">
        <v>744</v>
      </c>
      <c r="M10" s="54"/>
      <c r="P10" s="54"/>
    </row>
    <row r="11" spans="1:16" ht="15" customHeight="1" x14ac:dyDescent="0.45">
      <c r="A11" s="21"/>
      <c r="B11" s="54"/>
      <c r="C11" s="54"/>
      <c r="D11" s="54"/>
      <c r="E11" s="54"/>
      <c r="F11" s="54"/>
      <c r="G11" s="54"/>
      <c r="H11" s="54"/>
      <c r="I11" s="54"/>
      <c r="J11" s="54"/>
      <c r="K11" s="54"/>
      <c r="L11" s="54"/>
      <c r="M11" s="54"/>
      <c r="O11" s="54"/>
      <c r="P11" s="54"/>
    </row>
    <row r="12" spans="1:16" ht="15" customHeight="1" x14ac:dyDescent="0.45">
      <c r="A12" s="21"/>
      <c r="B12" s="5" t="s">
        <v>802</v>
      </c>
      <c r="C12" s="54"/>
      <c r="D12" s="54"/>
      <c r="E12" s="61">
        <v>1.5699999999999999E-2</v>
      </c>
      <c r="F12" s="5"/>
      <c r="G12" s="54"/>
      <c r="H12" s="54"/>
      <c r="I12" s="54"/>
      <c r="J12" s="54"/>
      <c r="K12" s="54"/>
      <c r="L12" s="54"/>
      <c r="M12" s="54"/>
      <c r="N12" s="54"/>
      <c r="O12" s="54"/>
      <c r="P12" s="54"/>
    </row>
    <row r="13" spans="1:16" ht="15" customHeight="1" x14ac:dyDescent="0.45">
      <c r="A13" s="21"/>
      <c r="B13" s="5" t="s">
        <v>537</v>
      </c>
      <c r="C13" s="54"/>
      <c r="D13" s="54"/>
      <c r="E13" s="169"/>
      <c r="G13" s="54"/>
      <c r="H13" s="54"/>
      <c r="I13" s="54"/>
      <c r="J13" s="54"/>
      <c r="K13" s="54"/>
      <c r="L13" s="54"/>
      <c r="M13" s="54"/>
      <c r="N13" s="54"/>
      <c r="O13" s="54"/>
      <c r="P13" s="54"/>
    </row>
    <row r="14" spans="1:16" ht="15" customHeight="1" x14ac:dyDescent="0.45">
      <c r="A14" s="21"/>
      <c r="B14" s="5" t="s">
        <v>803</v>
      </c>
      <c r="C14" s="54"/>
      <c r="D14" s="54"/>
      <c r="E14" s="169"/>
      <c r="G14" s="54"/>
      <c r="H14" s="54"/>
      <c r="I14" s="54"/>
      <c r="J14" s="54"/>
      <c r="K14" s="54"/>
      <c r="L14" s="54"/>
      <c r="M14" s="54"/>
      <c r="N14" s="54"/>
      <c r="O14" s="54"/>
      <c r="P14" s="54"/>
    </row>
    <row r="15" spans="1:16" ht="15" customHeight="1" x14ac:dyDescent="0.45">
      <c r="A15" s="21"/>
      <c r="B15" s="54" t="s">
        <v>804</v>
      </c>
      <c r="C15" s="54"/>
      <c r="D15" s="54"/>
      <c r="E15" s="61">
        <v>7.2499999999999995E-2</v>
      </c>
      <c r="F15" s="54"/>
      <c r="G15" s="54"/>
      <c r="H15" s="54"/>
      <c r="I15" s="54"/>
      <c r="J15" s="54"/>
      <c r="K15" s="54"/>
      <c r="L15" s="54"/>
      <c r="M15" s="54"/>
      <c r="N15" s="54"/>
      <c r="O15" s="54"/>
      <c r="P15" s="54"/>
    </row>
    <row r="16" spans="1:16" ht="15" customHeight="1" x14ac:dyDescent="0.45">
      <c r="A16" s="21"/>
      <c r="B16" s="54" t="s">
        <v>188</v>
      </c>
      <c r="C16" s="54"/>
      <c r="D16" s="54"/>
      <c r="E16" s="61">
        <v>0.03</v>
      </c>
      <c r="F16" s="54"/>
      <c r="G16" s="54"/>
      <c r="H16" s="54"/>
      <c r="I16" s="54"/>
      <c r="J16" s="54"/>
      <c r="K16" s="54"/>
      <c r="L16" s="54"/>
      <c r="M16" s="54"/>
      <c r="N16" s="54"/>
      <c r="O16" s="54"/>
      <c r="P16" s="54"/>
    </row>
    <row r="17" spans="1:16" ht="15" customHeight="1" x14ac:dyDescent="0.45">
      <c r="A17" s="21"/>
      <c r="B17" s="5" t="s">
        <v>805</v>
      </c>
      <c r="C17" s="54"/>
      <c r="D17" s="54"/>
      <c r="E17" s="61">
        <v>0.01</v>
      </c>
      <c r="F17" s="54"/>
      <c r="G17" s="54"/>
      <c r="H17" s="54"/>
      <c r="I17" s="54"/>
      <c r="J17" s="54"/>
      <c r="K17" s="54"/>
      <c r="L17" s="54"/>
      <c r="M17" s="54"/>
      <c r="N17" s="54"/>
      <c r="O17" s="54"/>
      <c r="P17" s="54"/>
    </row>
    <row r="18" spans="1:16" ht="15" customHeight="1" x14ac:dyDescent="0.45">
      <c r="A18" s="21"/>
      <c r="B18" s="5" t="s">
        <v>806</v>
      </c>
      <c r="C18" s="54"/>
      <c r="D18" s="54"/>
      <c r="E18" s="25">
        <v>4</v>
      </c>
      <c r="F18" s="54"/>
      <c r="G18" s="54"/>
      <c r="H18" s="54"/>
      <c r="I18" s="54"/>
      <c r="J18" s="54"/>
      <c r="K18" s="54"/>
      <c r="L18" s="54"/>
      <c r="M18" s="54"/>
      <c r="N18" s="54"/>
      <c r="O18" s="54"/>
      <c r="P18" s="54"/>
    </row>
    <row r="19" spans="1:16" ht="15" customHeight="1" x14ac:dyDescent="0.45">
      <c r="A19" s="21"/>
      <c r="B19" s="54"/>
      <c r="C19" s="54"/>
      <c r="D19" s="54"/>
      <c r="E19" s="54"/>
      <c r="F19" s="54"/>
      <c r="G19" s="54"/>
      <c r="H19" s="54"/>
      <c r="I19" s="54"/>
      <c r="J19" s="54"/>
      <c r="K19" s="54"/>
      <c r="L19" s="54"/>
      <c r="M19" s="54"/>
      <c r="N19" s="54"/>
      <c r="O19" s="54"/>
      <c r="P19" s="54"/>
    </row>
    <row r="20" spans="1:16" ht="15" customHeight="1" x14ac:dyDescent="0.45">
      <c r="A20" s="21" t="s">
        <v>807</v>
      </c>
      <c r="B20" s="54"/>
      <c r="C20" s="54"/>
      <c r="D20" s="54"/>
      <c r="E20" s="54"/>
      <c r="F20" s="54"/>
      <c r="G20" s="54"/>
      <c r="H20" s="54"/>
      <c r="I20" s="54"/>
      <c r="J20" s="54"/>
      <c r="K20" s="54"/>
      <c r="L20" s="54"/>
      <c r="M20" s="54"/>
      <c r="N20" s="54"/>
      <c r="O20" s="54"/>
      <c r="P20" s="54"/>
    </row>
    <row r="21" spans="1:16" ht="15" customHeight="1" x14ac:dyDescent="0.45">
      <c r="A21" s="21"/>
      <c r="B21" s="5" t="s">
        <v>198</v>
      </c>
      <c r="C21" s="54"/>
      <c r="D21" s="54"/>
      <c r="E21" s="54"/>
      <c r="F21" s="54"/>
    </row>
    <row r="22" spans="1:16" ht="15" customHeight="1" x14ac:dyDescent="0.45">
      <c r="A22" s="21"/>
      <c r="B22" s="54" t="s">
        <v>808</v>
      </c>
      <c r="C22" s="54"/>
      <c r="D22" s="54"/>
      <c r="E22" s="54"/>
      <c r="F22" s="54"/>
      <c r="G22" s="55">
        <v>0.01</v>
      </c>
      <c r="H22" s="55">
        <v>0.01</v>
      </c>
      <c r="I22" s="55">
        <v>0.01</v>
      </c>
      <c r="J22" s="55">
        <v>0.01</v>
      </c>
      <c r="K22" s="55">
        <v>0.01</v>
      </c>
      <c r="L22" s="55">
        <v>0.01</v>
      </c>
      <c r="M22" s="55">
        <v>0.01</v>
      </c>
      <c r="N22" s="55">
        <v>0.01</v>
      </c>
      <c r="O22" s="55">
        <v>0.01</v>
      </c>
    </row>
    <row r="23" spans="1:16" ht="15" customHeight="1" x14ac:dyDescent="0.45">
      <c r="A23" s="21"/>
      <c r="B23" s="54" t="s">
        <v>809</v>
      </c>
      <c r="C23" s="54"/>
      <c r="D23" s="54"/>
      <c r="E23" s="54"/>
      <c r="F23" s="54"/>
    </row>
    <row r="24" spans="1:16" ht="15" customHeight="1" x14ac:dyDescent="0.45">
      <c r="A24" s="21"/>
      <c r="B24" s="54" t="s">
        <v>65</v>
      </c>
      <c r="C24" s="54"/>
      <c r="D24" s="54"/>
      <c r="E24" s="54"/>
      <c r="F24" s="54"/>
    </row>
    <row r="25" spans="1:16" ht="15" customHeight="1" x14ac:dyDescent="0.45">
      <c r="A25" s="21"/>
      <c r="B25" s="5" t="s">
        <v>810</v>
      </c>
      <c r="C25" s="54"/>
      <c r="D25" s="54"/>
      <c r="E25" s="54"/>
      <c r="F25" s="54"/>
    </row>
    <row r="26" spans="1:16" ht="15" customHeight="1" x14ac:dyDescent="0.45">
      <c r="A26" s="19"/>
      <c r="B26" s="54" t="s">
        <v>811</v>
      </c>
      <c r="C26" s="54"/>
      <c r="D26" s="54"/>
      <c r="E26" s="54"/>
      <c r="F26" s="54"/>
      <c r="G26" s="74"/>
      <c r="H26" s="74"/>
      <c r="I26" s="74"/>
      <c r="J26" s="74"/>
      <c r="K26" s="74"/>
      <c r="L26" s="74"/>
      <c r="M26" s="74"/>
      <c r="N26" s="74"/>
      <c r="O26" s="74"/>
    </row>
    <row r="27" spans="1:16" ht="15" customHeight="1" x14ac:dyDescent="0.45">
      <c r="A27" s="21"/>
      <c r="B27" s="5" t="s">
        <v>501</v>
      </c>
      <c r="C27" s="54"/>
      <c r="D27" s="54"/>
      <c r="E27" s="54"/>
      <c r="F27" s="155"/>
      <c r="G27" s="74"/>
      <c r="H27" s="74"/>
      <c r="I27" s="74"/>
      <c r="J27" s="74"/>
      <c r="K27" s="74"/>
      <c r="L27" s="74"/>
      <c r="M27" s="74"/>
      <c r="N27" s="74"/>
      <c r="O27" s="74"/>
    </row>
    <row r="28" spans="1:16" ht="15" customHeight="1" x14ac:dyDescent="0.45">
      <c r="A28" s="21"/>
      <c r="B28" s="54"/>
      <c r="C28" s="54"/>
      <c r="D28" s="54"/>
      <c r="E28" s="54"/>
      <c r="F28" s="54"/>
      <c r="G28" s="54"/>
      <c r="H28" s="54"/>
      <c r="I28" s="54"/>
      <c r="J28" s="54"/>
      <c r="K28" s="54"/>
      <c r="L28" s="54"/>
      <c r="M28" s="54"/>
      <c r="N28" s="54"/>
      <c r="O28" s="54"/>
    </row>
    <row r="29" spans="1:16" ht="15" customHeight="1" x14ac:dyDescent="0.45">
      <c r="A29" s="21" t="s">
        <v>197</v>
      </c>
      <c r="B29" s="54"/>
      <c r="C29" s="54"/>
      <c r="D29" s="54"/>
      <c r="E29" s="54"/>
      <c r="F29" s="54"/>
      <c r="G29" s="54"/>
      <c r="H29" s="54"/>
      <c r="I29" s="54"/>
      <c r="J29" s="54"/>
      <c r="K29" s="54"/>
      <c r="L29" s="54"/>
      <c r="M29" s="54"/>
      <c r="N29" s="54"/>
      <c r="O29" s="54"/>
    </row>
    <row r="30" spans="1:16" ht="15" customHeight="1" x14ac:dyDescent="0.45">
      <c r="A30" s="21"/>
      <c r="B30" s="5" t="s">
        <v>198</v>
      </c>
      <c r="C30" s="54"/>
      <c r="D30" s="54"/>
      <c r="E30" s="54"/>
      <c r="F30" s="5"/>
    </row>
    <row r="31" spans="1:16" ht="15" customHeight="1" x14ac:dyDescent="0.45">
      <c r="A31" s="21"/>
      <c r="B31" s="5" t="s">
        <v>812</v>
      </c>
      <c r="C31" s="54"/>
      <c r="D31" s="54"/>
      <c r="E31" s="54"/>
      <c r="F31" s="5"/>
    </row>
    <row r="32" spans="1:16" ht="15" customHeight="1" x14ac:dyDescent="0.45">
      <c r="A32" s="21"/>
      <c r="B32" s="54" t="s">
        <v>809</v>
      </c>
      <c r="C32" s="54"/>
      <c r="D32" s="54"/>
      <c r="E32" s="54"/>
      <c r="F32" s="54"/>
    </row>
    <row r="33" spans="1:15" ht="15" customHeight="1" x14ac:dyDescent="0.45">
      <c r="A33" s="21"/>
      <c r="B33" s="5" t="s">
        <v>209</v>
      </c>
      <c r="C33" s="54"/>
      <c r="D33" s="54"/>
      <c r="E33" s="54"/>
      <c r="F33" s="54"/>
    </row>
    <row r="34" spans="1:15" ht="15" customHeight="1" x14ac:dyDescent="0.45">
      <c r="A34" s="21"/>
      <c r="B34" s="5" t="s">
        <v>208</v>
      </c>
      <c r="C34" s="54"/>
      <c r="D34" s="54"/>
      <c r="E34" s="54"/>
      <c r="F34" s="54"/>
    </row>
    <row r="35" spans="1:15" ht="15" customHeight="1" x14ac:dyDescent="0.45">
      <c r="A35" s="21"/>
      <c r="B35" s="5" t="s">
        <v>211</v>
      </c>
      <c r="C35" s="54"/>
      <c r="D35" s="54"/>
      <c r="E35" s="54"/>
      <c r="F35" s="5"/>
    </row>
    <row r="36" spans="1:15" ht="15" customHeight="1" x14ac:dyDescent="0.45">
      <c r="A36" s="21"/>
      <c r="B36" s="5" t="s">
        <v>212</v>
      </c>
      <c r="C36" s="54"/>
      <c r="D36" s="54"/>
      <c r="E36" s="54"/>
      <c r="F36" s="5"/>
    </row>
    <row r="37" spans="1:15" ht="15" customHeight="1" x14ac:dyDescent="0.45">
      <c r="A37" s="21"/>
      <c r="B37" s="5" t="s">
        <v>195</v>
      </c>
      <c r="C37" s="54"/>
      <c r="D37" s="54"/>
      <c r="E37" s="54"/>
      <c r="F37" s="5"/>
    </row>
    <row r="38" spans="1:15" ht="15" customHeight="1" x14ac:dyDescent="0.45">
      <c r="A38" s="21"/>
      <c r="B38" s="54"/>
      <c r="C38" s="54"/>
      <c r="D38" s="54"/>
      <c r="E38" s="54"/>
      <c r="F38" s="54"/>
      <c r="G38" s="54"/>
      <c r="H38" s="54"/>
      <c r="I38" s="54"/>
      <c r="J38" s="54"/>
      <c r="K38" s="54"/>
      <c r="L38" s="54"/>
      <c r="M38" s="54"/>
      <c r="N38" s="54"/>
      <c r="O38" s="54"/>
    </row>
    <row r="39" spans="1:15" ht="15" customHeight="1" x14ac:dyDescent="0.45">
      <c r="A39" s="21" t="s">
        <v>813</v>
      </c>
      <c r="B39" s="54"/>
      <c r="C39" s="54"/>
      <c r="D39" s="54"/>
      <c r="E39" s="54"/>
      <c r="F39" s="54"/>
      <c r="G39" s="54"/>
      <c r="H39" s="54"/>
      <c r="I39" s="54"/>
      <c r="J39" s="54"/>
      <c r="K39" s="54"/>
      <c r="L39" s="54"/>
      <c r="M39" s="54"/>
      <c r="N39" s="54"/>
      <c r="O39" s="54"/>
    </row>
    <row r="40" spans="1:15" ht="15" customHeight="1" x14ac:dyDescent="0.45">
      <c r="A40" s="21"/>
      <c r="B40" s="5" t="s">
        <v>195</v>
      </c>
      <c r="C40" s="54"/>
      <c r="D40" s="54"/>
      <c r="E40" s="54"/>
      <c r="F40" s="5"/>
    </row>
    <row r="41" spans="1:15" ht="15" customHeight="1" x14ac:dyDescent="0.45">
      <c r="A41" s="21"/>
      <c r="B41" s="5" t="s">
        <v>192</v>
      </c>
      <c r="C41" s="54"/>
      <c r="D41" s="54"/>
      <c r="E41" s="54"/>
      <c r="F41" s="5"/>
    </row>
    <row r="42" spans="1:15" ht="15" customHeight="1" x14ac:dyDescent="0.45">
      <c r="A42" s="21"/>
      <c r="B42" s="5" t="s">
        <v>504</v>
      </c>
      <c r="C42" s="54"/>
      <c r="D42" s="54"/>
      <c r="E42" s="54"/>
      <c r="F42" s="54"/>
    </row>
    <row r="43" spans="1:15" ht="15" customHeight="1" x14ac:dyDescent="0.45">
      <c r="A43" s="21"/>
      <c r="B43" s="5" t="s">
        <v>229</v>
      </c>
      <c r="C43" s="54"/>
      <c r="D43" s="54"/>
      <c r="E43" s="54"/>
      <c r="F43" s="5"/>
    </row>
    <row r="44" spans="1:15" ht="15" customHeight="1" x14ac:dyDescent="0.45">
      <c r="A44" s="21"/>
      <c r="B44" s="54" t="s">
        <v>814</v>
      </c>
      <c r="C44" s="54"/>
      <c r="D44" s="54"/>
      <c r="E44" s="54"/>
      <c r="F44" s="5"/>
    </row>
    <row r="45" spans="1:15" ht="15" customHeight="1" x14ac:dyDescent="0.45">
      <c r="A45" s="21"/>
      <c r="B45" s="54"/>
      <c r="C45" s="54"/>
      <c r="D45" s="54"/>
      <c r="E45" s="54"/>
      <c r="F45" s="5"/>
    </row>
    <row r="46" spans="1:15" ht="15" customHeight="1" x14ac:dyDescent="0.45">
      <c r="A46" s="21" t="s">
        <v>815</v>
      </c>
      <c r="B46" s="54"/>
      <c r="C46" s="54"/>
      <c r="D46" s="54"/>
      <c r="E46" s="54"/>
      <c r="F46" s="54"/>
      <c r="G46" s="54"/>
      <c r="H46" s="54"/>
      <c r="I46" s="54"/>
      <c r="J46" s="54"/>
      <c r="K46" s="54"/>
      <c r="L46" s="54"/>
      <c r="M46" s="54"/>
      <c r="N46" s="54"/>
      <c r="O46" s="54"/>
    </row>
    <row r="47" spans="1:15" ht="15" customHeight="1" x14ac:dyDescent="0.45">
      <c r="A47" s="21"/>
      <c r="B47" s="5" t="s">
        <v>816</v>
      </c>
      <c r="C47" s="54"/>
      <c r="D47" s="54"/>
      <c r="E47" s="54"/>
    </row>
    <row r="48" spans="1:15" ht="15" customHeight="1" x14ac:dyDescent="0.45">
      <c r="A48" s="21"/>
      <c r="B48" s="5" t="s">
        <v>817</v>
      </c>
      <c r="C48" s="54"/>
      <c r="D48" s="54"/>
      <c r="E48" s="54"/>
    </row>
    <row r="49" spans="1:15" ht="15" customHeight="1" x14ac:dyDescent="0.45">
      <c r="A49" s="21"/>
      <c r="B49" s="5" t="s">
        <v>818</v>
      </c>
      <c r="C49" s="54"/>
      <c r="D49" s="54"/>
      <c r="E49" s="73"/>
    </row>
    <row r="50" spans="1:15" ht="15" customHeight="1" x14ac:dyDescent="0.45">
      <c r="A50" s="21"/>
      <c r="B50" s="5" t="s">
        <v>209</v>
      </c>
      <c r="C50" s="54"/>
      <c r="D50" s="54"/>
      <c r="E50" s="54"/>
    </row>
    <row r="51" spans="1:15" ht="15" customHeight="1" x14ac:dyDescent="0.45">
      <c r="A51" s="21"/>
      <c r="B51" s="54"/>
      <c r="C51" s="54"/>
      <c r="D51" s="54"/>
      <c r="E51" s="54"/>
    </row>
    <row r="52" spans="1:15" ht="15" customHeight="1" x14ac:dyDescent="0.45">
      <c r="A52" s="21"/>
      <c r="B52" s="54" t="s">
        <v>819</v>
      </c>
      <c r="C52" s="54"/>
      <c r="D52" s="54"/>
    </row>
    <row r="53" spans="1:15" ht="15" customHeight="1" x14ac:dyDescent="0.45">
      <c r="A53" s="21"/>
      <c r="B53" s="54"/>
      <c r="C53" s="54"/>
      <c r="D53" s="54"/>
      <c r="E53" s="54"/>
    </row>
    <row r="54" spans="1:15" ht="15" customHeight="1" x14ac:dyDescent="0.45">
      <c r="A54" s="21"/>
      <c r="B54" s="54" t="s">
        <v>820</v>
      </c>
      <c r="C54" s="54"/>
      <c r="D54" s="54"/>
      <c r="E54" s="54"/>
    </row>
    <row r="55" spans="1:15" ht="15" customHeight="1" x14ac:dyDescent="0.45">
      <c r="A55" s="21"/>
      <c r="B55" s="54" t="s">
        <v>817</v>
      </c>
      <c r="C55" s="54"/>
      <c r="D55" s="54"/>
      <c r="E55" s="54"/>
    </row>
    <row r="56" spans="1:15" ht="15" customHeight="1" x14ac:dyDescent="0.45">
      <c r="A56" s="21"/>
      <c r="B56" s="54" t="s">
        <v>821</v>
      </c>
      <c r="C56" s="54"/>
      <c r="D56" s="54"/>
      <c r="E56" s="73"/>
    </row>
    <row r="57" spans="1:15" ht="15" customHeight="1" x14ac:dyDescent="0.45">
      <c r="A57" s="21"/>
      <c r="B57" s="54" t="s">
        <v>209</v>
      </c>
      <c r="C57" s="54"/>
      <c r="D57" s="54"/>
      <c r="E57" s="54"/>
    </row>
    <row r="58" spans="1:15" ht="15" customHeight="1" x14ac:dyDescent="0.45">
      <c r="A58" s="21"/>
      <c r="B58" s="54"/>
      <c r="C58" s="54"/>
      <c r="D58" s="54"/>
      <c r="E58" s="54"/>
      <c r="F58" s="54"/>
      <c r="G58" s="54"/>
      <c r="H58" s="54"/>
      <c r="I58" s="54"/>
      <c r="J58" s="54"/>
      <c r="K58" s="54"/>
      <c r="L58" s="54"/>
      <c r="M58" s="54"/>
      <c r="N58" s="54"/>
      <c r="O58" s="54"/>
    </row>
    <row r="59" spans="1:15" ht="15" customHeight="1" x14ac:dyDescent="0.45">
      <c r="A59" s="21"/>
      <c r="B59" s="54" t="s">
        <v>822</v>
      </c>
      <c r="C59" s="54"/>
      <c r="D59" s="54"/>
      <c r="E59" s="3"/>
      <c r="F59" s="3">
        <v>0</v>
      </c>
    </row>
    <row r="60" spans="1:15" ht="15" customHeight="1" x14ac:dyDescent="0.45">
      <c r="A60" s="21"/>
      <c r="B60" s="54" t="s">
        <v>208</v>
      </c>
      <c r="C60" s="54"/>
      <c r="D60" s="54"/>
      <c r="E60" s="3"/>
      <c r="F60" s="54"/>
    </row>
    <row r="61" spans="1:15" ht="15" customHeight="1" x14ac:dyDescent="0.45">
      <c r="A61" s="21"/>
      <c r="B61" s="54"/>
      <c r="C61" s="54"/>
      <c r="D61" s="54"/>
      <c r="E61" s="3"/>
      <c r="F61" s="54"/>
    </row>
    <row r="62" spans="1:15" ht="15" customHeight="1" x14ac:dyDescent="0.45">
      <c r="A62" s="21"/>
      <c r="B62" s="54" t="s">
        <v>823</v>
      </c>
      <c r="C62" s="54"/>
      <c r="D62" s="54"/>
      <c r="E62" s="3"/>
      <c r="F62" s="54"/>
    </row>
    <row r="63" spans="1:15" ht="15" customHeight="1" x14ac:dyDescent="0.45">
      <c r="A63" s="21"/>
      <c r="B63" s="54" t="s">
        <v>824</v>
      </c>
      <c r="C63" s="54"/>
      <c r="D63" s="54"/>
      <c r="E63" s="3"/>
      <c r="F63" s="54"/>
    </row>
    <row r="64" spans="1:15" ht="15" customHeight="1" x14ac:dyDescent="0.45">
      <c r="A64" s="21"/>
      <c r="B64" s="54" t="s">
        <v>825</v>
      </c>
      <c r="C64" s="54"/>
      <c r="D64" s="54"/>
      <c r="E64" s="3"/>
      <c r="F64" s="54"/>
    </row>
    <row r="65" spans="1:16" ht="15" customHeight="1" x14ac:dyDescent="0.45">
      <c r="A65" s="21"/>
      <c r="B65" s="54" t="s">
        <v>826</v>
      </c>
      <c r="C65" s="54"/>
      <c r="D65" s="54"/>
      <c r="E65" s="3"/>
      <c r="F65" s="66">
        <v>0</v>
      </c>
    </row>
    <row r="66" spans="1:16" ht="15" customHeight="1" x14ac:dyDescent="0.45">
      <c r="A66" s="21"/>
      <c r="B66" s="54"/>
      <c r="C66" s="54"/>
      <c r="D66" s="54"/>
      <c r="E66" s="3"/>
      <c r="F66" s="54"/>
      <c r="G66" s="54"/>
      <c r="H66" s="54"/>
      <c r="I66" s="54"/>
      <c r="J66" s="54"/>
      <c r="K66" s="54"/>
      <c r="L66" s="54"/>
      <c r="M66" s="54"/>
      <c r="N66" s="54"/>
      <c r="O66" s="54"/>
    </row>
    <row r="67" spans="1:16" ht="15" customHeight="1" x14ac:dyDescent="0.45">
      <c r="A67" s="21"/>
      <c r="B67" s="54" t="s">
        <v>827</v>
      </c>
      <c r="C67" s="54"/>
      <c r="D67" s="54"/>
      <c r="E67" s="3"/>
      <c r="H67" s="54"/>
      <c r="I67" s="54"/>
      <c r="J67" s="54"/>
      <c r="K67" s="54"/>
      <c r="L67" s="54"/>
      <c r="M67" s="54"/>
      <c r="N67" s="54"/>
      <c r="O67" s="54"/>
    </row>
    <row r="68" spans="1:16" ht="15" customHeight="1" x14ac:dyDescent="0.45">
      <c r="A68" s="21"/>
      <c r="B68" s="54" t="s">
        <v>828</v>
      </c>
      <c r="C68" s="54"/>
      <c r="D68" s="54"/>
      <c r="E68" s="3"/>
      <c r="F68" s="54"/>
      <c r="G68" s="74"/>
      <c r="H68" s="74"/>
      <c r="I68" s="74"/>
      <c r="J68" s="74"/>
      <c r="K68" s="74"/>
      <c r="L68" s="74"/>
      <c r="M68" s="74"/>
      <c r="N68" s="74"/>
      <c r="O68" s="74"/>
    </row>
    <row r="69" spans="1:16" ht="15" customHeight="1" x14ac:dyDescent="0.45">
      <c r="A69" s="21"/>
      <c r="B69" s="54"/>
      <c r="C69" s="54"/>
      <c r="D69" s="54"/>
      <c r="E69" s="54"/>
      <c r="F69" s="54"/>
      <c r="G69" s="54"/>
      <c r="H69" s="54"/>
      <c r="I69" s="54"/>
      <c r="J69" s="54"/>
      <c r="K69" s="54"/>
      <c r="L69" s="54"/>
      <c r="M69" s="54"/>
      <c r="N69" s="54"/>
      <c r="O69" s="54"/>
    </row>
    <row r="70" spans="1:16" ht="15" customHeight="1" x14ac:dyDescent="0.45">
      <c r="A70" s="21" t="s">
        <v>829</v>
      </c>
      <c r="B70" s="54"/>
      <c r="C70" s="54"/>
      <c r="D70" s="54"/>
      <c r="E70" s="54"/>
      <c r="F70" s="54"/>
      <c r="G70" s="54"/>
      <c r="H70" s="54"/>
      <c r="I70" s="54"/>
      <c r="J70" s="54"/>
      <c r="K70" s="54"/>
      <c r="L70" s="54"/>
      <c r="M70" s="54"/>
      <c r="N70" s="54"/>
      <c r="O70" s="54"/>
    </row>
    <row r="71" spans="1:16" ht="15" customHeight="1" x14ac:dyDescent="0.45">
      <c r="A71" s="21"/>
      <c r="B71" s="5" t="s">
        <v>830</v>
      </c>
      <c r="C71" s="54"/>
      <c r="D71" s="54"/>
      <c r="E71" s="54"/>
    </row>
    <row r="72" spans="1:16" ht="15" customHeight="1" x14ac:dyDescent="0.45">
      <c r="A72" s="21"/>
      <c r="B72" s="5" t="s">
        <v>522</v>
      </c>
      <c r="C72" s="54"/>
      <c r="D72" s="54"/>
      <c r="E72" s="54"/>
      <c r="F72" s="5"/>
    </row>
    <row r="73" spans="1:16" ht="15" customHeight="1" x14ac:dyDescent="0.45">
      <c r="A73" s="21"/>
      <c r="B73" s="5" t="s">
        <v>109</v>
      </c>
      <c r="C73" s="54"/>
      <c r="D73" s="54"/>
      <c r="E73" s="54"/>
      <c r="F73" s="54"/>
    </row>
    <row r="74" spans="1:16" ht="15" customHeight="1" x14ac:dyDescent="0.45">
      <c r="A74" s="21"/>
      <c r="B74" s="5" t="s">
        <v>831</v>
      </c>
      <c r="C74" s="54"/>
      <c r="D74" s="54"/>
      <c r="E74" s="54"/>
      <c r="F74" s="54"/>
    </row>
    <row r="75" spans="1:16" ht="15" customHeight="1" x14ac:dyDescent="0.45">
      <c r="A75" s="21"/>
      <c r="B75" s="54"/>
      <c r="C75" s="54"/>
      <c r="D75" s="54"/>
      <c r="E75" s="54"/>
      <c r="F75" s="54"/>
    </row>
    <row r="76" spans="1:16" ht="15" customHeight="1" x14ac:dyDescent="0.45">
      <c r="A76" s="21"/>
      <c r="B76" s="5" t="s">
        <v>832</v>
      </c>
      <c r="C76" s="54"/>
      <c r="D76" s="54"/>
      <c r="E76" s="54"/>
    </row>
    <row r="77" spans="1:16" ht="15" customHeight="1" x14ac:dyDescent="0.45">
      <c r="A77" s="21"/>
      <c r="B77" s="5" t="s">
        <v>833</v>
      </c>
      <c r="C77" s="54"/>
      <c r="D77" s="54"/>
      <c r="F77" s="74"/>
      <c r="H77" s="54"/>
      <c r="I77" s="54"/>
      <c r="J77" s="54"/>
      <c r="K77" s="54"/>
      <c r="L77" s="54"/>
      <c r="M77" s="54"/>
      <c r="N77" s="54"/>
      <c r="O77" s="54"/>
      <c r="P77" s="54"/>
    </row>
    <row r="78" spans="1:16" ht="15" customHeight="1" x14ac:dyDescent="0.45">
      <c r="A78" s="21"/>
      <c r="B78" s="54"/>
      <c r="C78" s="54"/>
      <c r="D78" s="54"/>
      <c r="E78" s="54"/>
      <c r="F78" s="54"/>
      <c r="G78" s="54"/>
      <c r="H78" s="54"/>
      <c r="I78" s="54"/>
      <c r="J78" s="54"/>
      <c r="K78" s="54"/>
      <c r="L78" s="54"/>
      <c r="M78" s="54"/>
      <c r="N78" s="54"/>
      <c r="O78" s="54"/>
      <c r="P78" s="54"/>
    </row>
    <row r="79" spans="1:16" ht="15" customHeight="1" x14ac:dyDescent="0.45">
      <c r="A79" s="21" t="s">
        <v>834</v>
      </c>
      <c r="B79" s="54"/>
      <c r="C79" s="54"/>
      <c r="D79" s="54"/>
      <c r="E79" s="54"/>
      <c r="F79" s="54"/>
      <c r="G79" s="54"/>
      <c r="H79" s="54"/>
      <c r="I79" s="54"/>
      <c r="J79" s="54"/>
      <c r="K79" s="54"/>
      <c r="L79" s="54"/>
      <c r="M79" s="54"/>
      <c r="N79" s="54"/>
      <c r="O79" s="54"/>
      <c r="P79" s="54"/>
    </row>
    <row r="80" spans="1:16" ht="15" customHeight="1" x14ac:dyDescent="0.45">
      <c r="A80" s="21"/>
      <c r="B80" s="5" t="s">
        <v>835</v>
      </c>
      <c r="C80" s="54"/>
      <c r="D80" s="54"/>
      <c r="E80" s="54"/>
      <c r="F80" s="54"/>
      <c r="G80" s="54"/>
      <c r="H80" s="54"/>
      <c r="I80" s="54"/>
      <c r="J80" s="54"/>
      <c r="K80" s="54"/>
      <c r="L80" s="54"/>
      <c r="M80" s="54"/>
      <c r="N80" s="54"/>
      <c r="O80" s="54"/>
      <c r="P80" s="54"/>
    </row>
    <row r="81" spans="1:16" ht="15" customHeight="1" x14ac:dyDescent="0.45">
      <c r="A81" s="21"/>
      <c r="B81" s="54"/>
      <c r="C81" s="73"/>
      <c r="E81" s="160" t="s">
        <v>806</v>
      </c>
      <c r="F81" s="54"/>
      <c r="G81" s="54"/>
      <c r="H81" s="54"/>
      <c r="I81" s="54"/>
      <c r="J81" s="54"/>
      <c r="K81" s="54"/>
      <c r="L81" s="54"/>
      <c r="M81" s="54"/>
      <c r="N81" s="54"/>
      <c r="O81" s="54"/>
      <c r="P81" s="54"/>
    </row>
    <row r="82" spans="1:16" ht="15" customHeight="1" x14ac:dyDescent="0.45">
      <c r="A82" s="21"/>
      <c r="B82" s="54"/>
      <c r="C82" s="74"/>
      <c r="D82" s="170">
        <v>3</v>
      </c>
      <c r="E82" s="170">
        <v>4</v>
      </c>
      <c r="F82" s="170">
        <v>5</v>
      </c>
      <c r="G82" s="54"/>
      <c r="H82" s="54"/>
      <c r="I82" s="54"/>
      <c r="J82" s="54"/>
      <c r="K82" s="54"/>
      <c r="L82" s="54"/>
      <c r="M82" s="54"/>
      <c r="N82" s="54"/>
      <c r="O82" s="54"/>
      <c r="P82" s="54"/>
    </row>
    <row r="83" spans="1:16" ht="15" customHeight="1" x14ac:dyDescent="0.45">
      <c r="A83" s="21"/>
      <c r="B83" s="54"/>
      <c r="C83" s="162">
        <v>10</v>
      </c>
      <c r="D83" s="74"/>
      <c r="E83" s="74"/>
      <c r="F83" s="74"/>
      <c r="G83" s="54"/>
      <c r="H83" s="54"/>
      <c r="I83" s="54"/>
      <c r="J83" s="54"/>
      <c r="K83" s="54"/>
      <c r="L83" s="54"/>
      <c r="M83" s="54"/>
      <c r="N83" s="54"/>
      <c r="O83" s="54"/>
      <c r="P83" s="54"/>
    </row>
    <row r="84" spans="1:16" ht="15" customHeight="1" x14ac:dyDescent="0.45">
      <c r="A84" s="21"/>
      <c r="B84" s="54"/>
      <c r="C84" s="162">
        <f>C83+1</f>
        <v>11</v>
      </c>
      <c r="D84" s="74"/>
      <c r="E84" s="74"/>
      <c r="F84" s="74"/>
      <c r="G84" s="54"/>
      <c r="H84" s="54"/>
      <c r="I84" s="54"/>
      <c r="J84" s="54"/>
      <c r="K84" s="54"/>
      <c r="L84" s="54"/>
      <c r="M84" s="54"/>
      <c r="N84" s="54"/>
      <c r="O84" s="54"/>
      <c r="P84" s="54"/>
    </row>
    <row r="85" spans="1:16" ht="15" customHeight="1" x14ac:dyDescent="0.45">
      <c r="A85" s="21"/>
      <c r="B85" s="54"/>
      <c r="C85" s="162">
        <f t="shared" ref="C85:C103" si="0">C84+1</f>
        <v>12</v>
      </c>
      <c r="D85" s="74"/>
      <c r="E85" s="74"/>
      <c r="F85" s="74"/>
      <c r="G85" s="54"/>
      <c r="H85" s="54"/>
      <c r="I85" s="54"/>
      <c r="J85" s="54"/>
      <c r="K85" s="54"/>
      <c r="L85" s="54"/>
      <c r="M85" s="54"/>
      <c r="N85" s="54"/>
      <c r="O85" s="54"/>
      <c r="P85" s="54"/>
    </row>
    <row r="86" spans="1:16" ht="15" customHeight="1" x14ac:dyDescent="0.45">
      <c r="A86" s="21"/>
      <c r="B86" s="54"/>
      <c r="C86" s="162">
        <f t="shared" si="0"/>
        <v>13</v>
      </c>
      <c r="D86" s="74"/>
      <c r="E86" s="74"/>
      <c r="F86" s="74"/>
      <c r="G86" s="54"/>
      <c r="H86" s="54"/>
      <c r="I86" s="54"/>
      <c r="J86" s="54"/>
      <c r="K86" s="54"/>
      <c r="L86" s="54"/>
      <c r="M86" s="54"/>
      <c r="N86" s="54"/>
      <c r="O86" s="54"/>
      <c r="P86" s="54"/>
    </row>
    <row r="87" spans="1:16" ht="15" customHeight="1" x14ac:dyDescent="0.45">
      <c r="A87" s="21"/>
      <c r="B87" s="54"/>
      <c r="C87" s="162">
        <f t="shared" si="0"/>
        <v>14</v>
      </c>
      <c r="D87" s="74"/>
      <c r="E87" s="74"/>
      <c r="F87" s="74"/>
      <c r="G87" s="54"/>
      <c r="H87" s="54"/>
      <c r="I87" s="54"/>
      <c r="J87" s="54"/>
      <c r="K87" s="54"/>
      <c r="L87" s="54"/>
      <c r="M87" s="54"/>
      <c r="N87" s="54"/>
      <c r="O87" s="54"/>
      <c r="P87" s="54"/>
    </row>
    <row r="88" spans="1:16" ht="15" customHeight="1" x14ac:dyDescent="0.45">
      <c r="A88" s="21"/>
      <c r="B88" s="54"/>
      <c r="C88" s="162">
        <f t="shared" si="0"/>
        <v>15</v>
      </c>
      <c r="D88" s="74"/>
      <c r="E88" s="74"/>
      <c r="F88" s="74"/>
      <c r="G88" s="54"/>
      <c r="H88" s="54"/>
      <c r="I88" s="54"/>
      <c r="J88" s="54"/>
      <c r="K88" s="54"/>
      <c r="L88" s="54"/>
      <c r="M88" s="54"/>
      <c r="N88" s="54"/>
      <c r="O88" s="54"/>
      <c r="P88" s="54"/>
    </row>
    <row r="89" spans="1:16" ht="15" customHeight="1" x14ac:dyDescent="0.45">
      <c r="A89" s="21"/>
      <c r="B89" s="5" t="s">
        <v>836</v>
      </c>
      <c r="C89" s="162">
        <f t="shared" si="0"/>
        <v>16</v>
      </c>
      <c r="D89" s="74"/>
      <c r="E89" s="74"/>
      <c r="F89" s="74"/>
      <c r="G89" s="54"/>
      <c r="H89" s="54"/>
      <c r="I89" s="54"/>
      <c r="J89" s="54"/>
      <c r="K89" s="54"/>
      <c r="L89" s="54"/>
      <c r="M89" s="54"/>
      <c r="N89" s="54"/>
      <c r="O89" s="54"/>
      <c r="P89" s="54"/>
    </row>
    <row r="90" spans="1:16" ht="15" customHeight="1" x14ac:dyDescent="0.45">
      <c r="A90" s="21"/>
      <c r="B90" s="54"/>
      <c r="C90" s="162">
        <f t="shared" si="0"/>
        <v>17</v>
      </c>
      <c r="D90" s="74"/>
      <c r="E90" s="74"/>
      <c r="F90" s="74"/>
      <c r="G90" s="54"/>
      <c r="H90" s="54"/>
      <c r="I90" s="54"/>
      <c r="J90" s="54"/>
      <c r="K90" s="54"/>
      <c r="L90" s="54"/>
      <c r="M90" s="54"/>
      <c r="N90" s="54"/>
      <c r="O90" s="54"/>
      <c r="P90" s="54"/>
    </row>
    <row r="91" spans="1:16" ht="15" customHeight="1" x14ac:dyDescent="0.45">
      <c r="A91" s="21"/>
      <c r="B91" s="54"/>
      <c r="C91" s="162">
        <f t="shared" si="0"/>
        <v>18</v>
      </c>
      <c r="D91" s="74"/>
      <c r="E91" s="74"/>
      <c r="F91" s="74"/>
      <c r="G91" s="54"/>
      <c r="H91" s="54"/>
      <c r="I91" s="54"/>
      <c r="J91" s="54"/>
      <c r="K91" s="54"/>
      <c r="L91" s="54"/>
      <c r="M91" s="54"/>
      <c r="N91" s="54"/>
      <c r="O91" s="54"/>
      <c r="P91" s="54"/>
    </row>
    <row r="92" spans="1:16" ht="15" customHeight="1" x14ac:dyDescent="0.45">
      <c r="A92" s="21"/>
      <c r="B92" s="54"/>
      <c r="C92" s="162">
        <f t="shared" si="0"/>
        <v>19</v>
      </c>
      <c r="D92" s="74"/>
      <c r="E92" s="74"/>
      <c r="F92" s="74"/>
      <c r="G92" s="54"/>
      <c r="H92" s="54"/>
      <c r="I92" s="54"/>
      <c r="J92" s="54"/>
      <c r="K92" s="54"/>
      <c r="L92" s="54"/>
      <c r="M92" s="54"/>
      <c r="N92" s="54"/>
      <c r="O92" s="54"/>
      <c r="P92" s="54"/>
    </row>
    <row r="93" spans="1:16" ht="15" customHeight="1" x14ac:dyDescent="0.45">
      <c r="A93" s="21"/>
      <c r="B93" s="54"/>
      <c r="C93" s="162">
        <f t="shared" si="0"/>
        <v>20</v>
      </c>
      <c r="D93" s="74"/>
      <c r="E93" s="74"/>
      <c r="F93" s="74"/>
      <c r="G93" s="54"/>
      <c r="H93" s="54"/>
      <c r="I93" s="54"/>
      <c r="J93" s="54"/>
      <c r="K93" s="54"/>
      <c r="L93" s="54"/>
      <c r="M93" s="54"/>
      <c r="N93" s="54"/>
      <c r="O93" s="54"/>
      <c r="P93" s="54"/>
    </row>
    <row r="94" spans="1:16" ht="15" customHeight="1" x14ac:dyDescent="0.45">
      <c r="A94" s="21"/>
      <c r="B94" s="54"/>
      <c r="C94" s="162">
        <f t="shared" si="0"/>
        <v>21</v>
      </c>
      <c r="D94" s="74"/>
      <c r="E94" s="74"/>
      <c r="F94" s="74"/>
      <c r="G94" s="54"/>
      <c r="H94" s="54"/>
      <c r="I94" s="54"/>
      <c r="J94" s="54"/>
      <c r="K94" s="54"/>
      <c r="L94" s="54"/>
      <c r="M94" s="54"/>
      <c r="N94" s="54"/>
      <c r="O94" s="54"/>
      <c r="P94" s="54"/>
    </row>
    <row r="95" spans="1:16" ht="15" customHeight="1" x14ac:dyDescent="0.45">
      <c r="A95" s="21"/>
      <c r="B95" s="54"/>
      <c r="C95" s="162">
        <f t="shared" si="0"/>
        <v>22</v>
      </c>
      <c r="D95" s="74"/>
      <c r="E95" s="74"/>
      <c r="F95" s="74"/>
      <c r="G95" s="54"/>
      <c r="H95" s="54"/>
      <c r="I95" s="54"/>
      <c r="J95" s="54"/>
      <c r="K95" s="54"/>
      <c r="L95" s="54"/>
      <c r="M95" s="54"/>
      <c r="N95" s="54"/>
      <c r="O95" s="54"/>
      <c r="P95" s="54"/>
    </row>
    <row r="96" spans="1:16" ht="15" customHeight="1" x14ac:dyDescent="0.45">
      <c r="A96" s="21"/>
      <c r="B96" s="54"/>
      <c r="C96" s="162">
        <f t="shared" si="0"/>
        <v>23</v>
      </c>
      <c r="D96" s="74"/>
      <c r="E96" s="74"/>
      <c r="F96" s="74"/>
      <c r="G96" s="54"/>
      <c r="H96" s="54"/>
      <c r="I96" s="54"/>
      <c r="J96" s="54"/>
      <c r="K96" s="54"/>
      <c r="L96" s="54"/>
      <c r="M96" s="54"/>
      <c r="N96" s="54"/>
      <c r="O96" s="54"/>
      <c r="P96" s="54"/>
    </row>
    <row r="97" spans="1:16" ht="15" customHeight="1" x14ac:dyDescent="0.45">
      <c r="A97" s="21"/>
      <c r="B97" s="54"/>
      <c r="C97" s="162">
        <f t="shared" si="0"/>
        <v>24</v>
      </c>
      <c r="D97" s="74"/>
      <c r="E97" s="74"/>
      <c r="F97" s="74"/>
      <c r="G97" s="54"/>
      <c r="H97" s="54"/>
      <c r="I97" s="54"/>
      <c r="J97" s="54"/>
      <c r="K97" s="54"/>
      <c r="L97" s="54"/>
      <c r="M97" s="54"/>
      <c r="N97" s="54"/>
      <c r="O97" s="54"/>
      <c r="P97" s="54"/>
    </row>
    <row r="98" spans="1:16" ht="15" customHeight="1" x14ac:dyDescent="0.45">
      <c r="A98" s="21"/>
      <c r="B98" s="54"/>
      <c r="C98" s="162">
        <f t="shared" si="0"/>
        <v>25</v>
      </c>
      <c r="D98" s="74"/>
      <c r="E98" s="74"/>
      <c r="F98" s="74"/>
      <c r="G98" s="54"/>
      <c r="H98" s="54"/>
      <c r="I98" s="54"/>
      <c r="J98" s="54"/>
      <c r="K98" s="54"/>
      <c r="L98" s="54"/>
      <c r="M98" s="54"/>
      <c r="N98" s="54"/>
      <c r="O98" s="54"/>
      <c r="P98" s="54"/>
    </row>
    <row r="99" spans="1:16" ht="15" customHeight="1" x14ac:dyDescent="0.45">
      <c r="A99" s="21"/>
      <c r="B99" s="54"/>
      <c r="C99" s="162">
        <f t="shared" si="0"/>
        <v>26</v>
      </c>
      <c r="D99" s="74"/>
      <c r="E99" s="74"/>
      <c r="F99" s="74"/>
      <c r="G99" s="54"/>
      <c r="H99" s="54"/>
      <c r="I99" s="54"/>
      <c r="J99" s="54"/>
      <c r="K99" s="54"/>
      <c r="L99" s="54"/>
      <c r="M99" s="54"/>
      <c r="N99" s="54"/>
      <c r="O99" s="54"/>
      <c r="P99" s="54"/>
    </row>
    <row r="100" spans="1:16" ht="15" customHeight="1" x14ac:dyDescent="0.45">
      <c r="A100" s="21"/>
      <c r="B100" s="54"/>
      <c r="C100" s="162">
        <f t="shared" si="0"/>
        <v>27</v>
      </c>
      <c r="D100" s="74"/>
      <c r="E100" s="74"/>
      <c r="F100" s="74"/>
      <c r="G100" s="54"/>
      <c r="H100" s="54"/>
      <c r="I100" s="54"/>
      <c r="J100" s="54"/>
      <c r="K100" s="54"/>
      <c r="L100" s="54"/>
      <c r="M100" s="54"/>
      <c r="N100" s="54"/>
      <c r="O100" s="54"/>
      <c r="P100" s="54"/>
    </row>
    <row r="101" spans="1:16" ht="15" customHeight="1" x14ac:dyDescent="0.45">
      <c r="A101" s="85"/>
      <c r="B101" s="54"/>
      <c r="C101" s="162">
        <f t="shared" si="0"/>
        <v>28</v>
      </c>
      <c r="D101" s="74"/>
      <c r="E101" s="74"/>
      <c r="F101" s="74"/>
      <c r="G101" s="54"/>
      <c r="H101" s="54"/>
      <c r="I101" s="54"/>
      <c r="J101" s="54"/>
      <c r="K101" s="54"/>
      <c r="L101" s="54"/>
      <c r="M101" s="54"/>
      <c r="N101" s="54"/>
      <c r="O101" s="54"/>
      <c r="P101" s="54"/>
    </row>
    <row r="102" spans="1:16" ht="15" customHeight="1" x14ac:dyDescent="0.45">
      <c r="A102" s="85"/>
      <c r="B102" s="54"/>
      <c r="C102" s="162">
        <f t="shared" si="0"/>
        <v>29</v>
      </c>
      <c r="D102" s="74"/>
      <c r="E102" s="74"/>
      <c r="F102" s="74"/>
      <c r="G102" s="54"/>
      <c r="H102" s="54"/>
      <c r="I102" s="54"/>
      <c r="J102" s="54"/>
      <c r="K102" s="54"/>
      <c r="L102" s="54"/>
      <c r="M102" s="54"/>
      <c r="N102" s="54"/>
      <c r="O102" s="54"/>
      <c r="P102" s="54"/>
    </row>
    <row r="103" spans="1:16" ht="15" customHeight="1" x14ac:dyDescent="0.45">
      <c r="A103" s="85"/>
      <c r="C103" s="162">
        <f t="shared" si="0"/>
        <v>30</v>
      </c>
      <c r="D103" s="74"/>
      <c r="E103" s="74"/>
      <c r="F103" s="74"/>
    </row>
    <row r="104" spans="1:16" ht="15" customHeight="1" x14ac:dyDescent="0.45">
      <c r="A104" s="85"/>
    </row>
    <row r="105" spans="1:16" ht="15" customHeight="1" x14ac:dyDescent="0.45">
      <c r="A105" s="85"/>
    </row>
    <row r="106" spans="1:16" ht="15" customHeight="1" x14ac:dyDescent="0.45">
      <c r="A106" s="85"/>
    </row>
    <row r="107" spans="1:16" ht="15" customHeight="1" x14ac:dyDescent="0.45">
      <c r="A107" s="85"/>
    </row>
    <row r="108" spans="1:16" ht="15" customHeight="1" x14ac:dyDescent="0.45">
      <c r="A108" s="85"/>
    </row>
    <row r="109" spans="1:16" ht="15" customHeight="1" x14ac:dyDescent="0.45">
      <c r="A109" s="85" t="s">
        <v>147</v>
      </c>
    </row>
  </sheetData>
  <printOptions gridLines="1"/>
  <pageMargins left="0.31496062992125984" right="0.11811023622047245" top="0.74803149606299213" bottom="0.74803149606299213" header="0" footer="0"/>
  <pageSetup paperSize="9" scale="66" fitToHeight="0" orientation="landscape" r:id="rId1"/>
  <headerFooter>
    <oddHeader>&amp;R&amp;F  &amp;A</oddHeader>
    <oddFooter>&amp;L© 2016&amp;CPage &amp;P of</oddFooter>
  </headerFooter>
  <rowBreaks count="2" manualBreakCount="2">
    <brk id="45" max="15" man="1"/>
    <brk id="78" max="15"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1C21-C619-4ECE-9612-B941DEDE7CC1}">
  <sheetPr>
    <tabColor theme="5"/>
    <pageSetUpPr fitToPage="1"/>
  </sheetPr>
  <dimension ref="A1:Z42"/>
  <sheetViews>
    <sheetView zoomScaleNormal="100" zoomScaleSheetLayoutView="85" workbookViewId="0"/>
  </sheetViews>
  <sheetFormatPr defaultColWidth="12.59765625" defaultRowHeight="15" customHeight="1" x14ac:dyDescent="0.45"/>
  <cols>
    <col min="1" max="1" width="1.59765625" customWidth="1"/>
    <col min="2" max="2" width="24.265625" customWidth="1"/>
    <col min="3" max="16" width="10.265625" customWidth="1"/>
    <col min="17" max="26" width="8" customWidth="1"/>
  </cols>
  <sheetData>
    <row r="1" spans="1:26" ht="45" customHeight="1" x14ac:dyDescent="0.85">
      <c r="A1" s="83" t="s">
        <v>837</v>
      </c>
      <c r="B1" s="83"/>
      <c r="C1" s="83"/>
      <c r="D1" s="83"/>
      <c r="E1" s="83"/>
      <c r="F1" s="83"/>
      <c r="G1" s="83"/>
      <c r="H1" s="83"/>
      <c r="I1" s="83"/>
      <c r="J1" s="83"/>
      <c r="K1" s="83"/>
      <c r="L1" s="83"/>
      <c r="M1" s="83"/>
      <c r="N1" s="83"/>
      <c r="O1" s="83"/>
      <c r="P1" s="83"/>
      <c r="Q1" s="23"/>
      <c r="R1" s="23"/>
      <c r="S1" s="23"/>
      <c r="T1" s="23"/>
      <c r="U1" s="23"/>
      <c r="V1" s="23"/>
      <c r="W1" s="23"/>
      <c r="X1" s="23"/>
      <c r="Y1" s="23"/>
      <c r="Z1" s="23"/>
    </row>
    <row r="2" spans="1:26" ht="15" customHeight="1" x14ac:dyDescent="0.55000000000000004">
      <c r="A2" s="54"/>
      <c r="B2" s="54"/>
      <c r="C2" s="54"/>
      <c r="D2" s="54"/>
      <c r="E2" s="54"/>
      <c r="F2" s="54"/>
      <c r="G2" s="54"/>
      <c r="H2" s="54"/>
      <c r="I2" s="54"/>
      <c r="J2" s="54"/>
      <c r="K2" s="54"/>
      <c r="L2" s="54"/>
      <c r="M2" s="54"/>
      <c r="N2" s="54"/>
      <c r="O2" s="54"/>
      <c r="P2" s="54"/>
      <c r="Q2" s="24"/>
      <c r="R2" s="24"/>
      <c r="S2" s="24"/>
      <c r="T2" s="24"/>
      <c r="U2" s="24"/>
      <c r="V2" s="24"/>
      <c r="W2" s="24"/>
      <c r="X2" s="24"/>
      <c r="Y2" s="24"/>
      <c r="Z2" s="24"/>
    </row>
    <row r="3" spans="1:26" ht="15" customHeight="1" x14ac:dyDescent="0.55000000000000004">
      <c r="A3" s="54"/>
      <c r="B3" s="54"/>
      <c r="C3" s="54"/>
      <c r="D3" s="54"/>
      <c r="E3" s="54"/>
      <c r="F3" s="54"/>
      <c r="G3" s="54"/>
      <c r="H3" s="54"/>
      <c r="I3" s="54"/>
      <c r="J3" s="54"/>
      <c r="K3" s="54"/>
      <c r="L3" s="54"/>
      <c r="M3" s="54"/>
      <c r="N3" s="54"/>
      <c r="O3" s="54"/>
      <c r="P3" s="54"/>
      <c r="Q3" s="24"/>
      <c r="R3" s="24"/>
      <c r="S3" s="24"/>
      <c r="T3" s="24"/>
      <c r="U3" s="24"/>
      <c r="V3" s="24"/>
      <c r="W3" s="24"/>
      <c r="X3" s="24"/>
      <c r="Y3" s="24"/>
      <c r="Z3" s="24"/>
    </row>
    <row r="4" spans="1:26" ht="15" customHeight="1" x14ac:dyDescent="0.45">
      <c r="A4" s="54"/>
      <c r="B4" s="54"/>
      <c r="C4" s="54"/>
      <c r="D4" s="54"/>
      <c r="E4" s="54"/>
      <c r="F4" s="54"/>
      <c r="G4" s="54"/>
      <c r="H4" s="54"/>
      <c r="I4" s="54"/>
      <c r="J4" s="54"/>
      <c r="K4" s="54"/>
      <c r="L4" s="54"/>
      <c r="M4" s="54"/>
      <c r="N4" s="54"/>
      <c r="O4" s="54"/>
      <c r="P4" s="54"/>
    </row>
    <row r="5" spans="1:26" ht="15" customHeight="1" x14ac:dyDescent="0.45">
      <c r="A5" s="54"/>
      <c r="B5" s="54"/>
      <c r="C5" s="54"/>
      <c r="D5" s="54"/>
      <c r="E5" s="54"/>
      <c r="F5" s="54"/>
      <c r="G5" s="54"/>
      <c r="H5" s="54"/>
      <c r="I5" s="54"/>
      <c r="J5" s="54"/>
      <c r="K5" s="54"/>
      <c r="L5" s="54"/>
      <c r="M5" s="54"/>
      <c r="N5" s="54"/>
      <c r="O5" s="54"/>
      <c r="P5" s="54"/>
    </row>
    <row r="6" spans="1:26" ht="15" customHeight="1" x14ac:dyDescent="0.45">
      <c r="A6" s="54"/>
      <c r="B6" s="54"/>
      <c r="C6" s="54"/>
      <c r="D6" s="54"/>
      <c r="E6" s="54"/>
      <c r="F6" s="54"/>
      <c r="G6" s="54"/>
      <c r="H6" s="54"/>
      <c r="I6" s="54"/>
      <c r="J6" s="54"/>
      <c r="K6" s="54"/>
      <c r="L6" s="54"/>
      <c r="M6" s="54"/>
      <c r="N6" s="54"/>
      <c r="O6" s="54"/>
      <c r="P6" s="54"/>
    </row>
    <row r="7" spans="1:26" ht="15" customHeight="1" x14ac:dyDescent="0.45">
      <c r="A7" s="54"/>
      <c r="B7" s="54"/>
      <c r="C7" s="54"/>
      <c r="D7" s="54"/>
      <c r="E7" s="54"/>
      <c r="F7" s="54"/>
      <c r="G7" s="54"/>
      <c r="H7" s="54"/>
      <c r="I7" s="54"/>
      <c r="J7" s="54"/>
      <c r="K7" s="54"/>
      <c r="L7" s="54"/>
      <c r="M7" s="54"/>
      <c r="N7" s="54"/>
      <c r="O7" s="54"/>
      <c r="P7" s="54"/>
    </row>
    <row r="8" spans="1:26" ht="15" customHeight="1" x14ac:dyDescent="0.45">
      <c r="A8" s="54"/>
      <c r="B8" s="54"/>
      <c r="C8" s="54"/>
      <c r="D8" s="54"/>
      <c r="E8" s="54"/>
      <c r="F8" s="54"/>
      <c r="G8" s="54"/>
      <c r="H8" s="54"/>
      <c r="I8" s="54"/>
      <c r="J8" s="54"/>
      <c r="K8" s="54"/>
      <c r="L8" s="54"/>
      <c r="M8" s="54"/>
      <c r="N8" s="54"/>
      <c r="O8" s="54"/>
      <c r="P8" s="54"/>
    </row>
    <row r="9" spans="1:26" ht="15" customHeight="1" x14ac:dyDescent="0.45">
      <c r="A9" s="54"/>
      <c r="B9" s="54"/>
      <c r="C9" s="54"/>
      <c r="D9" s="54"/>
      <c r="E9" s="54"/>
      <c r="F9" s="54"/>
      <c r="G9" s="54"/>
      <c r="H9" s="54"/>
      <c r="I9" s="54"/>
      <c r="J9" s="54"/>
      <c r="K9" s="54"/>
      <c r="L9" s="54"/>
      <c r="M9" s="54"/>
      <c r="N9" s="54"/>
      <c r="O9" s="54"/>
      <c r="P9" s="54"/>
    </row>
    <row r="10" spans="1:26" ht="15" customHeight="1" x14ac:dyDescent="0.45">
      <c r="A10" s="54"/>
      <c r="B10" s="54"/>
      <c r="C10" s="54"/>
      <c r="D10" s="54"/>
      <c r="E10" s="54"/>
      <c r="F10" s="54"/>
      <c r="G10" s="54"/>
      <c r="H10" s="54"/>
      <c r="I10" s="54"/>
      <c r="J10" s="54"/>
      <c r="K10" s="54"/>
      <c r="L10" s="54"/>
      <c r="M10" s="54"/>
      <c r="N10" s="54"/>
      <c r="O10" s="54"/>
      <c r="P10" s="54"/>
    </row>
    <row r="11" spans="1:26" ht="15" customHeight="1" x14ac:dyDescent="0.45">
      <c r="A11" s="54"/>
      <c r="B11" s="54"/>
      <c r="C11" s="54"/>
      <c r="D11" s="54"/>
      <c r="E11" s="54"/>
      <c r="F11" s="54"/>
      <c r="G11" s="54"/>
      <c r="H11" s="54"/>
      <c r="I11" s="54"/>
      <c r="J11" s="54"/>
      <c r="K11" s="54"/>
      <c r="L11" s="54"/>
      <c r="M11" s="54"/>
      <c r="N11" s="54"/>
      <c r="O11" s="54"/>
      <c r="P11" s="54"/>
    </row>
    <row r="12" spans="1:26" ht="15" customHeight="1" x14ac:dyDescent="0.45">
      <c r="A12" s="54"/>
      <c r="B12" s="54"/>
      <c r="C12" s="54"/>
      <c r="D12" s="54"/>
      <c r="E12" s="54"/>
      <c r="F12" s="54"/>
      <c r="G12" s="54"/>
      <c r="H12" s="54"/>
      <c r="I12" s="54"/>
      <c r="J12" s="54"/>
      <c r="K12" s="54"/>
      <c r="L12" s="54"/>
      <c r="M12" s="54"/>
      <c r="N12" s="54"/>
      <c r="O12" s="54"/>
      <c r="P12" s="54"/>
    </row>
    <row r="13" spans="1:26" ht="15" customHeight="1" x14ac:dyDescent="0.45">
      <c r="A13" s="54"/>
      <c r="B13" s="54"/>
      <c r="C13" s="54"/>
      <c r="D13" s="54"/>
      <c r="E13" s="54"/>
      <c r="F13" s="54"/>
      <c r="G13" s="54"/>
      <c r="H13" s="54"/>
      <c r="I13" s="54"/>
      <c r="J13" s="54"/>
      <c r="K13" s="54"/>
      <c r="L13" s="54"/>
      <c r="M13" s="54"/>
      <c r="N13" s="54"/>
      <c r="O13" s="54"/>
      <c r="P13" s="54"/>
    </row>
    <row r="14" spans="1:26" ht="15" customHeight="1" x14ac:dyDescent="0.45">
      <c r="A14" s="54"/>
      <c r="B14" s="54"/>
      <c r="C14" s="54"/>
      <c r="D14" s="54"/>
      <c r="E14" s="54"/>
      <c r="F14" s="54"/>
      <c r="G14" s="54"/>
      <c r="H14" s="54"/>
      <c r="I14" s="54"/>
      <c r="J14" s="54"/>
      <c r="K14" s="54"/>
      <c r="L14" s="54"/>
      <c r="M14" s="54"/>
      <c r="N14" s="54"/>
      <c r="O14" s="54"/>
      <c r="P14" s="54"/>
    </row>
    <row r="15" spans="1:26" ht="15" customHeight="1" x14ac:dyDescent="0.45">
      <c r="A15" s="54"/>
      <c r="B15" s="54"/>
      <c r="C15" s="54"/>
      <c r="D15" s="54"/>
      <c r="E15" s="54"/>
      <c r="F15" s="54"/>
      <c r="G15" s="54"/>
      <c r="H15" s="54"/>
      <c r="I15" s="54"/>
      <c r="J15" s="54"/>
      <c r="K15" s="54"/>
      <c r="L15" s="54"/>
      <c r="M15" s="54"/>
      <c r="N15" s="54"/>
      <c r="O15" s="54"/>
      <c r="P15" s="54"/>
    </row>
    <row r="16" spans="1:26" ht="15" customHeight="1" x14ac:dyDescent="0.45">
      <c r="A16" s="54"/>
      <c r="B16" s="54"/>
      <c r="C16" s="54"/>
      <c r="D16" s="54"/>
      <c r="E16" s="54"/>
      <c r="F16" s="54"/>
      <c r="G16" s="54"/>
      <c r="H16" s="54"/>
      <c r="I16" s="54"/>
      <c r="J16" s="54"/>
      <c r="K16" s="54"/>
      <c r="L16" s="54"/>
      <c r="M16" s="54"/>
      <c r="N16" s="54"/>
      <c r="O16" s="54"/>
      <c r="P16" s="54"/>
    </row>
    <row r="17" spans="1:16" ht="15" customHeight="1" x14ac:dyDescent="0.45">
      <c r="A17" s="54"/>
      <c r="B17" s="54"/>
      <c r="C17" s="54"/>
      <c r="D17" s="54"/>
      <c r="E17" s="54"/>
      <c r="F17" s="54"/>
      <c r="G17" s="54"/>
      <c r="H17" s="54"/>
      <c r="I17" s="54"/>
      <c r="J17" s="54"/>
      <c r="K17" s="54"/>
      <c r="L17" s="54"/>
      <c r="M17" s="54"/>
      <c r="N17" s="54"/>
      <c r="O17" s="54"/>
      <c r="P17" s="54"/>
    </row>
    <row r="18" spans="1:16" ht="15" customHeight="1" x14ac:dyDescent="0.45">
      <c r="A18" s="54"/>
      <c r="B18" s="54"/>
      <c r="C18" s="54"/>
      <c r="D18" s="54"/>
      <c r="E18" s="54"/>
      <c r="F18" s="54"/>
      <c r="G18" s="54"/>
      <c r="H18" s="54"/>
      <c r="I18" s="54"/>
      <c r="J18" s="54"/>
      <c r="K18" s="54"/>
      <c r="L18" s="54"/>
      <c r="M18" s="54"/>
      <c r="N18" s="54"/>
      <c r="O18" s="54"/>
      <c r="P18" s="54"/>
    </row>
    <row r="19" spans="1:16" ht="15" customHeight="1" x14ac:dyDescent="0.45">
      <c r="A19" s="54"/>
      <c r="B19" s="54"/>
      <c r="C19" s="54"/>
      <c r="D19" s="54"/>
      <c r="E19" s="54"/>
      <c r="F19" s="54"/>
      <c r="G19" s="54"/>
      <c r="H19" s="54"/>
      <c r="I19" s="54"/>
      <c r="J19" s="54"/>
      <c r="K19" s="54"/>
      <c r="L19" s="54"/>
      <c r="M19" s="54"/>
      <c r="N19" s="54"/>
      <c r="O19" s="54"/>
      <c r="P19" s="54"/>
    </row>
    <row r="20" spans="1:16" ht="15" customHeight="1" x14ac:dyDescent="0.45">
      <c r="A20" s="54"/>
      <c r="B20" s="54"/>
      <c r="C20" s="54"/>
      <c r="D20" s="54"/>
      <c r="E20" s="54"/>
      <c r="F20" s="54"/>
      <c r="G20" s="54"/>
      <c r="H20" s="54"/>
      <c r="I20" s="54"/>
      <c r="J20" s="54"/>
      <c r="K20" s="54"/>
      <c r="L20" s="54"/>
      <c r="M20" s="54"/>
      <c r="N20" s="54"/>
      <c r="O20" s="54"/>
      <c r="P20" s="54"/>
    </row>
    <row r="21" spans="1:16" ht="15" customHeight="1" x14ac:dyDescent="0.45">
      <c r="A21" s="54"/>
      <c r="B21" s="54"/>
      <c r="C21" s="54"/>
      <c r="D21" s="54"/>
      <c r="E21" s="54"/>
      <c r="F21" s="54"/>
      <c r="G21" s="54"/>
      <c r="H21" s="54"/>
      <c r="I21" s="54"/>
      <c r="J21" s="54"/>
      <c r="K21" s="54"/>
      <c r="L21" s="54"/>
      <c r="M21" s="54"/>
      <c r="N21" s="54"/>
      <c r="O21" s="54"/>
      <c r="P21" s="54"/>
    </row>
    <row r="22" spans="1:16" ht="15" customHeight="1" x14ac:dyDescent="0.45">
      <c r="A22" s="54"/>
      <c r="B22" s="54"/>
      <c r="C22" s="54"/>
      <c r="D22" s="54"/>
      <c r="E22" s="54"/>
      <c r="F22" s="54"/>
      <c r="G22" s="54"/>
      <c r="H22" s="54"/>
      <c r="I22" s="54"/>
      <c r="J22" s="54"/>
      <c r="K22" s="54"/>
      <c r="L22" s="54"/>
      <c r="M22" s="54"/>
      <c r="N22" s="54"/>
      <c r="O22" s="54"/>
      <c r="P22" s="54"/>
    </row>
    <row r="23" spans="1:16" ht="15" customHeight="1" x14ac:dyDescent="0.45">
      <c r="A23" s="54"/>
      <c r="B23" s="54"/>
      <c r="C23" s="54"/>
      <c r="D23" s="54"/>
      <c r="E23" s="54"/>
      <c r="F23" s="54"/>
      <c r="G23" s="54"/>
      <c r="H23" s="54"/>
      <c r="I23" s="54"/>
      <c r="J23" s="54"/>
      <c r="K23" s="54"/>
      <c r="L23" s="54"/>
      <c r="M23" s="54"/>
      <c r="N23" s="54"/>
      <c r="O23" s="54"/>
      <c r="P23" s="54"/>
    </row>
    <row r="24" spans="1:16" ht="15" customHeight="1" x14ac:dyDescent="0.45">
      <c r="A24" s="54"/>
      <c r="B24" s="54"/>
      <c r="C24" s="54"/>
      <c r="D24" s="54"/>
      <c r="E24" s="54"/>
      <c r="F24" s="54"/>
      <c r="G24" s="54"/>
      <c r="H24" s="54"/>
      <c r="I24" s="54"/>
      <c r="J24" s="54"/>
      <c r="K24" s="54"/>
      <c r="L24" s="54"/>
      <c r="M24" s="54"/>
      <c r="N24" s="54"/>
      <c r="O24" s="54"/>
      <c r="P24" s="54"/>
    </row>
    <row r="25" spans="1:16" ht="15" customHeight="1" x14ac:dyDescent="0.45">
      <c r="A25" s="54"/>
      <c r="B25" s="54"/>
      <c r="C25" s="54"/>
      <c r="D25" s="54"/>
      <c r="E25" s="54"/>
      <c r="F25" s="54"/>
      <c r="G25" s="54"/>
      <c r="H25" s="54"/>
      <c r="I25" s="54"/>
      <c r="J25" s="54"/>
      <c r="K25" s="54"/>
      <c r="L25" s="54"/>
      <c r="M25" s="54"/>
      <c r="N25" s="54"/>
      <c r="O25" s="54"/>
      <c r="P25" s="54"/>
    </row>
    <row r="26" spans="1:16" ht="15" customHeight="1" x14ac:dyDescent="0.45">
      <c r="A26" s="54"/>
      <c r="B26" s="54"/>
      <c r="C26" s="54"/>
      <c r="D26" s="54"/>
      <c r="E26" s="54"/>
      <c r="F26" s="54"/>
      <c r="G26" s="54"/>
      <c r="H26" s="54"/>
      <c r="I26" s="54"/>
      <c r="J26" s="54"/>
      <c r="K26" s="54"/>
      <c r="L26" s="54"/>
      <c r="M26" s="54"/>
      <c r="N26" s="54"/>
      <c r="O26" s="54"/>
      <c r="P26" s="54"/>
    </row>
    <row r="27" spans="1:16" ht="15" customHeight="1" x14ac:dyDescent="0.45">
      <c r="A27" s="54"/>
      <c r="B27" s="54"/>
      <c r="C27" s="54"/>
      <c r="D27" s="54"/>
      <c r="E27" s="54"/>
      <c r="F27" s="54"/>
      <c r="G27" s="54"/>
      <c r="H27" s="54"/>
      <c r="I27" s="54"/>
      <c r="J27" s="54"/>
      <c r="K27" s="54"/>
      <c r="L27" s="54"/>
      <c r="M27" s="54"/>
      <c r="N27" s="54"/>
      <c r="O27" s="54"/>
      <c r="P27" s="54"/>
    </row>
    <row r="28" spans="1:16" ht="15" customHeight="1" x14ac:dyDescent="0.45">
      <c r="A28" s="54"/>
      <c r="B28" s="54"/>
      <c r="C28" s="54"/>
      <c r="D28" s="54"/>
      <c r="E28" s="54"/>
      <c r="F28" s="54"/>
      <c r="G28" s="54"/>
      <c r="H28" s="54"/>
      <c r="I28" s="54"/>
      <c r="J28" s="54"/>
      <c r="K28" s="54"/>
      <c r="L28" s="54"/>
      <c r="M28" s="54"/>
      <c r="N28" s="54"/>
      <c r="O28" s="54"/>
      <c r="P28" s="54"/>
    </row>
    <row r="29" spans="1:16" ht="15" customHeight="1" x14ac:dyDescent="0.45">
      <c r="A29" s="54"/>
      <c r="B29" s="54"/>
      <c r="C29" s="54"/>
      <c r="D29" s="54"/>
      <c r="E29" s="54"/>
      <c r="F29" s="54"/>
      <c r="G29" s="54"/>
      <c r="H29" s="54"/>
      <c r="I29" s="54"/>
      <c r="J29" s="54"/>
      <c r="K29" s="54"/>
      <c r="L29" s="54"/>
      <c r="M29" s="54"/>
      <c r="N29" s="54"/>
      <c r="O29" s="54"/>
      <c r="P29" s="54"/>
    </row>
    <row r="30" spans="1:16" ht="15" customHeight="1" x14ac:dyDescent="0.45">
      <c r="A30" s="54"/>
      <c r="B30" s="54"/>
      <c r="C30" s="54"/>
      <c r="D30" s="54"/>
      <c r="E30" s="54"/>
      <c r="F30" s="54"/>
      <c r="G30" s="54"/>
      <c r="H30" s="54"/>
      <c r="I30" s="54"/>
      <c r="J30" s="54"/>
      <c r="K30" s="54"/>
      <c r="L30" s="54"/>
      <c r="M30" s="54"/>
      <c r="N30" s="54"/>
      <c r="O30" s="54"/>
      <c r="P30" s="54"/>
    </row>
    <row r="31" spans="1:16" ht="15" customHeight="1" x14ac:dyDescent="0.45">
      <c r="A31" s="54"/>
      <c r="B31" s="54"/>
      <c r="C31" s="54"/>
      <c r="D31" s="54"/>
      <c r="E31" s="54"/>
      <c r="F31" s="54"/>
      <c r="G31" s="54"/>
      <c r="H31" s="54"/>
      <c r="I31" s="54"/>
      <c r="J31" s="54"/>
      <c r="K31" s="54"/>
      <c r="L31" s="54"/>
      <c r="M31" s="54"/>
      <c r="N31" s="54"/>
      <c r="O31" s="54"/>
      <c r="P31" s="54"/>
    </row>
    <row r="32" spans="1:16" ht="15" customHeight="1" x14ac:dyDescent="0.45">
      <c r="A32" s="54"/>
      <c r="B32" s="54"/>
      <c r="C32" s="54"/>
      <c r="D32" s="54"/>
      <c r="E32" s="54"/>
      <c r="F32" s="54"/>
      <c r="G32" s="54"/>
      <c r="H32" s="54"/>
      <c r="I32" s="54"/>
      <c r="J32" s="54"/>
      <c r="K32" s="54"/>
      <c r="L32" s="54"/>
      <c r="M32" s="54"/>
      <c r="N32" s="54"/>
      <c r="O32" s="54"/>
      <c r="P32" s="54"/>
    </row>
    <row r="33" spans="1:16" ht="15" customHeight="1" x14ac:dyDescent="0.45">
      <c r="A33" s="54"/>
      <c r="B33" s="54"/>
      <c r="C33" s="54"/>
      <c r="D33" s="54"/>
      <c r="E33" s="54"/>
      <c r="F33" s="54"/>
      <c r="G33" s="54"/>
      <c r="H33" s="54"/>
      <c r="I33" s="54"/>
      <c r="J33" s="54"/>
      <c r="K33" s="54"/>
      <c r="L33" s="54"/>
      <c r="M33" s="54"/>
      <c r="N33" s="54"/>
      <c r="O33" s="54"/>
      <c r="P33" s="54"/>
    </row>
    <row r="34" spans="1:16" ht="15" customHeight="1" x14ac:dyDescent="0.45">
      <c r="A34" s="54"/>
      <c r="B34" s="54"/>
      <c r="C34" s="54"/>
      <c r="D34" s="54"/>
      <c r="E34" s="54"/>
      <c r="F34" s="54"/>
      <c r="G34" s="54"/>
      <c r="H34" s="54"/>
      <c r="I34" s="54"/>
      <c r="J34" s="54"/>
      <c r="K34" s="54"/>
      <c r="L34" s="54"/>
      <c r="M34" s="54"/>
      <c r="N34" s="54"/>
      <c r="O34" s="54"/>
      <c r="P34" s="54"/>
    </row>
    <row r="35" spans="1:16" ht="15" customHeight="1" x14ac:dyDescent="0.45">
      <c r="A35" s="54"/>
      <c r="B35" s="54"/>
      <c r="C35" s="54"/>
      <c r="D35" s="54"/>
      <c r="E35" s="54"/>
      <c r="F35" s="54"/>
      <c r="G35" s="54"/>
      <c r="H35" s="54"/>
      <c r="I35" s="54"/>
      <c r="J35" s="54"/>
      <c r="K35" s="54"/>
      <c r="L35" s="54"/>
      <c r="M35" s="54"/>
      <c r="N35" s="54"/>
      <c r="O35" s="54"/>
      <c r="P35" s="54"/>
    </row>
    <row r="36" spans="1:16" ht="15" customHeight="1" x14ac:dyDescent="0.45">
      <c r="A36" s="54"/>
      <c r="B36" s="54"/>
      <c r="C36" s="54"/>
      <c r="D36" s="54"/>
      <c r="E36" s="54"/>
      <c r="F36" s="54"/>
      <c r="G36" s="54"/>
      <c r="H36" s="54"/>
      <c r="I36" s="54"/>
      <c r="J36" s="54"/>
      <c r="K36" s="54"/>
      <c r="L36" s="54"/>
      <c r="M36" s="54"/>
      <c r="N36" s="54"/>
      <c r="O36" s="54"/>
      <c r="P36" s="54"/>
    </row>
    <row r="37" spans="1:16" ht="15" customHeight="1" x14ac:dyDescent="0.45">
      <c r="A37" s="54"/>
      <c r="B37" s="54"/>
      <c r="C37" s="54"/>
      <c r="D37" s="54"/>
      <c r="E37" s="54"/>
      <c r="F37" s="54"/>
      <c r="G37" s="54"/>
      <c r="H37" s="54"/>
      <c r="I37" s="54"/>
      <c r="J37" s="54"/>
      <c r="K37" s="54"/>
      <c r="L37" s="54"/>
      <c r="M37" s="54"/>
      <c r="N37" s="54"/>
      <c r="O37" s="54"/>
      <c r="P37" s="54"/>
    </row>
    <row r="38" spans="1:16" ht="15" customHeight="1" x14ac:dyDescent="0.45">
      <c r="A38" s="54"/>
      <c r="B38" s="54"/>
      <c r="C38" s="54"/>
      <c r="D38" s="54"/>
      <c r="E38" s="54"/>
      <c r="F38" s="54"/>
      <c r="G38" s="54"/>
      <c r="H38" s="54"/>
      <c r="I38" s="54"/>
      <c r="J38" s="54"/>
      <c r="K38" s="54"/>
      <c r="L38" s="54"/>
      <c r="M38" s="54"/>
      <c r="N38" s="54"/>
      <c r="O38" s="54"/>
      <c r="P38" s="54"/>
    </row>
    <row r="39" spans="1:16" ht="15" customHeight="1" x14ac:dyDescent="0.45">
      <c r="A39" s="54"/>
      <c r="B39" s="54"/>
      <c r="C39" s="54"/>
      <c r="D39" s="54"/>
      <c r="E39" s="54"/>
      <c r="F39" s="54"/>
      <c r="G39" s="54"/>
      <c r="H39" s="54"/>
      <c r="I39" s="54"/>
      <c r="J39" s="54"/>
      <c r="K39" s="54"/>
      <c r="L39" s="54"/>
      <c r="M39" s="54"/>
      <c r="N39" s="54"/>
      <c r="O39" s="54"/>
      <c r="P39" s="54"/>
    </row>
    <row r="40" spans="1:16" ht="15" customHeight="1" x14ac:dyDescent="0.45">
      <c r="A40" s="54"/>
      <c r="B40" s="54"/>
      <c r="C40" s="54"/>
      <c r="D40" s="54"/>
      <c r="E40" s="54"/>
      <c r="F40" s="54"/>
      <c r="G40" s="54"/>
      <c r="H40" s="54"/>
      <c r="I40" s="54"/>
      <c r="J40" s="54"/>
      <c r="K40" s="54"/>
      <c r="L40" s="54"/>
      <c r="M40" s="54"/>
      <c r="N40" s="54"/>
      <c r="O40" s="54"/>
      <c r="P40" s="54"/>
    </row>
    <row r="41" spans="1:16" ht="15.75" customHeight="1" x14ac:dyDescent="0.45">
      <c r="A41" s="54"/>
      <c r="B41" s="54"/>
      <c r="C41" s="54"/>
      <c r="D41" s="54"/>
      <c r="E41" s="54"/>
      <c r="F41" s="54"/>
      <c r="G41" s="54"/>
      <c r="H41" s="54"/>
      <c r="I41" s="54"/>
      <c r="J41" s="54"/>
      <c r="K41" s="54"/>
      <c r="L41" s="54"/>
      <c r="M41" s="54"/>
      <c r="N41" s="54"/>
      <c r="O41" s="54"/>
      <c r="P41" s="54"/>
    </row>
    <row r="42" spans="1:16" ht="15" customHeight="1" x14ac:dyDescent="0.45">
      <c r="A42" s="54"/>
      <c r="B42" s="54"/>
      <c r="C42" s="54"/>
      <c r="D42" s="54"/>
      <c r="E42" s="54"/>
      <c r="F42" s="54"/>
      <c r="G42" s="54"/>
      <c r="H42" s="54"/>
      <c r="I42" s="54"/>
      <c r="J42" s="54"/>
      <c r="K42" s="54"/>
      <c r="L42" s="54"/>
      <c r="M42" s="54"/>
      <c r="N42" s="54"/>
      <c r="O42" s="54"/>
      <c r="P42" s="54"/>
    </row>
  </sheetData>
  <printOptions gridLines="1"/>
  <pageMargins left="0.70866141732283472" right="0.70866141732283472" top="0.74803149606299213" bottom="0.74803149606299213" header="0" footer="0"/>
  <pageSetup paperSize="9" scale="72" orientation="landscape" r:id="rId1"/>
  <headerFooter>
    <oddHeader>&amp;R&amp;F  &amp;A</oddHeader>
    <oddFooter>&amp;L© 2016&amp;CPage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00"/>
  <sheetViews>
    <sheetView showGridLines="0" zoomScaleNormal="100" zoomScaleSheetLayoutView="85" workbookViewId="0"/>
  </sheetViews>
  <sheetFormatPr defaultColWidth="12.59765625" defaultRowHeight="15" customHeight="1" x14ac:dyDescent="0.45"/>
  <cols>
    <col min="1" max="1" width="1.1328125" customWidth="1"/>
    <col min="2" max="2" width="2.59765625" customWidth="1"/>
    <col min="3" max="3" width="11.59765625" customWidth="1"/>
    <col min="4" max="4" width="2.59765625" customWidth="1"/>
    <col min="5" max="7" width="1.1328125" customWidth="1"/>
    <col min="8" max="8" width="2.59765625" customWidth="1"/>
    <col min="9" max="9" width="37.59765625" customWidth="1"/>
    <col min="10" max="11" width="1.1328125" customWidth="1"/>
    <col min="12" max="12" width="13.59765625" customWidth="1"/>
    <col min="13" max="14" width="1.1328125" customWidth="1"/>
    <col min="15" max="15" width="2.59765625" customWidth="1"/>
    <col min="16" max="16" width="28.59765625" customWidth="1"/>
    <col min="17" max="17" width="2.59765625" customWidth="1"/>
    <col min="18" max="18" width="1.1328125" customWidth="1"/>
    <col min="19" max="36" width="8" customWidth="1"/>
  </cols>
  <sheetData>
    <row r="1" spans="1:36" ht="45" customHeight="1" x14ac:dyDescent="0.85">
      <c r="A1" s="112" t="str">
        <f>Welcome!A2</f>
        <v>Case Study</v>
      </c>
      <c r="B1" s="112"/>
      <c r="C1" s="112"/>
      <c r="D1" s="112"/>
      <c r="E1" s="112"/>
      <c r="F1" s="112"/>
      <c r="G1" s="112"/>
      <c r="H1" s="112"/>
      <c r="I1" s="112"/>
      <c r="J1" s="113"/>
      <c r="K1" s="113"/>
      <c r="L1" s="113"/>
      <c r="M1" s="113"/>
      <c r="N1" s="113"/>
      <c r="O1" s="113"/>
      <c r="P1" s="113"/>
      <c r="Q1" s="113"/>
      <c r="R1" s="113"/>
    </row>
    <row r="2" spans="1:36" ht="30" customHeight="1" x14ac:dyDescent="0.55000000000000004">
      <c r="A2" s="114" t="s">
        <v>3</v>
      </c>
      <c r="B2" s="114"/>
      <c r="C2" s="114"/>
      <c r="D2" s="114"/>
      <c r="E2" s="114"/>
      <c r="F2" s="114"/>
      <c r="G2" s="114"/>
      <c r="H2" s="114"/>
      <c r="I2" s="114"/>
      <c r="J2" s="115"/>
      <c r="K2" s="115"/>
      <c r="L2" s="115"/>
      <c r="M2" s="115"/>
      <c r="N2" s="115"/>
      <c r="O2" s="115"/>
      <c r="P2" s="115"/>
      <c r="Q2" s="115"/>
      <c r="R2" s="115"/>
    </row>
    <row r="3" spans="1:36" ht="7.5" customHeight="1" x14ac:dyDescent="0.45">
      <c r="A3" s="116"/>
      <c r="B3" s="116"/>
      <c r="C3" s="116"/>
      <c r="D3" s="116"/>
      <c r="E3" s="116"/>
      <c r="F3" s="116"/>
      <c r="G3" s="116"/>
      <c r="H3" s="116"/>
      <c r="I3" s="116"/>
      <c r="J3" s="116"/>
      <c r="K3" s="116"/>
      <c r="L3" s="116"/>
      <c r="M3" s="116"/>
      <c r="N3" s="116"/>
      <c r="O3" s="116"/>
      <c r="P3" s="116"/>
      <c r="Q3" s="116"/>
      <c r="R3" s="116"/>
      <c r="Y3" s="116"/>
      <c r="Z3" s="116"/>
      <c r="AA3" s="116"/>
      <c r="AB3" s="116"/>
      <c r="AC3" s="116"/>
      <c r="AD3" s="116"/>
      <c r="AE3" s="116"/>
      <c r="AF3" s="116"/>
      <c r="AG3" s="116"/>
      <c r="AH3" s="116"/>
      <c r="AI3" s="116"/>
      <c r="AJ3" s="116"/>
    </row>
    <row r="4" spans="1:36" ht="22.5" customHeight="1" x14ac:dyDescent="0.45">
      <c r="A4" s="117"/>
      <c r="B4" s="234" t="s">
        <v>4</v>
      </c>
      <c r="C4" s="228"/>
      <c r="D4" s="228"/>
      <c r="E4" s="228"/>
      <c r="F4" s="228"/>
      <c r="G4" s="228"/>
      <c r="H4" s="228"/>
      <c r="I4" s="228"/>
      <c r="J4" s="116"/>
      <c r="K4" s="117"/>
      <c r="L4" s="234" t="s">
        <v>5</v>
      </c>
      <c r="M4" s="228"/>
      <c r="N4" s="228"/>
      <c r="O4" s="228"/>
      <c r="P4" s="228"/>
      <c r="Q4" s="111"/>
      <c r="R4" s="111"/>
      <c r="Y4" s="116"/>
      <c r="Z4" s="116"/>
      <c r="AA4" s="116"/>
      <c r="AB4" s="116"/>
      <c r="AC4" s="116"/>
      <c r="AD4" s="116"/>
      <c r="AE4" s="116"/>
      <c r="AF4" s="116"/>
      <c r="AG4" s="116"/>
      <c r="AH4" s="116"/>
      <c r="AI4" s="116"/>
      <c r="AJ4" s="116"/>
    </row>
    <row r="5" spans="1:36" ht="15" customHeight="1" x14ac:dyDescent="0.45">
      <c r="A5" s="118"/>
      <c r="B5" s="119" t="s">
        <v>6</v>
      </c>
      <c r="C5" s="120" t="s">
        <v>7</v>
      </c>
      <c r="D5" s="121"/>
      <c r="E5" s="121"/>
      <c r="F5" s="121"/>
      <c r="G5" s="121"/>
      <c r="H5" s="121"/>
      <c r="I5" s="121"/>
      <c r="J5" s="116"/>
      <c r="K5" s="117"/>
      <c r="L5" s="122" t="s">
        <v>8</v>
      </c>
      <c r="M5" s="122"/>
      <c r="N5" s="235" t="s">
        <v>9</v>
      </c>
      <c r="O5" s="228"/>
      <c r="P5" s="228"/>
      <c r="Q5" s="228"/>
      <c r="R5" s="111"/>
      <c r="Y5" s="116"/>
      <c r="Z5" s="116"/>
      <c r="AA5" s="116"/>
      <c r="AB5" s="116"/>
      <c r="AC5" s="116"/>
      <c r="AD5" s="116"/>
      <c r="AE5" s="116"/>
      <c r="AF5" s="116"/>
      <c r="AG5" s="116"/>
      <c r="AH5" s="116"/>
      <c r="AI5" s="116"/>
      <c r="AJ5" s="116"/>
    </row>
    <row r="6" spans="1:36" ht="15" customHeight="1" x14ac:dyDescent="0.45">
      <c r="A6" s="123"/>
      <c r="B6" s="119" t="s">
        <v>6</v>
      </c>
      <c r="C6" s="120" t="s">
        <v>10</v>
      </c>
      <c r="D6" s="121"/>
      <c r="E6" s="121"/>
      <c r="F6" s="121"/>
      <c r="G6" s="121"/>
      <c r="H6" s="121"/>
      <c r="I6" s="121"/>
      <c r="J6" s="116"/>
      <c r="K6" s="118"/>
      <c r="L6" s="122" t="s">
        <v>11</v>
      </c>
      <c r="M6" s="122"/>
      <c r="N6" s="236">
        <v>45291</v>
      </c>
      <c r="O6" s="228"/>
      <c r="P6" s="228"/>
      <c r="Q6" s="228"/>
      <c r="R6" s="111"/>
      <c r="Y6" s="116"/>
      <c r="Z6" s="116"/>
      <c r="AA6" s="116"/>
      <c r="AB6" s="116"/>
      <c r="AC6" s="116"/>
      <c r="AD6" s="116"/>
      <c r="AE6" s="116"/>
      <c r="AF6" s="116"/>
      <c r="AG6" s="116"/>
      <c r="AH6" s="116"/>
      <c r="AI6" s="116"/>
      <c r="AJ6" s="116"/>
    </row>
    <row r="7" spans="1:36" ht="15" customHeight="1" x14ac:dyDescent="0.45">
      <c r="A7" s="121"/>
      <c r="B7" s="119" t="s">
        <v>6</v>
      </c>
      <c r="C7" s="120" t="s">
        <v>12</v>
      </c>
      <c r="D7" s="121"/>
      <c r="E7" s="121"/>
      <c r="F7" s="121"/>
      <c r="G7" s="121"/>
      <c r="H7" s="121"/>
      <c r="I7" s="121"/>
      <c r="J7" s="116"/>
      <c r="K7" s="123"/>
      <c r="L7" s="122" t="s">
        <v>13</v>
      </c>
      <c r="M7" s="122"/>
      <c r="N7" s="235" t="s">
        <v>14</v>
      </c>
      <c r="O7" s="228"/>
      <c r="P7" s="228"/>
      <c r="Q7" s="228"/>
      <c r="R7" s="111"/>
      <c r="Y7" s="116"/>
      <c r="Z7" s="116"/>
      <c r="AA7" s="116"/>
      <c r="AB7" s="116"/>
      <c r="AC7" s="116"/>
      <c r="AD7" s="116"/>
      <c r="AE7" s="116"/>
      <c r="AF7" s="116"/>
      <c r="AG7" s="116"/>
      <c r="AH7" s="116"/>
      <c r="AI7" s="116"/>
      <c r="AJ7" s="116"/>
    </row>
    <row r="8" spans="1:36" ht="15" customHeight="1" x14ac:dyDescent="0.45">
      <c r="A8" s="121"/>
      <c r="B8" s="119" t="s">
        <v>6</v>
      </c>
      <c r="C8" s="120" t="s">
        <v>15</v>
      </c>
      <c r="D8" s="121"/>
      <c r="E8" s="121"/>
      <c r="F8" s="121"/>
      <c r="G8" s="121"/>
      <c r="H8" s="121"/>
      <c r="I8" s="121"/>
      <c r="J8" s="116"/>
      <c r="K8" s="121"/>
      <c r="L8" s="122" t="s">
        <v>16</v>
      </c>
      <c r="M8" s="122"/>
      <c r="N8" s="235" t="s">
        <v>17</v>
      </c>
      <c r="O8" s="228"/>
      <c r="P8" s="228"/>
      <c r="Q8" s="228"/>
      <c r="R8" s="111"/>
      <c r="Y8" s="116"/>
      <c r="Z8" s="116"/>
      <c r="AA8" s="116"/>
      <c r="AB8" s="116"/>
      <c r="AC8" s="116"/>
      <c r="AD8" s="116"/>
      <c r="AE8" s="116"/>
      <c r="AF8" s="116"/>
      <c r="AG8" s="116"/>
      <c r="AH8" s="116"/>
      <c r="AI8" s="116"/>
      <c r="AJ8" s="116"/>
    </row>
    <row r="9" spans="1:36" ht="15" customHeight="1" x14ac:dyDescent="0.45">
      <c r="A9" s="124"/>
      <c r="B9" s="119" t="s">
        <v>6</v>
      </c>
      <c r="C9" s="120" t="s">
        <v>18</v>
      </c>
      <c r="D9" s="124"/>
      <c r="E9" s="124"/>
      <c r="F9" s="124"/>
      <c r="G9" s="124"/>
      <c r="H9" s="124"/>
      <c r="I9" s="124"/>
      <c r="J9" s="116"/>
      <c r="K9" s="121"/>
      <c r="L9" s="122" t="s">
        <v>19</v>
      </c>
      <c r="M9" s="122"/>
      <c r="N9" s="235" t="s">
        <v>20</v>
      </c>
      <c r="O9" s="228"/>
      <c r="P9" s="228"/>
      <c r="Q9" s="228"/>
      <c r="R9" s="111"/>
      <c r="Y9" s="116"/>
      <c r="Z9" s="116"/>
      <c r="AA9" s="116"/>
      <c r="AB9" s="116"/>
      <c r="AC9" s="116"/>
      <c r="AD9" s="116"/>
      <c r="AE9" s="116"/>
      <c r="AF9" s="116"/>
      <c r="AG9" s="116"/>
      <c r="AH9" s="116"/>
      <c r="AI9" s="116"/>
      <c r="AJ9" s="116"/>
    </row>
    <row r="10" spans="1:36" ht="15" customHeight="1" x14ac:dyDescent="0.45">
      <c r="A10" s="110"/>
      <c r="B10" s="110"/>
      <c r="C10" s="110"/>
      <c r="D10" s="110"/>
      <c r="E10" s="110"/>
      <c r="F10" s="110"/>
      <c r="G10" s="110"/>
      <c r="H10" s="110"/>
      <c r="I10" s="110"/>
      <c r="J10" s="116"/>
      <c r="K10" s="121"/>
      <c r="L10" s="122" t="s">
        <v>21</v>
      </c>
      <c r="M10" s="122"/>
      <c r="N10" s="233">
        <v>0</v>
      </c>
      <c r="O10" s="228"/>
      <c r="P10" s="228"/>
      <c r="Q10" s="228"/>
      <c r="R10" s="125"/>
      <c r="Y10" s="116"/>
      <c r="Z10" s="116"/>
      <c r="AA10" s="116"/>
      <c r="AB10" s="116"/>
      <c r="AC10" s="116"/>
      <c r="AD10" s="116"/>
      <c r="AE10" s="116"/>
      <c r="AF10" s="116"/>
      <c r="AG10" s="116"/>
      <c r="AH10" s="116"/>
      <c r="AI10" s="116"/>
      <c r="AJ10" s="116"/>
    </row>
    <row r="11" spans="1:36" ht="15" customHeight="1" x14ac:dyDescent="0.45">
      <c r="A11" s="11"/>
      <c r="B11" s="11"/>
      <c r="C11" s="11"/>
      <c r="D11" s="11"/>
      <c r="E11" s="11"/>
      <c r="F11" s="11"/>
      <c r="G11" s="11"/>
      <c r="H11" s="11"/>
      <c r="I11" s="11"/>
      <c r="J11" s="116"/>
      <c r="K11" s="11"/>
      <c r="L11" s="11"/>
      <c r="M11" s="11"/>
      <c r="N11" s="11"/>
      <c r="O11" s="11"/>
      <c r="P11" s="11"/>
      <c r="Q11" s="11"/>
      <c r="R11" s="11"/>
      <c r="Y11" s="116"/>
      <c r="Z11" s="116"/>
      <c r="AA11" s="116"/>
      <c r="AB11" s="116"/>
      <c r="AC11" s="116"/>
      <c r="AD11" s="116"/>
      <c r="AE11" s="116"/>
      <c r="AF11" s="116"/>
      <c r="AG11" s="116"/>
      <c r="AH11" s="116"/>
      <c r="AI11" s="116"/>
      <c r="AJ11" s="116"/>
    </row>
    <row r="12" spans="1:36" ht="7.5" customHeight="1" x14ac:dyDescent="0.45">
      <c r="A12" s="116"/>
      <c r="B12" s="116"/>
      <c r="C12" s="116"/>
      <c r="D12" s="116"/>
      <c r="E12" s="116"/>
      <c r="F12" s="116"/>
      <c r="G12" s="116"/>
      <c r="H12" s="116"/>
      <c r="I12" s="116"/>
      <c r="J12" s="116"/>
      <c r="K12" s="10"/>
      <c r="L12" s="10"/>
      <c r="M12" s="10"/>
      <c r="N12" s="10"/>
      <c r="O12" s="10"/>
      <c r="P12" s="10"/>
      <c r="Q12" s="10"/>
      <c r="R12" s="10"/>
      <c r="Y12" s="116"/>
      <c r="Z12" s="116"/>
      <c r="AA12" s="116"/>
      <c r="AB12" s="116"/>
      <c r="AC12" s="116"/>
      <c r="AD12" s="116"/>
      <c r="AE12" s="116"/>
      <c r="AF12" s="116"/>
      <c r="AG12" s="116"/>
      <c r="AH12" s="116"/>
      <c r="AI12" s="116"/>
      <c r="AJ12" s="116"/>
    </row>
    <row r="13" spans="1:36" ht="22.5" customHeight="1" x14ac:dyDescent="0.45">
      <c r="A13" s="120"/>
      <c r="B13" s="234" t="s">
        <v>22</v>
      </c>
      <c r="C13" s="228"/>
      <c r="D13" s="228"/>
      <c r="E13" s="228"/>
      <c r="F13" s="228"/>
      <c r="G13" s="228"/>
      <c r="H13" s="228"/>
      <c r="I13" s="228"/>
      <c r="J13" s="228"/>
      <c r="K13" s="228"/>
      <c r="L13" s="228"/>
      <c r="M13" s="116"/>
      <c r="N13" s="117"/>
      <c r="O13" s="234" t="s">
        <v>23</v>
      </c>
      <c r="P13" s="228"/>
      <c r="Q13" s="228"/>
      <c r="R13" s="126"/>
      <c r="Y13" s="116"/>
      <c r="Z13" s="116"/>
      <c r="AA13" s="116"/>
      <c r="AB13" s="116"/>
      <c r="AC13" s="116"/>
      <c r="AD13" s="116"/>
      <c r="AE13" s="116"/>
      <c r="AF13" s="116"/>
      <c r="AG13" s="116"/>
      <c r="AH13" s="116"/>
      <c r="AI13" s="116"/>
      <c r="AJ13" s="116"/>
    </row>
    <row r="14" spans="1:36" ht="15" customHeight="1" x14ac:dyDescent="0.45">
      <c r="A14" s="121"/>
      <c r="B14" s="233"/>
      <c r="C14" s="228"/>
      <c r="D14" s="233"/>
      <c r="E14" s="228"/>
      <c r="F14" s="228"/>
      <c r="G14" s="228"/>
      <c r="H14" s="228"/>
      <c r="I14" s="228"/>
      <c r="J14" s="228"/>
      <c r="K14" s="228"/>
      <c r="L14" s="228"/>
      <c r="M14" s="116"/>
      <c r="N14" s="118"/>
      <c r="O14" s="15"/>
      <c r="P14" s="7"/>
      <c r="Q14" s="7"/>
      <c r="R14" s="121"/>
      <c r="Y14" s="116"/>
      <c r="Z14" s="116"/>
      <c r="AA14" s="116"/>
      <c r="AB14" s="116"/>
      <c r="AC14" s="116"/>
      <c r="AD14" s="116"/>
      <c r="AE14" s="116"/>
      <c r="AF14" s="116"/>
      <c r="AG14" s="116"/>
      <c r="AH14" s="116"/>
      <c r="AI14" s="116"/>
      <c r="AJ14" s="116"/>
    </row>
    <row r="15" spans="1:36" ht="15" customHeight="1" x14ac:dyDescent="0.45">
      <c r="A15" s="121"/>
      <c r="B15" s="233"/>
      <c r="C15" s="228"/>
      <c r="D15" s="233"/>
      <c r="E15" s="228"/>
      <c r="F15" s="228"/>
      <c r="G15" s="228"/>
      <c r="H15" s="228"/>
      <c r="I15" s="228"/>
      <c r="J15" s="228"/>
      <c r="K15" s="228"/>
      <c r="L15" s="228"/>
      <c r="M15" s="116"/>
      <c r="N15" s="123"/>
      <c r="O15" s="15"/>
      <c r="P15" s="16" t="s">
        <v>24</v>
      </c>
      <c r="Q15" s="7"/>
      <c r="R15" s="121"/>
      <c r="Y15" s="116"/>
      <c r="Z15" s="116"/>
      <c r="AA15" s="116"/>
      <c r="AB15" s="116"/>
      <c r="AC15" s="116"/>
      <c r="AD15" s="116"/>
      <c r="AE15" s="116"/>
      <c r="AF15" s="116"/>
      <c r="AG15" s="116"/>
      <c r="AH15" s="116"/>
      <c r="AI15" s="116"/>
      <c r="AJ15" s="116"/>
    </row>
    <row r="16" spans="1:36" ht="15" customHeight="1" x14ac:dyDescent="0.45">
      <c r="A16" s="121"/>
      <c r="B16" s="233"/>
      <c r="C16" s="228"/>
      <c r="D16" s="233"/>
      <c r="E16" s="228"/>
      <c r="F16" s="228"/>
      <c r="G16" s="228"/>
      <c r="H16" s="228"/>
      <c r="I16" s="228"/>
      <c r="J16" s="228"/>
      <c r="K16" s="228"/>
      <c r="L16" s="228"/>
      <c r="M16" s="116"/>
      <c r="N16" s="121"/>
      <c r="O16" s="15"/>
      <c r="P16" s="17" t="s">
        <v>25</v>
      </c>
      <c r="Q16" s="7"/>
      <c r="R16" s="121"/>
      <c r="Y16" s="116"/>
      <c r="Z16" s="116"/>
      <c r="AA16" s="116"/>
      <c r="AB16" s="116"/>
      <c r="AC16" s="116"/>
      <c r="AD16" s="116"/>
      <c r="AE16" s="116"/>
      <c r="AF16" s="116"/>
      <c r="AG16" s="116"/>
      <c r="AH16" s="116"/>
      <c r="AI16" s="116"/>
      <c r="AJ16" s="116"/>
    </row>
    <row r="17" spans="1:36" ht="15" customHeight="1" x14ac:dyDescent="0.45">
      <c r="A17" s="121"/>
      <c r="B17" s="233"/>
      <c r="C17" s="228"/>
      <c r="D17" s="233"/>
      <c r="E17" s="228"/>
      <c r="F17" s="228"/>
      <c r="G17" s="228"/>
      <c r="H17" s="228"/>
      <c r="I17" s="228"/>
      <c r="J17" s="228"/>
      <c r="K17" s="228"/>
      <c r="L17" s="228"/>
      <c r="M17" s="116"/>
      <c r="N17" s="121"/>
      <c r="O17" s="15"/>
      <c r="P17" s="5" t="s">
        <v>26</v>
      </c>
      <c r="Q17" s="7"/>
      <c r="R17" s="121"/>
      <c r="Y17" s="116"/>
      <c r="Z17" s="116"/>
      <c r="AA17" s="116"/>
      <c r="AB17" s="116"/>
      <c r="AC17" s="116"/>
      <c r="AD17" s="116"/>
      <c r="AE17" s="116"/>
      <c r="AF17" s="116"/>
      <c r="AG17" s="116"/>
      <c r="AH17" s="116"/>
      <c r="AI17" s="116"/>
      <c r="AJ17" s="116"/>
    </row>
    <row r="18" spans="1:36" ht="15" customHeight="1" x14ac:dyDescent="0.45">
      <c r="A18" s="110"/>
      <c r="B18" s="233"/>
      <c r="C18" s="228"/>
      <c r="D18" s="233"/>
      <c r="E18" s="228"/>
      <c r="F18" s="228"/>
      <c r="G18" s="228"/>
      <c r="H18" s="228"/>
      <c r="I18" s="228"/>
      <c r="J18" s="228"/>
      <c r="K18" s="228"/>
      <c r="L18" s="228"/>
      <c r="M18" s="116"/>
      <c r="N18" s="110"/>
      <c r="O18" s="18"/>
      <c r="P18" s="18"/>
      <c r="Q18" s="18"/>
      <c r="R18" s="110"/>
      <c r="Y18" s="116"/>
      <c r="Z18" s="116"/>
      <c r="AA18" s="116"/>
      <c r="AB18" s="116"/>
      <c r="AC18" s="116"/>
      <c r="AD18" s="116"/>
      <c r="AE18" s="116"/>
      <c r="AF18" s="116"/>
      <c r="AG18" s="116"/>
      <c r="AH18" s="116"/>
      <c r="AI18" s="116"/>
      <c r="AJ18" s="116"/>
    </row>
    <row r="19" spans="1:36" ht="14.25" customHeight="1" x14ac:dyDescent="0.45">
      <c r="A19" s="11"/>
      <c r="B19" s="11"/>
      <c r="C19" s="11"/>
      <c r="D19" s="11"/>
      <c r="E19" s="11"/>
      <c r="F19" s="11"/>
      <c r="G19" s="11"/>
      <c r="H19" s="11"/>
      <c r="I19" s="11"/>
      <c r="J19" s="11"/>
      <c r="K19" s="11"/>
      <c r="L19" s="11"/>
      <c r="N19" s="11"/>
      <c r="O19" s="11"/>
      <c r="P19" s="11"/>
      <c r="Q19" s="11"/>
      <c r="R19" s="11"/>
    </row>
    <row r="20" spans="1:36" ht="14.25" customHeight="1" x14ac:dyDescent="0.45">
      <c r="Q20" s="8"/>
    </row>
    <row r="21" spans="1:36" ht="14.25" customHeight="1" x14ac:dyDescent="0.45"/>
    <row r="22" spans="1:36" ht="14.25" customHeight="1" x14ac:dyDescent="0.45"/>
    <row r="23" spans="1:36" ht="14.25" customHeight="1" x14ac:dyDescent="0.45"/>
    <row r="24" spans="1:36" ht="14.25" customHeight="1" x14ac:dyDescent="0.45"/>
    <row r="25" spans="1:36" ht="14.25" customHeight="1" x14ac:dyDescent="0.45"/>
    <row r="26" spans="1:36" ht="14.25" customHeight="1" x14ac:dyDescent="0.45"/>
    <row r="27" spans="1:36" ht="14.25" customHeight="1" x14ac:dyDescent="0.45"/>
    <row r="28" spans="1:36" ht="14.25" customHeight="1" x14ac:dyDescent="0.45"/>
    <row r="29" spans="1:36" ht="14.25" customHeight="1" x14ac:dyDescent="0.45"/>
    <row r="30" spans="1:36" ht="14.25" customHeight="1" x14ac:dyDescent="0.45"/>
    <row r="31" spans="1:36" ht="14.25" customHeight="1" x14ac:dyDescent="0.45"/>
    <row r="32" spans="1:36"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20">
    <mergeCell ref="B4:I4"/>
    <mergeCell ref="L4:P4"/>
    <mergeCell ref="N5:Q5"/>
    <mergeCell ref="N6:Q6"/>
    <mergeCell ref="N7:Q7"/>
    <mergeCell ref="N8:Q8"/>
    <mergeCell ref="N9:Q9"/>
    <mergeCell ref="B16:C16"/>
    <mergeCell ref="D16:L16"/>
    <mergeCell ref="B17:C17"/>
    <mergeCell ref="D17:L17"/>
    <mergeCell ref="B18:C18"/>
    <mergeCell ref="D18:L18"/>
    <mergeCell ref="N10:Q10"/>
    <mergeCell ref="B13:L13"/>
    <mergeCell ref="O13:Q13"/>
    <mergeCell ref="B14:C14"/>
    <mergeCell ref="D14:L14"/>
    <mergeCell ref="B15:C15"/>
    <mergeCell ref="D15:L15"/>
  </mergeCells>
  <pageMargins left="0.7" right="0.7" top="0.75" bottom="0.75" header="0" footer="0"/>
  <pageSetup paperSize="9" orientation="landscape" r:id="rId1"/>
  <headerFooter>
    <oddHeader>&amp;R&amp;F  &amp;A</oddHeader>
    <oddFooter>&amp;L© 2017&amp;CPage &amp;P of</oddFooter>
  </headerFooter>
  <colBreaks count="1" manualBreakCount="1">
    <brk id="18"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Z1000"/>
  <sheetViews>
    <sheetView view="pageBreakPreview" zoomScale="85" zoomScaleNormal="100" zoomScaleSheetLayoutView="85" workbookViewId="0"/>
  </sheetViews>
  <sheetFormatPr defaultColWidth="12.59765625" defaultRowHeight="15" customHeight="1" x14ac:dyDescent="0.45"/>
  <cols>
    <col min="1" max="1" width="1.1328125" customWidth="1"/>
    <col min="2" max="2" width="24.265625" customWidth="1"/>
    <col min="3" max="3" width="2.1328125" customWidth="1"/>
    <col min="4" max="4" width="9.59765625" customWidth="1"/>
    <col min="5" max="5" width="2.1328125" customWidth="1"/>
    <col min="6" max="6" width="9.59765625" customWidth="1"/>
    <col min="7" max="7" width="2.1328125" customWidth="1"/>
    <col min="8" max="8" width="9.59765625" customWidth="1"/>
    <col min="9" max="9" width="2.1328125" customWidth="1"/>
    <col min="10" max="10" width="9.59765625" customWidth="1"/>
    <col min="11" max="11" width="2.1328125" customWidth="1"/>
    <col min="12" max="12" width="8.59765625" customWidth="1"/>
    <col min="13" max="13" width="2.1328125" customWidth="1"/>
    <col min="14" max="14" width="8.59765625" customWidth="1"/>
    <col min="15" max="15" width="2.1328125" customWidth="1"/>
    <col min="16" max="16" width="8.59765625" customWidth="1"/>
    <col min="17" max="17" width="2.1328125" customWidth="1"/>
    <col min="18" max="18" width="8" customWidth="1"/>
    <col min="19" max="19" width="2.1328125" customWidth="1"/>
    <col min="20" max="20" width="8" customWidth="1"/>
    <col min="21" max="21" width="2.1328125" customWidth="1"/>
    <col min="22" max="22" width="8" customWidth="1"/>
    <col min="23" max="23" width="2.1328125" customWidth="1"/>
    <col min="24" max="26" width="8" customWidth="1"/>
  </cols>
  <sheetData>
    <row r="1" spans="1:26" ht="45" customHeight="1" x14ac:dyDescent="0.85">
      <c r="A1" s="83" t="s">
        <v>838</v>
      </c>
      <c r="B1" s="83"/>
      <c r="C1" s="83"/>
      <c r="D1" s="83"/>
      <c r="E1" s="83"/>
      <c r="F1" s="83"/>
      <c r="G1" s="83"/>
      <c r="H1" s="83"/>
      <c r="I1" s="83"/>
      <c r="J1" s="83"/>
      <c r="K1" s="83"/>
      <c r="L1" s="83"/>
      <c r="M1" s="83"/>
      <c r="N1" s="83"/>
      <c r="O1" s="83"/>
      <c r="P1" s="83"/>
      <c r="Q1" s="83"/>
      <c r="R1" s="83"/>
      <c r="S1" s="83"/>
      <c r="T1" s="83"/>
      <c r="U1" s="83"/>
      <c r="V1" s="83"/>
      <c r="W1" s="83"/>
      <c r="X1" s="83"/>
      <c r="Y1" s="23"/>
      <c r="Z1" s="23"/>
    </row>
    <row r="2" spans="1:26" ht="15" customHeight="1" x14ac:dyDescent="0.55000000000000004">
      <c r="B2" s="16" t="s">
        <v>839</v>
      </c>
      <c r="D2" s="24"/>
      <c r="T2" s="24" t="s">
        <v>840</v>
      </c>
      <c r="U2" s="24"/>
      <c r="V2" s="24"/>
      <c r="W2" s="24"/>
      <c r="X2" s="24"/>
      <c r="Y2" s="24"/>
      <c r="Z2" s="24"/>
    </row>
    <row r="3" spans="1:26" ht="15" customHeight="1" x14ac:dyDescent="0.55000000000000004">
      <c r="D3" s="24"/>
      <c r="T3" s="24"/>
      <c r="U3" s="24"/>
      <c r="V3" s="24"/>
      <c r="W3" s="24"/>
      <c r="X3" s="24"/>
      <c r="Y3" s="24"/>
      <c r="Z3" s="24"/>
    </row>
    <row r="4" spans="1:26" ht="15" customHeight="1" x14ac:dyDescent="0.45">
      <c r="A4" s="172" t="s">
        <v>298</v>
      </c>
      <c r="B4" s="172"/>
      <c r="C4" s="172"/>
      <c r="D4" s="172"/>
    </row>
    <row r="5" spans="1:26" ht="15" customHeight="1" x14ac:dyDescent="0.45">
      <c r="A5" s="19"/>
      <c r="B5" s="5" t="s">
        <v>300</v>
      </c>
      <c r="D5" s="73" t="s">
        <v>841</v>
      </c>
    </row>
    <row r="6" spans="1:26" ht="15" customHeight="1" x14ac:dyDescent="0.45">
      <c r="A6" s="19"/>
      <c r="B6" s="5" t="s">
        <v>302</v>
      </c>
      <c r="D6" s="5" t="s">
        <v>303</v>
      </c>
    </row>
    <row r="7" spans="1:26" ht="15" customHeight="1" x14ac:dyDescent="0.45">
      <c r="A7" s="19"/>
      <c r="B7" s="5" t="s">
        <v>305</v>
      </c>
      <c r="D7" s="173">
        <v>42482</v>
      </c>
    </row>
    <row r="8" spans="1:26" ht="15" customHeight="1" x14ac:dyDescent="0.45">
      <c r="A8" s="19"/>
      <c r="B8" s="5" t="s">
        <v>312</v>
      </c>
      <c r="D8" s="73" t="s">
        <v>842</v>
      </c>
    </row>
    <row r="9" spans="1:26" ht="15" customHeight="1" x14ac:dyDescent="0.45">
      <c r="A9" s="21"/>
      <c r="B9" s="5" t="s">
        <v>843</v>
      </c>
      <c r="D9" s="73" t="s">
        <v>844</v>
      </c>
    </row>
    <row r="10" spans="1:26" ht="15" customHeight="1" x14ac:dyDescent="0.45">
      <c r="A10" s="19"/>
      <c r="B10" s="5" t="s">
        <v>307</v>
      </c>
      <c r="D10" s="173">
        <v>42369</v>
      </c>
    </row>
    <row r="11" spans="1:26" ht="15" customHeight="1" x14ac:dyDescent="0.45">
      <c r="A11" s="19"/>
      <c r="B11" s="5" t="s">
        <v>317</v>
      </c>
      <c r="D11" s="73" t="s">
        <v>318</v>
      </c>
    </row>
    <row r="12" spans="1:26" ht="15" customHeight="1" x14ac:dyDescent="0.45">
      <c r="A12" s="19"/>
      <c r="B12" s="5" t="s">
        <v>845</v>
      </c>
      <c r="D12" s="73"/>
    </row>
    <row r="13" spans="1:26" ht="15" customHeight="1" x14ac:dyDescent="0.45">
      <c r="A13" s="19"/>
      <c r="B13" s="5" t="str">
        <f>"Closing price as at "&amp;TEXT(D7,"dd-mmm-yy")</f>
        <v>Closing price as at 22-Apr-16</v>
      </c>
      <c r="D13" s="73" t="e">
        <v>#N/A</v>
      </c>
    </row>
    <row r="14" spans="1:26" ht="15" customHeight="1" x14ac:dyDescent="0.45">
      <c r="A14" s="19"/>
      <c r="B14" s="5" t="s">
        <v>321</v>
      </c>
      <c r="D14" s="73" t="e">
        <v>#N/A</v>
      </c>
    </row>
    <row r="15" spans="1:26" ht="15" customHeight="1" x14ac:dyDescent="0.45">
      <c r="A15" s="19"/>
      <c r="B15" s="5" t="s">
        <v>323</v>
      </c>
      <c r="D15" s="73" t="e">
        <v>#N/A</v>
      </c>
    </row>
    <row r="16" spans="1:26" ht="15" customHeight="1" x14ac:dyDescent="0.45">
      <c r="A16" s="19"/>
      <c r="B16" s="5" t="s">
        <v>846</v>
      </c>
      <c r="D16" s="73" t="e">
        <v>#N/A</v>
      </c>
    </row>
    <row r="17" spans="1:4" ht="15" customHeight="1" x14ac:dyDescent="0.45">
      <c r="A17" s="19"/>
      <c r="B17" s="5" t="s">
        <v>847</v>
      </c>
      <c r="D17" s="73" t="s">
        <v>69</v>
      </c>
    </row>
    <row r="18" spans="1:4" ht="15" customHeight="1" x14ac:dyDescent="0.45">
      <c r="A18" s="19"/>
      <c r="B18" s="5" t="s">
        <v>848</v>
      </c>
      <c r="D18" s="73">
        <v>0.6389551</v>
      </c>
    </row>
    <row r="19" spans="1:4" ht="15" customHeight="1" x14ac:dyDescent="0.45">
      <c r="A19" s="19"/>
      <c r="B19" s="5" t="s">
        <v>178</v>
      </c>
      <c r="D19" s="166" t="e">
        <v>#N/A</v>
      </c>
    </row>
    <row r="20" spans="1:4" ht="15" customHeight="1" x14ac:dyDescent="0.45">
      <c r="A20" s="19"/>
      <c r="D20" s="73"/>
    </row>
    <row r="21" spans="1:4" ht="15" customHeight="1" x14ac:dyDescent="0.45">
      <c r="A21" s="19"/>
      <c r="B21" s="5" t="s">
        <v>324</v>
      </c>
      <c r="D21" s="73" t="s">
        <v>849</v>
      </c>
    </row>
    <row r="22" spans="1:4" ht="15" customHeight="1" x14ac:dyDescent="0.45">
      <c r="A22" s="19"/>
      <c r="B22" s="5" t="s">
        <v>329</v>
      </c>
      <c r="D22" s="166" t="s">
        <v>575</v>
      </c>
    </row>
    <row r="23" spans="1:4" ht="15" customHeight="1" x14ac:dyDescent="0.45">
      <c r="A23" s="19"/>
      <c r="D23" s="73"/>
    </row>
    <row r="24" spans="1:4" ht="15" customHeight="1" x14ac:dyDescent="0.45">
      <c r="A24" s="172" t="s">
        <v>850</v>
      </c>
      <c r="B24" s="172"/>
      <c r="C24" s="172"/>
      <c r="D24" s="172"/>
    </row>
    <row r="25" spans="1:4" ht="15" customHeight="1" x14ac:dyDescent="0.45">
      <c r="A25" s="19"/>
      <c r="B25" s="5" t="s">
        <v>851</v>
      </c>
      <c r="D25" s="174">
        <v>0</v>
      </c>
    </row>
    <row r="26" spans="1:4" ht="15" customHeight="1" x14ac:dyDescent="0.45">
      <c r="A26" s="19"/>
      <c r="B26" s="5" t="s">
        <v>852</v>
      </c>
      <c r="D26" s="174">
        <v>0</v>
      </c>
    </row>
    <row r="27" spans="1:4" ht="15" customHeight="1" x14ac:dyDescent="0.45">
      <c r="A27" s="19"/>
      <c r="B27" s="5" t="s">
        <v>260</v>
      </c>
      <c r="D27" s="174">
        <v>67.661361999999997</v>
      </c>
    </row>
    <row r="28" spans="1:4" ht="15" customHeight="1" x14ac:dyDescent="0.45">
      <c r="A28" s="19"/>
      <c r="B28" s="5" t="s">
        <v>359</v>
      </c>
      <c r="D28" s="174">
        <v>510.95299999999997</v>
      </c>
    </row>
    <row r="29" spans="1:4" ht="15" customHeight="1" x14ac:dyDescent="0.45">
      <c r="A29" s="19"/>
      <c r="B29" s="5" t="s">
        <v>853</v>
      </c>
      <c r="D29" s="174">
        <v>6.6109999999999998</v>
      </c>
    </row>
    <row r="30" spans="1:4" ht="15" customHeight="1" x14ac:dyDescent="0.45">
      <c r="A30" s="19"/>
      <c r="B30" s="5" t="s">
        <v>854</v>
      </c>
      <c r="D30" s="174">
        <v>0</v>
      </c>
    </row>
    <row r="31" spans="1:4" ht="15" customHeight="1" x14ac:dyDescent="0.45">
      <c r="A31" s="19"/>
      <c r="B31" s="5" t="s">
        <v>855</v>
      </c>
      <c r="D31" s="175">
        <v>0</v>
      </c>
    </row>
    <row r="32" spans="1:4" ht="15" customHeight="1" x14ac:dyDescent="0.45">
      <c r="A32" s="19"/>
      <c r="B32" s="5" t="s">
        <v>354</v>
      </c>
      <c r="D32" s="176">
        <v>0</v>
      </c>
    </row>
    <row r="33" spans="1:18" ht="15" customHeight="1" x14ac:dyDescent="0.45">
      <c r="A33" s="19"/>
      <c r="B33" s="5" t="s">
        <v>856</v>
      </c>
      <c r="D33" s="174">
        <v>113.08199999999999</v>
      </c>
    </row>
    <row r="34" spans="1:18" ht="15" customHeight="1" x14ac:dyDescent="0.45">
      <c r="A34" s="19"/>
      <c r="B34" s="5" t="s">
        <v>857</v>
      </c>
      <c r="D34" s="174">
        <v>0</v>
      </c>
    </row>
    <row r="35" spans="1:18" ht="15" customHeight="1" x14ac:dyDescent="0.45">
      <c r="A35" s="19"/>
      <c r="B35" s="5" t="s">
        <v>858</v>
      </c>
      <c r="D35" s="174">
        <v>1.84</v>
      </c>
    </row>
    <row r="36" spans="1:18" ht="15" customHeight="1" x14ac:dyDescent="0.45">
      <c r="A36" s="19"/>
      <c r="B36" s="5" t="s">
        <v>859</v>
      </c>
      <c r="D36" s="177">
        <v>0</v>
      </c>
    </row>
    <row r="37" spans="1:18" ht="15.75" customHeight="1" x14ac:dyDescent="0.45">
      <c r="A37" s="19"/>
    </row>
    <row r="38" spans="1:18" ht="15" customHeight="1" x14ac:dyDescent="0.45">
      <c r="A38" s="172" t="s">
        <v>860</v>
      </c>
      <c r="B38" s="172"/>
      <c r="C38" s="172"/>
      <c r="D38" s="172"/>
    </row>
    <row r="39" spans="1:18" ht="15.75" customHeight="1" x14ac:dyDescent="0.45">
      <c r="A39" s="19"/>
      <c r="D39" s="178" t="s">
        <v>861</v>
      </c>
      <c r="F39" s="179" t="s">
        <v>368</v>
      </c>
      <c r="G39" s="179"/>
      <c r="H39" s="179" t="s">
        <v>369</v>
      </c>
      <c r="I39" s="179"/>
      <c r="L39" s="73" t="s">
        <v>372</v>
      </c>
      <c r="N39" s="73" t="s">
        <v>373</v>
      </c>
      <c r="P39" s="73" t="s">
        <v>374</v>
      </c>
      <c r="R39" s="73" t="s">
        <v>375</v>
      </c>
    </row>
    <row r="40" spans="1:18" ht="15" customHeight="1" x14ac:dyDescent="0.45">
      <c r="A40" s="19"/>
      <c r="B40" s="5" t="s">
        <v>11</v>
      </c>
      <c r="D40" s="180" t="str">
        <f>D8</f>
        <v>31/12/2015</v>
      </c>
      <c r="F40" s="147">
        <f>EDATE(H40,-12)</f>
        <v>42094</v>
      </c>
      <c r="H40" s="181">
        <v>42460</v>
      </c>
      <c r="L40" s="147">
        <f>EDATE(D40,12)</f>
        <v>42735</v>
      </c>
      <c r="M40" s="147"/>
      <c r="N40" s="147">
        <f>EDATE(L40,12)</f>
        <v>43100</v>
      </c>
      <c r="O40" s="147"/>
      <c r="P40" s="147">
        <f>EDATE(N40,12)</f>
        <v>43465</v>
      </c>
      <c r="Q40" s="147"/>
      <c r="R40" s="147">
        <f>EDATE(P40,12)</f>
        <v>43830</v>
      </c>
    </row>
    <row r="41" spans="1:18" ht="15" customHeight="1" x14ac:dyDescent="0.45">
      <c r="A41" s="19"/>
      <c r="B41" s="5" t="s">
        <v>862</v>
      </c>
      <c r="D41" s="174">
        <v>547.65499999999997</v>
      </c>
      <c r="F41" s="174">
        <v>138.52000000000001</v>
      </c>
      <c r="H41" s="174">
        <v>147.517</v>
      </c>
      <c r="L41" s="174" t="e">
        <v>#N/A</v>
      </c>
      <c r="N41" s="174" t="e">
        <v>#N/A</v>
      </c>
      <c r="P41" s="174" t="e">
        <v>#N/A</v>
      </c>
      <c r="R41" s="174" t="e">
        <v>#N/A</v>
      </c>
    </row>
    <row r="42" spans="1:18" ht="15" customHeight="1" x14ac:dyDescent="0.45">
      <c r="A42" s="19"/>
      <c r="B42" s="5" t="s">
        <v>63</v>
      </c>
      <c r="D42" s="54">
        <v>100.14100000000001</v>
      </c>
      <c r="F42" s="54">
        <v>25.919</v>
      </c>
      <c r="H42" s="54">
        <v>22.268999999999998</v>
      </c>
      <c r="L42" s="174" t="e">
        <v>#N/A</v>
      </c>
      <c r="N42" s="174" t="e">
        <v>#N/A</v>
      </c>
      <c r="P42" s="174" t="e">
        <v>#N/A</v>
      </c>
      <c r="R42" s="174" t="e">
        <v>#N/A</v>
      </c>
    </row>
    <row r="43" spans="1:18" ht="15" customHeight="1" x14ac:dyDescent="0.45">
      <c r="A43" s="19"/>
      <c r="B43" s="5" t="s">
        <v>287</v>
      </c>
      <c r="D43" s="174">
        <v>21.494</v>
      </c>
      <c r="F43" s="174">
        <v>5.0670000000000002</v>
      </c>
      <c r="H43" s="174">
        <v>6.1520000000000001</v>
      </c>
      <c r="L43" s="54" t="e">
        <f>L44-L42</f>
        <v>#N/A</v>
      </c>
      <c r="N43" s="54" t="e">
        <f>N44-N42</f>
        <v>#N/A</v>
      </c>
      <c r="P43" s="54" t="e">
        <f>P44-P42</f>
        <v>#N/A</v>
      </c>
      <c r="R43" s="54" t="e">
        <f>R44-R42</f>
        <v>#N/A</v>
      </c>
    </row>
    <row r="44" spans="1:18" ht="15" customHeight="1" x14ac:dyDescent="0.45">
      <c r="A44" s="19"/>
      <c r="B44" s="5" t="s">
        <v>65</v>
      </c>
      <c r="D44" s="174">
        <f>D42+D43</f>
        <v>121.63500000000001</v>
      </c>
      <c r="F44" s="174">
        <f>F42+F43</f>
        <v>30.986000000000001</v>
      </c>
      <c r="H44" s="174">
        <f>H42+H43</f>
        <v>28.420999999999999</v>
      </c>
      <c r="L44" s="176" t="e">
        <v>#N/A</v>
      </c>
      <c r="N44" s="176" t="e">
        <v>#N/A</v>
      </c>
      <c r="P44" s="176" t="e">
        <v>#N/A</v>
      </c>
      <c r="R44" s="176" t="e">
        <v>#N/A</v>
      </c>
    </row>
    <row r="45" spans="1:18" ht="15" customHeight="1" x14ac:dyDescent="0.45">
      <c r="A45" s="19"/>
      <c r="B45" s="5" t="s">
        <v>863</v>
      </c>
      <c r="D45" s="174">
        <v>0.34699999999999998</v>
      </c>
      <c r="F45" s="174">
        <v>0.08</v>
      </c>
      <c r="H45" s="174">
        <v>0</v>
      </c>
      <c r="L45" s="174" t="e">
        <v>#N/A</v>
      </c>
      <c r="N45" s="174" t="e">
        <v>#N/A</v>
      </c>
      <c r="P45" s="174" t="e">
        <v>#N/A</v>
      </c>
      <c r="R45" s="174" t="e">
        <v>#N/A</v>
      </c>
    </row>
    <row r="46" spans="1:18" ht="15" customHeight="1" x14ac:dyDescent="0.45">
      <c r="A46" s="19"/>
      <c r="B46" s="5" t="s">
        <v>864</v>
      </c>
      <c r="D46" s="174">
        <v>50.619</v>
      </c>
      <c r="F46" s="174">
        <v>16.303000000000001</v>
      </c>
      <c r="H46" s="174">
        <v>50.619</v>
      </c>
      <c r="L46" s="174" t="e">
        <v>#N/A</v>
      </c>
      <c r="N46" s="174" t="e">
        <v>#N/A</v>
      </c>
      <c r="P46" s="174" t="e">
        <v>#N/A</v>
      </c>
      <c r="R46" s="174" t="e">
        <v>#N/A</v>
      </c>
    </row>
    <row r="47" spans="1:18" ht="15.75" customHeight="1" x14ac:dyDescent="0.45">
      <c r="A47" s="19"/>
    </row>
    <row r="48" spans="1:18" ht="15.75" customHeight="1" x14ac:dyDescent="0.45">
      <c r="A48" s="19"/>
    </row>
    <row r="49" spans="1:7" ht="15" customHeight="1" x14ac:dyDescent="0.45">
      <c r="A49" s="172" t="s">
        <v>865</v>
      </c>
      <c r="B49" s="172"/>
      <c r="C49" s="172"/>
      <c r="D49" s="172"/>
      <c r="E49" s="172"/>
      <c r="F49" s="172"/>
      <c r="G49" s="172"/>
    </row>
    <row r="50" spans="1:7" ht="15" customHeight="1" x14ac:dyDescent="0.45">
      <c r="A50" s="19"/>
      <c r="B50" s="5" t="s">
        <v>338</v>
      </c>
      <c r="D50" s="5" t="s">
        <v>339</v>
      </c>
      <c r="F50" s="5" t="s">
        <v>866</v>
      </c>
    </row>
    <row r="51" spans="1:7" ht="15" customHeight="1" x14ac:dyDescent="0.45">
      <c r="A51" s="19"/>
      <c r="B51" s="5" t="s">
        <v>867</v>
      </c>
      <c r="D51" s="175">
        <v>0</v>
      </c>
      <c r="F51" s="177">
        <v>0</v>
      </c>
    </row>
    <row r="52" spans="1:7" ht="15" customHeight="1" x14ac:dyDescent="0.45">
      <c r="A52" s="19"/>
      <c r="B52" s="5" t="s">
        <v>868</v>
      </c>
      <c r="D52" s="175">
        <v>0</v>
      </c>
      <c r="F52" s="177">
        <v>0</v>
      </c>
    </row>
    <row r="53" spans="1:7" ht="15" customHeight="1" x14ac:dyDescent="0.45">
      <c r="A53" s="19"/>
      <c r="B53" s="5" t="s">
        <v>869</v>
      </c>
      <c r="D53" s="175">
        <v>0</v>
      </c>
      <c r="F53" s="177">
        <v>0</v>
      </c>
    </row>
    <row r="54" spans="1:7" ht="15" customHeight="1" x14ac:dyDescent="0.45">
      <c r="A54" s="19"/>
      <c r="B54" s="5" t="s">
        <v>870</v>
      </c>
      <c r="D54" s="175">
        <v>0</v>
      </c>
      <c r="F54" s="177">
        <v>0</v>
      </c>
    </row>
    <row r="55" spans="1:7" ht="15" customHeight="1" x14ac:dyDescent="0.45">
      <c r="A55" s="19"/>
      <c r="B55" s="5" t="s">
        <v>871</v>
      </c>
      <c r="D55" s="175">
        <v>0</v>
      </c>
      <c r="F55" s="177">
        <v>0</v>
      </c>
    </row>
    <row r="56" spans="1:7" ht="15" customHeight="1" x14ac:dyDescent="0.45">
      <c r="A56" s="19"/>
      <c r="B56" s="5" t="s">
        <v>872</v>
      </c>
      <c r="D56" s="175">
        <v>0</v>
      </c>
      <c r="F56" s="177">
        <v>0</v>
      </c>
    </row>
    <row r="57" spans="1:7" ht="15" customHeight="1" x14ac:dyDescent="0.45">
      <c r="A57" s="19"/>
      <c r="B57" s="5" t="s">
        <v>873</v>
      </c>
      <c r="D57" s="175">
        <v>0</v>
      </c>
      <c r="F57" s="177">
        <v>0</v>
      </c>
    </row>
    <row r="58" spans="1:7" ht="15" customHeight="1" x14ac:dyDescent="0.45">
      <c r="A58" s="19"/>
      <c r="B58" s="5" t="s">
        <v>874</v>
      </c>
      <c r="D58" s="175">
        <v>0</v>
      </c>
      <c r="F58" s="177">
        <v>0</v>
      </c>
    </row>
    <row r="59" spans="1:7" ht="15" customHeight="1" x14ac:dyDescent="0.45">
      <c r="A59" s="19"/>
      <c r="B59" s="5" t="s">
        <v>362</v>
      </c>
    </row>
    <row r="60" spans="1:7" ht="15.75" customHeight="1" x14ac:dyDescent="0.45">
      <c r="A60" s="19"/>
    </row>
    <row r="61" spans="1:7" ht="15" customHeight="1" x14ac:dyDescent="0.45">
      <c r="B61" s="5" t="s">
        <v>875</v>
      </c>
      <c r="F61" s="177">
        <v>0</v>
      </c>
    </row>
    <row r="62" spans="1:7" ht="15" customHeight="1" x14ac:dyDescent="0.45">
      <c r="A62" s="19"/>
      <c r="B62" s="5" t="s">
        <v>876</v>
      </c>
      <c r="F62" s="177">
        <v>0</v>
      </c>
    </row>
    <row r="63" spans="1:7" ht="15" customHeight="1" x14ac:dyDescent="0.45">
      <c r="A63" s="19"/>
      <c r="B63" s="5" t="s">
        <v>877</v>
      </c>
      <c r="F63" s="177">
        <v>0</v>
      </c>
    </row>
    <row r="64" spans="1:7" ht="15" customHeight="1" x14ac:dyDescent="0.45">
      <c r="A64" s="19"/>
      <c r="B64" s="5" t="s">
        <v>878</v>
      </c>
      <c r="F64" s="177">
        <v>0</v>
      </c>
    </row>
    <row r="65" spans="1:6" ht="15" customHeight="1" x14ac:dyDescent="0.45">
      <c r="A65" s="19"/>
      <c r="B65" s="5" t="s">
        <v>209</v>
      </c>
      <c r="F65" s="177">
        <v>0</v>
      </c>
    </row>
    <row r="66" spans="1:6" ht="15" customHeight="1" x14ac:dyDescent="0.45">
      <c r="A66" s="19"/>
      <c r="B66" s="5" t="s">
        <v>879</v>
      </c>
      <c r="F66" s="177">
        <v>0</v>
      </c>
    </row>
    <row r="67" spans="1:6" ht="15" customHeight="1" x14ac:dyDescent="0.45">
      <c r="A67" s="19"/>
      <c r="B67" s="5" t="s">
        <v>880</v>
      </c>
      <c r="F67" s="177">
        <v>39.268000000000001</v>
      </c>
    </row>
    <row r="68" spans="1:6" ht="15.75" customHeight="1" x14ac:dyDescent="0.45">
      <c r="A68" s="19"/>
    </row>
    <row r="69" spans="1:6" ht="15.75" customHeight="1" x14ac:dyDescent="0.45">
      <c r="A69" s="19"/>
    </row>
    <row r="70" spans="1:6" ht="15.75" customHeight="1" x14ac:dyDescent="0.45">
      <c r="A70" s="19"/>
    </row>
    <row r="111" spans="1:1" ht="15.75" customHeight="1" x14ac:dyDescent="0.45">
      <c r="A111" s="19"/>
    </row>
    <row r="112" spans="1:1" ht="15.75" customHeight="1" x14ac:dyDescent="0.45">
      <c r="A112" s="19"/>
    </row>
    <row r="113" spans="1:1" ht="15.75" customHeight="1" x14ac:dyDescent="0.45">
      <c r="A113" s="19"/>
    </row>
    <row r="114" spans="1:1" ht="15.75" customHeight="1" x14ac:dyDescent="0.45">
      <c r="A114" s="19"/>
    </row>
    <row r="115" spans="1:1" ht="15.75" customHeight="1" x14ac:dyDescent="0.45">
      <c r="A115" s="19"/>
    </row>
    <row r="116" spans="1:1" ht="15.75" customHeight="1" x14ac:dyDescent="0.45">
      <c r="A116" s="19"/>
    </row>
    <row r="117" spans="1:1" ht="15.75" customHeight="1" x14ac:dyDescent="0.45">
      <c r="A117" s="19"/>
    </row>
    <row r="118" spans="1:1" ht="15.75" customHeight="1" x14ac:dyDescent="0.45">
      <c r="A118" s="19"/>
    </row>
    <row r="119" spans="1:1" ht="15.75" customHeight="1" x14ac:dyDescent="0.45">
      <c r="A119" s="19"/>
    </row>
    <row r="120" spans="1:1" ht="15.75" customHeight="1" x14ac:dyDescent="0.45">
      <c r="A120" s="19"/>
    </row>
    <row r="121" spans="1:1" ht="15.75" customHeight="1" x14ac:dyDescent="0.45">
      <c r="A121" s="19"/>
    </row>
    <row r="122" spans="1:1" ht="15.75" customHeight="1" x14ac:dyDescent="0.45">
      <c r="A122" s="19"/>
    </row>
    <row r="123" spans="1:1" ht="15.75" customHeight="1" x14ac:dyDescent="0.45">
      <c r="A123" s="19"/>
    </row>
    <row r="124" spans="1:1" ht="15.75" customHeight="1" x14ac:dyDescent="0.45">
      <c r="A124" s="19"/>
    </row>
    <row r="125" spans="1:1" ht="15.75" customHeight="1" x14ac:dyDescent="0.45">
      <c r="A125" s="19"/>
    </row>
    <row r="126" spans="1:1" ht="15.75" customHeight="1" x14ac:dyDescent="0.45">
      <c r="A126" s="19"/>
    </row>
    <row r="127" spans="1:1" ht="15.75" customHeight="1" x14ac:dyDescent="0.45">
      <c r="A127" s="19"/>
    </row>
    <row r="128" spans="1:1" ht="15.75" customHeight="1" x14ac:dyDescent="0.45">
      <c r="A128" s="19"/>
    </row>
    <row r="129" spans="1:1" ht="15.75" customHeight="1" x14ac:dyDescent="0.45">
      <c r="A129" s="19"/>
    </row>
    <row r="130" spans="1:1" ht="15.75" customHeight="1" x14ac:dyDescent="0.45">
      <c r="A130" s="19"/>
    </row>
    <row r="131" spans="1:1" ht="15.75" customHeight="1" x14ac:dyDescent="0.45">
      <c r="A131" s="19"/>
    </row>
    <row r="132" spans="1:1" ht="15.75" customHeight="1" x14ac:dyDescent="0.45">
      <c r="A132" s="19"/>
    </row>
    <row r="133" spans="1:1" ht="15.75" customHeight="1" x14ac:dyDescent="0.45">
      <c r="A133" s="19"/>
    </row>
    <row r="134" spans="1:1" ht="15.75" customHeight="1" x14ac:dyDescent="0.45">
      <c r="A134" s="19"/>
    </row>
    <row r="135" spans="1:1" ht="15.75" customHeight="1" x14ac:dyDescent="0.45">
      <c r="A135" s="19"/>
    </row>
    <row r="136" spans="1:1" ht="15.75" customHeight="1" x14ac:dyDescent="0.45">
      <c r="A136" s="19"/>
    </row>
    <row r="137" spans="1:1" ht="15.75" customHeight="1" x14ac:dyDescent="0.45">
      <c r="A137" s="19"/>
    </row>
    <row r="138" spans="1:1" ht="15.75" customHeight="1" x14ac:dyDescent="0.45">
      <c r="A138" s="19"/>
    </row>
    <row r="139" spans="1:1" ht="15.75" customHeight="1" x14ac:dyDescent="0.45">
      <c r="A139" s="19"/>
    </row>
    <row r="140" spans="1:1" ht="15.75" customHeight="1" x14ac:dyDescent="0.45">
      <c r="A140" s="19"/>
    </row>
    <row r="141" spans="1:1" ht="15.75" customHeight="1" x14ac:dyDescent="0.45">
      <c r="A141" s="19"/>
    </row>
    <row r="142" spans="1:1" ht="15.75" customHeight="1" x14ac:dyDescent="0.45">
      <c r="A142" s="19"/>
    </row>
    <row r="143" spans="1:1" ht="15.75" customHeight="1" x14ac:dyDescent="0.45">
      <c r="A143" s="19"/>
    </row>
    <row r="144" spans="1:1" ht="15.75" customHeight="1" x14ac:dyDescent="0.45">
      <c r="A144" s="19"/>
    </row>
    <row r="145" spans="1:1" ht="15.75" customHeight="1" x14ac:dyDescent="0.45">
      <c r="A145" s="19"/>
    </row>
    <row r="146" spans="1:1" ht="15.75" customHeight="1" x14ac:dyDescent="0.45">
      <c r="A146" s="19"/>
    </row>
    <row r="147" spans="1:1" ht="15.75" customHeight="1" x14ac:dyDescent="0.45">
      <c r="A147" s="19"/>
    </row>
    <row r="148" spans="1:1" ht="15.75" customHeight="1" x14ac:dyDescent="0.45">
      <c r="A148" s="19"/>
    </row>
    <row r="149" spans="1:1" ht="15.75" customHeight="1" x14ac:dyDescent="0.45">
      <c r="A149" s="19"/>
    </row>
    <row r="150" spans="1:1" ht="15.75" customHeight="1" x14ac:dyDescent="0.45">
      <c r="A150" s="19"/>
    </row>
    <row r="151" spans="1:1" ht="15.75" customHeight="1" x14ac:dyDescent="0.45">
      <c r="A151" s="19"/>
    </row>
    <row r="152" spans="1:1" ht="15.75" customHeight="1" x14ac:dyDescent="0.45">
      <c r="A152" s="19"/>
    </row>
    <row r="153" spans="1:1" ht="15.75" customHeight="1" x14ac:dyDescent="0.45">
      <c r="A153" s="19"/>
    </row>
    <row r="154" spans="1:1" ht="15.75" customHeight="1" x14ac:dyDescent="0.45">
      <c r="A154" s="19"/>
    </row>
    <row r="155" spans="1:1" ht="15.75" customHeight="1" x14ac:dyDescent="0.45">
      <c r="A155" s="19"/>
    </row>
    <row r="156" spans="1:1" ht="15.75" customHeight="1" x14ac:dyDescent="0.45">
      <c r="A156" s="19"/>
    </row>
    <row r="157" spans="1:1" ht="15.75" customHeight="1" x14ac:dyDescent="0.45">
      <c r="A157" s="19"/>
    </row>
    <row r="158" spans="1:1" ht="15.75" customHeight="1" x14ac:dyDescent="0.45">
      <c r="A158" s="19"/>
    </row>
    <row r="159" spans="1:1" ht="15.75" customHeight="1" x14ac:dyDescent="0.45">
      <c r="A159" s="19"/>
    </row>
    <row r="160" spans="1:1" ht="15.75" customHeight="1" x14ac:dyDescent="0.45">
      <c r="A160" s="19"/>
    </row>
    <row r="161" spans="1:1" ht="15.75" customHeight="1" x14ac:dyDescent="0.45">
      <c r="A161" s="19"/>
    </row>
    <row r="162" spans="1:1" ht="15.75" customHeight="1" x14ac:dyDescent="0.45">
      <c r="A162" s="19"/>
    </row>
    <row r="163" spans="1:1" ht="15.75" customHeight="1" x14ac:dyDescent="0.45">
      <c r="A163" s="19"/>
    </row>
    <row r="164" spans="1:1" ht="15.75" customHeight="1" x14ac:dyDescent="0.45">
      <c r="A164" s="19"/>
    </row>
    <row r="165" spans="1:1" ht="15.75" customHeight="1" x14ac:dyDescent="0.45">
      <c r="A165" s="19"/>
    </row>
    <row r="166" spans="1:1" ht="15.75" customHeight="1" x14ac:dyDescent="0.45">
      <c r="A166" s="19"/>
    </row>
    <row r="167" spans="1:1" ht="15.75" customHeight="1" x14ac:dyDescent="0.45">
      <c r="A167" s="19"/>
    </row>
    <row r="168" spans="1:1" ht="15.75" customHeight="1" x14ac:dyDescent="0.45">
      <c r="A168" s="19"/>
    </row>
    <row r="169" spans="1:1" ht="15.75" customHeight="1" x14ac:dyDescent="0.45">
      <c r="A169" s="19"/>
    </row>
    <row r="170" spans="1:1" ht="15.75" customHeight="1" x14ac:dyDescent="0.45">
      <c r="A170" s="19"/>
    </row>
    <row r="171" spans="1:1" ht="15.75" customHeight="1" x14ac:dyDescent="0.45">
      <c r="A171" s="19"/>
    </row>
    <row r="172" spans="1:1" ht="15.75" customHeight="1" x14ac:dyDescent="0.45">
      <c r="A172" s="19"/>
    </row>
    <row r="173" spans="1:1" ht="15.75" customHeight="1" x14ac:dyDescent="0.45">
      <c r="A173" s="19"/>
    </row>
    <row r="174" spans="1:1" ht="15.75" customHeight="1" x14ac:dyDescent="0.45">
      <c r="A174" s="19"/>
    </row>
    <row r="175" spans="1:1" ht="15.75" customHeight="1" x14ac:dyDescent="0.45">
      <c r="A175" s="19"/>
    </row>
    <row r="176" spans="1:1" ht="15.75" customHeight="1" x14ac:dyDescent="0.45">
      <c r="A176" s="19"/>
    </row>
    <row r="177" spans="1:1" ht="15.75" customHeight="1" x14ac:dyDescent="0.45">
      <c r="A177" s="19"/>
    </row>
    <row r="178" spans="1:1" ht="15.75" customHeight="1" x14ac:dyDescent="0.45">
      <c r="A178" s="19"/>
    </row>
    <row r="179" spans="1:1" ht="15.75" customHeight="1" x14ac:dyDescent="0.45">
      <c r="A179" s="19"/>
    </row>
    <row r="180" spans="1:1" ht="15.75" customHeight="1" x14ac:dyDescent="0.45">
      <c r="A180" s="19"/>
    </row>
    <row r="181" spans="1:1" ht="15.75" customHeight="1" x14ac:dyDescent="0.45">
      <c r="A181" s="19"/>
    </row>
    <row r="182" spans="1:1" ht="15.75" customHeight="1" x14ac:dyDescent="0.45">
      <c r="A182" s="19"/>
    </row>
    <row r="183" spans="1:1" ht="15.75" customHeight="1" x14ac:dyDescent="0.45">
      <c r="A183" s="19"/>
    </row>
    <row r="184" spans="1:1" ht="15.75" customHeight="1" x14ac:dyDescent="0.45">
      <c r="A184" s="19"/>
    </row>
    <row r="185" spans="1:1" ht="15.75" customHeight="1" x14ac:dyDescent="0.45">
      <c r="A185" s="19"/>
    </row>
    <row r="186" spans="1:1" ht="15.75" customHeight="1" x14ac:dyDescent="0.45">
      <c r="A186" s="19"/>
    </row>
    <row r="187" spans="1:1" ht="15.75" customHeight="1" x14ac:dyDescent="0.45">
      <c r="A187" s="19"/>
    </row>
    <row r="188" spans="1:1" ht="15.75" customHeight="1" x14ac:dyDescent="0.45">
      <c r="A188" s="19"/>
    </row>
    <row r="189" spans="1:1" ht="15.75" customHeight="1" x14ac:dyDescent="0.45">
      <c r="A189" s="19"/>
    </row>
    <row r="190" spans="1:1" ht="15.75" customHeight="1" x14ac:dyDescent="0.45">
      <c r="A190" s="19"/>
    </row>
    <row r="191" spans="1:1" ht="15.75" customHeight="1" x14ac:dyDescent="0.45">
      <c r="A191" s="19"/>
    </row>
    <row r="192" spans="1:1" ht="15.75" customHeight="1" x14ac:dyDescent="0.45">
      <c r="A192" s="19"/>
    </row>
    <row r="193" spans="1:1" ht="15.75" customHeight="1" x14ac:dyDescent="0.45">
      <c r="A193" s="19"/>
    </row>
    <row r="194" spans="1:1" ht="15.75" customHeight="1" x14ac:dyDescent="0.45">
      <c r="A194" s="19"/>
    </row>
    <row r="195" spans="1:1" ht="15.75" customHeight="1" x14ac:dyDescent="0.45">
      <c r="A195" s="19"/>
    </row>
    <row r="196" spans="1:1" ht="15.75" customHeight="1" x14ac:dyDescent="0.45">
      <c r="A196" s="19"/>
    </row>
    <row r="197" spans="1:1" ht="15.75" customHeight="1" x14ac:dyDescent="0.45">
      <c r="A197" s="19"/>
    </row>
    <row r="198" spans="1:1" ht="15.75" customHeight="1" x14ac:dyDescent="0.45">
      <c r="A198" s="19"/>
    </row>
    <row r="199" spans="1:1" ht="15.75" customHeight="1" x14ac:dyDescent="0.45">
      <c r="A199" s="19"/>
    </row>
    <row r="200" spans="1:1" ht="15.75" customHeight="1" x14ac:dyDescent="0.45">
      <c r="A200" s="19"/>
    </row>
    <row r="201" spans="1:1" ht="15.75" customHeight="1" x14ac:dyDescent="0.45">
      <c r="A201" s="19"/>
    </row>
    <row r="202" spans="1:1" ht="15.75" customHeight="1" x14ac:dyDescent="0.45">
      <c r="A202" s="19"/>
    </row>
    <row r="203" spans="1:1" ht="15.75" customHeight="1" x14ac:dyDescent="0.45">
      <c r="A203" s="19"/>
    </row>
    <row r="204" spans="1:1" ht="15.75" customHeight="1" x14ac:dyDescent="0.45">
      <c r="A204" s="19"/>
    </row>
    <row r="205" spans="1:1" ht="15.75" customHeight="1" x14ac:dyDescent="0.45">
      <c r="A205" s="19"/>
    </row>
    <row r="206" spans="1:1" ht="15.75" customHeight="1" x14ac:dyDescent="0.45">
      <c r="A206" s="19"/>
    </row>
    <row r="207" spans="1:1" ht="15.75" customHeight="1" x14ac:dyDescent="0.45">
      <c r="A207" s="19"/>
    </row>
    <row r="208" spans="1:1" ht="15.75" customHeight="1" x14ac:dyDescent="0.45">
      <c r="A208" s="19"/>
    </row>
    <row r="209" spans="1:1" ht="15.75" customHeight="1" x14ac:dyDescent="0.45">
      <c r="A209" s="19"/>
    </row>
    <row r="210" spans="1:1" ht="15.75" customHeight="1" x14ac:dyDescent="0.45">
      <c r="A210" s="19"/>
    </row>
    <row r="211" spans="1:1" ht="15.75" customHeight="1" x14ac:dyDescent="0.45">
      <c r="A211" s="19"/>
    </row>
    <row r="212" spans="1:1" ht="15.75" customHeight="1" x14ac:dyDescent="0.45">
      <c r="A212" s="19"/>
    </row>
    <row r="213" spans="1:1" ht="15.75" customHeight="1" x14ac:dyDescent="0.45">
      <c r="A213" s="19"/>
    </row>
    <row r="214" spans="1:1" ht="15.75" customHeight="1" x14ac:dyDescent="0.45">
      <c r="A214" s="19"/>
    </row>
    <row r="215" spans="1:1" ht="15.75" customHeight="1" x14ac:dyDescent="0.45">
      <c r="A215" s="19"/>
    </row>
    <row r="216" spans="1:1" ht="15.75" customHeight="1" x14ac:dyDescent="0.45">
      <c r="A216" s="19"/>
    </row>
    <row r="217" spans="1:1" ht="15.75" customHeight="1" x14ac:dyDescent="0.45">
      <c r="A217" s="19"/>
    </row>
    <row r="218" spans="1:1" ht="15.75" customHeight="1" x14ac:dyDescent="0.45">
      <c r="A218" s="19"/>
    </row>
    <row r="219" spans="1:1" ht="15.75" customHeight="1" x14ac:dyDescent="0.45">
      <c r="A219" s="19"/>
    </row>
    <row r="220" spans="1:1" ht="15.75" customHeight="1" x14ac:dyDescent="0.45">
      <c r="A220" s="19"/>
    </row>
    <row r="221" spans="1:1" ht="15.75" customHeight="1" x14ac:dyDescent="0.45">
      <c r="A221" s="19"/>
    </row>
    <row r="222" spans="1:1" ht="15.75" customHeight="1" x14ac:dyDescent="0.45">
      <c r="A222" s="19"/>
    </row>
    <row r="223" spans="1:1" ht="15.75" customHeight="1" x14ac:dyDescent="0.45">
      <c r="A223" s="19"/>
    </row>
    <row r="224" spans="1:1" ht="15.75" customHeight="1" x14ac:dyDescent="0.45">
      <c r="A224" s="19"/>
    </row>
    <row r="225" spans="1:1" ht="15.75" customHeight="1" x14ac:dyDescent="0.45">
      <c r="A225" s="19"/>
    </row>
    <row r="226" spans="1:1" ht="15.75" customHeight="1" x14ac:dyDescent="0.45">
      <c r="A226" s="19"/>
    </row>
    <row r="227" spans="1:1" ht="15.75" customHeight="1" x14ac:dyDescent="0.45">
      <c r="A227" s="19"/>
    </row>
    <row r="228" spans="1:1" ht="15.75" customHeight="1" x14ac:dyDescent="0.45">
      <c r="A228" s="19"/>
    </row>
    <row r="229" spans="1:1" ht="15.75" customHeight="1" x14ac:dyDescent="0.45">
      <c r="A229" s="19"/>
    </row>
    <row r="230" spans="1:1" ht="15.75" customHeight="1" x14ac:dyDescent="0.45">
      <c r="A230" s="19"/>
    </row>
    <row r="231" spans="1:1" ht="15.75" customHeight="1" x14ac:dyDescent="0.45">
      <c r="A231" s="19"/>
    </row>
    <row r="232" spans="1:1" ht="15.75" customHeight="1" x14ac:dyDescent="0.45">
      <c r="A232" s="19"/>
    </row>
    <row r="233" spans="1:1" ht="15.75" customHeight="1" x14ac:dyDescent="0.45">
      <c r="A233" s="19"/>
    </row>
    <row r="234" spans="1:1" ht="15.75" customHeight="1" x14ac:dyDescent="0.45">
      <c r="A234" s="19"/>
    </row>
    <row r="235" spans="1:1" ht="15.75" customHeight="1" x14ac:dyDescent="0.45">
      <c r="A235" s="19"/>
    </row>
    <row r="236" spans="1:1" ht="15.75" customHeight="1" x14ac:dyDescent="0.45">
      <c r="A236" s="19"/>
    </row>
    <row r="237" spans="1:1" ht="15.75" customHeight="1" x14ac:dyDescent="0.45">
      <c r="A237" s="19"/>
    </row>
    <row r="238" spans="1:1" ht="15.75" customHeight="1" x14ac:dyDescent="0.45">
      <c r="A238" s="19"/>
    </row>
    <row r="239" spans="1:1" ht="15.75" customHeight="1" x14ac:dyDescent="0.45">
      <c r="A239" s="19"/>
    </row>
    <row r="240" spans="1:1" ht="15.75" customHeight="1" x14ac:dyDescent="0.45">
      <c r="A240" s="19"/>
    </row>
    <row r="241" spans="1:1" ht="15.75" customHeight="1" x14ac:dyDescent="0.45">
      <c r="A241" s="19"/>
    </row>
    <row r="242" spans="1:1" ht="15.75" customHeight="1" x14ac:dyDescent="0.45">
      <c r="A242" s="19"/>
    </row>
    <row r="243" spans="1:1" ht="15.75" customHeight="1" x14ac:dyDescent="0.45">
      <c r="A243" s="19"/>
    </row>
    <row r="244" spans="1:1" ht="15.75" customHeight="1" x14ac:dyDescent="0.45">
      <c r="A244" s="19"/>
    </row>
    <row r="245" spans="1:1" ht="15.75" customHeight="1" x14ac:dyDescent="0.45">
      <c r="A245" s="19"/>
    </row>
    <row r="246" spans="1:1" ht="15.75" customHeight="1" x14ac:dyDescent="0.45">
      <c r="A246" s="19"/>
    </row>
    <row r="247" spans="1:1" ht="15.75" customHeight="1" x14ac:dyDescent="0.45">
      <c r="A247" s="19"/>
    </row>
    <row r="248" spans="1:1" ht="15.75" customHeight="1" x14ac:dyDescent="0.45">
      <c r="A248" s="19"/>
    </row>
    <row r="249" spans="1:1" ht="15.75" customHeight="1" x14ac:dyDescent="0.45">
      <c r="A249" s="19"/>
    </row>
    <row r="250" spans="1:1" ht="15.75" customHeight="1" x14ac:dyDescent="0.45">
      <c r="A250" s="19"/>
    </row>
    <row r="251" spans="1:1" ht="15.75" customHeight="1" x14ac:dyDescent="0.45">
      <c r="A251" s="19"/>
    </row>
    <row r="252" spans="1:1" ht="15.75" customHeight="1" x14ac:dyDescent="0.45">
      <c r="A252" s="19"/>
    </row>
    <row r="253" spans="1:1" ht="15.75" customHeight="1" x14ac:dyDescent="0.45">
      <c r="A253" s="19"/>
    </row>
    <row r="254" spans="1:1" ht="15.75" customHeight="1" x14ac:dyDescent="0.45">
      <c r="A254" s="19"/>
    </row>
    <row r="255" spans="1:1" ht="15.75" customHeight="1" x14ac:dyDescent="0.45">
      <c r="A255" s="19"/>
    </row>
    <row r="256" spans="1:1" ht="15.75" customHeight="1" x14ac:dyDescent="0.45">
      <c r="A256" s="19"/>
    </row>
    <row r="257" spans="1:1" ht="15.75" customHeight="1" x14ac:dyDescent="0.45">
      <c r="A257" s="19"/>
    </row>
    <row r="258" spans="1:1" ht="15.75" customHeight="1" x14ac:dyDescent="0.45">
      <c r="A258" s="19"/>
    </row>
    <row r="259" spans="1:1" ht="15.75" customHeight="1" x14ac:dyDescent="0.45">
      <c r="A259" s="19"/>
    </row>
    <row r="260" spans="1:1" ht="15.75" customHeight="1" x14ac:dyDescent="0.45">
      <c r="A260" s="19"/>
    </row>
    <row r="261" spans="1:1" ht="15.75" customHeight="1" x14ac:dyDescent="0.45">
      <c r="A261" s="19"/>
    </row>
    <row r="262" spans="1:1" ht="15.75" customHeight="1" x14ac:dyDescent="0.45">
      <c r="A262" s="19"/>
    </row>
    <row r="263" spans="1:1" ht="15.75" customHeight="1" x14ac:dyDescent="0.45">
      <c r="A263" s="19"/>
    </row>
    <row r="264" spans="1:1" ht="15.75" customHeight="1" x14ac:dyDescent="0.45">
      <c r="A264" s="19"/>
    </row>
    <row r="265" spans="1:1" ht="15.75" customHeight="1" x14ac:dyDescent="0.45">
      <c r="A265" s="19"/>
    </row>
    <row r="266" spans="1:1" ht="15.75" customHeight="1" x14ac:dyDescent="0.45">
      <c r="A266" s="19"/>
    </row>
    <row r="267" spans="1:1" ht="15.75" customHeight="1" x14ac:dyDescent="0.45">
      <c r="A267" s="19"/>
    </row>
    <row r="268" spans="1:1" ht="15.75" customHeight="1" x14ac:dyDescent="0.45">
      <c r="A268" s="19"/>
    </row>
    <row r="269" spans="1:1" ht="15.75" customHeight="1" x14ac:dyDescent="0.45">
      <c r="A269" s="19"/>
    </row>
    <row r="270" spans="1:1" ht="15.75" customHeight="1" x14ac:dyDescent="0.45">
      <c r="A270" s="19"/>
    </row>
    <row r="271" spans="1:1" ht="15.75" customHeight="1" x14ac:dyDescent="0.45">
      <c r="A271" s="19"/>
    </row>
    <row r="272" spans="1:1" ht="15.75" customHeight="1" x14ac:dyDescent="0.45">
      <c r="A272" s="19"/>
    </row>
    <row r="273" spans="1:1" ht="15.75" customHeight="1" x14ac:dyDescent="0.45">
      <c r="A273" s="19"/>
    </row>
    <row r="274" spans="1:1" ht="15.75" customHeight="1" x14ac:dyDescent="0.45">
      <c r="A274" s="19"/>
    </row>
    <row r="275" spans="1:1" ht="15.75" customHeight="1" x14ac:dyDescent="0.45">
      <c r="A275" s="19"/>
    </row>
    <row r="276" spans="1:1" ht="15.75" customHeight="1" x14ac:dyDescent="0.45">
      <c r="A276" s="19"/>
    </row>
    <row r="277" spans="1:1" ht="15.75" customHeight="1" x14ac:dyDescent="0.45">
      <c r="A277" s="19"/>
    </row>
    <row r="278" spans="1:1" ht="15.75" customHeight="1" x14ac:dyDescent="0.45">
      <c r="A278" s="19"/>
    </row>
    <row r="279" spans="1:1" ht="15.75" customHeight="1" x14ac:dyDescent="0.45">
      <c r="A279" s="19"/>
    </row>
    <row r="280" spans="1:1" ht="15.75" customHeight="1" x14ac:dyDescent="0.45">
      <c r="A280" s="19"/>
    </row>
    <row r="281" spans="1:1" ht="15.75" customHeight="1" x14ac:dyDescent="0.45">
      <c r="A281" s="19"/>
    </row>
    <row r="282" spans="1:1" ht="15.75" customHeight="1" x14ac:dyDescent="0.45">
      <c r="A282" s="19"/>
    </row>
    <row r="283" spans="1:1" ht="15.75" customHeight="1" x14ac:dyDescent="0.45">
      <c r="A283" s="19"/>
    </row>
    <row r="284" spans="1:1" ht="15.75" customHeight="1" x14ac:dyDescent="0.45">
      <c r="A284" s="19"/>
    </row>
    <row r="285" spans="1:1" ht="15.75" customHeight="1" x14ac:dyDescent="0.45">
      <c r="A285" s="19"/>
    </row>
    <row r="286" spans="1:1" ht="15.75" customHeight="1" x14ac:dyDescent="0.45">
      <c r="A286" s="19"/>
    </row>
    <row r="287" spans="1:1" ht="15.75" customHeight="1" x14ac:dyDescent="0.45">
      <c r="A287" s="19"/>
    </row>
    <row r="288" spans="1:1" ht="15.75" customHeight="1" x14ac:dyDescent="0.45">
      <c r="A288" s="19"/>
    </row>
    <row r="289" spans="1:1" ht="15.75" customHeight="1" x14ac:dyDescent="0.45">
      <c r="A289" s="19"/>
    </row>
    <row r="290" spans="1:1" ht="15.75" customHeight="1" x14ac:dyDescent="0.45">
      <c r="A290" s="19"/>
    </row>
    <row r="291" spans="1:1" ht="15.75" customHeight="1" x14ac:dyDescent="0.45">
      <c r="A291" s="19"/>
    </row>
    <row r="292" spans="1:1" ht="15.75" customHeight="1" x14ac:dyDescent="0.45">
      <c r="A292" s="19"/>
    </row>
    <row r="293" spans="1:1" ht="15.75" customHeight="1" x14ac:dyDescent="0.45">
      <c r="A293" s="19"/>
    </row>
    <row r="294" spans="1:1" ht="15.75" customHeight="1" x14ac:dyDescent="0.45">
      <c r="A294" s="19"/>
    </row>
    <row r="295" spans="1:1" ht="15.75" customHeight="1" x14ac:dyDescent="0.45">
      <c r="A295" s="19"/>
    </row>
    <row r="296" spans="1:1" ht="15.75" customHeight="1" x14ac:dyDescent="0.45">
      <c r="A296" s="19"/>
    </row>
    <row r="297" spans="1:1" ht="15.75" customHeight="1" x14ac:dyDescent="0.45">
      <c r="A297" s="19"/>
    </row>
    <row r="298" spans="1:1" ht="15.75" customHeight="1" x14ac:dyDescent="0.45">
      <c r="A298" s="19"/>
    </row>
    <row r="299" spans="1:1" ht="15.75" customHeight="1" x14ac:dyDescent="0.45">
      <c r="A299" s="19"/>
    </row>
    <row r="300" spans="1:1" ht="15.75" customHeight="1" x14ac:dyDescent="0.45">
      <c r="A300" s="19"/>
    </row>
    <row r="301" spans="1:1" ht="15.75" customHeight="1" x14ac:dyDescent="0.45">
      <c r="A301" s="19"/>
    </row>
    <row r="302" spans="1:1" ht="15.75" customHeight="1" x14ac:dyDescent="0.45">
      <c r="A302" s="19"/>
    </row>
    <row r="303" spans="1:1" ht="15.75" customHeight="1" x14ac:dyDescent="0.45">
      <c r="A303" s="19"/>
    </row>
    <row r="304" spans="1:1" ht="15.75" customHeight="1" x14ac:dyDescent="0.45">
      <c r="A304" s="19"/>
    </row>
    <row r="305" spans="1:1" ht="15.75" customHeight="1" x14ac:dyDescent="0.45">
      <c r="A305" s="19"/>
    </row>
    <row r="306" spans="1:1" ht="15.75" customHeight="1" x14ac:dyDescent="0.45">
      <c r="A306" s="19"/>
    </row>
    <row r="307" spans="1:1" ht="15.75" customHeight="1" x14ac:dyDescent="0.45">
      <c r="A307" s="19"/>
    </row>
    <row r="308" spans="1:1" ht="15.75" customHeight="1" x14ac:dyDescent="0.45">
      <c r="A308" s="19"/>
    </row>
    <row r="309" spans="1:1" ht="15.75" customHeight="1" x14ac:dyDescent="0.45">
      <c r="A309" s="19"/>
    </row>
    <row r="310" spans="1:1" ht="15.75" customHeight="1" x14ac:dyDescent="0.45">
      <c r="A310" s="19"/>
    </row>
    <row r="311" spans="1:1" ht="15.75" customHeight="1" x14ac:dyDescent="0.45">
      <c r="A311" s="19"/>
    </row>
    <row r="312" spans="1:1" ht="15.75" customHeight="1" x14ac:dyDescent="0.45">
      <c r="A312" s="19"/>
    </row>
    <row r="313" spans="1:1" ht="15.75" customHeight="1" x14ac:dyDescent="0.45">
      <c r="A313" s="19"/>
    </row>
    <row r="314" spans="1:1" ht="15.75" customHeight="1" x14ac:dyDescent="0.45">
      <c r="A314" s="19"/>
    </row>
    <row r="315" spans="1:1" ht="15.75" customHeight="1" x14ac:dyDescent="0.45">
      <c r="A315" s="19"/>
    </row>
    <row r="316" spans="1:1" ht="15.75" customHeight="1" x14ac:dyDescent="0.45">
      <c r="A316" s="19"/>
    </row>
    <row r="317" spans="1:1" ht="15.75" customHeight="1" x14ac:dyDescent="0.45">
      <c r="A317" s="19"/>
    </row>
    <row r="318" spans="1:1" ht="15.75" customHeight="1" x14ac:dyDescent="0.45">
      <c r="A318" s="19"/>
    </row>
    <row r="319" spans="1:1" ht="15.75" customHeight="1" x14ac:dyDescent="0.45">
      <c r="A319" s="19"/>
    </row>
    <row r="320" spans="1:1" ht="15.75" customHeight="1" x14ac:dyDescent="0.45">
      <c r="A320" s="19"/>
    </row>
    <row r="321" spans="1:1" ht="15.75" customHeight="1" x14ac:dyDescent="0.45">
      <c r="A321" s="19"/>
    </row>
    <row r="322" spans="1:1" ht="15.75" customHeight="1" x14ac:dyDescent="0.45">
      <c r="A322" s="19"/>
    </row>
    <row r="323" spans="1:1" ht="15.75" customHeight="1" x14ac:dyDescent="0.45">
      <c r="A323" s="19"/>
    </row>
    <row r="324" spans="1:1" ht="15.75" customHeight="1" x14ac:dyDescent="0.45">
      <c r="A324" s="19"/>
    </row>
    <row r="325" spans="1:1" ht="15.75" customHeight="1" x14ac:dyDescent="0.45">
      <c r="A325" s="19"/>
    </row>
    <row r="326" spans="1:1" ht="15.75" customHeight="1" x14ac:dyDescent="0.45">
      <c r="A326" s="19"/>
    </row>
    <row r="327" spans="1:1" ht="15.75" customHeight="1" x14ac:dyDescent="0.45">
      <c r="A327" s="19"/>
    </row>
    <row r="328" spans="1:1" ht="15.75" customHeight="1" x14ac:dyDescent="0.45">
      <c r="A328" s="19"/>
    </row>
    <row r="329" spans="1:1" ht="15.75" customHeight="1" x14ac:dyDescent="0.45">
      <c r="A329" s="19"/>
    </row>
    <row r="330" spans="1:1" ht="15.75" customHeight="1" x14ac:dyDescent="0.45">
      <c r="A330" s="19"/>
    </row>
    <row r="331" spans="1:1" ht="15.75" customHeight="1" x14ac:dyDescent="0.45">
      <c r="A331" s="19"/>
    </row>
    <row r="332" spans="1:1" ht="15.75" customHeight="1" x14ac:dyDescent="0.45">
      <c r="A332" s="19"/>
    </row>
    <row r="333" spans="1:1" ht="15.75" customHeight="1" x14ac:dyDescent="0.45">
      <c r="A333" s="19"/>
    </row>
    <row r="334" spans="1:1" ht="15.75" customHeight="1" x14ac:dyDescent="0.45">
      <c r="A334" s="19"/>
    </row>
    <row r="335" spans="1:1" ht="15.75" customHeight="1" x14ac:dyDescent="0.45">
      <c r="A335" s="19"/>
    </row>
    <row r="336" spans="1:1" ht="15.75" customHeight="1" x14ac:dyDescent="0.45">
      <c r="A336" s="19"/>
    </row>
    <row r="337" spans="1:1" ht="15.75" customHeight="1" x14ac:dyDescent="0.45">
      <c r="A337" s="19"/>
    </row>
    <row r="338" spans="1:1" ht="15.75" customHeight="1" x14ac:dyDescent="0.45">
      <c r="A338" s="19"/>
    </row>
    <row r="339" spans="1:1" ht="15.75" customHeight="1" x14ac:dyDescent="0.45">
      <c r="A339" s="19"/>
    </row>
    <row r="340" spans="1:1" ht="15.75" customHeight="1" x14ac:dyDescent="0.45">
      <c r="A340" s="19"/>
    </row>
    <row r="341" spans="1:1" ht="15.75" customHeight="1" x14ac:dyDescent="0.45">
      <c r="A341" s="19"/>
    </row>
    <row r="342" spans="1:1" ht="15.75" customHeight="1" x14ac:dyDescent="0.45">
      <c r="A342" s="19"/>
    </row>
    <row r="343" spans="1:1" ht="15.75" customHeight="1" x14ac:dyDescent="0.45">
      <c r="A343" s="19"/>
    </row>
    <row r="344" spans="1:1" ht="15.75" customHeight="1" x14ac:dyDescent="0.45">
      <c r="A344" s="19"/>
    </row>
    <row r="345" spans="1:1" ht="15.75" customHeight="1" x14ac:dyDescent="0.45">
      <c r="A345" s="19"/>
    </row>
    <row r="346" spans="1:1" ht="15.75" customHeight="1" x14ac:dyDescent="0.45">
      <c r="A346" s="19"/>
    </row>
    <row r="347" spans="1:1" ht="15.75" customHeight="1" x14ac:dyDescent="0.45">
      <c r="A347" s="19"/>
    </row>
    <row r="348" spans="1:1" ht="15.75" customHeight="1" x14ac:dyDescent="0.45">
      <c r="A348" s="19"/>
    </row>
    <row r="349" spans="1:1" ht="15.75" customHeight="1" x14ac:dyDescent="0.45">
      <c r="A349" s="19"/>
    </row>
    <row r="350" spans="1:1" ht="15.75" customHeight="1" x14ac:dyDescent="0.45">
      <c r="A350" s="19"/>
    </row>
    <row r="351" spans="1:1" ht="15.75" customHeight="1" x14ac:dyDescent="0.45">
      <c r="A351" s="19"/>
    </row>
    <row r="352" spans="1:1" ht="15.75" customHeight="1" x14ac:dyDescent="0.45">
      <c r="A352" s="19"/>
    </row>
    <row r="353" spans="1:1" ht="15.75" customHeight="1" x14ac:dyDescent="0.45">
      <c r="A353" s="19"/>
    </row>
    <row r="354" spans="1:1" ht="15.75" customHeight="1" x14ac:dyDescent="0.45">
      <c r="A354" s="19"/>
    </row>
    <row r="355" spans="1:1" ht="15.75" customHeight="1" x14ac:dyDescent="0.45">
      <c r="A355" s="19"/>
    </row>
    <row r="356" spans="1:1" ht="15.75" customHeight="1" x14ac:dyDescent="0.45">
      <c r="A356" s="19"/>
    </row>
    <row r="357" spans="1:1" ht="15.75" customHeight="1" x14ac:dyDescent="0.45">
      <c r="A357" s="19"/>
    </row>
    <row r="358" spans="1:1" ht="15.75" customHeight="1" x14ac:dyDescent="0.45">
      <c r="A358" s="19"/>
    </row>
    <row r="359" spans="1:1" ht="15.75" customHeight="1" x14ac:dyDescent="0.45">
      <c r="A359" s="19"/>
    </row>
    <row r="360" spans="1:1" ht="15.75" customHeight="1" x14ac:dyDescent="0.45">
      <c r="A360" s="19"/>
    </row>
    <row r="361" spans="1:1" ht="15.75" customHeight="1" x14ac:dyDescent="0.45">
      <c r="A361" s="19"/>
    </row>
    <row r="362" spans="1:1" ht="15.75" customHeight="1" x14ac:dyDescent="0.45">
      <c r="A362" s="19"/>
    </row>
    <row r="363" spans="1:1" ht="15.75" customHeight="1" x14ac:dyDescent="0.45">
      <c r="A363" s="19"/>
    </row>
    <row r="364" spans="1:1" ht="15.75" customHeight="1" x14ac:dyDescent="0.45">
      <c r="A364" s="19"/>
    </row>
    <row r="365" spans="1:1" ht="15.75" customHeight="1" x14ac:dyDescent="0.45">
      <c r="A365" s="19"/>
    </row>
    <row r="366" spans="1:1" ht="15.75" customHeight="1" x14ac:dyDescent="0.45">
      <c r="A366" s="19"/>
    </row>
    <row r="367" spans="1:1" ht="15.75" customHeight="1" x14ac:dyDescent="0.45">
      <c r="A367" s="19"/>
    </row>
    <row r="368" spans="1:1" ht="15.75" customHeight="1" x14ac:dyDescent="0.45">
      <c r="A368" s="19"/>
    </row>
    <row r="369" spans="1:1" ht="15.75" customHeight="1" x14ac:dyDescent="0.45">
      <c r="A369" s="19"/>
    </row>
    <row r="370" spans="1:1" ht="15.75" customHeight="1" x14ac:dyDescent="0.45">
      <c r="A370" s="19"/>
    </row>
    <row r="371" spans="1:1" ht="15.75" customHeight="1" x14ac:dyDescent="0.45">
      <c r="A371" s="19"/>
    </row>
    <row r="372" spans="1:1" ht="15.75" customHeight="1" x14ac:dyDescent="0.45">
      <c r="A372" s="19"/>
    </row>
    <row r="373" spans="1:1" ht="15.75" customHeight="1" x14ac:dyDescent="0.45">
      <c r="A373" s="19"/>
    </row>
    <row r="374" spans="1:1" ht="15.75" customHeight="1" x14ac:dyDescent="0.45">
      <c r="A374" s="19"/>
    </row>
    <row r="375" spans="1:1" ht="15.75" customHeight="1" x14ac:dyDescent="0.45">
      <c r="A375" s="19"/>
    </row>
    <row r="376" spans="1:1" ht="15.75" customHeight="1" x14ac:dyDescent="0.45">
      <c r="A376" s="19"/>
    </row>
    <row r="377" spans="1:1" ht="15.75" customHeight="1" x14ac:dyDescent="0.45">
      <c r="A377" s="19"/>
    </row>
    <row r="378" spans="1:1" ht="15.75" customHeight="1" x14ac:dyDescent="0.45">
      <c r="A378" s="19"/>
    </row>
    <row r="379" spans="1:1" ht="15.75" customHeight="1" x14ac:dyDescent="0.45">
      <c r="A379" s="19"/>
    </row>
    <row r="380" spans="1:1" ht="15.75" customHeight="1" x14ac:dyDescent="0.45">
      <c r="A380" s="19"/>
    </row>
    <row r="381" spans="1:1" ht="15.75" customHeight="1" x14ac:dyDescent="0.45">
      <c r="A381" s="19"/>
    </row>
    <row r="382" spans="1:1" ht="15.75" customHeight="1" x14ac:dyDescent="0.45">
      <c r="A382" s="19"/>
    </row>
    <row r="383" spans="1:1" ht="15.75" customHeight="1" x14ac:dyDescent="0.45">
      <c r="A383" s="19"/>
    </row>
    <row r="384" spans="1:1" ht="15.75" customHeight="1" x14ac:dyDescent="0.45">
      <c r="A384" s="19"/>
    </row>
    <row r="385" spans="1:1" ht="15.75" customHeight="1" x14ac:dyDescent="0.45">
      <c r="A385" s="19"/>
    </row>
    <row r="386" spans="1:1" ht="15.75" customHeight="1" x14ac:dyDescent="0.45">
      <c r="A386" s="19"/>
    </row>
    <row r="387" spans="1:1" ht="15.75" customHeight="1" x14ac:dyDescent="0.45">
      <c r="A387" s="19"/>
    </row>
    <row r="388" spans="1:1" ht="15.75" customHeight="1" x14ac:dyDescent="0.45">
      <c r="A388" s="19"/>
    </row>
    <row r="389" spans="1:1" ht="15.75" customHeight="1" x14ac:dyDescent="0.45">
      <c r="A389" s="19"/>
    </row>
    <row r="390" spans="1:1" ht="15.75" customHeight="1" x14ac:dyDescent="0.45">
      <c r="A390" s="19"/>
    </row>
    <row r="391" spans="1:1" ht="15.75" customHeight="1" x14ac:dyDescent="0.45">
      <c r="A391" s="19"/>
    </row>
    <row r="392" spans="1:1" ht="15.75" customHeight="1" x14ac:dyDescent="0.45">
      <c r="A392" s="19"/>
    </row>
    <row r="393" spans="1:1" ht="15.75" customHeight="1" x14ac:dyDescent="0.45">
      <c r="A393" s="19"/>
    </row>
    <row r="394" spans="1:1" ht="15.75" customHeight="1" x14ac:dyDescent="0.45">
      <c r="A394" s="19"/>
    </row>
    <row r="395" spans="1:1" ht="15.75" customHeight="1" x14ac:dyDescent="0.45">
      <c r="A395" s="19"/>
    </row>
    <row r="396" spans="1:1" ht="15.75" customHeight="1" x14ac:dyDescent="0.45">
      <c r="A396" s="19"/>
    </row>
    <row r="397" spans="1:1" ht="15.75" customHeight="1" x14ac:dyDescent="0.45">
      <c r="A397" s="19"/>
    </row>
    <row r="398" spans="1:1" ht="15.75" customHeight="1" x14ac:dyDescent="0.45">
      <c r="A398" s="19"/>
    </row>
    <row r="399" spans="1:1" ht="15.75" customHeight="1" x14ac:dyDescent="0.45">
      <c r="A399" s="19"/>
    </row>
    <row r="400" spans="1:1" ht="15.75" customHeight="1" x14ac:dyDescent="0.45">
      <c r="A400" s="19"/>
    </row>
    <row r="401" spans="1:1" ht="15.75" customHeight="1" x14ac:dyDescent="0.45">
      <c r="A401" s="19"/>
    </row>
    <row r="402" spans="1:1" ht="15.75" customHeight="1" x14ac:dyDescent="0.45">
      <c r="A402" s="19"/>
    </row>
    <row r="403" spans="1:1" ht="15.75" customHeight="1" x14ac:dyDescent="0.45">
      <c r="A403" s="19"/>
    </row>
    <row r="404" spans="1:1" ht="15.75" customHeight="1" x14ac:dyDescent="0.45">
      <c r="A404" s="19"/>
    </row>
    <row r="405" spans="1:1" ht="15.75" customHeight="1" x14ac:dyDescent="0.45">
      <c r="A405" s="19"/>
    </row>
    <row r="406" spans="1:1" ht="15.75" customHeight="1" x14ac:dyDescent="0.45">
      <c r="A406" s="19"/>
    </row>
    <row r="407" spans="1:1" ht="15.75" customHeight="1" x14ac:dyDescent="0.45">
      <c r="A407" s="19"/>
    </row>
    <row r="408" spans="1:1" ht="15.75" customHeight="1" x14ac:dyDescent="0.45">
      <c r="A408" s="19"/>
    </row>
    <row r="409" spans="1:1" ht="15.75" customHeight="1" x14ac:dyDescent="0.45">
      <c r="A409" s="19"/>
    </row>
    <row r="410" spans="1:1" ht="15.75" customHeight="1" x14ac:dyDescent="0.45">
      <c r="A410" s="19"/>
    </row>
    <row r="411" spans="1:1" ht="15.75" customHeight="1" x14ac:dyDescent="0.45">
      <c r="A411" s="19"/>
    </row>
    <row r="412" spans="1:1" ht="15.75" customHeight="1" x14ac:dyDescent="0.45">
      <c r="A412" s="19"/>
    </row>
    <row r="413" spans="1:1" ht="15.75" customHeight="1" x14ac:dyDescent="0.45">
      <c r="A413" s="19"/>
    </row>
    <row r="414" spans="1:1" ht="15.75" customHeight="1" x14ac:dyDescent="0.45">
      <c r="A414" s="19"/>
    </row>
    <row r="415" spans="1:1" ht="15.75" customHeight="1" x14ac:dyDescent="0.45">
      <c r="A415" s="19"/>
    </row>
    <row r="416" spans="1:1" ht="15.75" customHeight="1" x14ac:dyDescent="0.45">
      <c r="A416" s="19"/>
    </row>
    <row r="417" spans="1:1" ht="15.75" customHeight="1" x14ac:dyDescent="0.45">
      <c r="A417" s="19"/>
    </row>
    <row r="418" spans="1:1" ht="15.75" customHeight="1" x14ac:dyDescent="0.45">
      <c r="A418" s="19"/>
    </row>
    <row r="419" spans="1:1" ht="15.75" customHeight="1" x14ac:dyDescent="0.45">
      <c r="A419" s="19"/>
    </row>
    <row r="420" spans="1:1" ht="15.75" customHeight="1" x14ac:dyDescent="0.45">
      <c r="A420" s="19"/>
    </row>
    <row r="421" spans="1:1" ht="15.75" customHeight="1" x14ac:dyDescent="0.45">
      <c r="A421" s="19"/>
    </row>
    <row r="422" spans="1:1" ht="15.75" customHeight="1" x14ac:dyDescent="0.45">
      <c r="A422" s="19"/>
    </row>
    <row r="423" spans="1:1" ht="15.75" customHeight="1" x14ac:dyDescent="0.45">
      <c r="A423" s="19"/>
    </row>
    <row r="424" spans="1:1" ht="15.75" customHeight="1" x14ac:dyDescent="0.45">
      <c r="A424" s="19"/>
    </row>
    <row r="425" spans="1:1" ht="15.75" customHeight="1" x14ac:dyDescent="0.45">
      <c r="A425" s="19"/>
    </row>
    <row r="426" spans="1:1" ht="15.75" customHeight="1" x14ac:dyDescent="0.45">
      <c r="A426" s="19"/>
    </row>
    <row r="427" spans="1:1" ht="15.75" customHeight="1" x14ac:dyDescent="0.45">
      <c r="A427" s="19"/>
    </row>
    <row r="428" spans="1:1" ht="15.75" customHeight="1" x14ac:dyDescent="0.45">
      <c r="A428" s="19"/>
    </row>
    <row r="429" spans="1:1" ht="15.75" customHeight="1" x14ac:dyDescent="0.45">
      <c r="A429" s="19"/>
    </row>
    <row r="430" spans="1:1" ht="15.75" customHeight="1" x14ac:dyDescent="0.45">
      <c r="A430" s="19"/>
    </row>
    <row r="431" spans="1:1" ht="15.75" customHeight="1" x14ac:dyDescent="0.45">
      <c r="A431" s="19"/>
    </row>
    <row r="432" spans="1:1" ht="15.75" customHeight="1" x14ac:dyDescent="0.45">
      <c r="A432" s="19"/>
    </row>
    <row r="433" spans="1:1" ht="15.75" customHeight="1" x14ac:dyDescent="0.45">
      <c r="A433" s="19"/>
    </row>
    <row r="434" spans="1:1" ht="15.75" customHeight="1" x14ac:dyDescent="0.45">
      <c r="A434" s="19"/>
    </row>
    <row r="435" spans="1:1" ht="15.75" customHeight="1" x14ac:dyDescent="0.45">
      <c r="A435" s="19"/>
    </row>
    <row r="436" spans="1:1" ht="15.75" customHeight="1" x14ac:dyDescent="0.45">
      <c r="A436" s="19"/>
    </row>
    <row r="437" spans="1:1" ht="15.75" customHeight="1" x14ac:dyDescent="0.45">
      <c r="A437" s="19"/>
    </row>
    <row r="438" spans="1:1" ht="15.75" customHeight="1" x14ac:dyDescent="0.45">
      <c r="A438" s="19"/>
    </row>
    <row r="439" spans="1:1" ht="15.75" customHeight="1" x14ac:dyDescent="0.45">
      <c r="A439" s="19"/>
    </row>
    <row r="440" spans="1:1" ht="15.75" customHeight="1" x14ac:dyDescent="0.45">
      <c r="A440" s="19"/>
    </row>
    <row r="441" spans="1:1" ht="15.75" customHeight="1" x14ac:dyDescent="0.45">
      <c r="A441" s="19"/>
    </row>
    <row r="442" spans="1:1" ht="15.75" customHeight="1" x14ac:dyDescent="0.45">
      <c r="A442" s="19"/>
    </row>
    <row r="443" spans="1:1" ht="15.75" customHeight="1" x14ac:dyDescent="0.45">
      <c r="A443" s="19"/>
    </row>
    <row r="444" spans="1:1" ht="15.75" customHeight="1" x14ac:dyDescent="0.45">
      <c r="A444" s="19"/>
    </row>
    <row r="445" spans="1:1" ht="15.75" customHeight="1" x14ac:dyDescent="0.45">
      <c r="A445" s="19"/>
    </row>
    <row r="446" spans="1:1" ht="15.75" customHeight="1" x14ac:dyDescent="0.45">
      <c r="A446" s="19"/>
    </row>
    <row r="447" spans="1:1" ht="15.75" customHeight="1" x14ac:dyDescent="0.45">
      <c r="A447" s="19"/>
    </row>
    <row r="448" spans="1:1" ht="15.75" customHeight="1" x14ac:dyDescent="0.45">
      <c r="A448" s="19"/>
    </row>
    <row r="449" spans="1:1" ht="15.75" customHeight="1" x14ac:dyDescent="0.45">
      <c r="A449" s="19"/>
    </row>
    <row r="450" spans="1:1" ht="15.75" customHeight="1" x14ac:dyDescent="0.45">
      <c r="A450" s="19"/>
    </row>
    <row r="451" spans="1:1" ht="15.75" customHeight="1" x14ac:dyDescent="0.45">
      <c r="A451" s="19"/>
    </row>
    <row r="452" spans="1:1" ht="15.75" customHeight="1" x14ac:dyDescent="0.45">
      <c r="A452" s="19"/>
    </row>
    <row r="453" spans="1:1" ht="15.75" customHeight="1" x14ac:dyDescent="0.45">
      <c r="A453" s="19"/>
    </row>
    <row r="454" spans="1:1" ht="15.75" customHeight="1" x14ac:dyDescent="0.45">
      <c r="A454" s="19"/>
    </row>
    <row r="455" spans="1:1" ht="15.75" customHeight="1" x14ac:dyDescent="0.45">
      <c r="A455" s="19"/>
    </row>
    <row r="456" spans="1:1" ht="15.75" customHeight="1" x14ac:dyDescent="0.45">
      <c r="A456" s="19"/>
    </row>
    <row r="457" spans="1:1" ht="15.75" customHeight="1" x14ac:dyDescent="0.45">
      <c r="A457" s="19"/>
    </row>
    <row r="458" spans="1:1" ht="15.75" customHeight="1" x14ac:dyDescent="0.45">
      <c r="A458" s="19"/>
    </row>
    <row r="459" spans="1:1" ht="15.75" customHeight="1" x14ac:dyDescent="0.45">
      <c r="A459" s="19"/>
    </row>
    <row r="460" spans="1:1" ht="15.75" customHeight="1" x14ac:dyDescent="0.45">
      <c r="A460" s="19"/>
    </row>
    <row r="461" spans="1:1" ht="15.75" customHeight="1" x14ac:dyDescent="0.45">
      <c r="A461" s="19"/>
    </row>
    <row r="462" spans="1:1" ht="15.75" customHeight="1" x14ac:dyDescent="0.45">
      <c r="A462" s="19"/>
    </row>
    <row r="463" spans="1:1" ht="15.75" customHeight="1" x14ac:dyDescent="0.45">
      <c r="A463" s="19"/>
    </row>
    <row r="464" spans="1:1" ht="15.75" customHeight="1" x14ac:dyDescent="0.45">
      <c r="A464" s="19"/>
    </row>
    <row r="465" spans="1:1" ht="15.75" customHeight="1" x14ac:dyDescent="0.45">
      <c r="A465" s="19"/>
    </row>
    <row r="466" spans="1:1" ht="15.75" customHeight="1" x14ac:dyDescent="0.45">
      <c r="A466" s="19"/>
    </row>
    <row r="467" spans="1:1" ht="15.75" customHeight="1" x14ac:dyDescent="0.45">
      <c r="A467" s="19"/>
    </row>
    <row r="468" spans="1:1" ht="15.75" customHeight="1" x14ac:dyDescent="0.45">
      <c r="A468" s="19"/>
    </row>
    <row r="469" spans="1:1" ht="15.75" customHeight="1" x14ac:dyDescent="0.45">
      <c r="A469" s="19"/>
    </row>
    <row r="470" spans="1:1" ht="15.75" customHeight="1" x14ac:dyDescent="0.45">
      <c r="A470" s="19"/>
    </row>
    <row r="471" spans="1:1" ht="15.75" customHeight="1" x14ac:dyDescent="0.45">
      <c r="A471" s="19"/>
    </row>
    <row r="472" spans="1:1" ht="15.75" customHeight="1" x14ac:dyDescent="0.45">
      <c r="A472" s="19"/>
    </row>
    <row r="473" spans="1:1" ht="15.75" customHeight="1" x14ac:dyDescent="0.45">
      <c r="A473" s="19"/>
    </row>
    <row r="474" spans="1:1" ht="15.75" customHeight="1" x14ac:dyDescent="0.45">
      <c r="A474" s="19"/>
    </row>
    <row r="475" spans="1:1" ht="15.75" customHeight="1" x14ac:dyDescent="0.45">
      <c r="A475" s="19"/>
    </row>
    <row r="476" spans="1:1" ht="15.75" customHeight="1" x14ac:dyDescent="0.45">
      <c r="A476" s="19"/>
    </row>
    <row r="477" spans="1:1" ht="15.75" customHeight="1" x14ac:dyDescent="0.45">
      <c r="A477" s="19"/>
    </row>
    <row r="478" spans="1:1" ht="15.75" customHeight="1" x14ac:dyDescent="0.45">
      <c r="A478" s="19"/>
    </row>
    <row r="479" spans="1:1" ht="15.75" customHeight="1" x14ac:dyDescent="0.45">
      <c r="A479" s="19"/>
    </row>
    <row r="480" spans="1:1" ht="15.75" customHeight="1" x14ac:dyDescent="0.45">
      <c r="A480" s="19"/>
    </row>
    <row r="481" spans="1:1" ht="15.75" customHeight="1" x14ac:dyDescent="0.45">
      <c r="A481" s="19"/>
    </row>
    <row r="482" spans="1:1" ht="15.75" customHeight="1" x14ac:dyDescent="0.45">
      <c r="A482" s="19"/>
    </row>
    <row r="483" spans="1:1" ht="15.75" customHeight="1" x14ac:dyDescent="0.45">
      <c r="A483" s="19"/>
    </row>
    <row r="484" spans="1:1" ht="15.75" customHeight="1" x14ac:dyDescent="0.45">
      <c r="A484" s="19"/>
    </row>
    <row r="485" spans="1:1" ht="15.75" customHeight="1" x14ac:dyDescent="0.45">
      <c r="A485" s="19"/>
    </row>
    <row r="486" spans="1:1" ht="15.75" customHeight="1" x14ac:dyDescent="0.45">
      <c r="A486" s="19"/>
    </row>
    <row r="487" spans="1:1" ht="15.75" customHeight="1" x14ac:dyDescent="0.45">
      <c r="A487" s="19"/>
    </row>
    <row r="488" spans="1:1" ht="15.75" customHeight="1" x14ac:dyDescent="0.45">
      <c r="A488" s="19"/>
    </row>
    <row r="489" spans="1:1" ht="15.75" customHeight="1" x14ac:dyDescent="0.45">
      <c r="A489" s="19"/>
    </row>
    <row r="490" spans="1:1" ht="15.75" customHeight="1" x14ac:dyDescent="0.45">
      <c r="A490" s="19"/>
    </row>
    <row r="491" spans="1:1" ht="15.75" customHeight="1" x14ac:dyDescent="0.45">
      <c r="A491" s="19"/>
    </row>
    <row r="492" spans="1:1" ht="15.75" customHeight="1" x14ac:dyDescent="0.45">
      <c r="A492" s="19"/>
    </row>
    <row r="493" spans="1:1" ht="15.75" customHeight="1" x14ac:dyDescent="0.45">
      <c r="A493" s="19"/>
    </row>
    <row r="494" spans="1:1" ht="15.75" customHeight="1" x14ac:dyDescent="0.45">
      <c r="A494" s="19"/>
    </row>
    <row r="495" spans="1:1" ht="15.75" customHeight="1" x14ac:dyDescent="0.45">
      <c r="A495" s="19"/>
    </row>
    <row r="496" spans="1:1" ht="15.75" customHeight="1" x14ac:dyDescent="0.45">
      <c r="A496" s="19"/>
    </row>
    <row r="497" spans="1:1" ht="15.75" customHeight="1" x14ac:dyDescent="0.45">
      <c r="A497" s="19"/>
    </row>
    <row r="498" spans="1:1" ht="15.75" customHeight="1" x14ac:dyDescent="0.45">
      <c r="A498" s="19"/>
    </row>
    <row r="499" spans="1:1" ht="15.75" customHeight="1" x14ac:dyDescent="0.45">
      <c r="A499" s="19"/>
    </row>
    <row r="500" spans="1:1" ht="15.75" customHeight="1" x14ac:dyDescent="0.45">
      <c r="A500" s="19"/>
    </row>
    <row r="501" spans="1:1" ht="15.75" customHeight="1" x14ac:dyDescent="0.45">
      <c r="A501" s="19"/>
    </row>
    <row r="502" spans="1:1" ht="15.75" customHeight="1" x14ac:dyDescent="0.45">
      <c r="A502" s="19"/>
    </row>
    <row r="503" spans="1:1" ht="15.75" customHeight="1" x14ac:dyDescent="0.45">
      <c r="A503" s="19"/>
    </row>
    <row r="504" spans="1:1" ht="15.75" customHeight="1" x14ac:dyDescent="0.45">
      <c r="A504" s="19"/>
    </row>
    <row r="505" spans="1:1" ht="15.75" customHeight="1" x14ac:dyDescent="0.45">
      <c r="A505" s="19"/>
    </row>
    <row r="506" spans="1:1" ht="15.75" customHeight="1" x14ac:dyDescent="0.45">
      <c r="A506" s="19"/>
    </row>
    <row r="507" spans="1:1" ht="15.75" customHeight="1" x14ac:dyDescent="0.45">
      <c r="A507" s="19"/>
    </row>
    <row r="508" spans="1:1" ht="15.75" customHeight="1" x14ac:dyDescent="0.45">
      <c r="A508" s="19"/>
    </row>
    <row r="509" spans="1:1" ht="15.75" customHeight="1" x14ac:dyDescent="0.45">
      <c r="A509" s="19"/>
    </row>
    <row r="510" spans="1:1" ht="15.75" customHeight="1" x14ac:dyDescent="0.45">
      <c r="A510" s="19"/>
    </row>
    <row r="511" spans="1:1" ht="15.75" customHeight="1" x14ac:dyDescent="0.45">
      <c r="A511" s="19"/>
    </row>
    <row r="512" spans="1:1" ht="15.75" customHeight="1" x14ac:dyDescent="0.45">
      <c r="A512" s="19"/>
    </row>
    <row r="513" spans="1:1" ht="15.75" customHeight="1" x14ac:dyDescent="0.45">
      <c r="A513" s="19"/>
    </row>
    <row r="514" spans="1:1" ht="15.75" customHeight="1" x14ac:dyDescent="0.45">
      <c r="A514" s="19"/>
    </row>
    <row r="515" spans="1:1" ht="15.75" customHeight="1" x14ac:dyDescent="0.45">
      <c r="A515" s="19"/>
    </row>
    <row r="516" spans="1:1" ht="15.75" customHeight="1" x14ac:dyDescent="0.45">
      <c r="A516" s="19"/>
    </row>
    <row r="517" spans="1:1" ht="15.75" customHeight="1" x14ac:dyDescent="0.45">
      <c r="A517" s="19"/>
    </row>
    <row r="518" spans="1:1" ht="15.75" customHeight="1" x14ac:dyDescent="0.45">
      <c r="A518" s="19"/>
    </row>
    <row r="519" spans="1:1" ht="15.75" customHeight="1" x14ac:dyDescent="0.45">
      <c r="A519" s="19"/>
    </row>
    <row r="520" spans="1:1" ht="15.75" customHeight="1" x14ac:dyDescent="0.45">
      <c r="A520" s="19"/>
    </row>
    <row r="521" spans="1:1" ht="15.75" customHeight="1" x14ac:dyDescent="0.45">
      <c r="A521" s="19"/>
    </row>
    <row r="522" spans="1:1" ht="15.75" customHeight="1" x14ac:dyDescent="0.45">
      <c r="A522" s="19"/>
    </row>
    <row r="523" spans="1:1" ht="15.75" customHeight="1" x14ac:dyDescent="0.45">
      <c r="A523" s="19"/>
    </row>
    <row r="524" spans="1:1" ht="15.75" customHeight="1" x14ac:dyDescent="0.45">
      <c r="A524" s="19"/>
    </row>
    <row r="525" spans="1:1" ht="15.75" customHeight="1" x14ac:dyDescent="0.45">
      <c r="A525" s="19"/>
    </row>
    <row r="526" spans="1:1" ht="15.75" customHeight="1" x14ac:dyDescent="0.45">
      <c r="A526" s="19"/>
    </row>
    <row r="527" spans="1:1" ht="15.75" customHeight="1" x14ac:dyDescent="0.45">
      <c r="A527" s="19"/>
    </row>
    <row r="528" spans="1:1" ht="15.75" customHeight="1" x14ac:dyDescent="0.45">
      <c r="A528" s="19"/>
    </row>
    <row r="529" spans="1:1" ht="15.75" customHeight="1" x14ac:dyDescent="0.45">
      <c r="A529" s="19"/>
    </row>
    <row r="530" spans="1:1" ht="15.75" customHeight="1" x14ac:dyDescent="0.45">
      <c r="A530" s="19"/>
    </row>
    <row r="531" spans="1:1" ht="15.75" customHeight="1" x14ac:dyDescent="0.45">
      <c r="A531" s="19"/>
    </row>
    <row r="532" spans="1:1" ht="15.75" customHeight="1" x14ac:dyDescent="0.45">
      <c r="A532" s="19"/>
    </row>
    <row r="533" spans="1:1" ht="15.75" customHeight="1" x14ac:dyDescent="0.45">
      <c r="A533" s="19"/>
    </row>
    <row r="534" spans="1:1" ht="15.75" customHeight="1" x14ac:dyDescent="0.45">
      <c r="A534" s="19"/>
    </row>
    <row r="535" spans="1:1" ht="15.75" customHeight="1" x14ac:dyDescent="0.45">
      <c r="A535" s="19"/>
    </row>
    <row r="536" spans="1:1" ht="15.75" customHeight="1" x14ac:dyDescent="0.45">
      <c r="A536" s="19"/>
    </row>
    <row r="537" spans="1:1" ht="15.75" customHeight="1" x14ac:dyDescent="0.45">
      <c r="A537" s="19"/>
    </row>
    <row r="538" spans="1:1" ht="15.75" customHeight="1" x14ac:dyDescent="0.45">
      <c r="A538" s="19"/>
    </row>
    <row r="539" spans="1:1" ht="15.75" customHeight="1" x14ac:dyDescent="0.45">
      <c r="A539" s="19"/>
    </row>
    <row r="540" spans="1:1" ht="15.75" customHeight="1" x14ac:dyDescent="0.45">
      <c r="A540" s="19"/>
    </row>
    <row r="541" spans="1:1" ht="15.75" customHeight="1" x14ac:dyDescent="0.45">
      <c r="A541" s="19"/>
    </row>
    <row r="542" spans="1:1" ht="15.75" customHeight="1" x14ac:dyDescent="0.45">
      <c r="A542" s="19"/>
    </row>
    <row r="543" spans="1:1" ht="15.75" customHeight="1" x14ac:dyDescent="0.45">
      <c r="A543" s="19"/>
    </row>
    <row r="544" spans="1:1" ht="15.75" customHeight="1" x14ac:dyDescent="0.45">
      <c r="A544" s="19"/>
    </row>
    <row r="545" spans="1:1" ht="15.75" customHeight="1" x14ac:dyDescent="0.45">
      <c r="A545" s="19"/>
    </row>
    <row r="546" spans="1:1" ht="15.75" customHeight="1" x14ac:dyDescent="0.45">
      <c r="A546" s="19"/>
    </row>
    <row r="547" spans="1:1" ht="15.75" customHeight="1" x14ac:dyDescent="0.45">
      <c r="A547" s="19"/>
    </row>
    <row r="548" spans="1:1" ht="15.75" customHeight="1" x14ac:dyDescent="0.45">
      <c r="A548" s="19"/>
    </row>
    <row r="549" spans="1:1" ht="15.75" customHeight="1" x14ac:dyDescent="0.45">
      <c r="A549" s="19"/>
    </row>
    <row r="550" spans="1:1" ht="15.75" customHeight="1" x14ac:dyDescent="0.45">
      <c r="A550" s="19"/>
    </row>
    <row r="551" spans="1:1" ht="15.75" customHeight="1" x14ac:dyDescent="0.45">
      <c r="A551" s="19"/>
    </row>
    <row r="552" spans="1:1" ht="15.75" customHeight="1" x14ac:dyDescent="0.45">
      <c r="A552" s="19"/>
    </row>
    <row r="553" spans="1:1" ht="15.75" customHeight="1" x14ac:dyDescent="0.45">
      <c r="A553" s="19"/>
    </row>
    <row r="554" spans="1:1" ht="15.75" customHeight="1" x14ac:dyDescent="0.45">
      <c r="A554" s="19"/>
    </row>
    <row r="555" spans="1:1" ht="15.75" customHeight="1" x14ac:dyDescent="0.45">
      <c r="A555" s="19"/>
    </row>
    <row r="556" spans="1:1" ht="15.75" customHeight="1" x14ac:dyDescent="0.45">
      <c r="A556" s="19"/>
    </row>
    <row r="557" spans="1:1" ht="15.75" customHeight="1" x14ac:dyDescent="0.45">
      <c r="A557" s="19"/>
    </row>
    <row r="558" spans="1:1" ht="15.75" customHeight="1" x14ac:dyDescent="0.45">
      <c r="A558" s="19"/>
    </row>
    <row r="559" spans="1:1" ht="15.75" customHeight="1" x14ac:dyDescent="0.45">
      <c r="A559" s="19"/>
    </row>
    <row r="560" spans="1:1" ht="15.75" customHeight="1" x14ac:dyDescent="0.45">
      <c r="A560" s="19"/>
    </row>
    <row r="561" spans="1:1" ht="15.75" customHeight="1" x14ac:dyDescent="0.45">
      <c r="A561" s="19"/>
    </row>
    <row r="562" spans="1:1" ht="15.75" customHeight="1" x14ac:dyDescent="0.45">
      <c r="A562" s="19"/>
    </row>
    <row r="563" spans="1:1" ht="15.75" customHeight="1" x14ac:dyDescent="0.45">
      <c r="A563" s="19"/>
    </row>
    <row r="564" spans="1:1" ht="15.75" customHeight="1" x14ac:dyDescent="0.45">
      <c r="A564" s="19"/>
    </row>
    <row r="565" spans="1:1" ht="15.75" customHeight="1" x14ac:dyDescent="0.45">
      <c r="A565" s="19"/>
    </row>
    <row r="566" spans="1:1" ht="15.75" customHeight="1" x14ac:dyDescent="0.45">
      <c r="A566" s="19"/>
    </row>
    <row r="567" spans="1:1" ht="15.75" customHeight="1" x14ac:dyDescent="0.45">
      <c r="A567" s="19"/>
    </row>
    <row r="568" spans="1:1" ht="15.75" customHeight="1" x14ac:dyDescent="0.45">
      <c r="A568" s="19"/>
    </row>
    <row r="569" spans="1:1" ht="15.75" customHeight="1" x14ac:dyDescent="0.45">
      <c r="A569" s="19"/>
    </row>
    <row r="570" spans="1:1" ht="15.75" customHeight="1" x14ac:dyDescent="0.45">
      <c r="A570" s="19"/>
    </row>
    <row r="571" spans="1:1" ht="15.75" customHeight="1" x14ac:dyDescent="0.45">
      <c r="A571" s="19"/>
    </row>
    <row r="572" spans="1:1" ht="15.75" customHeight="1" x14ac:dyDescent="0.45">
      <c r="A572" s="19"/>
    </row>
    <row r="573" spans="1:1" ht="15.75" customHeight="1" x14ac:dyDescent="0.45">
      <c r="A573" s="19"/>
    </row>
    <row r="574" spans="1:1" ht="15.75" customHeight="1" x14ac:dyDescent="0.45">
      <c r="A574" s="19"/>
    </row>
    <row r="575" spans="1:1" ht="15.75" customHeight="1" x14ac:dyDescent="0.45">
      <c r="A575" s="19"/>
    </row>
    <row r="576" spans="1:1" ht="15.75" customHeight="1" x14ac:dyDescent="0.45">
      <c r="A576" s="19"/>
    </row>
    <row r="577" spans="1:1" ht="15.75" customHeight="1" x14ac:dyDescent="0.45">
      <c r="A577" s="19"/>
    </row>
    <row r="578" spans="1:1" ht="15.75" customHeight="1" x14ac:dyDescent="0.45">
      <c r="A578" s="19"/>
    </row>
    <row r="579" spans="1:1" ht="15.75" customHeight="1" x14ac:dyDescent="0.45">
      <c r="A579" s="19"/>
    </row>
    <row r="580" spans="1:1" ht="15.75" customHeight="1" x14ac:dyDescent="0.45">
      <c r="A580" s="19"/>
    </row>
    <row r="581" spans="1:1" ht="15.75" customHeight="1" x14ac:dyDescent="0.45">
      <c r="A581" s="19"/>
    </row>
    <row r="582" spans="1:1" ht="15.75" customHeight="1" x14ac:dyDescent="0.45">
      <c r="A582" s="19"/>
    </row>
    <row r="583" spans="1:1" ht="15.75" customHeight="1" x14ac:dyDescent="0.45">
      <c r="A583" s="19"/>
    </row>
    <row r="584" spans="1:1" ht="15.75" customHeight="1" x14ac:dyDescent="0.45">
      <c r="A584" s="19"/>
    </row>
    <row r="585" spans="1:1" ht="15.75" customHeight="1" x14ac:dyDescent="0.45">
      <c r="A585" s="19"/>
    </row>
    <row r="586" spans="1:1" ht="15.75" customHeight="1" x14ac:dyDescent="0.45">
      <c r="A586" s="19"/>
    </row>
    <row r="587" spans="1:1" ht="15.75" customHeight="1" x14ac:dyDescent="0.45">
      <c r="A587" s="19"/>
    </row>
    <row r="588" spans="1:1" ht="15.75" customHeight="1" x14ac:dyDescent="0.45">
      <c r="A588" s="19"/>
    </row>
    <row r="589" spans="1:1" ht="15.75" customHeight="1" x14ac:dyDescent="0.45">
      <c r="A589" s="19"/>
    </row>
    <row r="590" spans="1:1" ht="15.75" customHeight="1" x14ac:dyDescent="0.45">
      <c r="A590" s="19"/>
    </row>
    <row r="591" spans="1:1" ht="15.75" customHeight="1" x14ac:dyDescent="0.45">
      <c r="A591" s="19"/>
    </row>
    <row r="592" spans="1:1" ht="15.75" customHeight="1" x14ac:dyDescent="0.45">
      <c r="A592" s="19"/>
    </row>
    <row r="593" spans="1:1" ht="15.75" customHeight="1" x14ac:dyDescent="0.45">
      <c r="A593" s="19"/>
    </row>
    <row r="594" spans="1:1" ht="15.75" customHeight="1" x14ac:dyDescent="0.45">
      <c r="A594" s="19"/>
    </row>
    <row r="595" spans="1:1" ht="15.75" customHeight="1" x14ac:dyDescent="0.45">
      <c r="A595" s="19"/>
    </row>
    <row r="596" spans="1:1" ht="15.75" customHeight="1" x14ac:dyDescent="0.45">
      <c r="A596" s="19"/>
    </row>
    <row r="597" spans="1:1" ht="15.75" customHeight="1" x14ac:dyDescent="0.45">
      <c r="A597" s="19"/>
    </row>
    <row r="598" spans="1:1" ht="15.75" customHeight="1" x14ac:dyDescent="0.45">
      <c r="A598" s="19"/>
    </row>
    <row r="599" spans="1:1" ht="15.75" customHeight="1" x14ac:dyDescent="0.45">
      <c r="A599" s="19"/>
    </row>
    <row r="600" spans="1:1" ht="15.75" customHeight="1" x14ac:dyDescent="0.45">
      <c r="A600" s="19"/>
    </row>
    <row r="601" spans="1:1" ht="15.75" customHeight="1" x14ac:dyDescent="0.45">
      <c r="A601" s="19"/>
    </row>
    <row r="602" spans="1:1" ht="15.75" customHeight="1" x14ac:dyDescent="0.45">
      <c r="A602" s="19"/>
    </row>
    <row r="603" spans="1:1" ht="15.75" customHeight="1" x14ac:dyDescent="0.45">
      <c r="A603" s="19"/>
    </row>
    <row r="604" spans="1:1" ht="15.75" customHeight="1" x14ac:dyDescent="0.45">
      <c r="A604" s="19"/>
    </row>
    <row r="605" spans="1:1" ht="15.75" customHeight="1" x14ac:dyDescent="0.45">
      <c r="A605" s="19"/>
    </row>
    <row r="606" spans="1:1" ht="15.75" customHeight="1" x14ac:dyDescent="0.45">
      <c r="A606" s="19"/>
    </row>
    <row r="607" spans="1:1" ht="15.75" customHeight="1" x14ac:dyDescent="0.45">
      <c r="A607" s="19"/>
    </row>
    <row r="608" spans="1:1" ht="15.75" customHeight="1" x14ac:dyDescent="0.45">
      <c r="A608" s="19"/>
    </row>
    <row r="609" spans="1:1" ht="15.75" customHeight="1" x14ac:dyDescent="0.45">
      <c r="A609" s="19"/>
    </row>
    <row r="610" spans="1:1" ht="15.75" customHeight="1" x14ac:dyDescent="0.45">
      <c r="A610" s="19"/>
    </row>
    <row r="611" spans="1:1" ht="15.75" customHeight="1" x14ac:dyDescent="0.45">
      <c r="A611" s="19"/>
    </row>
    <row r="612" spans="1:1" ht="15.75" customHeight="1" x14ac:dyDescent="0.45">
      <c r="A612" s="19"/>
    </row>
    <row r="613" spans="1:1" ht="15.75" customHeight="1" x14ac:dyDescent="0.45">
      <c r="A613" s="19"/>
    </row>
    <row r="614" spans="1:1" ht="15.75" customHeight="1" x14ac:dyDescent="0.45">
      <c r="A614" s="19"/>
    </row>
    <row r="615" spans="1:1" ht="15.75" customHeight="1" x14ac:dyDescent="0.45">
      <c r="A615" s="19"/>
    </row>
    <row r="616" spans="1:1" ht="15.75" customHeight="1" x14ac:dyDescent="0.45">
      <c r="A616" s="19"/>
    </row>
    <row r="617" spans="1:1" ht="15.75" customHeight="1" x14ac:dyDescent="0.45">
      <c r="A617" s="19"/>
    </row>
    <row r="618" spans="1:1" ht="15.75" customHeight="1" x14ac:dyDescent="0.45">
      <c r="A618" s="19"/>
    </row>
    <row r="619" spans="1:1" ht="15.75" customHeight="1" x14ac:dyDescent="0.45">
      <c r="A619" s="19"/>
    </row>
    <row r="620" spans="1:1" ht="15.75" customHeight="1" x14ac:dyDescent="0.45">
      <c r="A620" s="19"/>
    </row>
    <row r="621" spans="1:1" ht="15.75" customHeight="1" x14ac:dyDescent="0.45">
      <c r="A621" s="19"/>
    </row>
    <row r="622" spans="1:1" ht="15.75" customHeight="1" x14ac:dyDescent="0.45">
      <c r="A622" s="19"/>
    </row>
    <row r="623" spans="1:1" ht="15.75" customHeight="1" x14ac:dyDescent="0.45">
      <c r="A623" s="19"/>
    </row>
    <row r="624" spans="1:1" ht="15.75" customHeight="1" x14ac:dyDescent="0.45">
      <c r="A624" s="19"/>
    </row>
    <row r="625" spans="1:1" ht="15.75" customHeight="1" x14ac:dyDescent="0.45">
      <c r="A625" s="19"/>
    </row>
    <row r="626" spans="1:1" ht="15.75" customHeight="1" x14ac:dyDescent="0.45">
      <c r="A626" s="19"/>
    </row>
    <row r="627" spans="1:1" ht="15.75" customHeight="1" x14ac:dyDescent="0.45">
      <c r="A627" s="19"/>
    </row>
    <row r="628" spans="1:1" ht="15.75" customHeight="1" x14ac:dyDescent="0.45">
      <c r="A628" s="19"/>
    </row>
    <row r="629" spans="1:1" ht="15.75" customHeight="1" x14ac:dyDescent="0.45">
      <c r="A629" s="19"/>
    </row>
    <row r="630" spans="1:1" ht="15.75" customHeight="1" x14ac:dyDescent="0.45">
      <c r="A630" s="19"/>
    </row>
    <row r="631" spans="1:1" ht="15.75" customHeight="1" x14ac:dyDescent="0.45">
      <c r="A631" s="19"/>
    </row>
    <row r="632" spans="1:1" ht="15.75" customHeight="1" x14ac:dyDescent="0.45">
      <c r="A632" s="19"/>
    </row>
    <row r="633" spans="1:1" ht="15.75" customHeight="1" x14ac:dyDescent="0.45">
      <c r="A633" s="19"/>
    </row>
    <row r="634" spans="1:1" ht="15.75" customHeight="1" x14ac:dyDescent="0.45">
      <c r="A634" s="19"/>
    </row>
    <row r="635" spans="1:1" ht="15.75" customHeight="1" x14ac:dyDescent="0.45">
      <c r="A635" s="19"/>
    </row>
    <row r="636" spans="1:1" ht="15.75" customHeight="1" x14ac:dyDescent="0.45">
      <c r="A636" s="19"/>
    </row>
    <row r="637" spans="1:1" ht="15.75" customHeight="1" x14ac:dyDescent="0.45">
      <c r="A637" s="19"/>
    </row>
    <row r="638" spans="1:1" ht="15.75" customHeight="1" x14ac:dyDescent="0.45">
      <c r="A638" s="19"/>
    </row>
    <row r="639" spans="1:1" ht="15.75" customHeight="1" x14ac:dyDescent="0.45">
      <c r="A639" s="19"/>
    </row>
    <row r="640" spans="1:1" ht="15.75" customHeight="1" x14ac:dyDescent="0.45">
      <c r="A640" s="19"/>
    </row>
    <row r="641" spans="1:1" ht="15.75" customHeight="1" x14ac:dyDescent="0.45">
      <c r="A641" s="19"/>
    </row>
    <row r="642" spans="1:1" ht="15.75" customHeight="1" x14ac:dyDescent="0.45">
      <c r="A642" s="19"/>
    </row>
    <row r="643" spans="1:1" ht="15.75" customHeight="1" x14ac:dyDescent="0.45">
      <c r="A643" s="19"/>
    </row>
    <row r="644" spans="1:1" ht="15.75" customHeight="1" x14ac:dyDescent="0.45">
      <c r="A644" s="19"/>
    </row>
    <row r="645" spans="1:1" ht="15.75" customHeight="1" x14ac:dyDescent="0.45">
      <c r="A645" s="19"/>
    </row>
    <row r="646" spans="1:1" ht="15.75" customHeight="1" x14ac:dyDescent="0.45">
      <c r="A646" s="19"/>
    </row>
    <row r="647" spans="1:1" ht="15.75" customHeight="1" x14ac:dyDescent="0.45">
      <c r="A647" s="19"/>
    </row>
    <row r="648" spans="1:1" ht="15.75" customHeight="1" x14ac:dyDescent="0.45">
      <c r="A648" s="19"/>
    </row>
    <row r="649" spans="1:1" ht="15.75" customHeight="1" x14ac:dyDescent="0.45">
      <c r="A649" s="19"/>
    </row>
    <row r="650" spans="1:1" ht="15.75" customHeight="1" x14ac:dyDescent="0.45">
      <c r="A650" s="19"/>
    </row>
    <row r="651" spans="1:1" ht="15.75" customHeight="1" x14ac:dyDescent="0.45">
      <c r="A651" s="19"/>
    </row>
    <row r="652" spans="1:1" ht="15.75" customHeight="1" x14ac:dyDescent="0.45">
      <c r="A652" s="19"/>
    </row>
    <row r="653" spans="1:1" ht="15.75" customHeight="1" x14ac:dyDescent="0.45">
      <c r="A653" s="19"/>
    </row>
    <row r="654" spans="1:1" ht="15.75" customHeight="1" x14ac:dyDescent="0.45">
      <c r="A654" s="19"/>
    </row>
    <row r="655" spans="1:1" ht="15.75" customHeight="1" x14ac:dyDescent="0.45">
      <c r="A655" s="19"/>
    </row>
    <row r="656" spans="1:1" ht="15.75" customHeight="1" x14ac:dyDescent="0.45">
      <c r="A656" s="19"/>
    </row>
    <row r="657" spans="1:1" ht="15.75" customHeight="1" x14ac:dyDescent="0.45">
      <c r="A657" s="19"/>
    </row>
    <row r="658" spans="1:1" ht="15.75" customHeight="1" x14ac:dyDescent="0.45">
      <c r="A658" s="19"/>
    </row>
    <row r="659" spans="1:1" ht="15.75" customHeight="1" x14ac:dyDescent="0.45">
      <c r="A659" s="19"/>
    </row>
    <row r="660" spans="1:1" ht="15.75" customHeight="1" x14ac:dyDescent="0.45">
      <c r="A660" s="19"/>
    </row>
    <row r="661" spans="1:1" ht="15.75" customHeight="1" x14ac:dyDescent="0.45">
      <c r="A661" s="19"/>
    </row>
    <row r="662" spans="1:1" ht="15.75" customHeight="1" x14ac:dyDescent="0.45">
      <c r="A662" s="19"/>
    </row>
    <row r="663" spans="1:1" ht="15.75" customHeight="1" x14ac:dyDescent="0.45">
      <c r="A663" s="19"/>
    </row>
    <row r="664" spans="1:1" ht="15.75" customHeight="1" x14ac:dyDescent="0.45">
      <c r="A664" s="19"/>
    </row>
    <row r="665" spans="1:1" ht="15.75" customHeight="1" x14ac:dyDescent="0.45">
      <c r="A665" s="19"/>
    </row>
    <row r="666" spans="1:1" ht="15.75" customHeight="1" x14ac:dyDescent="0.45">
      <c r="A666" s="19"/>
    </row>
    <row r="667" spans="1:1" ht="15.75" customHeight="1" x14ac:dyDescent="0.45">
      <c r="A667" s="19"/>
    </row>
    <row r="668" spans="1:1" ht="15.75" customHeight="1" x14ac:dyDescent="0.45">
      <c r="A668" s="19"/>
    </row>
    <row r="669" spans="1:1" ht="15.75" customHeight="1" x14ac:dyDescent="0.45">
      <c r="A669" s="19"/>
    </row>
    <row r="670" spans="1:1" ht="15.75" customHeight="1" x14ac:dyDescent="0.45">
      <c r="A670" s="19"/>
    </row>
    <row r="671" spans="1:1" ht="15.75" customHeight="1" x14ac:dyDescent="0.45">
      <c r="A671" s="19"/>
    </row>
    <row r="672" spans="1:1" ht="15.75" customHeight="1" x14ac:dyDescent="0.45">
      <c r="A672" s="19"/>
    </row>
    <row r="673" spans="1:1" ht="15.75" customHeight="1" x14ac:dyDescent="0.45">
      <c r="A673" s="19"/>
    </row>
    <row r="674" spans="1:1" ht="15.75" customHeight="1" x14ac:dyDescent="0.45">
      <c r="A674" s="19"/>
    </row>
    <row r="675" spans="1:1" ht="15.75" customHeight="1" x14ac:dyDescent="0.45">
      <c r="A675" s="19"/>
    </row>
    <row r="676" spans="1:1" ht="15.75" customHeight="1" x14ac:dyDescent="0.45">
      <c r="A676" s="19"/>
    </row>
    <row r="677" spans="1:1" ht="15.75" customHeight="1" x14ac:dyDescent="0.45">
      <c r="A677" s="19"/>
    </row>
    <row r="678" spans="1:1" ht="15.75" customHeight="1" x14ac:dyDescent="0.45">
      <c r="A678" s="19"/>
    </row>
    <row r="679" spans="1:1" ht="15.75" customHeight="1" x14ac:dyDescent="0.45">
      <c r="A679" s="19"/>
    </row>
    <row r="680" spans="1:1" ht="15.75" customHeight="1" x14ac:dyDescent="0.45">
      <c r="A680" s="19"/>
    </row>
    <row r="681" spans="1:1" ht="15.75" customHeight="1" x14ac:dyDescent="0.45">
      <c r="A681" s="19"/>
    </row>
    <row r="682" spans="1:1" ht="15.75" customHeight="1" x14ac:dyDescent="0.45">
      <c r="A682" s="19"/>
    </row>
    <row r="683" spans="1:1" ht="15.75" customHeight="1" x14ac:dyDescent="0.45">
      <c r="A683" s="19"/>
    </row>
    <row r="684" spans="1:1" ht="15.75" customHeight="1" x14ac:dyDescent="0.45">
      <c r="A684" s="19"/>
    </row>
    <row r="685" spans="1:1" ht="15.75" customHeight="1" x14ac:dyDescent="0.45">
      <c r="A685" s="19"/>
    </row>
    <row r="686" spans="1:1" ht="15.75" customHeight="1" x14ac:dyDescent="0.45">
      <c r="A686" s="19"/>
    </row>
    <row r="687" spans="1:1" ht="15.75" customHeight="1" x14ac:dyDescent="0.45">
      <c r="A687" s="19"/>
    </row>
    <row r="688" spans="1:1" ht="15.75" customHeight="1" x14ac:dyDescent="0.45">
      <c r="A688" s="19"/>
    </row>
    <row r="689" spans="1:1" ht="15.75" customHeight="1" x14ac:dyDescent="0.45">
      <c r="A689" s="19"/>
    </row>
    <row r="690" spans="1:1" ht="15.75" customHeight="1" x14ac:dyDescent="0.45">
      <c r="A690" s="19"/>
    </row>
    <row r="691" spans="1:1" ht="15.75" customHeight="1" x14ac:dyDescent="0.45">
      <c r="A691" s="19"/>
    </row>
    <row r="692" spans="1:1" ht="15.75" customHeight="1" x14ac:dyDescent="0.45">
      <c r="A692" s="19"/>
    </row>
    <row r="693" spans="1:1" ht="15.75" customHeight="1" x14ac:dyDescent="0.45">
      <c r="A693" s="19"/>
    </row>
    <row r="694" spans="1:1" ht="15.75" customHeight="1" x14ac:dyDescent="0.45">
      <c r="A694" s="19"/>
    </row>
    <row r="695" spans="1:1" ht="15.75" customHeight="1" x14ac:dyDescent="0.45">
      <c r="A695" s="19"/>
    </row>
    <row r="696" spans="1:1" ht="15.75" customHeight="1" x14ac:dyDescent="0.45">
      <c r="A696" s="19"/>
    </row>
    <row r="697" spans="1:1" ht="15.75" customHeight="1" x14ac:dyDescent="0.45">
      <c r="A697" s="19"/>
    </row>
    <row r="698" spans="1:1" ht="15.75" customHeight="1" x14ac:dyDescent="0.45">
      <c r="A698" s="19"/>
    </row>
    <row r="699" spans="1:1" ht="15.75" customHeight="1" x14ac:dyDescent="0.45">
      <c r="A699" s="19"/>
    </row>
    <row r="700" spans="1:1" ht="15.75" customHeight="1" x14ac:dyDescent="0.45">
      <c r="A700" s="19"/>
    </row>
    <row r="701" spans="1:1" ht="15.75" customHeight="1" x14ac:dyDescent="0.45">
      <c r="A701" s="19"/>
    </row>
    <row r="702" spans="1:1" ht="15.75" customHeight="1" x14ac:dyDescent="0.45">
      <c r="A702" s="19"/>
    </row>
    <row r="703" spans="1:1" ht="15.75" customHeight="1" x14ac:dyDescent="0.45">
      <c r="A703" s="19"/>
    </row>
    <row r="704" spans="1:1" ht="15.75" customHeight="1" x14ac:dyDescent="0.45">
      <c r="A704" s="19"/>
    </row>
    <row r="705" spans="1:1" ht="15.75" customHeight="1" x14ac:dyDescent="0.45">
      <c r="A705" s="19"/>
    </row>
    <row r="706" spans="1:1" ht="15.75" customHeight="1" x14ac:dyDescent="0.45">
      <c r="A706" s="19"/>
    </row>
    <row r="707" spans="1:1" ht="15.75" customHeight="1" x14ac:dyDescent="0.45">
      <c r="A707" s="19"/>
    </row>
    <row r="708" spans="1:1" ht="15.75" customHeight="1" x14ac:dyDescent="0.45">
      <c r="A708" s="19"/>
    </row>
    <row r="709" spans="1:1" ht="15.75" customHeight="1" x14ac:dyDescent="0.45">
      <c r="A709" s="19"/>
    </row>
    <row r="710" spans="1:1" ht="15.75" customHeight="1" x14ac:dyDescent="0.45">
      <c r="A710" s="19"/>
    </row>
    <row r="711" spans="1:1" ht="15.75" customHeight="1" x14ac:dyDescent="0.45">
      <c r="A711" s="19"/>
    </row>
    <row r="712" spans="1:1" ht="15.75" customHeight="1" x14ac:dyDescent="0.45">
      <c r="A712" s="19"/>
    </row>
    <row r="713" spans="1:1" ht="15.75" customHeight="1" x14ac:dyDescent="0.45">
      <c r="A713" s="19"/>
    </row>
    <row r="714" spans="1:1" ht="15.75" customHeight="1" x14ac:dyDescent="0.45">
      <c r="A714" s="19"/>
    </row>
    <row r="715" spans="1:1" ht="15.75" customHeight="1" x14ac:dyDescent="0.45">
      <c r="A715" s="19"/>
    </row>
    <row r="716" spans="1:1" ht="15.75" customHeight="1" x14ac:dyDescent="0.45">
      <c r="A716" s="19"/>
    </row>
    <row r="717" spans="1:1" ht="15.75" customHeight="1" x14ac:dyDescent="0.45">
      <c r="A717" s="19"/>
    </row>
    <row r="718" spans="1:1" ht="15.75" customHeight="1" x14ac:dyDescent="0.45">
      <c r="A718" s="19"/>
    </row>
    <row r="719" spans="1:1" ht="15.75" customHeight="1" x14ac:dyDescent="0.45">
      <c r="A719" s="19"/>
    </row>
    <row r="720" spans="1:1" ht="15.75" customHeight="1" x14ac:dyDescent="0.45">
      <c r="A720" s="19"/>
    </row>
    <row r="721" spans="1:1" ht="15.75" customHeight="1" x14ac:dyDescent="0.45">
      <c r="A721" s="19"/>
    </row>
    <row r="722" spans="1:1" ht="15.75" customHeight="1" x14ac:dyDescent="0.45">
      <c r="A722" s="19"/>
    </row>
    <row r="723" spans="1:1" ht="15.75" customHeight="1" x14ac:dyDescent="0.45">
      <c r="A723" s="19"/>
    </row>
    <row r="724" spans="1:1" ht="15.75" customHeight="1" x14ac:dyDescent="0.45">
      <c r="A724" s="19"/>
    </row>
    <row r="725" spans="1:1" ht="15.75" customHeight="1" x14ac:dyDescent="0.45">
      <c r="A725" s="19"/>
    </row>
    <row r="726" spans="1:1" ht="15.75" customHeight="1" x14ac:dyDescent="0.45">
      <c r="A726" s="19"/>
    </row>
    <row r="727" spans="1:1" ht="15.75" customHeight="1" x14ac:dyDescent="0.45">
      <c r="A727" s="19"/>
    </row>
    <row r="728" spans="1:1" ht="15.75" customHeight="1" x14ac:dyDescent="0.45">
      <c r="A728" s="19"/>
    </row>
    <row r="729" spans="1:1" ht="15.75" customHeight="1" x14ac:dyDescent="0.45">
      <c r="A729" s="19"/>
    </row>
    <row r="730" spans="1:1" ht="15.75" customHeight="1" x14ac:dyDescent="0.45">
      <c r="A730" s="19"/>
    </row>
    <row r="731" spans="1:1" ht="15.75" customHeight="1" x14ac:dyDescent="0.45">
      <c r="A731" s="19"/>
    </row>
    <row r="732" spans="1:1" ht="15.75" customHeight="1" x14ac:dyDescent="0.45">
      <c r="A732" s="19"/>
    </row>
    <row r="733" spans="1:1" ht="15.75" customHeight="1" x14ac:dyDescent="0.45">
      <c r="A733" s="19"/>
    </row>
    <row r="734" spans="1:1" ht="15.75" customHeight="1" x14ac:dyDescent="0.45">
      <c r="A734" s="19"/>
    </row>
    <row r="735" spans="1:1" ht="15.75" customHeight="1" x14ac:dyDescent="0.45">
      <c r="A735" s="19"/>
    </row>
    <row r="736" spans="1:1" ht="15.75" customHeight="1" x14ac:dyDescent="0.45">
      <c r="A736" s="19"/>
    </row>
    <row r="737" spans="1:1" ht="15.75" customHeight="1" x14ac:dyDescent="0.45">
      <c r="A737" s="19"/>
    </row>
    <row r="738" spans="1:1" ht="15.75" customHeight="1" x14ac:dyDescent="0.45">
      <c r="A738" s="19"/>
    </row>
    <row r="739" spans="1:1" ht="15.75" customHeight="1" x14ac:dyDescent="0.45">
      <c r="A739" s="19"/>
    </row>
    <row r="740" spans="1:1" ht="15.75" customHeight="1" x14ac:dyDescent="0.45">
      <c r="A740" s="19"/>
    </row>
    <row r="741" spans="1:1" ht="15.75" customHeight="1" x14ac:dyDescent="0.45">
      <c r="A741" s="19"/>
    </row>
    <row r="742" spans="1:1" ht="15.75" customHeight="1" x14ac:dyDescent="0.45">
      <c r="A742" s="19"/>
    </row>
    <row r="743" spans="1:1" ht="15.75" customHeight="1" x14ac:dyDescent="0.45">
      <c r="A743" s="19"/>
    </row>
    <row r="744" spans="1:1" ht="15.75" customHeight="1" x14ac:dyDescent="0.45">
      <c r="A744" s="19"/>
    </row>
    <row r="745" spans="1:1" ht="15.75" customHeight="1" x14ac:dyDescent="0.45">
      <c r="A745" s="19"/>
    </row>
    <row r="746" spans="1:1" ht="15.75" customHeight="1" x14ac:dyDescent="0.45">
      <c r="A746" s="19"/>
    </row>
    <row r="747" spans="1:1" ht="15.75" customHeight="1" x14ac:dyDescent="0.45">
      <c r="A747" s="19"/>
    </row>
    <row r="748" spans="1:1" ht="15.75" customHeight="1" x14ac:dyDescent="0.45">
      <c r="A748" s="19"/>
    </row>
    <row r="749" spans="1:1" ht="15.75" customHeight="1" x14ac:dyDescent="0.45">
      <c r="A749" s="19"/>
    </row>
    <row r="750" spans="1:1" ht="15.75" customHeight="1" x14ac:dyDescent="0.45">
      <c r="A750" s="19"/>
    </row>
    <row r="751" spans="1:1" ht="15.75" customHeight="1" x14ac:dyDescent="0.45">
      <c r="A751" s="19"/>
    </row>
    <row r="752" spans="1:1" ht="15.75" customHeight="1" x14ac:dyDescent="0.45">
      <c r="A752" s="19"/>
    </row>
    <row r="753" spans="1:1" ht="15.75" customHeight="1" x14ac:dyDescent="0.45">
      <c r="A753" s="19"/>
    </row>
    <row r="754" spans="1:1" ht="15.75" customHeight="1" x14ac:dyDescent="0.45">
      <c r="A754" s="19"/>
    </row>
    <row r="755" spans="1:1" ht="15.75" customHeight="1" x14ac:dyDescent="0.45">
      <c r="A755" s="19"/>
    </row>
    <row r="756" spans="1:1" ht="15.75" customHeight="1" x14ac:dyDescent="0.45">
      <c r="A756" s="19"/>
    </row>
    <row r="757" spans="1:1" ht="15.75" customHeight="1" x14ac:dyDescent="0.45">
      <c r="A757" s="19"/>
    </row>
    <row r="758" spans="1:1" ht="15.75" customHeight="1" x14ac:dyDescent="0.45">
      <c r="A758" s="19"/>
    </row>
    <row r="759" spans="1:1" ht="15.75" customHeight="1" x14ac:dyDescent="0.45">
      <c r="A759" s="19"/>
    </row>
    <row r="760" spans="1:1" ht="15.75" customHeight="1" x14ac:dyDescent="0.45">
      <c r="A760" s="19"/>
    </row>
    <row r="761" spans="1:1" ht="15.75" customHeight="1" x14ac:dyDescent="0.45">
      <c r="A761" s="19"/>
    </row>
    <row r="762" spans="1:1" ht="15.75" customHeight="1" x14ac:dyDescent="0.45">
      <c r="A762" s="19"/>
    </row>
    <row r="763" spans="1:1" ht="15.75" customHeight="1" x14ac:dyDescent="0.45">
      <c r="A763" s="19"/>
    </row>
    <row r="764" spans="1:1" ht="15.75" customHeight="1" x14ac:dyDescent="0.45">
      <c r="A764" s="19"/>
    </row>
    <row r="765" spans="1:1" ht="15.75" customHeight="1" x14ac:dyDescent="0.45">
      <c r="A765" s="19"/>
    </row>
    <row r="766" spans="1:1" ht="15.75" customHeight="1" x14ac:dyDescent="0.45">
      <c r="A766" s="19"/>
    </row>
    <row r="767" spans="1:1" ht="15.75" customHeight="1" x14ac:dyDescent="0.45">
      <c r="A767" s="19"/>
    </row>
    <row r="768" spans="1:1" ht="15.75" customHeight="1" x14ac:dyDescent="0.45">
      <c r="A768" s="19"/>
    </row>
    <row r="769" spans="1:1" ht="15.75" customHeight="1" x14ac:dyDescent="0.45">
      <c r="A769" s="19"/>
    </row>
    <row r="770" spans="1:1" ht="15.75" customHeight="1" x14ac:dyDescent="0.45">
      <c r="A770" s="19"/>
    </row>
    <row r="771" spans="1:1" ht="15.75" customHeight="1" x14ac:dyDescent="0.45">
      <c r="A771" s="19"/>
    </row>
    <row r="772" spans="1:1" ht="15.75" customHeight="1" x14ac:dyDescent="0.45">
      <c r="A772" s="19"/>
    </row>
    <row r="773" spans="1:1" ht="15.75" customHeight="1" x14ac:dyDescent="0.45">
      <c r="A773" s="19"/>
    </row>
    <row r="774" spans="1:1" ht="15.75" customHeight="1" x14ac:dyDescent="0.45">
      <c r="A774" s="19"/>
    </row>
    <row r="775" spans="1:1" ht="15.75" customHeight="1" x14ac:dyDescent="0.45">
      <c r="A775" s="19"/>
    </row>
    <row r="776" spans="1:1" ht="15.75" customHeight="1" x14ac:dyDescent="0.45">
      <c r="A776" s="19"/>
    </row>
    <row r="777" spans="1:1" ht="15.75" customHeight="1" x14ac:dyDescent="0.45">
      <c r="A777" s="19"/>
    </row>
    <row r="778" spans="1:1" ht="15.75" customHeight="1" x14ac:dyDescent="0.45">
      <c r="A778" s="19"/>
    </row>
    <row r="779" spans="1:1" ht="15.75" customHeight="1" x14ac:dyDescent="0.45">
      <c r="A779" s="19"/>
    </row>
    <row r="780" spans="1:1" ht="15.75" customHeight="1" x14ac:dyDescent="0.45">
      <c r="A780" s="19"/>
    </row>
    <row r="781" spans="1:1" ht="15.75" customHeight="1" x14ac:dyDescent="0.45">
      <c r="A781" s="19"/>
    </row>
    <row r="782" spans="1:1" ht="15.75" customHeight="1" x14ac:dyDescent="0.45">
      <c r="A782" s="19"/>
    </row>
    <row r="783" spans="1:1" ht="15.75" customHeight="1" x14ac:dyDescent="0.45">
      <c r="A783" s="19"/>
    </row>
    <row r="784" spans="1:1" ht="15.75" customHeight="1" x14ac:dyDescent="0.45">
      <c r="A784" s="19"/>
    </row>
    <row r="785" spans="1:1" ht="15.75" customHeight="1" x14ac:dyDescent="0.45">
      <c r="A785" s="19"/>
    </row>
    <row r="786" spans="1:1" ht="15.75" customHeight="1" x14ac:dyDescent="0.45">
      <c r="A786" s="19"/>
    </row>
    <row r="787" spans="1:1" ht="15.75" customHeight="1" x14ac:dyDescent="0.45">
      <c r="A787" s="19"/>
    </row>
    <row r="788" spans="1:1" ht="15.75" customHeight="1" x14ac:dyDescent="0.45">
      <c r="A788" s="19"/>
    </row>
    <row r="789" spans="1:1" ht="15.75" customHeight="1" x14ac:dyDescent="0.45">
      <c r="A789" s="19"/>
    </row>
    <row r="790" spans="1:1" ht="15.75" customHeight="1" x14ac:dyDescent="0.45">
      <c r="A790" s="19"/>
    </row>
    <row r="791" spans="1:1" ht="15.75" customHeight="1" x14ac:dyDescent="0.45">
      <c r="A791" s="19"/>
    </row>
    <row r="792" spans="1:1" ht="15.75" customHeight="1" x14ac:dyDescent="0.45">
      <c r="A792" s="19"/>
    </row>
    <row r="793" spans="1:1" ht="15.75" customHeight="1" x14ac:dyDescent="0.45">
      <c r="A793" s="19"/>
    </row>
    <row r="794" spans="1:1" ht="15.75" customHeight="1" x14ac:dyDescent="0.45">
      <c r="A794" s="19"/>
    </row>
    <row r="795" spans="1:1" ht="15.75" customHeight="1" x14ac:dyDescent="0.45">
      <c r="A795" s="19"/>
    </row>
    <row r="796" spans="1:1" ht="15.75" customHeight="1" x14ac:dyDescent="0.45">
      <c r="A796" s="19"/>
    </row>
    <row r="797" spans="1:1" ht="15.75" customHeight="1" x14ac:dyDescent="0.45">
      <c r="A797" s="19"/>
    </row>
    <row r="798" spans="1:1" ht="15.75" customHeight="1" x14ac:dyDescent="0.45">
      <c r="A798" s="19"/>
    </row>
    <row r="799" spans="1:1" ht="15.75" customHeight="1" x14ac:dyDescent="0.45">
      <c r="A799" s="19"/>
    </row>
    <row r="800" spans="1:1" ht="15.75" customHeight="1" x14ac:dyDescent="0.45">
      <c r="A800" s="19"/>
    </row>
    <row r="801" spans="1:1" ht="15.75" customHeight="1" x14ac:dyDescent="0.45">
      <c r="A801" s="19"/>
    </row>
    <row r="802" spans="1:1" ht="15.75" customHeight="1" x14ac:dyDescent="0.45">
      <c r="A802" s="19"/>
    </row>
    <row r="803" spans="1:1" ht="15.75" customHeight="1" x14ac:dyDescent="0.45">
      <c r="A803" s="19"/>
    </row>
    <row r="804" spans="1:1" ht="15.75" customHeight="1" x14ac:dyDescent="0.45">
      <c r="A804" s="19"/>
    </row>
    <row r="805" spans="1:1" ht="15.75" customHeight="1" x14ac:dyDescent="0.45">
      <c r="A805" s="19"/>
    </row>
    <row r="806" spans="1:1" ht="15.75" customHeight="1" x14ac:dyDescent="0.45">
      <c r="A806" s="19"/>
    </row>
    <row r="807" spans="1:1" ht="15.75" customHeight="1" x14ac:dyDescent="0.45">
      <c r="A807" s="19"/>
    </row>
    <row r="808" spans="1:1" ht="15.75" customHeight="1" x14ac:dyDescent="0.45">
      <c r="A808" s="19"/>
    </row>
    <row r="809" spans="1:1" ht="15.75" customHeight="1" x14ac:dyDescent="0.45">
      <c r="A809" s="19"/>
    </row>
    <row r="810" spans="1:1" ht="15.75" customHeight="1" x14ac:dyDescent="0.45">
      <c r="A810" s="19"/>
    </row>
    <row r="811" spans="1:1" ht="15.75" customHeight="1" x14ac:dyDescent="0.45">
      <c r="A811" s="19"/>
    </row>
    <row r="812" spans="1:1" ht="15.75" customHeight="1" x14ac:dyDescent="0.45">
      <c r="A812" s="19"/>
    </row>
    <row r="813" spans="1:1" ht="15.75" customHeight="1" x14ac:dyDescent="0.45">
      <c r="A813" s="19"/>
    </row>
    <row r="814" spans="1:1" ht="15.75" customHeight="1" x14ac:dyDescent="0.45">
      <c r="A814" s="19"/>
    </row>
    <row r="815" spans="1:1" ht="15.75" customHeight="1" x14ac:dyDescent="0.45">
      <c r="A815" s="19"/>
    </row>
    <row r="816" spans="1:1" ht="15.75" customHeight="1" x14ac:dyDescent="0.45">
      <c r="A816" s="19"/>
    </row>
    <row r="817" spans="1:1" ht="15.75" customHeight="1" x14ac:dyDescent="0.45">
      <c r="A817" s="19"/>
    </row>
    <row r="818" spans="1:1" ht="15.75" customHeight="1" x14ac:dyDescent="0.45">
      <c r="A818" s="19"/>
    </row>
    <row r="819" spans="1:1" ht="15.75" customHeight="1" x14ac:dyDescent="0.45">
      <c r="A819" s="19"/>
    </row>
    <row r="820" spans="1:1" ht="15.75" customHeight="1" x14ac:dyDescent="0.45">
      <c r="A820" s="19"/>
    </row>
    <row r="821" spans="1:1" ht="15.75" customHeight="1" x14ac:dyDescent="0.45">
      <c r="A821" s="19"/>
    </row>
    <row r="822" spans="1:1" ht="15.75" customHeight="1" x14ac:dyDescent="0.45">
      <c r="A822" s="19"/>
    </row>
    <row r="823" spans="1:1" ht="15.75" customHeight="1" x14ac:dyDescent="0.45">
      <c r="A823" s="19"/>
    </row>
    <row r="824" spans="1:1" ht="15.75" customHeight="1" x14ac:dyDescent="0.45">
      <c r="A824" s="19"/>
    </row>
    <row r="825" spans="1:1" ht="15.75" customHeight="1" x14ac:dyDescent="0.45">
      <c r="A825" s="19"/>
    </row>
    <row r="826" spans="1:1" ht="15.75" customHeight="1" x14ac:dyDescent="0.45">
      <c r="A826" s="19"/>
    </row>
    <row r="827" spans="1:1" ht="15.75" customHeight="1" x14ac:dyDescent="0.45">
      <c r="A827" s="19"/>
    </row>
    <row r="828" spans="1:1" ht="15.75" customHeight="1" x14ac:dyDescent="0.45">
      <c r="A828" s="19"/>
    </row>
    <row r="829" spans="1:1" ht="15.75" customHeight="1" x14ac:dyDescent="0.45">
      <c r="A829" s="19"/>
    </row>
    <row r="830" spans="1:1" ht="15.75" customHeight="1" x14ac:dyDescent="0.45">
      <c r="A830" s="19"/>
    </row>
    <row r="831" spans="1:1" ht="15.75" customHeight="1" x14ac:dyDescent="0.45">
      <c r="A831" s="19"/>
    </row>
    <row r="832" spans="1:1" ht="15.75" customHeight="1" x14ac:dyDescent="0.45">
      <c r="A832" s="19"/>
    </row>
    <row r="833" spans="1:1" ht="15.75" customHeight="1" x14ac:dyDescent="0.45">
      <c r="A833" s="19"/>
    </row>
    <row r="834" spans="1:1" ht="15.75" customHeight="1" x14ac:dyDescent="0.45">
      <c r="A834" s="19"/>
    </row>
    <row r="835" spans="1:1" ht="15.75" customHeight="1" x14ac:dyDescent="0.45">
      <c r="A835" s="19"/>
    </row>
    <row r="836" spans="1:1" ht="15.75" customHeight="1" x14ac:dyDescent="0.45">
      <c r="A836" s="19"/>
    </row>
    <row r="837" spans="1:1" ht="15.75" customHeight="1" x14ac:dyDescent="0.45">
      <c r="A837" s="19"/>
    </row>
    <row r="838" spans="1:1" ht="15.75" customHeight="1" x14ac:dyDescent="0.45">
      <c r="A838" s="19"/>
    </row>
    <row r="839" spans="1:1" ht="15.75" customHeight="1" x14ac:dyDescent="0.45">
      <c r="A839" s="19"/>
    </row>
    <row r="840" spans="1:1" ht="15.75" customHeight="1" x14ac:dyDescent="0.45">
      <c r="A840" s="19"/>
    </row>
    <row r="841" spans="1:1" ht="15.75" customHeight="1" x14ac:dyDescent="0.45">
      <c r="A841" s="19"/>
    </row>
    <row r="842" spans="1:1" ht="15.75" customHeight="1" x14ac:dyDescent="0.45">
      <c r="A842" s="19"/>
    </row>
    <row r="843" spans="1:1" ht="15.75" customHeight="1" x14ac:dyDescent="0.45">
      <c r="A843" s="19"/>
    </row>
    <row r="844" spans="1:1" ht="15.75" customHeight="1" x14ac:dyDescent="0.45">
      <c r="A844" s="19"/>
    </row>
    <row r="845" spans="1:1" ht="15.75" customHeight="1" x14ac:dyDescent="0.45">
      <c r="A845" s="19"/>
    </row>
    <row r="846" spans="1:1" ht="15.75" customHeight="1" x14ac:dyDescent="0.45">
      <c r="A846" s="19"/>
    </row>
    <row r="847" spans="1:1" ht="15.75" customHeight="1" x14ac:dyDescent="0.45">
      <c r="A847" s="19"/>
    </row>
    <row r="848" spans="1:1" ht="15.75" customHeight="1" x14ac:dyDescent="0.45">
      <c r="A848" s="19"/>
    </row>
    <row r="849" spans="1:1" ht="15.75" customHeight="1" x14ac:dyDescent="0.45">
      <c r="A849" s="19"/>
    </row>
    <row r="850" spans="1:1" ht="15.75" customHeight="1" x14ac:dyDescent="0.45">
      <c r="A850" s="19"/>
    </row>
    <row r="851" spans="1:1" ht="15.75" customHeight="1" x14ac:dyDescent="0.45">
      <c r="A851" s="19"/>
    </row>
    <row r="852" spans="1:1" ht="15.75" customHeight="1" x14ac:dyDescent="0.45">
      <c r="A852" s="19"/>
    </row>
    <row r="853" spans="1:1" ht="15.75" customHeight="1" x14ac:dyDescent="0.45">
      <c r="A853" s="19"/>
    </row>
    <row r="854" spans="1:1" ht="15.75" customHeight="1" x14ac:dyDescent="0.45">
      <c r="A854" s="19"/>
    </row>
    <row r="855" spans="1:1" ht="15.75" customHeight="1" x14ac:dyDescent="0.45">
      <c r="A855" s="19"/>
    </row>
    <row r="856" spans="1:1" ht="15.75" customHeight="1" x14ac:dyDescent="0.45">
      <c r="A856" s="19"/>
    </row>
    <row r="857" spans="1:1" ht="15.75" customHeight="1" x14ac:dyDescent="0.45">
      <c r="A857" s="19"/>
    </row>
    <row r="858" spans="1:1" ht="15.75" customHeight="1" x14ac:dyDescent="0.45">
      <c r="A858" s="19"/>
    </row>
    <row r="859" spans="1:1" ht="15.75" customHeight="1" x14ac:dyDescent="0.45">
      <c r="A859" s="19"/>
    </row>
    <row r="860" spans="1:1" ht="15.75" customHeight="1" x14ac:dyDescent="0.45">
      <c r="A860" s="19"/>
    </row>
    <row r="861" spans="1:1" ht="15.75" customHeight="1" x14ac:dyDescent="0.45">
      <c r="A861" s="19"/>
    </row>
    <row r="862" spans="1:1" ht="15.75" customHeight="1" x14ac:dyDescent="0.45">
      <c r="A862" s="19"/>
    </row>
    <row r="863" spans="1:1" ht="15.75" customHeight="1" x14ac:dyDescent="0.45">
      <c r="A863" s="19"/>
    </row>
    <row r="864" spans="1:1" ht="15.75" customHeight="1" x14ac:dyDescent="0.45">
      <c r="A864" s="19"/>
    </row>
    <row r="865" spans="1:1" ht="15.75" customHeight="1" x14ac:dyDescent="0.45">
      <c r="A865" s="19"/>
    </row>
    <row r="866" spans="1:1" ht="15.75" customHeight="1" x14ac:dyDescent="0.45">
      <c r="A866" s="19"/>
    </row>
    <row r="867" spans="1:1" ht="15.75" customHeight="1" x14ac:dyDescent="0.45">
      <c r="A867" s="19"/>
    </row>
    <row r="868" spans="1:1" ht="15.75" customHeight="1" x14ac:dyDescent="0.45">
      <c r="A868" s="19"/>
    </row>
    <row r="869" spans="1:1" ht="15.75" customHeight="1" x14ac:dyDescent="0.45">
      <c r="A869" s="19"/>
    </row>
    <row r="870" spans="1:1" ht="15.75" customHeight="1" x14ac:dyDescent="0.45">
      <c r="A870" s="19"/>
    </row>
    <row r="871" spans="1:1" ht="15.75" customHeight="1" x14ac:dyDescent="0.45">
      <c r="A871" s="19"/>
    </row>
    <row r="872" spans="1:1" ht="15.75" customHeight="1" x14ac:dyDescent="0.45">
      <c r="A872" s="19"/>
    </row>
    <row r="873" spans="1:1" ht="15.75" customHeight="1" x14ac:dyDescent="0.45">
      <c r="A873" s="19"/>
    </row>
    <row r="874" spans="1:1" ht="15.75" customHeight="1" x14ac:dyDescent="0.45">
      <c r="A874" s="19"/>
    </row>
    <row r="875" spans="1:1" ht="15.75" customHeight="1" x14ac:dyDescent="0.45">
      <c r="A875" s="19"/>
    </row>
    <row r="876" spans="1:1" ht="15.75" customHeight="1" x14ac:dyDescent="0.45">
      <c r="A876" s="19"/>
    </row>
    <row r="877" spans="1:1" ht="15.75" customHeight="1" x14ac:dyDescent="0.45">
      <c r="A877" s="19"/>
    </row>
    <row r="878" spans="1:1" ht="15.75" customHeight="1" x14ac:dyDescent="0.45">
      <c r="A878" s="19"/>
    </row>
    <row r="879" spans="1:1" ht="15.75" customHeight="1" x14ac:dyDescent="0.45">
      <c r="A879" s="19"/>
    </row>
    <row r="880" spans="1:1" ht="15.75" customHeight="1" x14ac:dyDescent="0.45">
      <c r="A880" s="19"/>
    </row>
    <row r="881" spans="1:1" ht="15.75" customHeight="1" x14ac:dyDescent="0.45">
      <c r="A881" s="19"/>
    </row>
    <row r="882" spans="1:1" ht="15.75" customHeight="1" x14ac:dyDescent="0.45">
      <c r="A882" s="19"/>
    </row>
    <row r="883" spans="1:1" ht="15.75" customHeight="1" x14ac:dyDescent="0.45">
      <c r="A883" s="19"/>
    </row>
    <row r="884" spans="1:1" ht="15.75" customHeight="1" x14ac:dyDescent="0.45">
      <c r="A884" s="19"/>
    </row>
    <row r="885" spans="1:1" ht="15.75" customHeight="1" x14ac:dyDescent="0.45">
      <c r="A885" s="19"/>
    </row>
    <row r="886" spans="1:1" ht="15.75" customHeight="1" x14ac:dyDescent="0.45">
      <c r="A886" s="19"/>
    </row>
    <row r="887" spans="1:1" ht="15.75" customHeight="1" x14ac:dyDescent="0.45">
      <c r="A887" s="19"/>
    </row>
    <row r="888" spans="1:1" ht="15.75" customHeight="1" x14ac:dyDescent="0.45">
      <c r="A888" s="19"/>
    </row>
    <row r="889" spans="1:1" ht="15.75" customHeight="1" x14ac:dyDescent="0.45">
      <c r="A889" s="19"/>
    </row>
    <row r="890" spans="1:1" ht="15.75" customHeight="1" x14ac:dyDescent="0.45">
      <c r="A890" s="19"/>
    </row>
    <row r="891" spans="1:1" ht="15.75" customHeight="1" x14ac:dyDescent="0.45">
      <c r="A891" s="19"/>
    </row>
    <row r="892" spans="1:1" ht="15.75" customHeight="1" x14ac:dyDescent="0.45">
      <c r="A892" s="19"/>
    </row>
    <row r="893" spans="1:1" ht="15.75" customHeight="1" x14ac:dyDescent="0.45">
      <c r="A893" s="19"/>
    </row>
    <row r="894" spans="1:1" ht="15.75" customHeight="1" x14ac:dyDescent="0.45">
      <c r="A894" s="19"/>
    </row>
    <row r="895" spans="1:1" ht="15.75" customHeight="1" x14ac:dyDescent="0.45">
      <c r="A895" s="19"/>
    </row>
    <row r="896" spans="1:1" ht="15.75" customHeight="1" x14ac:dyDescent="0.45">
      <c r="A896" s="19"/>
    </row>
    <row r="897" spans="1:1" ht="15.75" customHeight="1" x14ac:dyDescent="0.45">
      <c r="A897" s="19"/>
    </row>
    <row r="898" spans="1:1" ht="15.75" customHeight="1" x14ac:dyDescent="0.45">
      <c r="A898" s="19"/>
    </row>
    <row r="899" spans="1:1" ht="15.75" customHeight="1" x14ac:dyDescent="0.45">
      <c r="A899" s="19"/>
    </row>
    <row r="900" spans="1:1" ht="15.75" customHeight="1" x14ac:dyDescent="0.45">
      <c r="A900" s="19"/>
    </row>
    <row r="901" spans="1:1" ht="15.75" customHeight="1" x14ac:dyDescent="0.45">
      <c r="A901" s="19"/>
    </row>
    <row r="902" spans="1:1" ht="15.75" customHeight="1" x14ac:dyDescent="0.45">
      <c r="A902" s="19"/>
    </row>
    <row r="903" spans="1:1" ht="15.75" customHeight="1" x14ac:dyDescent="0.45">
      <c r="A903" s="19"/>
    </row>
    <row r="904" spans="1:1" ht="15.75" customHeight="1" x14ac:dyDescent="0.45">
      <c r="A904" s="19"/>
    </row>
    <row r="905" spans="1:1" ht="15.75" customHeight="1" x14ac:dyDescent="0.45">
      <c r="A905" s="19"/>
    </row>
    <row r="906" spans="1:1" ht="15.75" customHeight="1" x14ac:dyDescent="0.45">
      <c r="A906" s="19"/>
    </row>
    <row r="907" spans="1:1" ht="15.75" customHeight="1" x14ac:dyDescent="0.45">
      <c r="A907" s="19"/>
    </row>
    <row r="908" spans="1:1" ht="15.75" customHeight="1" x14ac:dyDescent="0.45">
      <c r="A908" s="19"/>
    </row>
    <row r="909" spans="1:1" ht="15.75" customHeight="1" x14ac:dyDescent="0.45">
      <c r="A909" s="19"/>
    </row>
    <row r="910" spans="1:1" ht="15.75" customHeight="1" x14ac:dyDescent="0.45">
      <c r="A910" s="19"/>
    </row>
    <row r="911" spans="1:1" ht="15.75" customHeight="1" x14ac:dyDescent="0.45">
      <c r="A911" s="19"/>
    </row>
    <row r="912" spans="1:1" ht="15.75" customHeight="1" x14ac:dyDescent="0.45">
      <c r="A912" s="19"/>
    </row>
    <row r="913" spans="1:1" ht="15.75" customHeight="1" x14ac:dyDescent="0.45">
      <c r="A913" s="19"/>
    </row>
    <row r="914" spans="1:1" ht="15.75" customHeight="1" x14ac:dyDescent="0.45">
      <c r="A914" s="19"/>
    </row>
    <row r="915" spans="1:1" ht="15.75" customHeight="1" x14ac:dyDescent="0.45">
      <c r="A915" s="19"/>
    </row>
    <row r="916" spans="1:1" ht="15.75" customHeight="1" x14ac:dyDescent="0.45">
      <c r="A916" s="19"/>
    </row>
    <row r="917" spans="1:1" ht="15.75" customHeight="1" x14ac:dyDescent="0.45">
      <c r="A917" s="19"/>
    </row>
    <row r="918" spans="1:1" ht="15.75" customHeight="1" x14ac:dyDescent="0.45">
      <c r="A918" s="19"/>
    </row>
    <row r="919" spans="1:1" ht="15.75" customHeight="1" x14ac:dyDescent="0.45">
      <c r="A919" s="19"/>
    </row>
    <row r="920" spans="1:1" ht="15.75" customHeight="1" x14ac:dyDescent="0.45">
      <c r="A920" s="19"/>
    </row>
    <row r="921" spans="1:1" ht="15.75" customHeight="1" x14ac:dyDescent="0.45">
      <c r="A921" s="19"/>
    </row>
    <row r="922" spans="1:1" ht="15.75" customHeight="1" x14ac:dyDescent="0.45">
      <c r="A922" s="19"/>
    </row>
    <row r="923" spans="1:1" ht="15.75" customHeight="1" x14ac:dyDescent="0.45">
      <c r="A923" s="19"/>
    </row>
    <row r="924" spans="1:1" ht="15.75" customHeight="1" x14ac:dyDescent="0.45">
      <c r="A924" s="19"/>
    </row>
    <row r="925" spans="1:1" ht="15.75" customHeight="1" x14ac:dyDescent="0.45">
      <c r="A925" s="19"/>
    </row>
    <row r="926" spans="1:1" ht="15.75" customHeight="1" x14ac:dyDescent="0.45">
      <c r="A926" s="19"/>
    </row>
    <row r="927" spans="1:1" ht="15.75" customHeight="1" x14ac:dyDescent="0.45">
      <c r="A927" s="19"/>
    </row>
    <row r="928" spans="1:1" ht="15.75" customHeight="1" x14ac:dyDescent="0.45">
      <c r="A928" s="19"/>
    </row>
    <row r="929" spans="1:1" ht="15.75" customHeight="1" x14ac:dyDescent="0.45">
      <c r="A929" s="19"/>
    </row>
    <row r="930" spans="1:1" ht="15.75" customHeight="1" x14ac:dyDescent="0.45">
      <c r="A930" s="19"/>
    </row>
    <row r="931" spans="1:1" ht="15.75" customHeight="1" x14ac:dyDescent="0.45">
      <c r="A931" s="19"/>
    </row>
    <row r="932" spans="1:1" ht="15.75" customHeight="1" x14ac:dyDescent="0.45">
      <c r="A932" s="19"/>
    </row>
    <row r="933" spans="1:1" ht="15.75" customHeight="1" x14ac:dyDescent="0.45">
      <c r="A933" s="19"/>
    </row>
    <row r="934" spans="1:1" ht="15.75" customHeight="1" x14ac:dyDescent="0.45">
      <c r="A934" s="19"/>
    </row>
    <row r="935" spans="1:1" ht="15.75" customHeight="1" x14ac:dyDescent="0.45">
      <c r="A935" s="19"/>
    </row>
    <row r="936" spans="1:1" ht="15.75" customHeight="1" x14ac:dyDescent="0.45">
      <c r="A936" s="19"/>
    </row>
    <row r="937" spans="1:1" ht="15.75" customHeight="1" x14ac:dyDescent="0.45">
      <c r="A937" s="19"/>
    </row>
    <row r="938" spans="1:1" ht="15.75" customHeight="1" x14ac:dyDescent="0.45">
      <c r="A938" s="19"/>
    </row>
    <row r="939" spans="1:1" ht="15.75" customHeight="1" x14ac:dyDescent="0.45">
      <c r="A939" s="19"/>
    </row>
    <row r="940" spans="1:1" ht="15.75" customHeight="1" x14ac:dyDescent="0.45">
      <c r="A940" s="19"/>
    </row>
    <row r="941" spans="1:1" ht="15.75" customHeight="1" x14ac:dyDescent="0.45">
      <c r="A941" s="19"/>
    </row>
    <row r="942" spans="1:1" ht="15.75" customHeight="1" x14ac:dyDescent="0.45">
      <c r="A942" s="19"/>
    </row>
    <row r="943" spans="1:1" ht="15.75" customHeight="1" x14ac:dyDescent="0.45">
      <c r="A943" s="19"/>
    </row>
    <row r="944" spans="1:1" ht="15.75" customHeight="1" x14ac:dyDescent="0.45">
      <c r="A944" s="19"/>
    </row>
    <row r="945" spans="1:1" ht="15.75" customHeight="1" x14ac:dyDescent="0.45">
      <c r="A945" s="19"/>
    </row>
    <row r="946" spans="1:1" ht="15.75" customHeight="1" x14ac:dyDescent="0.45">
      <c r="A946" s="19"/>
    </row>
    <row r="947" spans="1:1" ht="15.75" customHeight="1" x14ac:dyDescent="0.45">
      <c r="A947" s="19"/>
    </row>
    <row r="948" spans="1:1" ht="15.75" customHeight="1" x14ac:dyDescent="0.45">
      <c r="A948" s="19"/>
    </row>
    <row r="949" spans="1:1" ht="15.75" customHeight="1" x14ac:dyDescent="0.45">
      <c r="A949" s="19"/>
    </row>
    <row r="950" spans="1:1" ht="15.75" customHeight="1" x14ac:dyDescent="0.45">
      <c r="A950" s="19"/>
    </row>
    <row r="951" spans="1:1" ht="15.75" customHeight="1" x14ac:dyDescent="0.45">
      <c r="A951" s="19"/>
    </row>
    <row r="952" spans="1:1" ht="15.75" customHeight="1" x14ac:dyDescent="0.45">
      <c r="A952" s="19"/>
    </row>
    <row r="953" spans="1:1" ht="15.75" customHeight="1" x14ac:dyDescent="0.45">
      <c r="A953" s="19"/>
    </row>
    <row r="954" spans="1:1" ht="15.75" customHeight="1" x14ac:dyDescent="0.45">
      <c r="A954" s="19"/>
    </row>
    <row r="955" spans="1:1" ht="15.75" customHeight="1" x14ac:dyDescent="0.45">
      <c r="A955" s="19"/>
    </row>
    <row r="956" spans="1:1" ht="15.75" customHeight="1" x14ac:dyDescent="0.45">
      <c r="A956" s="19"/>
    </row>
    <row r="957" spans="1:1" ht="15.75" customHeight="1" x14ac:dyDescent="0.45">
      <c r="A957" s="19"/>
    </row>
    <row r="958" spans="1:1" ht="15.75" customHeight="1" x14ac:dyDescent="0.45">
      <c r="A958" s="19"/>
    </row>
    <row r="959" spans="1:1" ht="15.75" customHeight="1" x14ac:dyDescent="0.45">
      <c r="A959" s="19"/>
    </row>
    <row r="960" spans="1:1" ht="15.75" customHeight="1" x14ac:dyDescent="0.45">
      <c r="A960" s="19"/>
    </row>
    <row r="961" spans="1:1" ht="15.75" customHeight="1" x14ac:dyDescent="0.45">
      <c r="A961" s="19"/>
    </row>
    <row r="962" spans="1:1" ht="15.75" customHeight="1" x14ac:dyDescent="0.45">
      <c r="A962" s="19"/>
    </row>
    <row r="963" spans="1:1" ht="15.75" customHeight="1" x14ac:dyDescent="0.45">
      <c r="A963" s="19"/>
    </row>
    <row r="964" spans="1:1" ht="15.75" customHeight="1" x14ac:dyDescent="0.45">
      <c r="A964" s="19"/>
    </row>
    <row r="965" spans="1:1" ht="15.75" customHeight="1" x14ac:dyDescent="0.45">
      <c r="A965" s="19"/>
    </row>
    <row r="966" spans="1:1" ht="15.75" customHeight="1" x14ac:dyDescent="0.45">
      <c r="A966" s="19"/>
    </row>
    <row r="967" spans="1:1" ht="15.75" customHeight="1" x14ac:dyDescent="0.45">
      <c r="A967" s="19"/>
    </row>
    <row r="968" spans="1:1" ht="15.75" customHeight="1" x14ac:dyDescent="0.45">
      <c r="A968" s="19"/>
    </row>
    <row r="969" spans="1:1" ht="15.75" customHeight="1" x14ac:dyDescent="0.45">
      <c r="A969" s="19"/>
    </row>
    <row r="970" spans="1:1" ht="15.75" customHeight="1" x14ac:dyDescent="0.45">
      <c r="A970" s="19"/>
    </row>
    <row r="971" spans="1:1" ht="15.75" customHeight="1" x14ac:dyDescent="0.45">
      <c r="A971" s="19"/>
    </row>
    <row r="972" spans="1:1" ht="15.75" customHeight="1" x14ac:dyDescent="0.45">
      <c r="A972" s="19"/>
    </row>
    <row r="973" spans="1:1" ht="15.75" customHeight="1" x14ac:dyDescent="0.45">
      <c r="A973" s="19"/>
    </row>
    <row r="974" spans="1:1" ht="15.75" customHeight="1" x14ac:dyDescent="0.45">
      <c r="A974" s="19"/>
    </row>
    <row r="975" spans="1:1" ht="15.75" customHeight="1" x14ac:dyDescent="0.45">
      <c r="A975" s="19"/>
    </row>
    <row r="976" spans="1:1" ht="15.75" customHeight="1" x14ac:dyDescent="0.45">
      <c r="A976" s="19"/>
    </row>
    <row r="977" spans="1:1" ht="15.75" customHeight="1" x14ac:dyDescent="0.45">
      <c r="A977" s="19"/>
    </row>
    <row r="978" spans="1:1" ht="15.75" customHeight="1" x14ac:dyDescent="0.45">
      <c r="A978" s="19"/>
    </row>
    <row r="979" spans="1:1" ht="15.75" customHeight="1" x14ac:dyDescent="0.45">
      <c r="A979" s="19"/>
    </row>
    <row r="980" spans="1:1" ht="15.75" customHeight="1" x14ac:dyDescent="0.45">
      <c r="A980" s="19"/>
    </row>
    <row r="981" spans="1:1" ht="15.75" customHeight="1" x14ac:dyDescent="0.45">
      <c r="A981" s="19"/>
    </row>
    <row r="982" spans="1:1" ht="15.75" customHeight="1" x14ac:dyDescent="0.45">
      <c r="A982" s="19"/>
    </row>
    <row r="983" spans="1:1" ht="15.75" customHeight="1" x14ac:dyDescent="0.45">
      <c r="A983" s="19"/>
    </row>
    <row r="984" spans="1:1" ht="15.75" customHeight="1" x14ac:dyDescent="0.45">
      <c r="A984" s="19"/>
    </row>
    <row r="985" spans="1:1" ht="15.75" customHeight="1" x14ac:dyDescent="0.45">
      <c r="A985" s="19"/>
    </row>
    <row r="986" spans="1:1" ht="15.75" customHeight="1" x14ac:dyDescent="0.45">
      <c r="A986" s="19"/>
    </row>
    <row r="987" spans="1:1" ht="15.75" customHeight="1" x14ac:dyDescent="0.45">
      <c r="A987" s="19"/>
    </row>
    <row r="988" spans="1:1" ht="15.75" customHeight="1" x14ac:dyDescent="0.45">
      <c r="A988" s="19"/>
    </row>
    <row r="989" spans="1:1" ht="15.75" customHeight="1" x14ac:dyDescent="0.45">
      <c r="A989" s="19"/>
    </row>
    <row r="990" spans="1:1" ht="15.75" customHeight="1" x14ac:dyDescent="0.45">
      <c r="A990" s="19"/>
    </row>
    <row r="991" spans="1:1" ht="15.75" customHeight="1" x14ac:dyDescent="0.45">
      <c r="A991" s="19"/>
    </row>
    <row r="992" spans="1:1" ht="15.75" customHeight="1" x14ac:dyDescent="0.45">
      <c r="A992" s="19"/>
    </row>
    <row r="993" spans="1:1" ht="15.75" customHeight="1" x14ac:dyDescent="0.45">
      <c r="A993" s="19"/>
    </row>
    <row r="994" spans="1:1" ht="15.75" customHeight="1" x14ac:dyDescent="0.45">
      <c r="A994" s="19"/>
    </row>
    <row r="995" spans="1:1" ht="15.75" customHeight="1" x14ac:dyDescent="0.45">
      <c r="A995" s="19"/>
    </row>
    <row r="996" spans="1:1" ht="15.75" customHeight="1" x14ac:dyDescent="0.45">
      <c r="A996" s="19"/>
    </row>
    <row r="997" spans="1:1" ht="15.75" customHeight="1" x14ac:dyDescent="0.45">
      <c r="A997" s="19"/>
    </row>
    <row r="998" spans="1:1" ht="15.75" customHeight="1" x14ac:dyDescent="0.45">
      <c r="A998" s="19"/>
    </row>
    <row r="999" spans="1:1" ht="15.75" customHeight="1" x14ac:dyDescent="0.45">
      <c r="A999" s="19"/>
    </row>
    <row r="1000" spans="1:1" ht="15.75" customHeight="1" x14ac:dyDescent="0.45">
      <c r="A1000" s="19"/>
    </row>
  </sheetData>
  <pageMargins left="0.70866141732283472" right="0.70866141732283472" top="0.74803149606299213" bottom="0.74803149606299213" header="0" footer="0"/>
  <pageSetup paperSize="9" scale="10" orientation="landscape" r:id="rId1"/>
  <headerFooter>
    <oddHeader>&amp;R&amp;F  &amp;A</oddHeader>
    <oddFooter>&amp;L© 2016&amp;CPage &amp;P of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63260"/>
    <pageSetUpPr fitToPage="1"/>
  </sheetPr>
  <dimension ref="A1:S155"/>
  <sheetViews>
    <sheetView zoomScaleNormal="100" zoomScaleSheetLayoutView="85" workbookViewId="0">
      <pane xSplit="2" ySplit="1" topLeftCell="C2" activePane="bottomRight" state="frozen"/>
      <selection pane="topRight" sqref="A1:N1"/>
      <selection pane="bottomLeft" sqref="A1:N1"/>
      <selection pane="bottomRight" activeCell="C2" sqref="C2"/>
    </sheetView>
  </sheetViews>
  <sheetFormatPr defaultColWidth="12.59765625" defaultRowHeight="15" customHeight="1" outlineLevelRow="1" x14ac:dyDescent="0.45"/>
  <cols>
    <col min="1" max="1" width="1.59765625" customWidth="1"/>
    <col min="2" max="2" width="40.59765625" customWidth="1"/>
    <col min="3" max="4" width="11" customWidth="1"/>
    <col min="5" max="5" width="2.59765625" customWidth="1"/>
    <col min="6" max="7" width="11" customWidth="1"/>
    <col min="8" max="8" width="2.59765625" customWidth="1"/>
    <col min="9" max="10" width="11" customWidth="1"/>
    <col min="11" max="11" width="2.59765625" customWidth="1"/>
    <col min="12" max="13" width="11" customWidth="1"/>
    <col min="14" max="14" width="2.59765625" customWidth="1"/>
    <col min="15" max="16" width="11" customWidth="1"/>
    <col min="17" max="17" width="2.59765625" customWidth="1"/>
    <col min="18" max="19" width="11" customWidth="1"/>
    <col min="20" max="20" width="25" bestFit="1" customWidth="1"/>
    <col min="21" max="21" width="12.59765625" customWidth="1"/>
  </cols>
  <sheetData>
    <row r="1" spans="1:19" ht="45" customHeight="1" x14ac:dyDescent="0.85">
      <c r="A1" s="79" t="str">
        <f>Welcome!A2</f>
        <v>Case Study</v>
      </c>
      <c r="B1" s="127"/>
      <c r="C1" s="201" t="s">
        <v>27</v>
      </c>
      <c r="D1" s="201"/>
      <c r="E1" s="199"/>
      <c r="F1" s="201" t="s">
        <v>28</v>
      </c>
      <c r="G1" s="201"/>
      <c r="H1" s="199"/>
      <c r="I1" s="201" t="s">
        <v>29</v>
      </c>
      <c r="J1" s="201"/>
      <c r="K1" s="199"/>
      <c r="L1" s="237" t="s">
        <v>30</v>
      </c>
      <c r="M1" s="237"/>
      <c r="N1" s="201"/>
      <c r="O1" s="237" t="s">
        <v>31</v>
      </c>
      <c r="P1" s="237"/>
      <c r="Q1" s="199"/>
      <c r="R1" s="201" t="s">
        <v>32</v>
      </c>
      <c r="S1" s="201"/>
    </row>
    <row r="2" spans="1:19" ht="15" customHeight="1" x14ac:dyDescent="0.45">
      <c r="B2" s="206" t="s">
        <v>33</v>
      </c>
      <c r="C2" s="105" t="s">
        <v>34</v>
      </c>
    </row>
    <row r="3" spans="1:19" ht="15" customHeight="1" x14ac:dyDescent="0.45">
      <c r="A3" s="85" t="s">
        <v>35</v>
      </c>
    </row>
    <row r="4" spans="1:19" ht="15" customHeight="1" x14ac:dyDescent="0.45">
      <c r="A4" s="85"/>
      <c r="B4" t="s">
        <v>36</v>
      </c>
    </row>
    <row r="5" spans="1:19" ht="15" customHeight="1" x14ac:dyDescent="0.45">
      <c r="A5" s="85"/>
      <c r="B5" t="s">
        <v>37</v>
      </c>
    </row>
    <row r="6" spans="1:19" ht="15" customHeight="1" x14ac:dyDescent="0.45">
      <c r="A6" s="85"/>
      <c r="B6" t="s">
        <v>38</v>
      </c>
    </row>
    <row r="7" spans="1:19" ht="15" customHeight="1" x14ac:dyDescent="0.45">
      <c r="A7" s="85"/>
      <c r="B7" t="s">
        <v>39</v>
      </c>
    </row>
    <row r="8" spans="1:19" ht="15" customHeight="1" x14ac:dyDescent="0.45">
      <c r="A8" s="85"/>
      <c r="B8" t="s">
        <v>40</v>
      </c>
    </row>
    <row r="9" spans="1:19" ht="15" customHeight="1" x14ac:dyDescent="0.45">
      <c r="A9" s="85"/>
      <c r="B9" t="s">
        <v>41</v>
      </c>
    </row>
    <row r="10" spans="1:19" ht="15" customHeight="1" x14ac:dyDescent="0.45">
      <c r="A10" s="85"/>
    </row>
    <row r="11" spans="1:19" ht="15" customHeight="1" x14ac:dyDescent="0.45">
      <c r="A11" s="85"/>
      <c r="B11" t="s">
        <v>42</v>
      </c>
      <c r="C11" s="238" t="s">
        <v>43</v>
      </c>
      <c r="D11" s="238" t="s">
        <v>44</v>
      </c>
      <c r="F11" s="238" t="s">
        <v>45</v>
      </c>
    </row>
    <row r="12" spans="1:19" ht="15" customHeight="1" x14ac:dyDescent="0.45">
      <c r="A12" s="85"/>
      <c r="C12" s="238"/>
      <c r="D12" s="238"/>
      <c r="F12" s="238"/>
    </row>
    <row r="13" spans="1:19" ht="15" customHeight="1" x14ac:dyDescent="0.45">
      <c r="A13" s="85"/>
      <c r="B13" t="s">
        <v>46</v>
      </c>
      <c r="C13" s="74">
        <f>D104</f>
        <v>6.3606374576034908E-2</v>
      </c>
      <c r="D13" s="74">
        <f>C107</f>
        <v>0.31605724109092598</v>
      </c>
      <c r="F13" s="74">
        <f>D107</f>
        <v>0.31591822470732134</v>
      </c>
    </row>
    <row r="14" spans="1:19" ht="15" customHeight="1" x14ac:dyDescent="0.45">
      <c r="A14" s="85"/>
      <c r="B14" t="s">
        <v>28</v>
      </c>
      <c r="C14" s="74">
        <f>G104</f>
        <v>5.3852173294444139E-2</v>
      </c>
      <c r="D14" s="74">
        <f>F107</f>
        <v>0.27971828982001851</v>
      </c>
      <c r="F14" s="74">
        <f>G107</f>
        <v>0.27285000675037124</v>
      </c>
    </row>
    <row r="15" spans="1:19" ht="15" customHeight="1" x14ac:dyDescent="0.45">
      <c r="A15" s="85"/>
      <c r="B15" t="s">
        <v>29</v>
      </c>
      <c r="C15" s="74">
        <f>J104</f>
        <v>5.879016575608853E-2</v>
      </c>
      <c r="D15" s="74">
        <f>I107</f>
        <v>0.17464580053708675</v>
      </c>
      <c r="F15" s="74">
        <f>J107</f>
        <v>0.18391621388199539</v>
      </c>
    </row>
    <row r="16" spans="1:19" ht="15" customHeight="1" x14ac:dyDescent="0.45">
      <c r="A16" s="85"/>
      <c r="B16" t="s">
        <v>30</v>
      </c>
      <c r="C16" s="74">
        <f>M104</f>
        <v>0.13219110037394044</v>
      </c>
      <c r="D16" s="74">
        <f>L107</f>
        <v>0.25644222259430238</v>
      </c>
      <c r="F16" s="74">
        <f>M107</f>
        <v>0.28751848408463798</v>
      </c>
    </row>
    <row r="17" spans="1:19" ht="15" customHeight="1" x14ac:dyDescent="0.45">
      <c r="A17" s="85"/>
      <c r="B17" t="s">
        <v>31</v>
      </c>
      <c r="C17" s="74">
        <f>P104</f>
        <v>0.16323617170587612</v>
      </c>
      <c r="D17" s="74">
        <f>O107</f>
        <v>0.1636513661603832</v>
      </c>
      <c r="F17" s="74">
        <f>P107</f>
        <v>0.14914504052797128</v>
      </c>
    </row>
    <row r="18" spans="1:19" ht="15" customHeight="1" x14ac:dyDescent="0.45">
      <c r="A18" s="85"/>
      <c r="B18" t="s">
        <v>32</v>
      </c>
      <c r="C18" s="74">
        <f>S104</f>
        <v>-1.5183832833230992E-3</v>
      </c>
      <c r="D18" s="74">
        <f>R107</f>
        <v>0.161418603810419</v>
      </c>
      <c r="F18" s="74">
        <f>S107</f>
        <v>0.17831927296426373</v>
      </c>
    </row>
    <row r="19" spans="1:19" ht="15" customHeight="1" x14ac:dyDescent="0.45">
      <c r="A19" s="19"/>
    </row>
    <row r="20" spans="1:19" ht="15" customHeight="1" x14ac:dyDescent="0.45">
      <c r="A20" s="19"/>
      <c r="B20" t="s">
        <v>47</v>
      </c>
    </row>
    <row r="21" spans="1:19" ht="15" customHeight="1" x14ac:dyDescent="0.45">
      <c r="A21" s="19"/>
      <c r="B21" t="s">
        <v>48</v>
      </c>
    </row>
    <row r="22" spans="1:19" ht="15" customHeight="1" x14ac:dyDescent="0.45">
      <c r="A22" s="19"/>
      <c r="B22" t="s">
        <v>49</v>
      </c>
    </row>
    <row r="23" spans="1:19" ht="15" customHeight="1" x14ac:dyDescent="0.45">
      <c r="A23" s="19"/>
      <c r="B23" t="s">
        <v>50</v>
      </c>
    </row>
    <row r="24" spans="1:19" ht="15" customHeight="1" x14ac:dyDescent="0.45">
      <c r="A24" s="19"/>
    </row>
    <row r="25" spans="1:19" ht="15.75" x14ac:dyDescent="0.45">
      <c r="A25" s="19"/>
    </row>
    <row r="26" spans="1:19" ht="15" customHeight="1" x14ac:dyDescent="0.45">
      <c r="A26" s="19"/>
    </row>
    <row r="27" spans="1:19" ht="15" customHeight="1" x14ac:dyDescent="0.45">
      <c r="A27" s="19"/>
      <c r="C27" s="201" t="str">
        <f>C1</f>
        <v>Coca-Cola Company</v>
      </c>
      <c r="D27" s="201"/>
      <c r="E27" s="199"/>
      <c r="F27" s="201" t="str">
        <f>F1</f>
        <v>Keurig Dr Pepper</v>
      </c>
      <c r="G27" s="201"/>
      <c r="H27" s="199"/>
      <c r="I27" s="201" t="str">
        <f>I1</f>
        <v>PepsiCo</v>
      </c>
      <c r="J27" s="201"/>
      <c r="K27" s="199"/>
      <c r="L27" s="237" t="str">
        <f>L1</f>
        <v>Monster</v>
      </c>
      <c r="M27" s="237"/>
      <c r="N27" s="201"/>
      <c r="O27" s="237" t="s">
        <v>31</v>
      </c>
      <c r="P27" s="237"/>
      <c r="Q27" s="199"/>
      <c r="R27" s="201" t="str">
        <f>R1</f>
        <v>Danone</v>
      </c>
      <c r="S27" s="201"/>
    </row>
    <row r="28" spans="1:19" ht="15" customHeight="1" x14ac:dyDescent="0.45">
      <c r="A28" s="19"/>
      <c r="C28" s="200">
        <v>44926</v>
      </c>
      <c r="D28" s="200">
        <v>45291</v>
      </c>
      <c r="E28" s="199"/>
      <c r="F28" s="200">
        <v>44926</v>
      </c>
      <c r="G28" s="200">
        <v>45291</v>
      </c>
      <c r="H28" s="199"/>
      <c r="I28" s="200">
        <v>44926</v>
      </c>
      <c r="J28" s="200">
        <v>45291</v>
      </c>
      <c r="K28" s="199"/>
      <c r="L28" s="200">
        <v>44926</v>
      </c>
      <c r="M28" s="200">
        <v>45291</v>
      </c>
      <c r="N28" s="200"/>
      <c r="O28" s="200">
        <v>44561</v>
      </c>
      <c r="P28" s="200">
        <v>44926</v>
      </c>
      <c r="Q28" s="199"/>
      <c r="R28" s="200">
        <v>44926</v>
      </c>
      <c r="S28" s="200">
        <v>45291</v>
      </c>
    </row>
    <row r="29" spans="1:19" ht="15" customHeight="1" x14ac:dyDescent="0.45">
      <c r="A29" s="19"/>
      <c r="B29" t="s">
        <v>13</v>
      </c>
      <c r="C29" s="20" t="s">
        <v>51</v>
      </c>
      <c r="D29" s="20" t="s">
        <v>51</v>
      </c>
      <c r="F29" s="20" t="s">
        <v>51</v>
      </c>
      <c r="G29" s="20" t="s">
        <v>51</v>
      </c>
      <c r="I29" s="20" t="s">
        <v>51</v>
      </c>
      <c r="J29" s="20" t="s">
        <v>51</v>
      </c>
      <c r="L29" s="20" t="s">
        <v>51</v>
      </c>
      <c r="M29" s="20" t="s">
        <v>51</v>
      </c>
      <c r="N29" s="20"/>
      <c r="O29" s="20" t="s">
        <v>52</v>
      </c>
      <c r="P29" s="20" t="s">
        <v>52</v>
      </c>
      <c r="R29" s="20" t="s">
        <v>53</v>
      </c>
      <c r="S29" s="20" t="s">
        <v>53</v>
      </c>
    </row>
    <row r="30" spans="1:19" ht="15" customHeight="1" x14ac:dyDescent="0.45">
      <c r="A30" s="19"/>
      <c r="B30" t="s">
        <v>54</v>
      </c>
    </row>
    <row r="31" spans="1:19" ht="15" customHeight="1" x14ac:dyDescent="0.45">
      <c r="A31" s="19"/>
    </row>
    <row r="32" spans="1:19" ht="15" customHeight="1" x14ac:dyDescent="0.45">
      <c r="A32" s="21" t="s">
        <v>55</v>
      </c>
    </row>
    <row r="33" spans="1:19" ht="15" customHeight="1" x14ac:dyDescent="0.45">
      <c r="A33" s="21"/>
      <c r="B33" t="s">
        <v>56</v>
      </c>
      <c r="C33" s="105">
        <v>43004</v>
      </c>
      <c r="D33" s="105">
        <v>45754</v>
      </c>
      <c r="F33" s="105">
        <v>14057</v>
      </c>
      <c r="G33" s="105">
        <v>14814</v>
      </c>
      <c r="I33" s="105">
        <v>86392</v>
      </c>
      <c r="J33" s="105">
        <v>91471</v>
      </c>
      <c r="L33" s="105">
        <v>6311.05</v>
      </c>
      <c r="M33" s="105">
        <v>7140.027</v>
      </c>
      <c r="O33" s="66">
        <v>2285676</v>
      </c>
      <c r="P33" s="66">
        <v>2658781</v>
      </c>
      <c r="R33" s="66">
        <v>27661</v>
      </c>
      <c r="S33" s="66">
        <v>27619</v>
      </c>
    </row>
    <row r="34" spans="1:19" ht="15" customHeight="1" x14ac:dyDescent="0.45">
      <c r="A34" s="21"/>
      <c r="B34" t="s">
        <v>57</v>
      </c>
      <c r="C34" s="105">
        <v>43046</v>
      </c>
      <c r="D34" s="105">
        <v>45784</v>
      </c>
      <c r="F34">
        <f>F33</f>
        <v>14057</v>
      </c>
      <c r="G34">
        <f>G33</f>
        <v>14814</v>
      </c>
      <c r="I34">
        <f>I33</f>
        <v>86392</v>
      </c>
      <c r="J34">
        <f>J33</f>
        <v>91471</v>
      </c>
      <c r="L34" s="105">
        <f>L33-40</f>
        <v>6271.05</v>
      </c>
      <c r="M34" s="105">
        <f>M33-40</f>
        <v>7100.027</v>
      </c>
      <c r="O34">
        <f>O33</f>
        <v>2285676</v>
      </c>
      <c r="P34">
        <f>P33</f>
        <v>2658781</v>
      </c>
      <c r="R34" s="105">
        <v>27661</v>
      </c>
      <c r="S34" s="105">
        <v>27619</v>
      </c>
    </row>
    <row r="35" spans="1:19" ht="15" customHeight="1" x14ac:dyDescent="0.45">
      <c r="A35" s="21"/>
    </row>
    <row r="36" spans="1:19" ht="15" customHeight="1" x14ac:dyDescent="0.45">
      <c r="A36" s="21"/>
      <c r="B36" t="s">
        <v>58</v>
      </c>
      <c r="C36" s="105">
        <v>25004</v>
      </c>
      <c r="D36" s="105">
        <v>27234</v>
      </c>
      <c r="F36" s="105">
        <v>7323</v>
      </c>
      <c r="G36" s="105">
        <v>8080</v>
      </c>
      <c r="I36" s="105">
        <v>45816</v>
      </c>
      <c r="J36" s="105">
        <v>49590</v>
      </c>
      <c r="L36" s="105">
        <v>3174.567</v>
      </c>
      <c r="M36" s="105">
        <v>3794.2060000000001</v>
      </c>
      <c r="O36" s="66">
        <v>1070374</v>
      </c>
      <c r="P36" s="66">
        <v>1190716</v>
      </c>
      <c r="R36" s="66">
        <f>R33-14922</f>
        <v>12739</v>
      </c>
      <c r="S36" s="66">
        <f>S33-14535</f>
        <v>13084</v>
      </c>
    </row>
    <row r="37" spans="1:19" ht="15" customHeight="1" x14ac:dyDescent="0.45">
      <c r="A37" s="21"/>
      <c r="B37" t="s">
        <v>59</v>
      </c>
      <c r="C37" s="105">
        <v>25229</v>
      </c>
      <c r="D37" s="105">
        <v>27319</v>
      </c>
      <c r="F37" s="105">
        <v>7568</v>
      </c>
      <c r="G37" s="184">
        <v>8190</v>
      </c>
      <c r="I37" s="105">
        <v>46102</v>
      </c>
      <c r="J37" s="105">
        <v>49737</v>
      </c>
      <c r="L37" s="105">
        <f>L36-40</f>
        <v>3134.567</v>
      </c>
      <c r="M37" s="105">
        <f>M36-40</f>
        <v>3754.2060000000001</v>
      </c>
      <c r="O37">
        <f>O36</f>
        <v>1070374</v>
      </c>
      <c r="P37">
        <f>P36</f>
        <v>1190716</v>
      </c>
      <c r="R37">
        <f>R36</f>
        <v>12739</v>
      </c>
      <c r="S37">
        <f>S36</f>
        <v>13084</v>
      </c>
    </row>
    <row r="38" spans="1:19" ht="15" customHeight="1" x14ac:dyDescent="0.45">
      <c r="A38" s="21"/>
    </row>
    <row r="39" spans="1:19" ht="15" customHeight="1" x14ac:dyDescent="0.45">
      <c r="A39" s="21"/>
      <c r="B39" t="s">
        <v>60</v>
      </c>
      <c r="C39" s="105">
        <v>10909</v>
      </c>
      <c r="D39" s="105">
        <v>11311</v>
      </c>
      <c r="F39" s="105">
        <v>2605</v>
      </c>
      <c r="G39" s="105">
        <v>3192</v>
      </c>
      <c r="I39" s="105">
        <v>11512</v>
      </c>
      <c r="J39" s="105">
        <v>11986</v>
      </c>
      <c r="L39" s="105">
        <v>1584.721</v>
      </c>
      <c r="M39" s="105">
        <v>1953.355</v>
      </c>
      <c r="O39" s="66">
        <v>247479</v>
      </c>
      <c r="P39" s="66">
        <v>276468</v>
      </c>
      <c r="R39" s="66">
        <v>2143</v>
      </c>
      <c r="S39" s="66">
        <v>2042</v>
      </c>
    </row>
    <row r="40" spans="1:19" ht="15" customHeight="1" x14ac:dyDescent="0.45">
      <c r="A40" s="21"/>
      <c r="B40" t="s">
        <v>61</v>
      </c>
      <c r="C40" s="105">
        <v>12345</v>
      </c>
      <c r="D40" s="105">
        <v>13336</v>
      </c>
      <c r="F40" s="105">
        <v>3538</v>
      </c>
      <c r="G40" s="105">
        <v>3657</v>
      </c>
      <c r="I40" s="105">
        <v>12325</v>
      </c>
      <c r="J40" s="105">
        <v>13875</v>
      </c>
      <c r="L40">
        <f>L39</f>
        <v>1584.721</v>
      </c>
      <c r="M40">
        <f>M39</f>
        <v>1953.355</v>
      </c>
      <c r="O40">
        <f>O39</f>
        <v>247479</v>
      </c>
      <c r="P40">
        <f>P39</f>
        <v>276468</v>
      </c>
      <c r="R40" s="105">
        <v>3377</v>
      </c>
      <c r="S40" s="105">
        <v>3481</v>
      </c>
    </row>
    <row r="41" spans="1:19" ht="15" customHeight="1" x14ac:dyDescent="0.45">
      <c r="A41" s="21"/>
      <c r="B41" t="s">
        <v>62</v>
      </c>
      <c r="C41" s="66">
        <v>0</v>
      </c>
      <c r="D41" s="66">
        <v>0</v>
      </c>
      <c r="F41" s="105">
        <v>-138</v>
      </c>
      <c r="G41" s="105">
        <v>-137</v>
      </c>
      <c r="I41" s="66">
        <v>0</v>
      </c>
      <c r="J41" s="66">
        <v>0</v>
      </c>
      <c r="L41" s="66">
        <v>0</v>
      </c>
      <c r="M41" s="105">
        <v>16.100000000000001</v>
      </c>
      <c r="O41" s="66">
        <v>-9704</v>
      </c>
      <c r="P41" s="66">
        <v>-11747</v>
      </c>
      <c r="R41" s="66">
        <v>0</v>
      </c>
      <c r="S41" s="66">
        <v>0</v>
      </c>
    </row>
    <row r="42" spans="1:19" ht="15" customHeight="1" x14ac:dyDescent="0.45">
      <c r="A42" s="21"/>
      <c r="B42" t="s">
        <v>62</v>
      </c>
      <c r="C42" s="66">
        <v>0</v>
      </c>
      <c r="D42" s="66">
        <v>0</v>
      </c>
      <c r="F42" s="105">
        <v>-5</v>
      </c>
      <c r="G42" s="105">
        <v>-17</v>
      </c>
      <c r="I42" s="66">
        <v>0</v>
      </c>
      <c r="J42" s="66">
        <v>0</v>
      </c>
      <c r="L42" s="105">
        <v>2.2000000000000002</v>
      </c>
      <c r="M42" s="105">
        <f>38.7</f>
        <v>38.700000000000003</v>
      </c>
      <c r="O42" s="66">
        <v>-2417</v>
      </c>
      <c r="P42" s="66">
        <v>-16020</v>
      </c>
      <c r="R42" s="66">
        <v>0</v>
      </c>
      <c r="S42" s="66">
        <v>0</v>
      </c>
    </row>
    <row r="43" spans="1:19" ht="15" customHeight="1" x14ac:dyDescent="0.45">
      <c r="A43" s="21"/>
      <c r="B43" t="s">
        <v>62</v>
      </c>
      <c r="C43" s="66">
        <v>0</v>
      </c>
      <c r="D43" s="66">
        <v>0</v>
      </c>
      <c r="F43" s="66">
        <v>0</v>
      </c>
      <c r="G43" s="66">
        <v>0</v>
      </c>
      <c r="I43" s="66">
        <v>0</v>
      </c>
      <c r="J43" s="66">
        <v>0</v>
      </c>
      <c r="L43">
        <v>0</v>
      </c>
      <c r="M43" s="105">
        <f>4.336</f>
        <v>4.3360000000000003</v>
      </c>
      <c r="O43" s="66">
        <f>4948+2981+5013</f>
        <v>12942</v>
      </c>
      <c r="P43" s="66">
        <f>3617+3386+5625</f>
        <v>12628</v>
      </c>
      <c r="R43" s="66">
        <v>0</v>
      </c>
      <c r="S43" s="66">
        <v>0</v>
      </c>
    </row>
    <row r="44" spans="1:19" ht="15" customHeight="1" x14ac:dyDescent="0.45">
      <c r="A44" s="21"/>
      <c r="B44" t="s">
        <v>62</v>
      </c>
      <c r="C44" s="66">
        <v>0</v>
      </c>
      <c r="D44" s="66">
        <v>0</v>
      </c>
      <c r="F44" s="66">
        <v>0</v>
      </c>
      <c r="G44" s="66">
        <v>0</v>
      </c>
      <c r="I44" s="66">
        <v>0</v>
      </c>
      <c r="J44" s="66">
        <v>0</v>
      </c>
      <c r="L44" s="105">
        <v>-40</v>
      </c>
      <c r="M44" s="105">
        <v>-40</v>
      </c>
      <c r="O44" s="66">
        <v>0</v>
      </c>
      <c r="P44" s="66">
        <v>0</v>
      </c>
      <c r="R44" s="66">
        <v>0</v>
      </c>
      <c r="S44" s="66">
        <v>0</v>
      </c>
    </row>
    <row r="45" spans="1:19" ht="15" customHeight="1" x14ac:dyDescent="0.45">
      <c r="A45" s="21"/>
      <c r="B45" t="s">
        <v>63</v>
      </c>
      <c r="C45">
        <f>SUM(C40:C44)</f>
        <v>12345</v>
      </c>
      <c r="D45">
        <f>SUM(D40:D44)</f>
        <v>13336</v>
      </c>
      <c r="F45">
        <f>SUM(F40:F44)</f>
        <v>3395</v>
      </c>
      <c r="G45">
        <f>SUM(G40:G44)</f>
        <v>3503</v>
      </c>
      <c r="I45">
        <f>SUM(I40:I44)</f>
        <v>12325</v>
      </c>
      <c r="J45">
        <f>SUM(J40:J44)</f>
        <v>13875</v>
      </c>
      <c r="L45">
        <f>SUM(L40:L44)</f>
        <v>1546.921</v>
      </c>
      <c r="M45">
        <f>SUM(M40:M44)</f>
        <v>1972.491</v>
      </c>
      <c r="O45">
        <f>SUM(O40:O44)</f>
        <v>248300</v>
      </c>
      <c r="P45">
        <f>SUM(P40:P44)</f>
        <v>261329</v>
      </c>
      <c r="R45">
        <f>SUM(R40:R44)</f>
        <v>3377</v>
      </c>
      <c r="S45">
        <f>SUM(S40:S44)</f>
        <v>3481</v>
      </c>
    </row>
    <row r="46" spans="1:19" ht="15" customHeight="1" x14ac:dyDescent="0.45">
      <c r="A46" s="21"/>
      <c r="B46" t="s">
        <v>64</v>
      </c>
      <c r="C46" s="185">
        <v>1260</v>
      </c>
      <c r="D46" s="185">
        <v>1128</v>
      </c>
      <c r="F46" s="105">
        <f>399+138</f>
        <v>537</v>
      </c>
      <c r="G46" s="105">
        <f>402+137</f>
        <v>539</v>
      </c>
      <c r="I46" s="105">
        <v>2763</v>
      </c>
      <c r="J46" s="105">
        <v>2948</v>
      </c>
      <c r="L46" s="105">
        <v>61.241</v>
      </c>
      <c r="M46" s="105">
        <v>68.897999999999996</v>
      </c>
      <c r="O46" s="66">
        <v>125754</v>
      </c>
      <c r="P46" s="66">
        <v>135215</v>
      </c>
      <c r="R46" s="66">
        <f>1863-200-575</f>
        <v>1088</v>
      </c>
      <c r="S46" s="66">
        <f>1611-60-107</f>
        <v>1444</v>
      </c>
    </row>
    <row r="47" spans="1:19" ht="15" customHeight="1" x14ac:dyDescent="0.45">
      <c r="A47" s="21"/>
      <c r="B47" t="s">
        <v>65</v>
      </c>
      <c r="C47">
        <f>SUM(C45:C46)</f>
        <v>13605</v>
      </c>
      <c r="D47">
        <f>SUM(D45:D46)</f>
        <v>14464</v>
      </c>
      <c r="F47">
        <f>SUM(F45:F46)</f>
        <v>3932</v>
      </c>
      <c r="G47">
        <f>SUM(G45:G46)</f>
        <v>4042</v>
      </c>
      <c r="I47">
        <f>SUM(I45:I46)</f>
        <v>15088</v>
      </c>
      <c r="J47">
        <f>SUM(J45:J46)</f>
        <v>16823</v>
      </c>
      <c r="L47">
        <f>SUM(L45:L46)</f>
        <v>1608.162</v>
      </c>
      <c r="M47">
        <f>SUM(M45:M46)</f>
        <v>2041.3889999999999</v>
      </c>
      <c r="O47">
        <f>SUM(O45:O46)</f>
        <v>374054</v>
      </c>
      <c r="P47">
        <f>SUM(P45:P46)</f>
        <v>396544</v>
      </c>
      <c r="R47">
        <f>SUM(R45:R46)</f>
        <v>4465</v>
      </c>
      <c r="S47">
        <f>SUM(S45:S46)</f>
        <v>4925</v>
      </c>
    </row>
    <row r="48" spans="1:19" ht="15" customHeight="1" x14ac:dyDescent="0.45">
      <c r="A48" s="21"/>
    </row>
    <row r="49" spans="1:19" ht="15" customHeight="1" x14ac:dyDescent="0.45">
      <c r="A49" s="21"/>
      <c r="B49" t="s">
        <v>66</v>
      </c>
      <c r="C49" s="105">
        <v>882</v>
      </c>
      <c r="D49" s="105">
        <v>1527</v>
      </c>
      <c r="F49" s="105">
        <v>693</v>
      </c>
      <c r="G49" s="105">
        <v>496</v>
      </c>
      <c r="I49" s="105">
        <v>1119</v>
      </c>
      <c r="J49" s="105">
        <v>1437</v>
      </c>
      <c r="L49" s="186">
        <f>12.8-37.9+29.7</f>
        <v>4.6000000000000014</v>
      </c>
      <c r="M49" s="184">
        <f>-115.1-60.2+130+45.4</f>
        <v>9.999999999998721E-2</v>
      </c>
      <c r="O49" s="66">
        <v>16785</v>
      </c>
      <c r="P49" s="66">
        <v>18264</v>
      </c>
      <c r="R49" s="66">
        <v>308</v>
      </c>
      <c r="S49" s="66">
        <v>513</v>
      </c>
    </row>
    <row r="50" spans="1:19" ht="15" customHeight="1" x14ac:dyDescent="0.45">
      <c r="A50" s="21"/>
      <c r="B50" t="s">
        <v>67</v>
      </c>
      <c r="C50" s="105">
        <v>906</v>
      </c>
      <c r="D50" s="105">
        <v>1552</v>
      </c>
      <c r="F50" s="105">
        <v>423</v>
      </c>
      <c r="G50" s="105">
        <v>462</v>
      </c>
      <c r="I50">
        <f>SUM(I49:I49)</f>
        <v>1119</v>
      </c>
      <c r="J50">
        <f>SUM(J49:J49)</f>
        <v>1437</v>
      </c>
      <c r="L50">
        <f>SUM(L49:L49)</f>
        <v>4.6000000000000014</v>
      </c>
      <c r="M50">
        <f>SUM(M49:M49)</f>
        <v>9.999999999998721E-2</v>
      </c>
      <c r="O50">
        <f>SUM(O49:O49)</f>
        <v>16785</v>
      </c>
      <c r="P50">
        <f>SUM(P49:P49)</f>
        <v>18264</v>
      </c>
      <c r="R50">
        <f>R49</f>
        <v>308</v>
      </c>
      <c r="S50">
        <f>S49</f>
        <v>513</v>
      </c>
    </row>
    <row r="51" spans="1:19" ht="15" customHeight="1" x14ac:dyDescent="0.45">
      <c r="A51" s="21"/>
    </row>
    <row r="52" spans="1:19" ht="15" customHeight="1" x14ac:dyDescent="0.45">
      <c r="A52" s="21"/>
      <c r="B52" t="s">
        <v>68</v>
      </c>
      <c r="C52" s="105">
        <v>13377</v>
      </c>
      <c r="D52" s="105">
        <v>14403</v>
      </c>
      <c r="F52" s="105">
        <v>3097</v>
      </c>
      <c r="G52" s="105">
        <v>3240</v>
      </c>
      <c r="I52" s="98" t="s">
        <v>69</v>
      </c>
      <c r="J52" s="98" t="s">
        <v>69</v>
      </c>
      <c r="L52" s="185">
        <f>1571.964+SUM(L41:L44)</f>
        <v>1534.164</v>
      </c>
      <c r="M52" s="185">
        <f>2068.482+SUM(M41:M44)</f>
        <v>2087.6179999999999</v>
      </c>
      <c r="O52" s="66">
        <f>237447+SUM(O42:O44)</f>
        <v>247972</v>
      </c>
      <c r="P52" s="66">
        <f>261818+SUM(P42:P44)</f>
        <v>258426</v>
      </c>
      <c r="R52" s="105">
        <v>3086</v>
      </c>
      <c r="S52" s="105">
        <v>3173</v>
      </c>
    </row>
    <row r="53" spans="1:19" ht="15" customHeight="1" x14ac:dyDescent="0.45">
      <c r="A53" s="21"/>
      <c r="B53" t="s">
        <v>70</v>
      </c>
      <c r="C53" s="105">
        <v>2545</v>
      </c>
      <c r="D53" s="105">
        <v>2737</v>
      </c>
      <c r="F53" s="105">
        <v>700</v>
      </c>
      <c r="G53" s="105">
        <v>722</v>
      </c>
      <c r="I53" s="105">
        <v>2372</v>
      </c>
      <c r="J53" s="105">
        <v>2704</v>
      </c>
      <c r="L53" s="105">
        <f>380.34+SUM(L41:L44)*L57</f>
        <v>371.53998636609998</v>
      </c>
      <c r="M53" s="105">
        <f>437.494+SUM(M41:M44)*M57</f>
        <v>441.87720642960397</v>
      </c>
      <c r="O53" s="66">
        <f>82049+SUM(O42:O44)*O57</f>
        <v>85269.65</v>
      </c>
      <c r="P53" s="66">
        <f>73284+SUM(P42:P44)*P57</f>
        <v>72246.047999999995</v>
      </c>
      <c r="R53" s="105">
        <v>841</v>
      </c>
      <c r="S53" s="105">
        <v>864</v>
      </c>
    </row>
    <row r="54" spans="1:19" ht="15" customHeight="1" x14ac:dyDescent="0.45">
      <c r="A54" s="21"/>
      <c r="B54" t="s">
        <v>71</v>
      </c>
      <c r="C54" s="74">
        <f>C53/C52</f>
        <v>0.19025192494580251</v>
      </c>
      <c r="D54" s="74">
        <f>D53/D52</f>
        <v>0.19002985489134208</v>
      </c>
      <c r="F54" s="74">
        <f>F53/F52</f>
        <v>0.22602518566354537</v>
      </c>
      <c r="G54" s="74">
        <f>G53/G52</f>
        <v>0.22283950617283951</v>
      </c>
      <c r="I54" s="207">
        <v>0.2</v>
      </c>
      <c r="J54" s="207">
        <v>0.20300000000000001</v>
      </c>
      <c r="L54" s="74">
        <f>L53/L52</f>
        <v>0.24217748973779857</v>
      </c>
      <c r="M54" s="74">
        <f>M53/M52</f>
        <v>0.21166573886103876</v>
      </c>
      <c r="O54" s="74">
        <f>O53/O52</f>
        <v>0.34386805768393203</v>
      </c>
      <c r="P54" s="74">
        <f>P53/P52</f>
        <v>0.279561839752966</v>
      </c>
      <c r="R54" s="74">
        <f>R53/R52</f>
        <v>0.27252106286454958</v>
      </c>
      <c r="S54" s="74">
        <f>S53/S52</f>
        <v>0.27229751024267257</v>
      </c>
    </row>
    <row r="55" spans="1:19" ht="15" customHeight="1" x14ac:dyDescent="0.45">
      <c r="A55" s="21"/>
      <c r="B55" t="s">
        <v>72</v>
      </c>
      <c r="C55" s="207">
        <v>0.21</v>
      </c>
      <c r="D55" s="207">
        <v>0.21</v>
      </c>
      <c r="F55" s="207">
        <v>0.21</v>
      </c>
      <c r="G55" s="207">
        <v>0.21</v>
      </c>
      <c r="I55" s="207">
        <v>0.21</v>
      </c>
      <c r="J55" s="207">
        <v>0.21</v>
      </c>
      <c r="L55" s="183">
        <v>0.21</v>
      </c>
      <c r="M55" s="183">
        <v>0.21</v>
      </c>
      <c r="O55" s="208">
        <v>0.30599999999999999</v>
      </c>
      <c r="P55" s="208">
        <v>0.30599999999999999</v>
      </c>
      <c r="R55" s="208">
        <v>0.25829999999999997</v>
      </c>
      <c r="S55" s="208">
        <v>0.25829999999999997</v>
      </c>
    </row>
    <row r="56" spans="1:19" ht="15" customHeight="1" x14ac:dyDescent="0.45">
      <c r="A56" s="21"/>
      <c r="B56" t="s">
        <v>73</v>
      </c>
      <c r="C56" s="207">
        <v>1.4E-2</v>
      </c>
      <c r="D56" s="207">
        <v>1.0999999999999999E-2</v>
      </c>
      <c r="F56" s="207">
        <v>2.5999999999999999E-2</v>
      </c>
      <c r="G56" s="207">
        <v>3.2000000000000001E-2</v>
      </c>
      <c r="I56" s="207">
        <v>1.7999999999999999E-2</v>
      </c>
      <c r="J56" s="207">
        <v>1.7999999999999999E-2</v>
      </c>
      <c r="L56" s="183">
        <f>35.848/1571.964</f>
        <v>2.2804593489418334E-2</v>
      </c>
      <c r="M56" s="207">
        <f>39.416/2068.482</f>
        <v>1.9055519941677035E-2</v>
      </c>
      <c r="O56" s="66">
        <v>0</v>
      </c>
      <c r="P56" s="66">
        <v>0</v>
      </c>
      <c r="R56" s="66">
        <v>0</v>
      </c>
      <c r="S56" s="66">
        <v>0</v>
      </c>
    </row>
    <row r="57" spans="1:19" ht="15" customHeight="1" x14ac:dyDescent="0.45">
      <c r="A57" s="21"/>
      <c r="B57" t="s">
        <v>74</v>
      </c>
      <c r="C57" s="74">
        <f>SUM(C55:C56)</f>
        <v>0.224</v>
      </c>
      <c r="D57" s="74">
        <f>SUM(D55:D56)</f>
        <v>0.221</v>
      </c>
      <c r="F57" s="74">
        <f>SUM(F55:F56)</f>
        <v>0.23599999999999999</v>
      </c>
      <c r="G57" s="74">
        <f>SUM(G55:G56)</f>
        <v>0.24199999999999999</v>
      </c>
      <c r="I57" s="74">
        <f>SUM(I55:I56)</f>
        <v>0.22799999999999998</v>
      </c>
      <c r="J57" s="74">
        <f>SUM(J55:J56)</f>
        <v>0.22799999999999998</v>
      </c>
      <c r="L57" s="74">
        <f>SUM(L55:L56)</f>
        <v>0.23280459348941832</v>
      </c>
      <c r="M57" s="74">
        <f>SUM(M55:M56)</f>
        <v>0.22905551994167703</v>
      </c>
      <c r="O57" s="74">
        <f>SUM(O55:O56)</f>
        <v>0.30599999999999999</v>
      </c>
      <c r="P57" s="74">
        <f>SUM(P55:P56)</f>
        <v>0.30599999999999999</v>
      </c>
      <c r="R57" s="74">
        <f>SUM(R55:R56)</f>
        <v>0.25829999999999997</v>
      </c>
      <c r="S57" s="74">
        <f>SUM(S55:S56)</f>
        <v>0.25829999999999997</v>
      </c>
    </row>
    <row r="58" spans="1:19" ht="15" customHeight="1" x14ac:dyDescent="0.45">
      <c r="A58" s="21"/>
    </row>
    <row r="59" spans="1:19" ht="15" customHeight="1" x14ac:dyDescent="0.45">
      <c r="A59" s="21"/>
      <c r="B59" t="s">
        <v>75</v>
      </c>
      <c r="C59" s="106">
        <v>2.19</v>
      </c>
      <c r="D59" s="106">
        <v>2.4700000000000002</v>
      </c>
      <c r="F59" s="106">
        <v>1.01</v>
      </c>
      <c r="G59" s="106">
        <v>1.55</v>
      </c>
      <c r="I59" s="106">
        <v>6.42</v>
      </c>
      <c r="J59" s="106">
        <v>6.56</v>
      </c>
      <c r="L59" s="106">
        <v>1.1200000000000001</v>
      </c>
      <c r="M59" s="106">
        <v>1.54</v>
      </c>
      <c r="O59" s="209">
        <v>166.19</v>
      </c>
      <c r="P59" s="209">
        <v>198.63</v>
      </c>
      <c r="R59" s="209">
        <v>1.48</v>
      </c>
      <c r="S59" s="209">
        <v>1.36</v>
      </c>
    </row>
    <row r="60" spans="1:19" ht="15" customHeight="1" x14ac:dyDescent="0.45">
      <c r="A60" s="21"/>
      <c r="B60" t="s">
        <v>76</v>
      </c>
      <c r="C60" s="106">
        <v>2.48</v>
      </c>
      <c r="D60" s="106">
        <v>2.69</v>
      </c>
      <c r="F60" s="106">
        <v>1.68</v>
      </c>
      <c r="G60" s="106">
        <v>1.79</v>
      </c>
      <c r="I60" s="106">
        <v>6.79</v>
      </c>
      <c r="J60" s="106">
        <v>7.62</v>
      </c>
      <c r="L60" s="106">
        <f>(L52-L53)/1066.442</f>
        <v>1.0901896339734369</v>
      </c>
      <c r="M60" s="106">
        <f>(M52-M53)/1057.981</f>
        <v>1.5555485340194162</v>
      </c>
      <c r="O60" s="88">
        <f>(O52-O53-41433)/685.756196</f>
        <v>176.84032708324227</v>
      </c>
      <c r="P60" s="88">
        <f>(P52-P53-52321)/685.756196</f>
        <v>195.19904126393047</v>
      </c>
      <c r="R60" s="106">
        <v>3.43</v>
      </c>
      <c r="S60" s="106">
        <v>3.54</v>
      </c>
    </row>
    <row r="61" spans="1:19" ht="15" customHeight="1" x14ac:dyDescent="0.45">
      <c r="A61" s="21"/>
    </row>
    <row r="62" spans="1:19" ht="15" customHeight="1" x14ac:dyDescent="0.45">
      <c r="A62" s="21" t="s">
        <v>77</v>
      </c>
    </row>
    <row r="63" spans="1:19" ht="15" customHeight="1" x14ac:dyDescent="0.45">
      <c r="A63" s="21"/>
      <c r="B63" t="s">
        <v>78</v>
      </c>
      <c r="C63" s="105">
        <v>3487</v>
      </c>
      <c r="D63" s="105">
        <v>3410</v>
      </c>
      <c r="F63" s="105">
        <v>1484</v>
      </c>
      <c r="G63" s="105">
        <v>1368</v>
      </c>
      <c r="I63" s="105">
        <v>10163</v>
      </c>
      <c r="J63" s="105">
        <v>10815</v>
      </c>
      <c r="L63" s="105">
        <v>1016.203</v>
      </c>
      <c r="M63" s="105">
        <v>1193.9639999999999</v>
      </c>
      <c r="O63" s="66">
        <v>478517</v>
      </c>
      <c r="P63" s="66">
        <v>528880</v>
      </c>
      <c r="R63" s="66">
        <v>3272</v>
      </c>
      <c r="S63" s="66">
        <v>2919</v>
      </c>
    </row>
    <row r="64" spans="1:19" ht="15" customHeight="1" x14ac:dyDescent="0.45">
      <c r="A64" s="21"/>
      <c r="B64" t="s">
        <v>79</v>
      </c>
      <c r="C64" s="105">
        <v>4233</v>
      </c>
      <c r="D64" s="105">
        <v>4424</v>
      </c>
      <c r="F64" s="105">
        <v>1314</v>
      </c>
      <c r="G64" s="105">
        <v>1142</v>
      </c>
      <c r="I64" s="105">
        <v>5222</v>
      </c>
      <c r="J64" s="105">
        <v>5334</v>
      </c>
      <c r="L64" s="105">
        <v>935.63099999999997</v>
      </c>
      <c r="M64" s="105">
        <v>971.40599999999995</v>
      </c>
      <c r="O64" s="66">
        <v>529105</v>
      </c>
      <c r="P64" s="66">
        <v>656879</v>
      </c>
      <c r="R64" s="66">
        <v>2619</v>
      </c>
      <c r="S64" s="66">
        <v>2341</v>
      </c>
    </row>
    <row r="65" spans="1:19" ht="15" customHeight="1" x14ac:dyDescent="0.45">
      <c r="A65" s="21"/>
      <c r="B65" t="s">
        <v>80</v>
      </c>
      <c r="C65" s="105">
        <v>3240</v>
      </c>
      <c r="D65" s="105">
        <v>5235</v>
      </c>
      <c r="F65" s="105">
        <v>471</v>
      </c>
      <c r="G65" s="105">
        <v>598</v>
      </c>
      <c r="I65" s="105">
        <v>806</v>
      </c>
      <c r="J65" s="105">
        <v>798</v>
      </c>
      <c r="L65" s="105">
        <v>109.82299999999999</v>
      </c>
      <c r="M65" s="105">
        <v>116.19499999999999</v>
      </c>
      <c r="O65" s="66">
        <v>0</v>
      </c>
      <c r="P65" s="66">
        <v>0</v>
      </c>
      <c r="R65" s="66">
        <v>0</v>
      </c>
      <c r="S65" s="66">
        <v>0</v>
      </c>
    </row>
    <row r="66" spans="1:19" ht="15" customHeight="1" x14ac:dyDescent="0.45">
      <c r="A66" s="21"/>
      <c r="B66" t="s">
        <v>81</v>
      </c>
      <c r="C66" s="3">
        <v>0</v>
      </c>
      <c r="D66" s="3">
        <v>0</v>
      </c>
      <c r="F66" s="3">
        <v>0</v>
      </c>
      <c r="G66" s="3">
        <v>0</v>
      </c>
      <c r="I66" s="3">
        <v>0</v>
      </c>
      <c r="J66" s="3">
        <v>0</v>
      </c>
      <c r="L66" s="105">
        <v>33.784999999999997</v>
      </c>
      <c r="M66" s="105">
        <v>54.151000000000003</v>
      </c>
      <c r="O66" s="66">
        <v>0</v>
      </c>
      <c r="P66" s="66">
        <v>0</v>
      </c>
      <c r="R66" s="66">
        <v>0</v>
      </c>
      <c r="S66" s="66">
        <v>0</v>
      </c>
    </row>
    <row r="67" spans="1:19" ht="15" customHeight="1" x14ac:dyDescent="0.45">
      <c r="A67" s="21"/>
      <c r="B67" t="s">
        <v>82</v>
      </c>
      <c r="C67" s="3">
        <v>0</v>
      </c>
      <c r="D67" s="3">
        <v>0</v>
      </c>
      <c r="F67" s="3">
        <v>0</v>
      </c>
      <c r="G67" s="3">
        <v>0</v>
      </c>
      <c r="I67" s="3">
        <v>0</v>
      </c>
      <c r="J67" s="3">
        <v>0</v>
      </c>
      <c r="L67" s="3">
        <v>0</v>
      </c>
      <c r="M67" s="3">
        <v>0</v>
      </c>
      <c r="O67" s="66">
        <v>60263</v>
      </c>
      <c r="P67" s="66">
        <v>52864</v>
      </c>
      <c r="R67" s="66">
        <v>1315</v>
      </c>
      <c r="S67" s="66">
        <v>1259</v>
      </c>
    </row>
    <row r="68" spans="1:19" ht="15" customHeight="1" x14ac:dyDescent="0.45">
      <c r="A68" s="21"/>
      <c r="B68" t="s">
        <v>83</v>
      </c>
      <c r="C68" s="3">
        <v>0</v>
      </c>
      <c r="D68" s="3">
        <v>0</v>
      </c>
      <c r="F68" s="3">
        <v>0</v>
      </c>
      <c r="G68" s="3">
        <v>0</v>
      </c>
      <c r="I68" s="3">
        <v>0</v>
      </c>
      <c r="J68" s="3">
        <v>0</v>
      </c>
      <c r="L68" s="3">
        <v>0</v>
      </c>
      <c r="M68" s="3">
        <v>0</v>
      </c>
      <c r="O68" s="66">
        <v>0</v>
      </c>
      <c r="P68" s="66">
        <v>0</v>
      </c>
      <c r="R68" s="66">
        <v>0</v>
      </c>
      <c r="S68" s="66">
        <v>0</v>
      </c>
    </row>
    <row r="69" spans="1:19" ht="15" customHeight="1" x14ac:dyDescent="0.45">
      <c r="A69" s="21"/>
      <c r="B69" t="s">
        <v>84</v>
      </c>
      <c r="C69">
        <f>SUM(C63:C68)</f>
        <v>10960</v>
      </c>
      <c r="D69">
        <f>SUM(D63:D68)</f>
        <v>13069</v>
      </c>
      <c r="F69">
        <f>SUM(F63:F68)</f>
        <v>3269</v>
      </c>
      <c r="G69">
        <f>SUM(G63:G68)</f>
        <v>3108</v>
      </c>
      <c r="I69">
        <f>SUM(I63:I68)</f>
        <v>16191</v>
      </c>
      <c r="J69">
        <f>SUM(J63:J68)</f>
        <v>16947</v>
      </c>
      <c r="L69">
        <f>SUM(L63:L68)</f>
        <v>2095.4419999999996</v>
      </c>
      <c r="M69">
        <f>SUM(M63:M68)</f>
        <v>2335.7159999999999</v>
      </c>
      <c r="O69">
        <f>SUM(O63:O68)</f>
        <v>1067885</v>
      </c>
      <c r="P69">
        <f>SUM(P63:P68)</f>
        <v>1238623</v>
      </c>
      <c r="R69">
        <f>SUM(R63:R68)</f>
        <v>7206</v>
      </c>
      <c r="S69">
        <f>SUM(S63:S68)</f>
        <v>6519</v>
      </c>
    </row>
    <row r="70" spans="1:19" ht="15" customHeight="1" x14ac:dyDescent="0.45">
      <c r="A70" s="21"/>
    </row>
    <row r="71" spans="1:19" ht="15" customHeight="1" x14ac:dyDescent="0.45">
      <c r="A71" s="21"/>
      <c r="B71" t="s">
        <v>85</v>
      </c>
      <c r="C71" s="105">
        <v>15749</v>
      </c>
      <c r="D71" s="105">
        <v>15485</v>
      </c>
      <c r="F71" s="105">
        <v>5206</v>
      </c>
      <c r="G71" s="105">
        <v>3597</v>
      </c>
      <c r="I71" s="105">
        <f>23371-1610</f>
        <v>21761</v>
      </c>
      <c r="J71" s="105">
        <f>25137-1767</f>
        <v>23370</v>
      </c>
      <c r="L71" s="105">
        <v>444.26499999999999</v>
      </c>
      <c r="M71" s="105">
        <v>564.37900000000002</v>
      </c>
      <c r="O71" s="66">
        <v>635625</v>
      </c>
      <c r="P71" s="66">
        <v>698360</v>
      </c>
      <c r="R71" s="66">
        <v>4899</v>
      </c>
      <c r="S71" s="66">
        <v>4779</v>
      </c>
    </row>
    <row r="72" spans="1:19" ht="15" customHeight="1" x14ac:dyDescent="0.45">
      <c r="A72" s="21"/>
      <c r="B72" t="s">
        <v>86</v>
      </c>
      <c r="C72" s="105">
        <v>1203</v>
      </c>
      <c r="D72" s="105">
        <v>1569</v>
      </c>
      <c r="F72" s="66">
        <v>0</v>
      </c>
      <c r="G72" s="66">
        <v>0</v>
      </c>
      <c r="I72" s="66">
        <v>0</v>
      </c>
      <c r="J72" s="66">
        <v>0</v>
      </c>
      <c r="L72" s="105">
        <v>13.317</v>
      </c>
      <c r="M72" s="105">
        <v>14.955</v>
      </c>
      <c r="O72" s="66">
        <v>20255</v>
      </c>
      <c r="P72" s="66">
        <v>24985</v>
      </c>
      <c r="R72" s="66">
        <v>0</v>
      </c>
      <c r="S72" s="66">
        <v>0</v>
      </c>
    </row>
    <row r="73" spans="1:19" ht="15" customHeight="1" x14ac:dyDescent="0.45">
      <c r="A73" s="21"/>
      <c r="B73" t="s">
        <v>87</v>
      </c>
      <c r="C73" s="3">
        <v>0</v>
      </c>
      <c r="D73" s="3">
        <v>0</v>
      </c>
      <c r="F73" s="184">
        <f>685-281-95</f>
        <v>309</v>
      </c>
      <c r="G73" s="105">
        <f>714-299-106</f>
        <v>309</v>
      </c>
      <c r="I73" s="3">
        <v>0</v>
      </c>
      <c r="J73" s="3">
        <v>0</v>
      </c>
      <c r="L73" s="3">
        <v>0</v>
      </c>
      <c r="M73" s="3">
        <v>0</v>
      </c>
      <c r="O73" s="66">
        <v>91119</v>
      </c>
      <c r="P73" s="66">
        <v>95884</v>
      </c>
      <c r="R73" s="66">
        <v>3591</v>
      </c>
      <c r="S73" s="66">
        <v>3425</v>
      </c>
    </row>
    <row r="74" spans="1:19" ht="15" customHeight="1" x14ac:dyDescent="0.45">
      <c r="A74" s="21"/>
      <c r="B74" t="s">
        <v>88</v>
      </c>
      <c r="C74" s="3">
        <v>0</v>
      </c>
      <c r="D74" s="3">
        <v>0</v>
      </c>
      <c r="F74" s="105">
        <v>1153</v>
      </c>
      <c r="G74" s="105">
        <v>1242</v>
      </c>
      <c r="I74" s="3">
        <v>0</v>
      </c>
      <c r="J74" s="3">
        <v>0</v>
      </c>
      <c r="L74" s="105">
        <v>172.99100000000001</v>
      </c>
      <c r="M74" s="105">
        <v>183.988</v>
      </c>
      <c r="O74" s="66">
        <v>0</v>
      </c>
      <c r="P74" s="66">
        <v>0</v>
      </c>
      <c r="R74" s="66">
        <v>0</v>
      </c>
      <c r="S74" s="66">
        <v>0</v>
      </c>
    </row>
    <row r="75" spans="1:19" ht="15" customHeight="1" x14ac:dyDescent="0.45">
      <c r="A75" s="21"/>
      <c r="B75" t="s">
        <v>89</v>
      </c>
      <c r="C75" s="3">
        <v>0</v>
      </c>
      <c r="D75" s="3">
        <v>0</v>
      </c>
      <c r="F75" s="3">
        <v>0</v>
      </c>
      <c r="G75" s="3">
        <v>0</v>
      </c>
      <c r="I75" s="3">
        <v>0</v>
      </c>
      <c r="J75" s="3">
        <v>0</v>
      </c>
      <c r="L75" s="105">
        <v>255.631</v>
      </c>
      <c r="M75" s="105">
        <v>269.06099999999998</v>
      </c>
      <c r="O75" s="66">
        <v>0</v>
      </c>
      <c r="P75" s="66">
        <v>0</v>
      </c>
      <c r="R75" s="66">
        <v>0</v>
      </c>
      <c r="S75" s="66">
        <v>0</v>
      </c>
    </row>
    <row r="76" spans="1:19" ht="15" customHeight="1" x14ac:dyDescent="0.45">
      <c r="A76" s="21"/>
      <c r="B76" t="s">
        <v>90</v>
      </c>
      <c r="C76" s="3">
        <v>0</v>
      </c>
      <c r="D76" s="3">
        <v>0</v>
      </c>
      <c r="F76" s="3">
        <v>0</v>
      </c>
      <c r="G76" s="3">
        <v>0</v>
      </c>
      <c r="I76" s="3">
        <v>0</v>
      </c>
      <c r="J76" s="3">
        <v>0</v>
      </c>
      <c r="L76" s="105">
        <v>43.311</v>
      </c>
      <c r="M76" s="105">
        <v>41.914000000000001</v>
      </c>
      <c r="O76" s="66">
        <v>0</v>
      </c>
      <c r="P76" s="66">
        <v>0</v>
      </c>
      <c r="R76" s="66">
        <v>0</v>
      </c>
      <c r="S76" s="66">
        <v>0</v>
      </c>
    </row>
    <row r="77" spans="1:19" ht="15" customHeight="1" x14ac:dyDescent="0.45">
      <c r="A77" s="21"/>
      <c r="B77" t="s">
        <v>91</v>
      </c>
      <c r="C77" s="3">
        <v>0</v>
      </c>
      <c r="D77" s="3">
        <v>0</v>
      </c>
      <c r="F77" s="3">
        <v>0</v>
      </c>
      <c r="G77" s="3">
        <v>0</v>
      </c>
      <c r="I77" s="3">
        <v>0</v>
      </c>
      <c r="J77" s="3">
        <v>0</v>
      </c>
      <c r="L77" s="105">
        <v>72.462999999999994</v>
      </c>
      <c r="M77" s="105">
        <v>87.391999999999996</v>
      </c>
      <c r="O77" s="66">
        <v>0</v>
      </c>
      <c r="P77" s="66">
        <v>0</v>
      </c>
      <c r="R77" s="66">
        <v>0</v>
      </c>
      <c r="S77" s="66">
        <v>0</v>
      </c>
    </row>
    <row r="78" spans="1:19" ht="15" customHeight="1" x14ac:dyDescent="0.45">
      <c r="A78" s="21"/>
      <c r="B78" t="s">
        <v>92</v>
      </c>
      <c r="C78" s="66">
        <v>0</v>
      </c>
      <c r="D78" s="66">
        <v>0</v>
      </c>
      <c r="F78" s="66">
        <v>0</v>
      </c>
      <c r="G78" s="66">
        <v>0</v>
      </c>
      <c r="I78" s="66">
        <v>0</v>
      </c>
      <c r="J78" s="66">
        <v>0</v>
      </c>
      <c r="L78" s="66">
        <v>0</v>
      </c>
      <c r="M78" s="66">
        <v>0</v>
      </c>
      <c r="O78" s="66">
        <v>9020</v>
      </c>
      <c r="P78" s="66">
        <v>9291</v>
      </c>
      <c r="R78" s="66">
        <v>0</v>
      </c>
      <c r="S78" s="66">
        <v>0</v>
      </c>
    </row>
    <row r="79" spans="1:19" ht="15" customHeight="1" x14ac:dyDescent="0.45">
      <c r="A79" s="21"/>
      <c r="B79" t="s">
        <v>93</v>
      </c>
      <c r="C79">
        <f>SUM(C71:C78)</f>
        <v>16952</v>
      </c>
      <c r="D79">
        <f>SUM(D71:D78)</f>
        <v>17054</v>
      </c>
      <c r="F79">
        <f>SUM(F71:F78)</f>
        <v>6668</v>
      </c>
      <c r="G79">
        <f>SUM(G71:G78)</f>
        <v>5148</v>
      </c>
      <c r="I79">
        <f>SUM(I71:I78)</f>
        <v>21761</v>
      </c>
      <c r="J79">
        <f>SUM(J71:J78)</f>
        <v>23370</v>
      </c>
      <c r="L79">
        <f>SUM(L71:L78)</f>
        <v>1001.978</v>
      </c>
      <c r="M79">
        <f>SUM(M71:M78)</f>
        <v>1161.6890000000001</v>
      </c>
      <c r="O79">
        <f>SUM(O71:O78)</f>
        <v>756019</v>
      </c>
      <c r="P79">
        <f>SUM(P71:P78)</f>
        <v>828520</v>
      </c>
      <c r="R79">
        <f>SUM(R71:R78)</f>
        <v>8490</v>
      </c>
      <c r="S79">
        <f>SUM(S71:S78)</f>
        <v>8204</v>
      </c>
    </row>
    <row r="80" spans="1:19" ht="15" customHeight="1" x14ac:dyDescent="0.45">
      <c r="A80" s="21"/>
    </row>
    <row r="81" spans="1:19" ht="15" customHeight="1" x14ac:dyDescent="0.45">
      <c r="A81" s="21"/>
      <c r="B81" t="s">
        <v>94</v>
      </c>
      <c r="C81">
        <f>C69-C79</f>
        <v>-5992</v>
      </c>
      <c r="D81">
        <f>D69-D79</f>
        <v>-3985</v>
      </c>
      <c r="F81">
        <f>F69-F79</f>
        <v>-3399</v>
      </c>
      <c r="G81">
        <f>G69-G79</f>
        <v>-2040</v>
      </c>
      <c r="I81">
        <f>I69-I79</f>
        <v>-5570</v>
      </c>
      <c r="J81">
        <f>J69-J79</f>
        <v>-6423</v>
      </c>
      <c r="L81">
        <f>L69-L79</f>
        <v>1093.4639999999995</v>
      </c>
      <c r="M81">
        <f>M69-M79</f>
        <v>1174.0269999999998</v>
      </c>
      <c r="O81">
        <f>O69-O79</f>
        <v>311866</v>
      </c>
      <c r="P81">
        <f>P69-P79</f>
        <v>410103</v>
      </c>
      <c r="R81">
        <f>R69-R79</f>
        <v>-1284</v>
      </c>
      <c r="S81">
        <f>S69-S79</f>
        <v>-1685</v>
      </c>
    </row>
    <row r="82" spans="1:19" ht="15" customHeight="1" x14ac:dyDescent="0.45">
      <c r="A82" s="21"/>
    </row>
    <row r="83" spans="1:19" ht="15" customHeight="1" x14ac:dyDescent="0.45">
      <c r="A83" s="21"/>
      <c r="B83" t="s">
        <v>95</v>
      </c>
      <c r="C83" s="105">
        <v>9841</v>
      </c>
      <c r="D83" s="105">
        <v>9236</v>
      </c>
      <c r="F83" s="105">
        <v>2491</v>
      </c>
      <c r="G83" s="105">
        <v>2699</v>
      </c>
      <c r="I83" s="105">
        <v>24291</v>
      </c>
      <c r="J83" s="105">
        <v>27039</v>
      </c>
      <c r="L83" s="185">
        <v>516.89700000000005</v>
      </c>
      <c r="M83" s="185">
        <v>890.79600000000005</v>
      </c>
      <c r="O83" s="66">
        <v>750780</v>
      </c>
      <c r="P83" s="66">
        <v>825613</v>
      </c>
      <c r="R83" s="66">
        <v>6752</v>
      </c>
      <c r="S83" s="66">
        <v>6441</v>
      </c>
    </row>
    <row r="84" spans="1:19" ht="15" customHeight="1" x14ac:dyDescent="0.45">
      <c r="A84" s="21"/>
      <c r="B84" t="s">
        <v>96</v>
      </c>
      <c r="C84" s="105">
        <v>635</v>
      </c>
      <c r="D84" s="105">
        <v>516</v>
      </c>
      <c r="F84" s="105">
        <v>1190</v>
      </c>
      <c r="G84" s="105">
        <v>1178</v>
      </c>
      <c r="I84" s="105">
        <v>1277</v>
      </c>
      <c r="J84" s="105">
        <v>1199</v>
      </c>
      <c r="L84" s="185">
        <v>52.588000000000001</v>
      </c>
      <c r="M84" s="185">
        <v>69.882999999999996</v>
      </c>
      <c r="O84" s="66">
        <v>1468423</v>
      </c>
      <c r="P84" s="66">
        <f>1628232</f>
        <v>1628232</v>
      </c>
      <c r="Q84" t="str">
        <f ca="1">IF(ISBLANK(P84),"",_xlfn.FORMULATEXT(P84))</f>
        <v>=1628232</v>
      </c>
      <c r="R84" s="66">
        <v>459</v>
      </c>
      <c r="S84" s="66">
        <v>498</v>
      </c>
    </row>
    <row r="85" spans="1:19" ht="15" customHeight="1" x14ac:dyDescent="0.45">
      <c r="A85" s="21"/>
      <c r="B85" t="s">
        <v>97</v>
      </c>
      <c r="C85" s="105">
        <v>1484</v>
      </c>
      <c r="D85" s="105">
        <v>1852</v>
      </c>
      <c r="F85" s="105">
        <v>353</v>
      </c>
      <c r="G85" s="105">
        <v>425</v>
      </c>
      <c r="I85" s="105">
        <v>5207</v>
      </c>
      <c r="J85" s="105">
        <v>5518</v>
      </c>
      <c r="L85" s="105">
        <v>188.726</v>
      </c>
      <c r="M85" s="105">
        <v>221.428</v>
      </c>
      <c r="O85" s="66">
        <v>132509</v>
      </c>
      <c r="P85" s="66">
        <v>140212</v>
      </c>
      <c r="R85" s="66">
        <v>0</v>
      </c>
      <c r="S85" s="66">
        <v>0</v>
      </c>
    </row>
    <row r="86" spans="1:19" ht="15" customHeight="1" x14ac:dyDescent="0.45">
      <c r="A86" s="21"/>
    </row>
    <row r="87" spans="1:19" ht="15" customHeight="1" x14ac:dyDescent="0.45">
      <c r="A87" s="21"/>
      <c r="B87" t="s">
        <v>98</v>
      </c>
      <c r="C87" s="105">
        <v>2373</v>
      </c>
      <c r="D87" s="105">
        <v>4557</v>
      </c>
      <c r="F87" s="105">
        <v>895</v>
      </c>
      <c r="G87" s="105">
        <v>3246</v>
      </c>
      <c r="I87" s="105">
        <v>3414</v>
      </c>
      <c r="J87" s="105">
        <v>6510</v>
      </c>
      <c r="L87" s="66">
        <v>0</v>
      </c>
      <c r="M87" s="184">
        <v>0</v>
      </c>
      <c r="O87" s="66">
        <v>249255</v>
      </c>
      <c r="P87" s="66">
        <v>236137</v>
      </c>
      <c r="R87" s="66">
        <v>3357</v>
      </c>
      <c r="S87" s="66">
        <v>5154</v>
      </c>
    </row>
    <row r="88" spans="1:19" ht="15" customHeight="1" x14ac:dyDescent="0.45">
      <c r="A88" s="21"/>
      <c r="B88" t="s">
        <v>99</v>
      </c>
      <c r="C88" s="105">
        <v>399</v>
      </c>
      <c r="D88" s="105">
        <v>1960</v>
      </c>
      <c r="F88" s="66">
        <v>0</v>
      </c>
      <c r="G88" s="66">
        <v>0</v>
      </c>
      <c r="I88" s="66">
        <v>0</v>
      </c>
      <c r="J88" s="66">
        <v>0</v>
      </c>
      <c r="L88" s="66">
        <v>0</v>
      </c>
      <c r="M88" s="66">
        <v>0</v>
      </c>
      <c r="O88" s="66">
        <v>0</v>
      </c>
      <c r="P88" s="66">
        <v>0</v>
      </c>
      <c r="R88" s="66">
        <v>0</v>
      </c>
      <c r="S88" s="66">
        <v>0</v>
      </c>
    </row>
    <row r="89" spans="1:19" ht="15" customHeight="1" x14ac:dyDescent="0.45">
      <c r="A89" s="21"/>
      <c r="B89" t="s">
        <v>100</v>
      </c>
      <c r="C89" s="105">
        <v>36377</v>
      </c>
      <c r="D89" s="105">
        <v>35547</v>
      </c>
      <c r="F89" s="105">
        <v>11072</v>
      </c>
      <c r="G89" s="105">
        <v>9945</v>
      </c>
      <c r="I89" s="105">
        <v>35657</v>
      </c>
      <c r="J89" s="105">
        <v>37595</v>
      </c>
      <c r="L89" s="66">
        <v>0</v>
      </c>
      <c r="M89" s="66">
        <v>0</v>
      </c>
      <c r="O89" s="66">
        <v>1131736</v>
      </c>
      <c r="P89" s="66">
        <v>1113588</v>
      </c>
      <c r="R89" s="66">
        <v>10806</v>
      </c>
      <c r="S89" s="66">
        <v>10447</v>
      </c>
    </row>
    <row r="90" spans="1:19" ht="15" customHeight="1" x14ac:dyDescent="0.45">
      <c r="A90" s="21"/>
      <c r="B90" t="s">
        <v>101</v>
      </c>
      <c r="C90" s="3">
        <v>0</v>
      </c>
      <c r="D90" s="3">
        <v>0</v>
      </c>
      <c r="F90" s="105">
        <v>95</v>
      </c>
      <c r="G90" s="105">
        <v>106</v>
      </c>
      <c r="I90" s="3">
        <v>0</v>
      </c>
      <c r="J90" s="3">
        <v>0</v>
      </c>
      <c r="L90" s="66">
        <v>0</v>
      </c>
      <c r="M90" s="3">
        <v>0</v>
      </c>
      <c r="O90" s="66">
        <v>0</v>
      </c>
      <c r="P90" s="66">
        <v>0</v>
      </c>
      <c r="R90" s="66">
        <v>0</v>
      </c>
      <c r="S90" s="66">
        <v>0</v>
      </c>
    </row>
    <row r="91" spans="1:19" ht="15" customHeight="1" x14ac:dyDescent="0.45">
      <c r="A91" s="21"/>
      <c r="B91" t="s">
        <v>102</v>
      </c>
      <c r="C91" s="3">
        <v>0</v>
      </c>
      <c r="D91" s="3">
        <v>0</v>
      </c>
      <c r="F91" s="105">
        <v>618</v>
      </c>
      <c r="G91" s="105">
        <v>620</v>
      </c>
      <c r="I91" s="3">
        <v>0</v>
      </c>
      <c r="J91" s="3">
        <v>0</v>
      </c>
      <c r="L91" s="66">
        <v>0</v>
      </c>
      <c r="M91" s="3">
        <v>0</v>
      </c>
      <c r="O91" s="66">
        <v>0</v>
      </c>
      <c r="P91" s="66">
        <v>0</v>
      </c>
      <c r="R91" s="66">
        <v>0</v>
      </c>
      <c r="S91" s="66">
        <v>0</v>
      </c>
    </row>
    <row r="92" spans="1:19" ht="15" customHeight="1" x14ac:dyDescent="0.45">
      <c r="A92" s="21"/>
      <c r="B92" t="s">
        <v>103</v>
      </c>
      <c r="C92" s="3">
        <v>0</v>
      </c>
      <c r="D92" s="3">
        <v>0</v>
      </c>
      <c r="F92" s="105">
        <v>137</v>
      </c>
      <c r="G92" s="105">
        <v>117</v>
      </c>
      <c r="I92" s="3">
        <v>0</v>
      </c>
      <c r="J92" s="3">
        <v>0</v>
      </c>
      <c r="L92" s="66">
        <v>0</v>
      </c>
      <c r="M92" s="3">
        <v>0</v>
      </c>
      <c r="O92" s="66">
        <v>0</v>
      </c>
      <c r="P92" s="66">
        <v>0</v>
      </c>
      <c r="R92" s="66">
        <v>0</v>
      </c>
      <c r="S92" s="66">
        <v>0</v>
      </c>
    </row>
    <row r="93" spans="1:19" ht="15" customHeight="1" x14ac:dyDescent="0.45">
      <c r="A93" s="21"/>
      <c r="B93" t="s">
        <v>104</v>
      </c>
      <c r="C93" s="3">
        <v>0</v>
      </c>
      <c r="D93" s="3">
        <v>0</v>
      </c>
      <c r="F93" s="3">
        <v>0</v>
      </c>
      <c r="G93" s="3">
        <v>0</v>
      </c>
      <c r="I93" s="3">
        <v>0</v>
      </c>
      <c r="J93" s="3">
        <v>0</v>
      </c>
      <c r="L93" s="3">
        <v>0</v>
      </c>
      <c r="M93" s="3">
        <v>0</v>
      </c>
      <c r="O93" s="66">
        <v>125111</v>
      </c>
      <c r="P93" s="66">
        <v>118696</v>
      </c>
      <c r="R93" s="3">
        <v>0</v>
      </c>
      <c r="S93" s="3">
        <v>0</v>
      </c>
    </row>
    <row r="94" spans="1:19" ht="15" customHeight="1" x14ac:dyDescent="0.45">
      <c r="A94" s="21"/>
      <c r="B94" t="s">
        <v>105</v>
      </c>
      <c r="C94">
        <f>SUM(C87:C93)</f>
        <v>39149</v>
      </c>
      <c r="D94">
        <f>SUM(D87:D93)</f>
        <v>42064</v>
      </c>
      <c r="F94">
        <f>SUM(F87:F93)</f>
        <v>12817</v>
      </c>
      <c r="G94">
        <f>SUM(G87:G93)</f>
        <v>14034</v>
      </c>
      <c r="I94">
        <f>SUM(I87:I93)</f>
        <v>39071</v>
      </c>
      <c r="J94">
        <f>SUM(J87:J93)</f>
        <v>44105</v>
      </c>
      <c r="L94">
        <f>SUM(L87:L93)</f>
        <v>0</v>
      </c>
      <c r="M94">
        <f>SUM(M87:M93)</f>
        <v>0</v>
      </c>
      <c r="O94">
        <f>SUM(O87:O93)</f>
        <v>1506102</v>
      </c>
      <c r="P94">
        <f>SUM(P87:P93)</f>
        <v>1468421</v>
      </c>
      <c r="R94">
        <f>SUM(R87:R93)</f>
        <v>14163</v>
      </c>
      <c r="S94">
        <f>SUM(S87:S93)</f>
        <v>15601</v>
      </c>
    </row>
    <row r="95" spans="1:19" ht="15" customHeight="1" x14ac:dyDescent="0.45">
      <c r="A95" s="21"/>
    </row>
    <row r="96" spans="1:19" ht="15" customHeight="1" x14ac:dyDescent="0.45">
      <c r="A96" s="21"/>
      <c r="B96" t="s">
        <v>106</v>
      </c>
      <c r="C96" s="105">
        <v>10562</v>
      </c>
      <c r="D96" s="105">
        <v>12363</v>
      </c>
      <c r="F96" s="105">
        <v>535</v>
      </c>
      <c r="G96" s="105">
        <v>267</v>
      </c>
      <c r="I96" s="105">
        <v>4954</v>
      </c>
      <c r="J96" s="105">
        <v>9711</v>
      </c>
      <c r="L96" s="105">
        <v>1307.1410000000001</v>
      </c>
      <c r="M96" s="105">
        <v>2297.6750000000002</v>
      </c>
      <c r="O96" s="66">
        <v>297717</v>
      </c>
      <c r="P96" s="66">
        <v>301938</v>
      </c>
      <c r="R96" s="66">
        <v>1051</v>
      </c>
      <c r="S96" s="66">
        <v>2363</v>
      </c>
    </row>
    <row r="97" spans="1:19" ht="15" customHeight="1" x14ac:dyDescent="0.45">
      <c r="A97" s="21"/>
      <c r="B97" t="s">
        <v>107</v>
      </c>
      <c r="C97" s="105">
        <v>1069</v>
      </c>
      <c r="D97" s="105">
        <v>1300</v>
      </c>
      <c r="F97" s="66">
        <v>0</v>
      </c>
      <c r="G97" s="66">
        <v>0</v>
      </c>
      <c r="I97" s="105">
        <v>394</v>
      </c>
      <c r="J97" s="105">
        <v>292</v>
      </c>
      <c r="L97" s="105">
        <v>1362.3140000000001</v>
      </c>
      <c r="M97" s="105">
        <v>955.60500000000002</v>
      </c>
      <c r="O97" s="66">
        <v>17236</v>
      </c>
      <c r="P97" s="66">
        <v>18802</v>
      </c>
      <c r="R97" s="66">
        <v>3631</v>
      </c>
      <c r="S97" s="66">
        <v>3638</v>
      </c>
    </row>
    <row r="98" spans="1:19" ht="15" customHeight="1" x14ac:dyDescent="0.45">
      <c r="A98" s="21"/>
      <c r="B98" t="s">
        <v>108</v>
      </c>
      <c r="C98">
        <f>SUM(C96:C97)</f>
        <v>11631</v>
      </c>
      <c r="D98">
        <f>SUM(D96:D97)</f>
        <v>13663</v>
      </c>
      <c r="F98">
        <f>SUM(F96:F97)</f>
        <v>535</v>
      </c>
      <c r="G98">
        <f>SUM(G96:G97)</f>
        <v>267</v>
      </c>
      <c r="I98">
        <f>SUM(I96:I97)</f>
        <v>5348</v>
      </c>
      <c r="J98">
        <f>SUM(J96:J97)</f>
        <v>10003</v>
      </c>
      <c r="L98">
        <f>SUM(L96:L97)</f>
        <v>2669.4549999999999</v>
      </c>
      <c r="M98">
        <f>SUM(M96:M97)</f>
        <v>3253.28</v>
      </c>
      <c r="O98">
        <f>SUM(O96:O97)</f>
        <v>314953</v>
      </c>
      <c r="P98">
        <f>SUM(P96:P97)</f>
        <v>320740</v>
      </c>
      <c r="R98">
        <f>SUM(R96:R97)</f>
        <v>4682</v>
      </c>
      <c r="S98">
        <f>SUM(S96:S97)</f>
        <v>6001</v>
      </c>
    </row>
    <row r="99" spans="1:19" ht="15" customHeight="1" x14ac:dyDescent="0.45">
      <c r="A99" s="21"/>
      <c r="B99" t="s">
        <v>109</v>
      </c>
      <c r="C99">
        <f>C94-C98</f>
        <v>27518</v>
      </c>
      <c r="D99">
        <f>D94-D98</f>
        <v>28401</v>
      </c>
      <c r="F99">
        <f>F94-F98</f>
        <v>12282</v>
      </c>
      <c r="G99">
        <f>G94-G98</f>
        <v>13767</v>
      </c>
      <c r="I99">
        <f>I94-I98</f>
        <v>33723</v>
      </c>
      <c r="J99">
        <f>J94-J98</f>
        <v>34102</v>
      </c>
      <c r="L99">
        <f>L94-L98</f>
        <v>-2669.4549999999999</v>
      </c>
      <c r="M99">
        <f>M94-M98</f>
        <v>-3253.28</v>
      </c>
      <c r="O99">
        <f>O94-O98</f>
        <v>1191149</v>
      </c>
      <c r="P99">
        <f>P94-P98</f>
        <v>1147681</v>
      </c>
      <c r="R99">
        <f>R94-R98</f>
        <v>9481</v>
      </c>
      <c r="S99">
        <f>S94-S98</f>
        <v>9600</v>
      </c>
    </row>
    <row r="100" spans="1:19" ht="15" customHeight="1" x14ac:dyDescent="0.45">
      <c r="A100" s="21"/>
    </row>
    <row r="101" spans="1:19" ht="15" customHeight="1" x14ac:dyDescent="0.45">
      <c r="A101" s="21"/>
      <c r="B101" t="s">
        <v>110</v>
      </c>
      <c r="C101" s="105">
        <v>24105</v>
      </c>
      <c r="D101" s="105">
        <v>25941</v>
      </c>
      <c r="F101" s="105">
        <v>25126</v>
      </c>
      <c r="G101" s="105">
        <v>25676</v>
      </c>
      <c r="I101" s="105">
        <v>17149</v>
      </c>
      <c r="J101" s="105">
        <v>18503</v>
      </c>
      <c r="L101" s="105">
        <v>7025.0410000000002</v>
      </c>
      <c r="M101" s="105">
        <v>8228.7440000000006</v>
      </c>
      <c r="O101" s="66">
        <v>1710005</v>
      </c>
      <c r="P101" s="66">
        <v>2131561</v>
      </c>
      <c r="R101" s="66">
        <v>17923</v>
      </c>
      <c r="S101" s="66">
        <v>16176</v>
      </c>
    </row>
    <row r="102" spans="1:19" ht="15" customHeight="1" x14ac:dyDescent="0.45">
      <c r="A102" s="21"/>
    </row>
    <row r="103" spans="1:19" ht="15" customHeight="1" x14ac:dyDescent="0.45">
      <c r="A103" s="21" t="s">
        <v>111</v>
      </c>
    </row>
    <row r="104" spans="1:19" ht="15" customHeight="1" x14ac:dyDescent="0.45">
      <c r="A104" s="21"/>
      <c r="B104" t="s">
        <v>112</v>
      </c>
      <c r="D104" s="74">
        <f>D34/C34-1</f>
        <v>6.3606374576034908E-2</v>
      </c>
      <c r="G104" s="74">
        <f>G34/F34-1</f>
        <v>5.3852173294444139E-2</v>
      </c>
      <c r="J104" s="74">
        <f>J34/I34-1</f>
        <v>5.879016575608853E-2</v>
      </c>
      <c r="M104" s="74">
        <f>M34/L34-1</f>
        <v>0.13219110037394044</v>
      </c>
      <c r="O104" s="74"/>
      <c r="P104" s="74">
        <f>P34/O34-1</f>
        <v>0.16323617170587612</v>
      </c>
      <c r="R104" s="74"/>
      <c r="S104" s="74">
        <f>S34/R34-1</f>
        <v>-1.5183832833230992E-3</v>
      </c>
    </row>
    <row r="105" spans="1:19" ht="15" customHeight="1" x14ac:dyDescent="0.45">
      <c r="A105" s="21"/>
      <c r="B105" t="s">
        <v>113</v>
      </c>
      <c r="C105" s="74">
        <f>C37/C34</f>
        <v>0.58609394601124376</v>
      </c>
      <c r="D105" s="74">
        <f>D37/D34</f>
        <v>0.59669316791892368</v>
      </c>
      <c r="F105" s="74">
        <f>F37/F34</f>
        <v>0.53837945507576301</v>
      </c>
      <c r="G105" s="74">
        <f>G37/G34</f>
        <v>0.55285540704738756</v>
      </c>
      <c r="I105" s="74">
        <f>I37/I34</f>
        <v>0.53363737383091026</v>
      </c>
      <c r="J105" s="74">
        <f>J37/J34</f>
        <v>0.5437461053229985</v>
      </c>
      <c r="L105" s="74">
        <f>L37/L34</f>
        <v>0.4998472345141563</v>
      </c>
      <c r="M105" s="74">
        <f>M37/M34</f>
        <v>0.52875939767552993</v>
      </c>
      <c r="O105" s="74">
        <f>O37/O34</f>
        <v>0.46829646896585519</v>
      </c>
      <c r="P105" s="74">
        <f>P37/P34</f>
        <v>0.44784282722044427</v>
      </c>
      <c r="R105" s="74">
        <f>R37/R34</f>
        <v>0.46054011062506778</v>
      </c>
      <c r="S105" s="74">
        <f>S37/S34</f>
        <v>0.4737318512618125</v>
      </c>
    </row>
    <row r="106" spans="1:19" ht="15" customHeight="1" x14ac:dyDescent="0.45">
      <c r="A106" s="21"/>
      <c r="B106" t="s">
        <v>114</v>
      </c>
      <c r="C106" s="74">
        <f>C45/C34</f>
        <v>0.28678622868559217</v>
      </c>
      <c r="D106" s="74">
        <f>D45/D34</f>
        <v>0.29128079678490304</v>
      </c>
      <c r="F106" s="74">
        <f>F45/F34</f>
        <v>0.24151668208010243</v>
      </c>
      <c r="G106" s="74">
        <f>G45/G34</f>
        <v>0.23646550560280816</v>
      </c>
      <c r="I106" s="74">
        <f>I45/I34</f>
        <v>0.14266367256227427</v>
      </c>
      <c r="J106" s="74">
        <f>J45/J34</f>
        <v>0.15168742005662997</v>
      </c>
      <c r="L106" s="74">
        <f>L45/L34</f>
        <v>0.24667655336825572</v>
      </c>
      <c r="M106" s="74">
        <f>M45/M34</f>
        <v>0.27781457732484677</v>
      </c>
      <c r="O106" s="74">
        <f>O45/O34</f>
        <v>0.10863306960391586</v>
      </c>
      <c r="P106" s="74">
        <f>P45/P34</f>
        <v>9.8289027941752261E-2</v>
      </c>
      <c r="R106" s="74">
        <f>R45/R34</f>
        <v>0.12208524637576371</v>
      </c>
      <c r="S106" s="74">
        <f>S45/S34</f>
        <v>0.12603642420073138</v>
      </c>
    </row>
    <row r="107" spans="1:19" ht="15" customHeight="1" x14ac:dyDescent="0.45">
      <c r="A107" s="21"/>
      <c r="B107" t="s">
        <v>115</v>
      </c>
      <c r="C107" s="74">
        <f>C47/C34</f>
        <v>0.31605724109092598</v>
      </c>
      <c r="D107" s="74">
        <f>D47/D34</f>
        <v>0.31591822470732134</v>
      </c>
      <c r="F107" s="74">
        <f>F47/F34</f>
        <v>0.27971828982001851</v>
      </c>
      <c r="G107" s="74">
        <f>G47/G34</f>
        <v>0.27285000675037124</v>
      </c>
      <c r="I107" s="74">
        <f>I47/I34</f>
        <v>0.17464580053708675</v>
      </c>
      <c r="J107" s="74">
        <f>J47/J34</f>
        <v>0.18391621388199539</v>
      </c>
      <c r="L107" s="74">
        <f>L47/L34</f>
        <v>0.25644222259430238</v>
      </c>
      <c r="M107" s="74">
        <f>M47/M34</f>
        <v>0.28751848408463798</v>
      </c>
      <c r="O107" s="74">
        <f>O47/O34</f>
        <v>0.1636513661603832</v>
      </c>
      <c r="P107" s="74">
        <f>P47/P34</f>
        <v>0.14914504052797128</v>
      </c>
      <c r="R107" s="74">
        <f>R47/R34</f>
        <v>0.161418603810419</v>
      </c>
      <c r="S107" s="74">
        <f>S47/S34</f>
        <v>0.17831927296426373</v>
      </c>
    </row>
    <row r="108" spans="1:19" ht="15" customHeight="1" x14ac:dyDescent="0.45">
      <c r="A108" s="21"/>
      <c r="B108" t="s">
        <v>116</v>
      </c>
      <c r="C108">
        <f>C45*(1-C54)</f>
        <v>9996.3399865440679</v>
      </c>
      <c r="D108">
        <f>D45*(1-D54)</f>
        <v>10801.761855169063</v>
      </c>
      <c r="F108">
        <f>F45*(1-F54)</f>
        <v>2627.6444946722636</v>
      </c>
      <c r="G108">
        <f>G45*(1-G54)</f>
        <v>2722.3932098765431</v>
      </c>
      <c r="I108">
        <f>I45*(1-I54)</f>
        <v>9860</v>
      </c>
      <c r="J108">
        <f>J45*(1-J54)</f>
        <v>11058.374999999998</v>
      </c>
      <c r="L108">
        <f>L45*(1-L54)</f>
        <v>1172.2915553973148</v>
      </c>
      <c r="M108">
        <f>M45*(1-M54)</f>
        <v>1554.9822350882507</v>
      </c>
      <c r="O108">
        <f>O45*(1-O54)</f>
        <v>162917.56127707969</v>
      </c>
      <c r="P108">
        <f>P45*(1-P54)</f>
        <v>188271.38397919715</v>
      </c>
      <c r="R108">
        <f>R45*(1-R54)</f>
        <v>2456.696370706416</v>
      </c>
      <c r="S108">
        <f>S45*(1-S54)</f>
        <v>2533.1323668452569</v>
      </c>
    </row>
    <row r="109" spans="1:19" ht="15" customHeight="1" x14ac:dyDescent="0.45">
      <c r="A109" s="21"/>
      <c r="B109" t="s">
        <v>117</v>
      </c>
      <c r="C109">
        <f>C101+C99</f>
        <v>51623</v>
      </c>
      <c r="D109">
        <f>D101+D99</f>
        <v>54342</v>
      </c>
      <c r="F109">
        <f>F101+F99</f>
        <v>37408</v>
      </c>
      <c r="G109">
        <f>G101+G99</f>
        <v>39443</v>
      </c>
      <c r="I109">
        <f>I101+I99</f>
        <v>50872</v>
      </c>
      <c r="J109">
        <f>J101+J99</f>
        <v>52605</v>
      </c>
      <c r="L109">
        <f>L101+L99</f>
        <v>4355.5860000000002</v>
      </c>
      <c r="M109">
        <f>M101+M99</f>
        <v>4975.4639999999999</v>
      </c>
      <c r="O109">
        <f>O101+O99</f>
        <v>2901154</v>
      </c>
      <c r="P109">
        <f>P101+P99</f>
        <v>3279242</v>
      </c>
      <c r="R109">
        <f>R101+R99</f>
        <v>27404</v>
      </c>
      <c r="S109">
        <f>S101+S99</f>
        <v>25776</v>
      </c>
    </row>
    <row r="110" spans="1:19" ht="15" customHeight="1" x14ac:dyDescent="0.45">
      <c r="A110" s="21"/>
      <c r="B110" t="s">
        <v>118</v>
      </c>
      <c r="C110" s="74">
        <f>C108/C109</f>
        <v>0.19364120617833269</v>
      </c>
      <c r="D110" s="74">
        <f>D108/D109</f>
        <v>0.19877372667861071</v>
      </c>
      <c r="F110" s="74">
        <f>F108/F109</f>
        <v>7.0242848980759831E-2</v>
      </c>
      <c r="G110" s="74">
        <f>G108/G109</f>
        <v>6.9020946932954977E-2</v>
      </c>
      <c r="I110" s="74">
        <f>I108/I109</f>
        <v>0.19381978298474603</v>
      </c>
      <c r="J110" s="74">
        <f>J108/J109</f>
        <v>0.21021528371827769</v>
      </c>
      <c r="L110" s="74">
        <f>L108/L109</f>
        <v>0.26914669011180464</v>
      </c>
      <c r="M110" s="74">
        <f>M108/M109</f>
        <v>0.31253009469835391</v>
      </c>
      <c r="O110" s="74">
        <f>O108/O109</f>
        <v>5.6156123141715225E-2</v>
      </c>
      <c r="P110" s="74">
        <f>P108/P109</f>
        <v>5.7413080211584616E-2</v>
      </c>
      <c r="R110" s="74">
        <f>R108/R109</f>
        <v>8.9647364279171513E-2</v>
      </c>
      <c r="S110" s="74">
        <f>S108/S109</f>
        <v>9.827484353061984E-2</v>
      </c>
    </row>
    <row r="111" spans="1:19" ht="15" customHeight="1" x14ac:dyDescent="0.45">
      <c r="A111" s="21"/>
    </row>
    <row r="112" spans="1:19" ht="15" customHeight="1" x14ac:dyDescent="0.45">
      <c r="A112" s="21" t="s">
        <v>119</v>
      </c>
    </row>
    <row r="113" spans="1:19" ht="15" customHeight="1" x14ac:dyDescent="0.45">
      <c r="A113" s="21"/>
      <c r="B113" t="s">
        <v>120</v>
      </c>
      <c r="C113">
        <f>C63/C34*365</f>
        <v>29.567323328532268</v>
      </c>
      <c r="D113">
        <f>D63/D34*365</f>
        <v>27.18526122662939</v>
      </c>
      <c r="F113">
        <f>F63/F34*365</f>
        <v>38.533115173934696</v>
      </c>
      <c r="G113">
        <f>G63/G34*365</f>
        <v>33.705953827460512</v>
      </c>
      <c r="I113">
        <f>I63/I34*365</f>
        <v>42.937945643115107</v>
      </c>
      <c r="J113">
        <f>J63/J34*365</f>
        <v>43.155480972111377</v>
      </c>
      <c r="L113">
        <f>L63/L34*365</f>
        <v>59.147047942529561</v>
      </c>
      <c r="M113">
        <f>M63/M34*365</f>
        <v>61.379606021216539</v>
      </c>
      <c r="O113">
        <f>O63/O34*365</f>
        <v>76.414463379761614</v>
      </c>
      <c r="P113">
        <f>P63/P34*365</f>
        <v>72.605152511620929</v>
      </c>
      <c r="R113">
        <f>R63/R34*365</f>
        <v>43.175590181121436</v>
      </c>
      <c r="S113">
        <f>S63/S34*365</f>
        <v>38.576161338209204</v>
      </c>
    </row>
    <row r="114" spans="1:19" ht="15" customHeight="1" x14ac:dyDescent="0.45">
      <c r="A114" s="21"/>
      <c r="B114" t="s">
        <v>121</v>
      </c>
      <c r="C114">
        <f>C64/(C34-C37)*365</f>
        <v>86.717460851995284</v>
      </c>
      <c r="D114">
        <f>D64/(D34-D37)*365</f>
        <v>87.449769834822646</v>
      </c>
      <c r="F114">
        <f>F64/(F34-F37)*365</f>
        <v>73.91123439667129</v>
      </c>
      <c r="G114">
        <f>G64/(G34-G37)*365</f>
        <v>62.927234299516904</v>
      </c>
      <c r="I114">
        <f>I64/(I34-I37)*365</f>
        <v>47.30776867709109</v>
      </c>
      <c r="J114">
        <f>J64/(J34-J37)*365</f>
        <v>46.650452868165047</v>
      </c>
      <c r="L114">
        <f>L64/(L34-L37)*365</f>
        <v>108.8816087955841</v>
      </c>
      <c r="M114">
        <f>M64/(M34-M37)*365</f>
        <v>105.97195426772682</v>
      </c>
      <c r="O114">
        <f>O64/(O34-O37)*365</f>
        <v>158.90974013043672</v>
      </c>
      <c r="P114">
        <f>P64/(P34-P37)*365</f>
        <v>163.31758811769234</v>
      </c>
      <c r="R114">
        <f>R64/(R34-R37)*365</f>
        <v>64.062123039807005</v>
      </c>
      <c r="S114">
        <f>S64/(S34-S37)*365</f>
        <v>58.786721706226352</v>
      </c>
    </row>
    <row r="115" spans="1:19" ht="15" customHeight="1" x14ac:dyDescent="0.45">
      <c r="A115" s="21"/>
      <c r="B115" t="s">
        <v>122</v>
      </c>
      <c r="C115">
        <f>C71/(C34-C37)*365</f>
        <v>322.63484312735028</v>
      </c>
      <c r="D115">
        <f>D71/(D34-D37)*365</f>
        <v>306.09396154887628</v>
      </c>
      <c r="F115">
        <f>F71/(F34-F37)*365</f>
        <v>292.83248574510714</v>
      </c>
      <c r="G115">
        <f>G71/(G34-G37)*365</f>
        <v>198.20425724637681</v>
      </c>
      <c r="I115">
        <f>I71/(I34-I37)*365</f>
        <v>197.13986100769421</v>
      </c>
      <c r="J115">
        <f>J71/(J34-J37)*365</f>
        <v>204.39090429865337</v>
      </c>
      <c r="L115">
        <f>L71/(L34-L37)*365</f>
        <v>51.700176599076094</v>
      </c>
      <c r="M115">
        <f>M71/(M34-M37)*365</f>
        <v>61.568845135468997</v>
      </c>
      <c r="O115">
        <f>O71/(O34-O37)*365</f>
        <v>190.90162362935305</v>
      </c>
      <c r="P115">
        <f>P71/(P34-P37)*365</f>
        <v>173.63086784304508</v>
      </c>
      <c r="R115">
        <f>R71/(R34-R37)*365</f>
        <v>119.83212706071572</v>
      </c>
      <c r="S115">
        <f>S71/(S34-S37)*365</f>
        <v>120.00928792569658</v>
      </c>
    </row>
    <row r="116" spans="1:19" ht="15" customHeight="1" x14ac:dyDescent="0.45">
      <c r="A116" s="21"/>
      <c r="B116" t="s">
        <v>123</v>
      </c>
      <c r="C116" s="74">
        <f>C81/C34</f>
        <v>-0.13919992566092088</v>
      </c>
      <c r="D116" s="74">
        <f>D81/D34</f>
        <v>-8.7039140311025692E-2</v>
      </c>
      <c r="F116" s="74">
        <f>F81/F34</f>
        <v>-0.24180123781745749</v>
      </c>
      <c r="G116" s="74">
        <f>G81/G34</f>
        <v>-0.13770757391656541</v>
      </c>
      <c r="I116" s="74">
        <f>I81/I34</f>
        <v>-6.4473562366885825E-2</v>
      </c>
      <c r="J116" s="74">
        <f>J81/J34</f>
        <v>-7.0218976506215086E-2</v>
      </c>
      <c r="L116" s="74">
        <f>L81/L34</f>
        <v>0.17436697203817533</v>
      </c>
      <c r="M116" s="74">
        <f>M81/M34</f>
        <v>0.1653552866770788</v>
      </c>
      <c r="O116" s="74">
        <f>O81/O34</f>
        <v>0.13644366043131223</v>
      </c>
      <c r="P116" s="74">
        <f>P81/P34</f>
        <v>0.15424474599449897</v>
      </c>
      <c r="R116" s="74">
        <f>R81/R34</f>
        <v>-4.6419146090163045E-2</v>
      </c>
      <c r="S116" s="74">
        <f>S81/S34</f>
        <v>-6.1008725877113583E-2</v>
      </c>
    </row>
    <row r="117" spans="1:19" ht="15" customHeight="1" x14ac:dyDescent="0.45">
      <c r="A117" s="21"/>
      <c r="B117" t="s">
        <v>124</v>
      </c>
      <c r="C117" s="74">
        <f>(C83+C84)/C34</f>
        <v>0.24336756028434697</v>
      </c>
      <c r="D117" s="74">
        <f>(D83+D84)/D34</f>
        <v>0.21300017473353136</v>
      </c>
      <c r="F117" s="74">
        <f>(F83+F84)/F34</f>
        <v>0.2618624173009888</v>
      </c>
      <c r="G117" s="74">
        <f>(G83+G84)/G34</f>
        <v>0.2617118941541785</v>
      </c>
      <c r="I117" s="74">
        <f>(I83+I84)/I34</f>
        <v>0.29595332901194554</v>
      </c>
      <c r="J117" s="74">
        <f>(J83+J84)/J34</f>
        <v>0.30870986432858499</v>
      </c>
      <c r="L117" s="74">
        <f>(L83+L84)/L34</f>
        <v>9.0811746039339503E-2</v>
      </c>
      <c r="M117" s="74">
        <f>(M83+M84)/M34</f>
        <v>0.13530638686303589</v>
      </c>
      <c r="O117" s="74">
        <f>(O83+O84)/O34</f>
        <v>0.97091757536938739</v>
      </c>
      <c r="P117" s="74">
        <f>(P83+P84)/P34</f>
        <v>0.92292106796310036</v>
      </c>
      <c r="R117" s="74">
        <f>(R83+R84)/R34</f>
        <v>0.26069194895340009</v>
      </c>
      <c r="S117" s="74">
        <f>(S83+S84)/S34</f>
        <v>0.25124008834497991</v>
      </c>
    </row>
    <row r="118" spans="1:19" ht="15" customHeight="1" x14ac:dyDescent="0.45">
      <c r="A118" s="21"/>
      <c r="B118" t="s">
        <v>125</v>
      </c>
      <c r="C118" s="74">
        <f>C85/C34</f>
        <v>3.4474747944059844E-2</v>
      </c>
      <c r="D118" s="74">
        <f>D85/D34</f>
        <v>4.0450812510920843E-2</v>
      </c>
      <c r="F118" s="74">
        <f>F85/F34</f>
        <v>2.5112043821583552E-2</v>
      </c>
      <c r="G118" s="74">
        <f>G85/G34</f>
        <v>2.868907789928446E-2</v>
      </c>
      <c r="I118" s="74">
        <f>I85/I34</f>
        <v>6.0271784424483749E-2</v>
      </c>
      <c r="J118" s="74">
        <f>J85/J34</f>
        <v>6.0325130369188046E-2</v>
      </c>
      <c r="L118" s="74">
        <f>L85/L34</f>
        <v>3.0094800711204663E-2</v>
      </c>
      <c r="M118" s="74">
        <f>M85/M34</f>
        <v>3.1186923655360747E-2</v>
      </c>
      <c r="O118" s="74">
        <f>O85/O34</f>
        <v>5.7973658558780859E-2</v>
      </c>
      <c r="P118" s="74">
        <f>P85/P34</f>
        <v>5.2735445303693687E-2</v>
      </c>
      <c r="R118" s="74">
        <f>R85/R34</f>
        <v>0</v>
      </c>
      <c r="S118" s="74">
        <f>S85/S34</f>
        <v>0</v>
      </c>
    </row>
    <row r="119" spans="1:19" ht="15" customHeight="1" x14ac:dyDescent="0.45">
      <c r="A119" s="21"/>
      <c r="B119" t="s">
        <v>126</v>
      </c>
      <c r="C119" s="75">
        <f>C85/C46</f>
        <v>1.1777777777777778</v>
      </c>
      <c r="D119" s="75">
        <f>D85/D46</f>
        <v>1.6418439716312057</v>
      </c>
      <c r="F119" s="75">
        <f>F85/F46</f>
        <v>0.65735567970204845</v>
      </c>
      <c r="G119" s="75">
        <f>G85/G46</f>
        <v>0.78849721706864562</v>
      </c>
      <c r="I119" s="75">
        <f>I85/I46</f>
        <v>1.8845457835685848</v>
      </c>
      <c r="J119" s="75">
        <f>J85/J46</f>
        <v>1.8717774762550883</v>
      </c>
      <c r="L119" s="75">
        <f>L85/L46</f>
        <v>3.0816936366159924</v>
      </c>
      <c r="M119" s="75">
        <f>M85/M46</f>
        <v>3.2138523614618713</v>
      </c>
      <c r="O119" s="75">
        <f>O85/O46</f>
        <v>1.0537159851774098</v>
      </c>
      <c r="P119" s="75">
        <f>P85/P46</f>
        <v>1.0369559590282142</v>
      </c>
      <c r="R119" s="75">
        <f>R85/R46</f>
        <v>0</v>
      </c>
      <c r="S119" s="75">
        <f>S85/S46</f>
        <v>0</v>
      </c>
    </row>
    <row r="120" spans="1:19" ht="15" customHeight="1" x14ac:dyDescent="0.45">
      <c r="A120" s="21"/>
      <c r="B120" t="s">
        <v>127</v>
      </c>
      <c r="C120" s="75">
        <f>C34/C109</f>
        <v>0.8338531274819363</v>
      </c>
      <c r="D120" s="75">
        <f>D34/D109</f>
        <v>0.84251591770637813</v>
      </c>
      <c r="F120" s="75">
        <f>F34/F109</f>
        <v>0.37577523524379813</v>
      </c>
      <c r="G120" s="75">
        <f>G34/G109</f>
        <v>0.37557995081510026</v>
      </c>
      <c r="I120" s="75">
        <f>I34/I109</f>
        <v>1.6982229910363265</v>
      </c>
      <c r="J120" s="75">
        <f>J34/J109</f>
        <v>1.7388271076893831</v>
      </c>
      <c r="L120" s="75">
        <f>L34/L109</f>
        <v>1.4397718240438828</v>
      </c>
      <c r="M120" s="75">
        <f>M34/M109</f>
        <v>1.427008013724951</v>
      </c>
      <c r="O120" s="75">
        <f>O34/O109</f>
        <v>0.78785062771572967</v>
      </c>
      <c r="P120" s="75">
        <f>P34/P109</f>
        <v>0.8107913353146855</v>
      </c>
      <c r="R120" s="75">
        <f>R34/R109</f>
        <v>1.0093781929645307</v>
      </c>
      <c r="S120" s="75">
        <f>S34/S109</f>
        <v>1.0715006207324642</v>
      </c>
    </row>
    <row r="121" spans="1:19" ht="15" customHeight="1" x14ac:dyDescent="0.45">
      <c r="A121" s="21"/>
    </row>
    <row r="122" spans="1:19" ht="15" customHeight="1" x14ac:dyDescent="0.45">
      <c r="A122" s="21" t="s">
        <v>128</v>
      </c>
    </row>
    <row r="123" spans="1:19" ht="15" customHeight="1" x14ac:dyDescent="0.45">
      <c r="A123" s="21"/>
      <c r="B123" t="s">
        <v>129</v>
      </c>
      <c r="C123" s="102">
        <f>C94/C101</f>
        <v>1.6241028832192492</v>
      </c>
      <c r="D123" s="102">
        <f>D94/D101</f>
        <v>1.6215257700165762</v>
      </c>
      <c r="F123" s="102">
        <f>F94/F101</f>
        <v>0.51010905038605425</v>
      </c>
      <c r="G123" s="102">
        <f>G94/G101</f>
        <v>0.54658046424676743</v>
      </c>
      <c r="I123" s="102">
        <f>I94/I101</f>
        <v>2.2783252667794041</v>
      </c>
      <c r="J123" s="102">
        <f>J94/J101</f>
        <v>2.3836675133762091</v>
      </c>
      <c r="L123" s="102">
        <f>L94/L101</f>
        <v>0</v>
      </c>
      <c r="M123" s="102">
        <f>M94/M101</f>
        <v>0</v>
      </c>
      <c r="O123" s="102">
        <f>O94/O101</f>
        <v>0.88075882819056084</v>
      </c>
      <c r="P123" s="102">
        <f>P94/P101</f>
        <v>0.68889466452050863</v>
      </c>
      <c r="R123" s="102">
        <f>R94/R101</f>
        <v>0.79021369190425705</v>
      </c>
      <c r="S123" s="102">
        <f>S94/S101</f>
        <v>0.96445351137487634</v>
      </c>
    </row>
    <row r="124" spans="1:19" ht="15" customHeight="1" x14ac:dyDescent="0.45">
      <c r="A124" s="21"/>
      <c r="B124" t="s">
        <v>130</v>
      </c>
      <c r="C124" s="102">
        <f>C94/(C94+C101)</f>
        <v>0.61891738071900593</v>
      </c>
      <c r="D124" s="102">
        <f>D94/(D94+D101)</f>
        <v>0.61854275420924931</v>
      </c>
      <c r="F124" s="102">
        <f>F94/(F94+F101)</f>
        <v>0.33779616793611472</v>
      </c>
      <c r="G124" s="102">
        <f>G94/(G94+G101)</f>
        <v>0.3534122387307983</v>
      </c>
      <c r="I124" s="102">
        <f>I94/(I94+I101)</f>
        <v>0.69496620419779442</v>
      </c>
      <c r="J124" s="102">
        <f>J94/(J94+J101)</f>
        <v>0.70446268847431637</v>
      </c>
      <c r="L124" s="102">
        <f>L94/(L94+L101)</f>
        <v>0</v>
      </c>
      <c r="M124" s="102">
        <f>M94/(M94+M101)</f>
        <v>0</v>
      </c>
      <c r="O124" s="102">
        <f>O94/(O94+O101)</f>
        <v>0.46829971763999145</v>
      </c>
      <c r="P124" s="102">
        <f>P94/(P94+P101)</f>
        <v>0.40789676170603073</v>
      </c>
      <c r="R124" s="102">
        <f>R94/(R94+R101)</f>
        <v>0.44140746743127846</v>
      </c>
      <c r="S124" s="102">
        <f>S94/(S94+S101)</f>
        <v>0.49095257576234386</v>
      </c>
    </row>
    <row r="125" spans="1:19" ht="15" customHeight="1" x14ac:dyDescent="0.45">
      <c r="A125" s="21"/>
      <c r="B125" t="s">
        <v>131</v>
      </c>
      <c r="C125" s="75">
        <f>C99/C101</f>
        <v>1.141588881974694</v>
      </c>
      <c r="D125" s="75">
        <f>D99/D101</f>
        <v>1.0948305770787556</v>
      </c>
      <c r="F125" s="75">
        <f>F99/F101</f>
        <v>0.48881636551779034</v>
      </c>
      <c r="G125" s="75">
        <f>G99/G101</f>
        <v>0.5361816482318118</v>
      </c>
      <c r="I125" s="75">
        <f>I99/I101</f>
        <v>1.966470348125255</v>
      </c>
      <c r="J125" s="75">
        <f>J99/J101</f>
        <v>1.8430524779765443</v>
      </c>
      <c r="L125" s="75">
        <f>L99/L101</f>
        <v>-0.37999137656278448</v>
      </c>
      <c r="M125" s="75">
        <f>M99/M101</f>
        <v>-0.39535559740344334</v>
      </c>
      <c r="O125" s="75">
        <f>O99/O101</f>
        <v>0.696576325800217</v>
      </c>
      <c r="P125" s="75">
        <f>P99/P101</f>
        <v>0.53842278030044644</v>
      </c>
      <c r="R125" s="75">
        <f>R99/R101</f>
        <v>0.52898510294035594</v>
      </c>
      <c r="S125" s="75">
        <f>S99/S101</f>
        <v>0.59347181008902072</v>
      </c>
    </row>
    <row r="126" spans="1:19" ht="15" customHeight="1" x14ac:dyDescent="0.45">
      <c r="A126" s="21"/>
      <c r="B126" t="s">
        <v>132</v>
      </c>
      <c r="C126" s="75">
        <f>C99/(C99+C101)</f>
        <v>0.53305697073010094</v>
      </c>
      <c r="D126" s="75">
        <f>D99/(D99+D101)</f>
        <v>0.52263442641051117</v>
      </c>
      <c r="F126" s="75">
        <f>F99/(F99+F101)</f>
        <v>0.32832549187339605</v>
      </c>
      <c r="G126" s="75">
        <f>G99/(G99+G101)</f>
        <v>0.3490353167862485</v>
      </c>
      <c r="I126" s="75">
        <f>I99/(I99+I101)</f>
        <v>0.66289904072967443</v>
      </c>
      <c r="J126" s="75">
        <f>J99/(J99+J101)</f>
        <v>0.64826537401387696</v>
      </c>
      <c r="L126" s="75">
        <f>L99/(L99+L101)</f>
        <v>-0.61288079261894945</v>
      </c>
      <c r="M126" s="75">
        <f>M99/(M99+M101)</f>
        <v>-0.65386464458390214</v>
      </c>
      <c r="O126" s="75">
        <f>O99/(O99+O101)</f>
        <v>0.41057765289260756</v>
      </c>
      <c r="P126" s="75">
        <f>P99/(P99+P101)</f>
        <v>0.34998362426438795</v>
      </c>
      <c r="R126" s="75">
        <f>R99/(R99+R101)</f>
        <v>0.34597139103780472</v>
      </c>
      <c r="S126" s="75">
        <f>S99/(S99+S101)</f>
        <v>0.37243947858472998</v>
      </c>
    </row>
    <row r="127" spans="1:19" ht="15" customHeight="1" x14ac:dyDescent="0.45">
      <c r="A127" s="21"/>
      <c r="B127" t="s">
        <v>133</v>
      </c>
      <c r="C127" s="75">
        <f>C99/C47</f>
        <v>2.0226387357589122</v>
      </c>
      <c r="D127" s="75">
        <f>D99/D47</f>
        <v>1.9635647123893805</v>
      </c>
      <c r="F127" s="75">
        <f>F99/F47</f>
        <v>3.1236012207527977</v>
      </c>
      <c r="G127" s="75">
        <f>G99/G47</f>
        <v>3.4059871350816429</v>
      </c>
      <c r="I127" s="75">
        <f>I99/I47</f>
        <v>2.2350874867444328</v>
      </c>
      <c r="J127" s="75">
        <f>J99/J47</f>
        <v>2.0271057480829815</v>
      </c>
      <c r="L127" s="75">
        <f>L99/L47</f>
        <v>-1.6599415979235923</v>
      </c>
      <c r="M127" s="75">
        <f>M99/M47</f>
        <v>-1.5936600030665398</v>
      </c>
      <c r="O127" s="75">
        <f>O99/O47</f>
        <v>3.1844305902356345</v>
      </c>
      <c r="P127" s="75">
        <f>P99/P47</f>
        <v>2.894208461103938</v>
      </c>
      <c r="R127" s="75">
        <f>R99/R47</f>
        <v>2.1234042553191488</v>
      </c>
      <c r="S127" s="75">
        <f>S99/S47</f>
        <v>1.9492385786802031</v>
      </c>
    </row>
    <row r="128" spans="1:19" ht="15" customHeight="1" x14ac:dyDescent="0.45">
      <c r="A128" s="21"/>
      <c r="B128" t="s">
        <v>134</v>
      </c>
      <c r="C128" s="75">
        <f>C47/C50</f>
        <v>15.016556291390728</v>
      </c>
      <c r="D128" s="75">
        <f>D47/D50</f>
        <v>9.31958762886598</v>
      </c>
      <c r="F128" s="75">
        <f>F47/F50</f>
        <v>9.295508274231679</v>
      </c>
      <c r="G128" s="75">
        <f>G47/G50</f>
        <v>8.7489177489177496</v>
      </c>
      <c r="I128" s="75">
        <f>I47/I50</f>
        <v>13.483467381590707</v>
      </c>
      <c r="J128" s="75">
        <f>J47/J50</f>
        <v>11.707028531663187</v>
      </c>
      <c r="L128" s="75">
        <f>L47/L50</f>
        <v>349.6004347826086</v>
      </c>
      <c r="M128" s="75">
        <f>M47/M50</f>
        <v>20413.890000002611</v>
      </c>
      <c r="O128" s="75">
        <f>O47/O50</f>
        <v>22.285016383675902</v>
      </c>
      <c r="P128" s="75">
        <f>P47/P50</f>
        <v>21.711782742006132</v>
      </c>
      <c r="R128" s="75">
        <f>R47/R50</f>
        <v>14.496753246753247</v>
      </c>
      <c r="S128" s="75">
        <f>S47/S50</f>
        <v>9.6003898635477576</v>
      </c>
    </row>
    <row r="129" spans="1:19" ht="15" customHeight="1" x14ac:dyDescent="0.45">
      <c r="A129" s="19"/>
    </row>
    <row r="130" spans="1:19" ht="15" customHeight="1" outlineLevel="1" x14ac:dyDescent="0.45">
      <c r="A130" s="21" t="s">
        <v>135</v>
      </c>
    </row>
    <row r="131" spans="1:19" ht="15" customHeight="1" outlineLevel="1" x14ac:dyDescent="0.45">
      <c r="A131" s="21"/>
      <c r="B131" t="s">
        <v>136</v>
      </c>
      <c r="C131" s="105">
        <v>397</v>
      </c>
      <c r="D131" s="105">
        <v>397</v>
      </c>
      <c r="F131" s="105">
        <v>137</v>
      </c>
      <c r="G131" s="105">
        <v>159</v>
      </c>
      <c r="I131" s="105">
        <v>585</v>
      </c>
      <c r="J131" s="105">
        <v>666</v>
      </c>
      <c r="L131" s="105">
        <v>8.641</v>
      </c>
      <c r="M131" s="105">
        <v>12.06</v>
      </c>
      <c r="O131" s="66">
        <v>0</v>
      </c>
      <c r="P131" s="66">
        <v>0</v>
      </c>
      <c r="R131" s="66">
        <v>0</v>
      </c>
      <c r="S131" s="66">
        <v>0</v>
      </c>
    </row>
    <row r="132" spans="1:19" ht="15" customHeight="1" outlineLevel="1" x14ac:dyDescent="0.45">
      <c r="A132" s="21"/>
      <c r="B132" t="s">
        <v>137</v>
      </c>
      <c r="C132" s="105">
        <v>1454</v>
      </c>
      <c r="D132" s="105">
        <v>1362</v>
      </c>
      <c r="F132" s="184">
        <f>803+100</f>
        <v>903</v>
      </c>
      <c r="G132" s="105">
        <f>793+114</f>
        <v>907</v>
      </c>
      <c r="I132" s="105">
        <f>483+1933</f>
        <v>2416</v>
      </c>
      <c r="J132" s="105">
        <f>2400+556</f>
        <v>2956</v>
      </c>
      <c r="L132" s="105">
        <v>37.332999999999998</v>
      </c>
      <c r="M132" s="105">
        <v>59.546999999999997</v>
      </c>
      <c r="O132" s="66">
        <v>0</v>
      </c>
      <c r="P132" s="66">
        <v>0</v>
      </c>
      <c r="R132" s="66">
        <v>0</v>
      </c>
      <c r="S132" s="66">
        <v>0</v>
      </c>
    </row>
    <row r="133" spans="1:19" ht="15" customHeight="1" outlineLevel="1" x14ac:dyDescent="0.45">
      <c r="A133" s="21"/>
      <c r="B133" t="s">
        <v>138</v>
      </c>
      <c r="C133" s="76">
        <v>0.33300000000000002</v>
      </c>
      <c r="D133" s="76">
        <v>0.33300000000000002</v>
      </c>
      <c r="F133" s="76">
        <v>0.33300000000000002</v>
      </c>
      <c r="G133" s="76">
        <v>0.33300000000000002</v>
      </c>
      <c r="I133" s="76">
        <v>0.33300000000000002</v>
      </c>
      <c r="J133" s="76">
        <v>0.33300000000000002</v>
      </c>
      <c r="L133" s="76">
        <v>0.33300000000000002</v>
      </c>
      <c r="M133" s="76">
        <v>0.33300000000000002</v>
      </c>
      <c r="O133" s="76">
        <v>0.33300000000000002</v>
      </c>
      <c r="P133" s="76">
        <v>0.33300000000000002</v>
      </c>
      <c r="R133" s="76">
        <v>0.33300000000000002</v>
      </c>
      <c r="S133" s="76">
        <v>0.33300000000000002</v>
      </c>
    </row>
    <row r="134" spans="1:19" ht="15" customHeight="1" outlineLevel="1" x14ac:dyDescent="0.45">
      <c r="A134" s="21"/>
    </row>
    <row r="135" spans="1:19" ht="15" customHeight="1" outlineLevel="1" x14ac:dyDescent="0.45">
      <c r="A135" s="21" t="s">
        <v>139</v>
      </c>
    </row>
    <row r="136" spans="1:19" ht="15" customHeight="1" outlineLevel="1" x14ac:dyDescent="0.45">
      <c r="A136" s="21"/>
      <c r="B136" t="s">
        <v>140</v>
      </c>
      <c r="C136">
        <f>C47+C131</f>
        <v>14002</v>
      </c>
      <c r="D136">
        <f>D47+D131</f>
        <v>14861</v>
      </c>
      <c r="F136">
        <f>F47+F131</f>
        <v>4069</v>
      </c>
      <c r="G136">
        <f>G47+G131</f>
        <v>4201</v>
      </c>
      <c r="I136">
        <f>I47+I131</f>
        <v>15673</v>
      </c>
      <c r="J136">
        <f>J47+J131</f>
        <v>17489</v>
      </c>
      <c r="L136">
        <f>L47+L131</f>
        <v>1616.8030000000001</v>
      </c>
      <c r="M136">
        <f>M47+M131</f>
        <v>2053.4490000000001</v>
      </c>
      <c r="O136">
        <f>O47+O131</f>
        <v>374054</v>
      </c>
      <c r="P136">
        <f>P47+P131</f>
        <v>396544</v>
      </c>
      <c r="R136">
        <f>R47+R131</f>
        <v>4465</v>
      </c>
      <c r="S136">
        <f>S47+S131</f>
        <v>4925</v>
      </c>
    </row>
    <row r="137" spans="1:19" ht="15" customHeight="1" outlineLevel="1" x14ac:dyDescent="0.45">
      <c r="A137" s="21"/>
      <c r="B137" t="s">
        <v>141</v>
      </c>
      <c r="C137" s="74">
        <f>C136/C34</f>
        <v>0.32527993309482878</v>
      </c>
      <c r="D137" s="74">
        <f>D136/D34</f>
        <v>0.32458937620129302</v>
      </c>
      <c r="F137" s="74">
        <f>F136/F34</f>
        <v>0.2894643238244291</v>
      </c>
      <c r="G137" s="74">
        <f>G136/G34</f>
        <v>0.28358309707033885</v>
      </c>
      <c r="I137" s="74">
        <f>I136/I34</f>
        <v>0.1814172608574868</v>
      </c>
      <c r="J137" s="74">
        <f>J136/J34</f>
        <v>0.19119721004471363</v>
      </c>
      <c r="L137" s="74">
        <f>L136/L34</f>
        <v>0.25782014176254375</v>
      </c>
      <c r="M137" s="74">
        <f>M136/M34</f>
        <v>0.28921706917452566</v>
      </c>
      <c r="O137" s="74">
        <f>O136/O34</f>
        <v>0.1636513661603832</v>
      </c>
      <c r="P137" s="74">
        <f>P136/P34</f>
        <v>0.14914504052797128</v>
      </c>
      <c r="R137" s="74">
        <f>R136/R34</f>
        <v>0.161418603810419</v>
      </c>
      <c r="S137" s="74">
        <f>S136/S34</f>
        <v>0.17831927296426373</v>
      </c>
    </row>
    <row r="138" spans="1:19" ht="15" customHeight="1" outlineLevel="1" x14ac:dyDescent="0.45">
      <c r="A138" s="21"/>
      <c r="B138" t="s">
        <v>142</v>
      </c>
      <c r="C138">
        <f>C99+C132</f>
        <v>28972</v>
      </c>
      <c r="D138">
        <f>D99+D132</f>
        <v>29763</v>
      </c>
      <c r="F138">
        <f>F99+F132</f>
        <v>13185</v>
      </c>
      <c r="G138">
        <f>G99+G132</f>
        <v>14674</v>
      </c>
      <c r="I138">
        <f>I99+I132</f>
        <v>36139</v>
      </c>
      <c r="J138">
        <f>J99+J132</f>
        <v>37058</v>
      </c>
      <c r="L138">
        <f>L99+L132</f>
        <v>-2632.1219999999998</v>
      </c>
      <c r="M138">
        <f>M99+M132</f>
        <v>-3193.7330000000002</v>
      </c>
      <c r="O138">
        <f>O99+O132</f>
        <v>1191149</v>
      </c>
      <c r="P138">
        <f>P99+P132</f>
        <v>1147681</v>
      </c>
      <c r="R138">
        <f>R99+R132</f>
        <v>9481</v>
      </c>
      <c r="S138">
        <f>S99+S132</f>
        <v>9600</v>
      </c>
    </row>
    <row r="139" spans="1:19" ht="15" customHeight="1" outlineLevel="1" x14ac:dyDescent="0.45">
      <c r="A139" s="21"/>
      <c r="B139" t="s">
        <v>143</v>
      </c>
      <c r="C139" s="75">
        <f>C138/C136</f>
        <v>2.0691329810027139</v>
      </c>
      <c r="D139" s="75">
        <f>D138/D136</f>
        <v>2.002758899131956</v>
      </c>
      <c r="F139" s="75">
        <f>F138/F136</f>
        <v>3.2403538953059718</v>
      </c>
      <c r="G139" s="75">
        <f>G138/G136</f>
        <v>3.4929778624137109</v>
      </c>
      <c r="I139" s="75">
        <f>I138/I136</f>
        <v>2.3058125438652461</v>
      </c>
      <c r="J139" s="75">
        <f>J138/J136</f>
        <v>2.1189319000514608</v>
      </c>
      <c r="L139" s="75">
        <f>L138/L136</f>
        <v>-1.6279794136948036</v>
      </c>
      <c r="M139" s="75">
        <f>M138/M136</f>
        <v>-1.5553018360816364</v>
      </c>
      <c r="O139" s="75">
        <f>O138/O136</f>
        <v>3.1844305902356345</v>
      </c>
      <c r="P139" s="75">
        <f>P138/P136</f>
        <v>2.894208461103938</v>
      </c>
      <c r="R139" s="75">
        <f>R138/R136</f>
        <v>2.1234042553191488</v>
      </c>
      <c r="S139" s="75">
        <f>S138/S136</f>
        <v>1.9492385786802031</v>
      </c>
    </row>
    <row r="140" spans="1:19" ht="15" customHeight="1" outlineLevel="1" x14ac:dyDescent="0.45">
      <c r="A140" s="21"/>
    </row>
    <row r="141" spans="1:19" ht="15" customHeight="1" outlineLevel="1" x14ac:dyDescent="0.45">
      <c r="A141" s="21"/>
      <c r="B141" t="s">
        <v>144</v>
      </c>
      <c r="C141">
        <f>C101+C138</f>
        <v>53077</v>
      </c>
      <c r="F141">
        <f>F101+F138</f>
        <v>38311</v>
      </c>
      <c r="I141">
        <f>I101+I138</f>
        <v>53288</v>
      </c>
      <c r="L141">
        <f>L101+L138</f>
        <v>4392.9189999999999</v>
      </c>
      <c r="O141">
        <f>O101+O138</f>
        <v>2901154</v>
      </c>
      <c r="R141">
        <f>R101+R138</f>
        <v>27404</v>
      </c>
    </row>
    <row r="142" spans="1:19" ht="15" customHeight="1" outlineLevel="1" x14ac:dyDescent="0.45">
      <c r="A142" s="21"/>
      <c r="B142" t="s">
        <v>145</v>
      </c>
      <c r="D142">
        <f>(D45+(D131*D133))*(1-D54)</f>
        <v>10908.840718322572</v>
      </c>
      <c r="G142">
        <f>(G45+(G131*G133))*(1-G54)</f>
        <v>2763.5415265432098</v>
      </c>
      <c r="J142">
        <f>(J45+(J131*J133))*(1-J54)</f>
        <v>11235.132066</v>
      </c>
      <c r="M142">
        <f>(M45+(M131*M133))*(1-M54)</f>
        <v>1558.1481697142995</v>
      </c>
      <c r="P142">
        <f>(P45+(P131*P133))*(1-P54)</f>
        <v>188271.38397919715</v>
      </c>
      <c r="S142">
        <f>(S45+(S131*S133))*(1-S54)</f>
        <v>2533.1323668452569</v>
      </c>
    </row>
    <row r="143" spans="1:19" ht="15" customHeight="1" outlineLevel="1" x14ac:dyDescent="0.45">
      <c r="A143" s="21"/>
      <c r="B143" t="s">
        <v>146</v>
      </c>
      <c r="D143" s="74">
        <f>D142/C141</f>
        <v>0.20552858523131623</v>
      </c>
      <c r="G143" s="74">
        <f>G142/F141</f>
        <v>7.2134413785680612E-2</v>
      </c>
      <c r="J143" s="74">
        <f>J142/I141</f>
        <v>0.21083793848521243</v>
      </c>
      <c r="M143" s="74">
        <f>M142/L141</f>
        <v>0.35469540178507719</v>
      </c>
      <c r="O143" s="74"/>
      <c r="P143" s="74">
        <f>P142/O141</f>
        <v>6.4895343018397902E-2</v>
      </c>
      <c r="R143" s="74"/>
      <c r="S143" s="74">
        <f>S142/R141</f>
        <v>9.243659198822278E-2</v>
      </c>
    </row>
    <row r="144" spans="1:19" ht="15" customHeight="1" x14ac:dyDescent="0.45">
      <c r="A144" s="21"/>
    </row>
    <row r="145" spans="1:1" ht="15" customHeight="1" x14ac:dyDescent="0.45">
      <c r="A145" s="85"/>
    </row>
    <row r="146" spans="1:1" ht="15" customHeight="1" x14ac:dyDescent="0.45">
      <c r="A146" s="85" t="s">
        <v>147</v>
      </c>
    </row>
    <row r="147" spans="1:1" ht="15" customHeight="1" x14ac:dyDescent="0.45">
      <c r="A147" s="85"/>
    </row>
    <row r="148" spans="1:1" ht="15.75" customHeight="1" x14ac:dyDescent="0.45">
      <c r="A148" s="85"/>
    </row>
    <row r="149" spans="1:1" ht="15.75" customHeight="1" x14ac:dyDescent="0.45">
      <c r="A149" s="85"/>
    </row>
    <row r="150" spans="1:1" ht="15.75" customHeight="1" x14ac:dyDescent="0.45">
      <c r="A150" s="85"/>
    </row>
    <row r="151" spans="1:1" ht="15.75" customHeight="1" x14ac:dyDescent="0.45">
      <c r="A151" s="85"/>
    </row>
    <row r="152" spans="1:1" ht="15.75" customHeight="1" x14ac:dyDescent="0.45">
      <c r="A152" s="85"/>
    </row>
    <row r="153" spans="1:1" ht="15.75" customHeight="1" x14ac:dyDescent="0.45">
      <c r="A153" s="85"/>
    </row>
    <row r="154" spans="1:1" ht="15" customHeight="1" x14ac:dyDescent="0.45">
      <c r="A154" s="85"/>
    </row>
    <row r="155" spans="1:1" ht="15" customHeight="1" x14ac:dyDescent="0.45">
      <c r="A155" s="85"/>
    </row>
  </sheetData>
  <dataConsolidate/>
  <mergeCells count="7">
    <mergeCell ref="L1:M1"/>
    <mergeCell ref="O1:P1"/>
    <mergeCell ref="L27:M27"/>
    <mergeCell ref="O27:P27"/>
    <mergeCell ref="C11:C12"/>
    <mergeCell ref="D11:D12"/>
    <mergeCell ref="F11:F12"/>
  </mergeCells>
  <hyperlinks>
    <hyperlink ref="F73" r:id="rId1" display="https://felix.fe.training/filing-document/?hid=65e5bf2e2073c" xr:uid="{A66D95D2-9FDA-4EBC-B884-EA0060AAE501}"/>
    <hyperlink ref="L49" r:id="rId2" display="https://felix.fe.training/filing-document/?hid=65e5f52dbfeab" xr:uid="{BE1E2425-AB8D-488E-B0CB-75104571B3C1}"/>
    <hyperlink ref="L55" r:id="rId3" display="https://felix.fe.training/filing-document/?hid=6401da7317a4d" xr:uid="{C8406E13-6836-4F80-A758-F85510313EF4}"/>
    <hyperlink ref="L34" r:id="rId4" display="https://felix.fe.training/filing-document/?hid=65e5e3f3e3a2f" xr:uid="{7B0474CD-9E0C-475E-B3B4-3EFD7B193035}"/>
    <hyperlink ref="L37" r:id="rId5" display="https://felix.fe.training/filing-document/?hid=6405b9104a727" xr:uid="{024BAFA8-1FCA-42A8-A468-542B33100981}"/>
    <hyperlink ref="L52" r:id="rId6" display="https://felix.fe.training/filing-document/?hid=65e5f91986e5b" xr:uid="{9B3BDCD9-14B6-4223-B2A9-3864E21FF661}"/>
    <hyperlink ref="L53" r:id="rId7" display="https://felix.fe.training/filing/document.php/?hid=65e6f579c8e4b" xr:uid="{D3D6DBC1-9DC7-43A2-AC8D-A1B6F1950864}"/>
    <hyperlink ref="L60" r:id="rId8" display="https://felix.fe.training/filing/document.php/?hid=65e6f7795a173" xr:uid="{FA285AF6-332E-4A97-AAFF-A25D17B1CF6F}"/>
    <hyperlink ref="F132" r:id="rId9" display="https://felix.fe.training/filing-document/?hid=65e5c31d8d3a2" xr:uid="{E7BE6203-C0FB-4965-852C-08F0206C65CE}"/>
    <hyperlink ref="I132" r:id="rId10" display="https://felix.fe.training/filing-document/?hid=65e5cc7c3a7a0" xr:uid="{A630B477-0A4A-425B-A0E8-9708AA1943DF}"/>
    <hyperlink ref="D33" r:id="rId11" display="https://felix.fe.training/filing-document/?hid=65e5a60f722fe" xr:uid="{1BEA68D1-159A-4BCB-B72F-8AA0BAF6B35D}"/>
    <hyperlink ref="C33" r:id="rId12" display="https://felix.fe.training/filing-document/?hid=65e5a78fa82b7" xr:uid="{1D0B4C30-8231-4282-BE6F-0B74BE09D249}"/>
    <hyperlink ref="D34" r:id="rId13" display="https://felix.fe.training/filing-document/?hid=65e5a7dc09c45" xr:uid="{120AB896-F8EB-4E98-9CD9-CEAA3DDE6861}"/>
    <hyperlink ref="C34" r:id="rId14" display="https://felix.fe.training/filing-document/?hid=65e5a83795cec" xr:uid="{7245AEC3-3BF9-4456-A1A4-3B23365949FA}"/>
    <hyperlink ref="D36" r:id="rId15" display="https://felix.fe.training/filing-document/?hid=65e5a85472e51" xr:uid="{D40D8010-24B7-4A2C-BAA1-0E782CB86602}"/>
    <hyperlink ref="C36" r:id="rId16" display="https://felix.fe.training/filing-document/?hid=65e5a8622c98a" xr:uid="{2311C872-1137-49E3-8143-FAC7E22DBC43}"/>
    <hyperlink ref="D37" r:id="rId17" display="https://felix.fe.training/filing-document/?hid=65e5a877c9d10" xr:uid="{643B5477-2218-4E53-B797-9B204B54B30A}"/>
    <hyperlink ref="C37" r:id="rId18" display="https://felix.fe.training/filing-document/?hid=65e5a888bc110" xr:uid="{B55AF294-3EA5-46CC-ACA7-68683C59F07C}"/>
    <hyperlink ref="D39" r:id="rId19" display="https://felix.fe.training/filing-document/?hid=65e5a8ad26b3c" xr:uid="{E18CB041-AE8D-4395-A83B-F649C44A4222}"/>
    <hyperlink ref="C39" r:id="rId20" display="https://felix.fe.training/filing-document/?hid=65e5a8bea1b9a" xr:uid="{DAB0BB62-0DC3-4E40-BC70-C1A6BD449E24}"/>
    <hyperlink ref="D40" r:id="rId21" display="https://felix.fe.training/filing-document/?hid=65e5a8d635490" xr:uid="{19B65388-E2AF-4C2C-9FA8-844103ADB931}"/>
    <hyperlink ref="C40" r:id="rId22" display="https://felix.fe.training/filing-document/?hid=65e5a8e622fcc" xr:uid="{1BEE5168-E283-439D-99BE-4F370382CD5A}"/>
    <hyperlink ref="D46" r:id="rId23" display="https://felix.fe.training/filing-document/?hid=65e5a99f7af68" xr:uid="{26597E97-3677-4A24-BE78-E9FAC5520BBE}"/>
    <hyperlink ref="C46" r:id="rId24" display="https://felix.fe.training/filing-document/?hid=65e5a9b616da8" xr:uid="{BD524AC9-336C-4A1C-9340-19D0AE2BFD46}"/>
    <hyperlink ref="D49" r:id="rId25" display="https://felix.fe.training/filing-document/?hid=65e5a9dad2063" xr:uid="{8F1F6CA1-04AC-4C38-AD13-9B45BBF0911D}"/>
    <hyperlink ref="C49" r:id="rId26" display="https://felix.fe.training/filing-document/?hid=65e5a9eb6fde5" xr:uid="{1F36ED5B-56C9-4A53-B465-5B4D3E86C954}"/>
    <hyperlink ref="D50" r:id="rId27" display="https://felix.fe.training/filing-document/?hid=65e5aa95c6fb5" xr:uid="{7380C16A-C0A3-4C5C-B604-158A5362ACD9}"/>
    <hyperlink ref="C50" r:id="rId28" display="https://felix.fe.training/filing-document/?hid=65e5aabd3f5e7" xr:uid="{612284B6-3112-4585-8236-D42405F993E3}"/>
    <hyperlink ref="D52" r:id="rId29" display="https://felix.fe.training/filing-document/?hid=65e5ab09bce60" xr:uid="{A12F0B1D-AE38-4C0E-B531-210A84EDD247}"/>
    <hyperlink ref="C52" r:id="rId30" display="https://felix.fe.training/filing-document/?hid=65e5ab1ecc0a6" xr:uid="{83EA6BE8-4CEF-4A3C-AB3B-279BA6137439}"/>
    <hyperlink ref="D53" r:id="rId31" display="https://felix.fe.training/filing-document/?hid=65e5ab35b7e22" xr:uid="{AF57668E-4D9D-444C-B37E-931EC2AE0202}"/>
    <hyperlink ref="C53" r:id="rId32" display="https://felix.fe.training/filing-document/?hid=65e5ab438d026" xr:uid="{8145CE6D-78A1-4120-B7FB-10E36C15A61D}"/>
    <hyperlink ref="D55" r:id="rId33" display="https://felix.fe.training/filing-document/?hid=65e5ab9372b43" xr:uid="{30886BD3-C7B8-4F23-A0CE-142CE796F6B6}"/>
    <hyperlink ref="C55" r:id="rId34" display="https://felix.fe.training/filing-document/?hid=65e5aba86fbc5" xr:uid="{5F285EC4-93A0-435A-96A6-1879E2F7423F}"/>
    <hyperlink ref="D56" r:id="rId35" display="https://felix.fe.training/filing-document/?hid=65e5abc65b222" xr:uid="{7B574572-0098-4D7A-9CD5-D2B6579541F7}"/>
    <hyperlink ref="C56" r:id="rId36" display="https://felix.fe.training/filing-document/?hid=65e5abdc8484f" xr:uid="{2BFFB2F6-4990-4AA7-94A9-89E7625A8661}"/>
    <hyperlink ref="D59" r:id="rId37" display="https://felix.fe.training/filing-document/?hid=65e5ac0f27cff" xr:uid="{F4AFF2BA-2578-4FE9-8EE9-19FE992631FA}"/>
    <hyperlink ref="C59" r:id="rId38" display="https://felix.fe.training/filing-document/?hid=65e5ac254e86e" xr:uid="{A71576BB-C1A3-4ABE-88D0-6C63313DD295}"/>
    <hyperlink ref="D60" r:id="rId39" display="https://felix.fe.training/filing-document/?hid=65e5ac413a344" xr:uid="{F5332110-2B0D-4A02-A107-BFBA5F554C00}"/>
    <hyperlink ref="C60" r:id="rId40" display="https://felix.fe.training/filing-document/?hid=65e5ac5ca8a27" xr:uid="{5529DFC0-58F0-4D99-B4C8-611A882C624D}"/>
    <hyperlink ref="D63" r:id="rId41" display="https://felix.fe.training/filing-document/?hid=65e5ac85b1f79" xr:uid="{353029C5-CEB2-4F38-BBD6-BC578324E305}"/>
    <hyperlink ref="C63" r:id="rId42" display="https://felix.fe.training/filing-document/?hid=65e5ac931960f" xr:uid="{853DE2A4-53E8-49D8-BF60-2F48F397B104}"/>
    <hyperlink ref="D64" r:id="rId43" display="https://felix.fe.training/filing-document/?hid=65e5acabcbdf6" xr:uid="{620C31FB-B3AA-4D5F-A2AF-1811128B1603}"/>
    <hyperlink ref="C64" r:id="rId44" display="https://felix.fe.training/filing-document/?hid=65e5acbbbe5b0" xr:uid="{A39BF1C2-F806-414E-8A6F-778BF6F14711}"/>
    <hyperlink ref="D65" r:id="rId45" display="https://felix.fe.training/filing-document/?hid=65e5accbd017c" xr:uid="{668E1711-28C7-4C57-A6DF-B0989BADD193}"/>
    <hyperlink ref="C65" r:id="rId46" display="https://felix.fe.training/filing-document/?hid=65e5acd8c1b89" xr:uid="{5EC988CD-EBCD-41AE-950F-057659CE2A7F}"/>
    <hyperlink ref="D71" r:id="rId47" display="https://felix.fe.training/filing-document/?hid=65e5acf0120c7" xr:uid="{A46BDE7C-6BA0-454C-8325-99883E4947C1}"/>
    <hyperlink ref="C71" r:id="rId48" display="https://felix.fe.training/filing-document/?hid=65e5acff7d4ac" xr:uid="{9A824C92-1911-4961-925E-FCC7CADABBA1}"/>
    <hyperlink ref="D72" r:id="rId49" display="https://felix.fe.training/filing-document/?hid=65e5ad1e9f291" xr:uid="{CA465AD5-796A-4ED4-891F-C53C8F77EF7D}"/>
    <hyperlink ref="C72" r:id="rId50" display="https://felix.fe.training/filing-document/?hid=65e5ad2f8c6d2" xr:uid="{A98F4B45-ECD9-407F-913A-78ACF77BEA5F}"/>
    <hyperlink ref="D83" r:id="rId51" display="https://felix.fe.training/filing-document/?hid=65e5ad55124c6" xr:uid="{BB950061-5C5F-41A3-B124-EF731AA24AB2}"/>
    <hyperlink ref="C83" r:id="rId52" display="https://felix.fe.training/filing-document/?hid=65e5ad632c3d0" xr:uid="{8933BBF5-AA9B-4207-BF38-FCCE96911CD9}"/>
    <hyperlink ref="D84" r:id="rId53" display="https://felix.fe.training/filing-document/?hid=65e5ad79214b3" xr:uid="{5F845F70-1E33-428F-B7DF-748468CB999B}"/>
    <hyperlink ref="C84" r:id="rId54" display="https://felix.fe.training/filing-document/?hid=65e5ad903faa4" xr:uid="{63053E74-1128-4156-A8CE-ECBE8BFFC754}"/>
    <hyperlink ref="D85" r:id="rId55" display="https://felix.fe.training/filing-document/?hid=65e5adc3d5a3c" xr:uid="{578F1A0A-8207-4B89-BC70-CA48EB3BD061}"/>
    <hyperlink ref="C85" r:id="rId56" display="https://felix.fe.training/filing-document/?hid=65e5add7bed33" xr:uid="{DFF6AE3B-1CA7-419C-A1FC-32092A3F208C}"/>
    <hyperlink ref="D87" r:id="rId57" display="https://felix.fe.training/filing-document/?hid=65e5adf07822f" xr:uid="{5723EF93-276D-4A26-960A-86DDB132F410}"/>
    <hyperlink ref="C87" r:id="rId58" display="https://felix.fe.training/filing-document/?hid=65e5adfcce74c" xr:uid="{E8CFFE08-208B-4731-9CA7-BCD4F8D87B4C}"/>
    <hyperlink ref="D88" r:id="rId59" display="https://felix.fe.training/filing-document/?hid=65e5ae176df1e" xr:uid="{DBBFF782-96EE-4ABD-B290-2C3071DFD831}"/>
    <hyperlink ref="C88" r:id="rId60" display="https://felix.fe.training/filing-document/?hid=65e5ae2e16d36" xr:uid="{96D43113-CB29-4E5F-B8CA-7A4D04169F73}"/>
    <hyperlink ref="D89" r:id="rId61" display="https://felix.fe.training/filing-document/?hid=65e5ae3f05e23" xr:uid="{B0009276-D900-4A3D-8A29-06358D634366}"/>
    <hyperlink ref="C89" r:id="rId62" display="https://felix.fe.training/filing-document/?hid=65e5ae4c1411f" xr:uid="{6225170A-19BC-4946-B605-206194839CB2}"/>
    <hyperlink ref="D96" r:id="rId63" display="https://felix.fe.training/filing-document/?hid=65e5af83758ef" xr:uid="{0FFF3DD1-B56A-4BFA-81AB-27C1DC621B5F}"/>
    <hyperlink ref="C96" r:id="rId64" display="https://felix.fe.training/filing-document/?hid=65e5af9508d5c" xr:uid="{03986567-5DDB-4768-82EC-B4E24D900E74}"/>
    <hyperlink ref="D97" r:id="rId65" display="https://felix.fe.training/filing-document/?hid=65e5afad07d81" xr:uid="{436F015C-4497-40A8-9E2E-57B63FF928D9}"/>
    <hyperlink ref="C97" r:id="rId66" display="https://felix.fe.training/filing-document/?hid=65e5afc18d412" xr:uid="{E0815C06-A78E-47FE-A8CF-BD223D5B588C}"/>
    <hyperlink ref="D101" r:id="rId67" display="https://felix.fe.training/filing-document/?hid=65e5afe0e2336" xr:uid="{7EED3C2E-D1F0-4876-8A01-55D3B2083323}"/>
    <hyperlink ref="C101" r:id="rId68" display="https://felix.fe.training/filing-document/?hid=65e5afed554fb" xr:uid="{B25233A6-C19C-4D33-B683-EAE310AF8286}"/>
    <hyperlink ref="D131" r:id="rId69" display="https://felix.fe.training/filing-document/?hid=65e5b089d88cf" xr:uid="{94D146B7-EF7F-4BBD-91ED-E8E64EA432A8}"/>
    <hyperlink ref="C131" r:id="rId70" display="https://felix.fe.training/filing-document/?hid=65e5b089d88cf" xr:uid="{DD73A16F-863B-41D4-B817-4F0BE39A928A}"/>
    <hyperlink ref="D132" r:id="rId71" display="https://felix.fe.training/filing-document/?hid=65e5b0aac38b8" xr:uid="{6E1DCA90-5A68-4A9E-987F-BC8BD2A71A8E}"/>
    <hyperlink ref="C132" r:id="rId72" display="https://felix.fe.training/filing/document.php/?hid=6602d4a674e18" xr:uid="{BB8C0DAF-4205-4F48-A87C-97EA63EC9BFA}"/>
    <hyperlink ref="G33" r:id="rId73" display="https://felix.fe.training/filing-document/?hid=65e5b554354bb" xr:uid="{9D20A872-66F5-4B38-8873-3229750EADD3}"/>
    <hyperlink ref="F33" r:id="rId74" display="https://felix.fe.training/filing-document/?hid=65e5b56148dcc" xr:uid="{2AF09F9D-133A-4CE2-A5BE-332835FE880B}"/>
    <hyperlink ref="G36" r:id="rId75" display="https://felix.fe.training/filing-document/?hid=65e5b5b4d050a" xr:uid="{0F2A1FDA-9FAA-427B-932F-7F3CE2680F79}"/>
    <hyperlink ref="F36" r:id="rId76" display="https://felix.fe.training/filing-document/?hid=65e5b5c140cd0" xr:uid="{38DB8389-810E-46FD-9FEC-AD17360BFC23}"/>
    <hyperlink ref="G37" r:id="rId77" display="https://felix.fe.training/filing-document/?hid=65e5b5d3883ff" xr:uid="{F1D0E063-3000-43C5-A46F-AC73404DDDD5}"/>
    <hyperlink ref="F37" r:id="rId78" display="https://felix.fe.training/filing-document/?hid=65e5b64c26182" xr:uid="{39C59AF9-2DEB-47F1-AC55-39FAE46CAB1B}"/>
    <hyperlink ref="G40" r:id="rId79" display="https://felix.fe.training/filing-document/?hid=65e5b65e5b570" xr:uid="{2B3143BD-7BCA-48B6-BC48-1E659A59A10A}"/>
    <hyperlink ref="F40" r:id="rId80" display="https://felix.fe.training/filing-document/?hid=65e5b673da930" xr:uid="{362CB9B2-C144-449A-9555-6AACCA3BB377}"/>
    <hyperlink ref="G39" r:id="rId81" display="https://felix.fe.training/filing-document/?hid=65e5b687e79f6" xr:uid="{3469DE16-B835-4868-8606-4F22CA244C09}"/>
    <hyperlink ref="F39" r:id="rId82" display="https://felix.fe.training/filing-document/?hid=65e5b69887f59" xr:uid="{5DFF4F75-1FBD-4B01-8639-602202C8DC22}"/>
    <hyperlink ref="G41" r:id="rId83" display="https://felix.fe.training/filing-document/?hid=65e5b6c398e73" xr:uid="{D4FB0DF4-8D7D-4F08-BF8A-D715D3129CFD}"/>
    <hyperlink ref="F41" r:id="rId84" display="https://felix.fe.training/filing-document/?hid=65e5b6ebeb06b" xr:uid="{446BC239-67C0-4A78-AB5B-FE7ED17A8D79}"/>
    <hyperlink ref="G46" r:id="rId85" display="https://felix.fe.training/filing-document/?hid=65e5b7550a469" xr:uid="{11B3B4EB-487F-4F18-8332-2E1130363C7A}"/>
    <hyperlink ref="F46" r:id="rId86" display="https://felix.fe.training/filing-document/?hid=65e5b76d574b6" xr:uid="{A8760DFE-CDF6-492A-830F-65B638603104}"/>
    <hyperlink ref="G49" r:id="rId87" display="https://felix.fe.training/filing-document/?hid=65e5bb47c93b8" xr:uid="{3D69B956-5B11-48F3-A00E-132AACF93440}"/>
    <hyperlink ref="F49" r:id="rId88" display="https://felix.fe.training/filing-document/?hid=65e5bb61e25f0" xr:uid="{EBF9F2F3-7F44-4EE2-9F8B-2966265F3FF5}"/>
    <hyperlink ref="G50" r:id="rId89" display="https://felix.fe.training/filing-document/?hid=65e5bb7dd5ef9" xr:uid="{3C6AD84B-FE60-4C05-8997-736B2154CC73}"/>
    <hyperlink ref="F50" r:id="rId90" display="https://felix.fe.training/filing-document/?hid=65e5bb969f886" xr:uid="{7D98D647-55EF-426B-B782-8995D5F08C3D}"/>
    <hyperlink ref="G52" r:id="rId91" display="https://felix.fe.training/filing-document/?hid=65e5bc124a78d" xr:uid="{E1935A9B-BAC5-4DC8-BE9D-024F4E517DB9}"/>
    <hyperlink ref="F52" r:id="rId92" display="https://felix.fe.training/filing-document/?hid=65e5bc297d9eb" xr:uid="{ABE3B637-DC04-40A4-8FE6-481F36C79D0F}"/>
    <hyperlink ref="G53" r:id="rId93" display="https://felix.fe.training/filing-document/?hid=65e5bc3e491e4" xr:uid="{6203E653-6A67-4F2B-88B8-31F9A474E9EC}"/>
    <hyperlink ref="F53" r:id="rId94" display="https://felix.fe.training/filing-document/?hid=65e5bc50503f0" xr:uid="{A4138DAB-44C4-48B1-B1A1-83D316B9E4AF}"/>
    <hyperlink ref="G55" r:id="rId95" display="https://felix.fe.training/filing-document/?hid=65e5bc9304343" xr:uid="{DAE3B3E0-DEAF-4D5A-9F01-588609FD620F}"/>
    <hyperlink ref="F55" r:id="rId96" display="https://felix.fe.training/filing-document/?hid=65e5bcac530ed" xr:uid="{E2DCAEF6-9995-46C9-A1F0-240AA54ADF38}"/>
    <hyperlink ref="G56" r:id="rId97" display="https://felix.fe.training/filing-document/?hid=65e5bcc11d1c3" xr:uid="{A71635C2-8686-4535-8CE0-75EA8213D4CF}"/>
    <hyperlink ref="F56" r:id="rId98" display="https://felix.fe.training/filing-document/?hid=65e5bcd5b31c4" xr:uid="{56B8C43B-3B8F-413C-87E3-A386F539464E}"/>
    <hyperlink ref="G59" r:id="rId99" display="https://felix.fe.training/filing-document/?hid=65e5bd38646e2" xr:uid="{F6A4E273-67D6-479B-8EA2-4C3852E2696D}"/>
    <hyperlink ref="F59" r:id="rId100" display="https://felix.fe.training/filing-document/?hid=65e5bd477e8de" xr:uid="{1061D5A4-9DD3-419D-8156-CE5731517EF7}"/>
    <hyperlink ref="G60" r:id="rId101" display="https://felix.fe.training/filing-document/?hid=65e5bd5f3be04" xr:uid="{58804C8F-72BD-4D41-AEF8-133B8FE4BF7B}"/>
    <hyperlink ref="F60" r:id="rId102" display="https://felix.fe.training/filing-document/?hid=65e5bd721da32" xr:uid="{BAFD00F1-4EDF-4F50-80AC-536539FCFB0E}"/>
    <hyperlink ref="G63" r:id="rId103" display="https://felix.fe.training/filing-document/?hid=65e5bdb51a5e3" xr:uid="{AAF94181-9235-494B-ACBC-A6CB58D09A76}"/>
    <hyperlink ref="F63" r:id="rId104" display="https://felix.fe.training/filing-document/?hid=65e5bdc93968e" xr:uid="{FB0D1104-7839-4AD2-BD92-F928A47DC1C9}"/>
    <hyperlink ref="G64" r:id="rId105" display="https://felix.fe.training/filing-document/?hid=65e5bdd8775c0" xr:uid="{FFBAEC83-D51E-4D87-8EBF-B3DBA92949E8}"/>
    <hyperlink ref="F64" r:id="rId106" display="https://felix.fe.training/filing-document/?hid=65e5bde70c722" xr:uid="{8C422131-197F-43DF-BD91-0DA386F42669}"/>
    <hyperlink ref="G65" r:id="rId107" display="https://felix.fe.training/filing-document/?hid=65e5bdf35aabf" xr:uid="{3B0576C2-C81D-4658-ABCF-C0FCE43A8CEE}"/>
    <hyperlink ref="F65" r:id="rId108" display="https://felix.fe.training/filing-document/?hid=65e5be0127984" xr:uid="{CFB512FC-48B7-4E93-84D0-B08337381D5B}"/>
    <hyperlink ref="G71" r:id="rId109" display="https://felix.fe.training/filing-document/?hid=65e5be1446d3b" xr:uid="{9356E688-FA04-4F7C-950B-2B89725F6415}"/>
    <hyperlink ref="F71" r:id="rId110" display="https://felix.fe.training/filing-document/?hid=65e5be226acbe" xr:uid="{7EBC8125-0F13-4F40-8E11-3554C857CE69}"/>
    <hyperlink ref="G74" r:id="rId111" display="https://felix.fe.training/filing-document/?hid=65e5be3fe6b13" xr:uid="{D2F3E3B0-6102-4C28-B730-C0F9773D8BCB}"/>
    <hyperlink ref="F74" r:id="rId112" display="https://felix.fe.training/filing-document/?hid=65e5be4fac15b" xr:uid="{93888EB1-13E4-4F23-B001-1DEF7BAF7768}"/>
    <hyperlink ref="G73" r:id="rId113" display="https://felix.fe.training/filing-document/?hid=65e5beb45ceda" xr:uid="{03971530-02FD-4B64-8B15-6EE026D02225}"/>
    <hyperlink ref="G83" r:id="rId114" display="https://felix.fe.training/filing-document/?hid=65e5bf97db2f4" xr:uid="{6DDC7DB0-73E3-4D26-9725-638FC77EDECE}"/>
    <hyperlink ref="F83" r:id="rId115" display="https://felix.fe.training/filing-document/?hid=65e5bfaa75742" xr:uid="{012405A4-38E2-4985-82DB-3C267E079083}"/>
    <hyperlink ref="G84" r:id="rId116" display="https://felix.fe.training/filing-document/?hid=65e5c06452f2e" xr:uid="{62E5E968-5B31-4F6C-9799-5DBCDF11BE22}"/>
    <hyperlink ref="F84" r:id="rId117" display="https://felix.fe.training/filing-document/?hid=65e5c0750cfaf" xr:uid="{D55C3C06-1C96-4ED6-8457-3A09C575D352}"/>
    <hyperlink ref="G85" r:id="rId118" display="https://felix.fe.training/filing-document/?hid=65e5c0934e9ec" xr:uid="{ADEE0D60-69B4-4D2F-BA7A-3C201047E048}"/>
    <hyperlink ref="F85" r:id="rId119" display="https://felix.fe.training/filing-document/?hid=65e5c0a23235a" xr:uid="{DDE33E5F-9967-45EC-B0A2-1307EEDAD133}"/>
    <hyperlink ref="G87" r:id="rId120" display="https://felix.fe.training/filing-document/?hid=65e5c0c74ef46" xr:uid="{21ABA9B4-9351-4C94-AC35-32CCDFDD74F9}"/>
    <hyperlink ref="F87" r:id="rId121" display="https://felix.fe.training/filing-document/?hid=65e5c0f6cdcaa" xr:uid="{D9EBE457-0DD4-4DCB-A589-FDAEF07F58A9}"/>
    <hyperlink ref="G89" r:id="rId122" display="https://felix.fe.training/filing-document/?hid=65e5c1090ecb7" xr:uid="{F23957B1-ACA5-4664-AA93-F0BEF4F0D67C}"/>
    <hyperlink ref="F89" r:id="rId123" display="https://felix.fe.training/filing-document/?hid=65e5c1199b5ac" xr:uid="{8EEEB9B5-EAA9-4E79-B256-08BD64B4F280}"/>
    <hyperlink ref="G92" r:id="rId124" display="https://felix.fe.training/filing-document/?hid=65e5c12ca9eca" xr:uid="{CA95712F-E030-4679-8BD8-0FB301EE8730}"/>
    <hyperlink ref="F92" r:id="rId125" display="https://felix.fe.training/filing-document/?hid=65e5c14213fd8" xr:uid="{FF7AAAAF-2941-4A65-8C9C-630C2AD5E986}"/>
    <hyperlink ref="G90" r:id="rId126" display="https://felix.fe.training/filing-document/?hid=65e5c16f23378" xr:uid="{BDCC05CE-206F-4E4F-B847-09E609F4EFE7}"/>
    <hyperlink ref="F90" r:id="rId127" display="https://felix.fe.training/filing-document/?hid=65e5c18aaf8ca" xr:uid="{11F34B9D-54DA-4070-B651-7328E36F3B78}"/>
    <hyperlink ref="G91" r:id="rId128" display="https://felix.fe.training/filing-document/?hid=65e5c1a2bde1f" xr:uid="{71EDD490-0D10-4EAB-8BAF-BF21CB71CD8A}"/>
    <hyperlink ref="F91" r:id="rId129" display="https://felix.fe.training/filing-document/?hid=65e5c1bbeaee8" xr:uid="{47F84B73-046D-43D0-81AE-0F8AB4D64341}"/>
    <hyperlink ref="G96" r:id="rId130" display="https://felix.fe.training/filing-document/?hid=65e5c1deed0ac" xr:uid="{C539F755-C8DD-4566-9EE2-4E29032A3E5E}"/>
    <hyperlink ref="F96" r:id="rId131" display="https://felix.fe.training/filing-document/?hid=65e5c1e9d15cf" xr:uid="{316079F3-206B-46BE-B2CB-37DF17B8C92B}"/>
    <hyperlink ref="G101" r:id="rId132" display="https://felix.fe.training/filing-document/?hid=65e5c1ffa410b" xr:uid="{9298351B-6C90-4A0F-A226-7DE6FA3DFE94}"/>
    <hyperlink ref="F101" r:id="rId133" display="https://felix.fe.training/filing-document/?hid=65e5c21499932" xr:uid="{73DB7A44-2421-4FCD-943B-B5F7911E8B5C}"/>
    <hyperlink ref="G131" r:id="rId134" display="https://felix.fe.training/filing-document/?hid=65e5c28c1a301" xr:uid="{0376411A-FF5F-4F85-A793-5D7EE4C0BD8F}"/>
    <hyperlink ref="F131" r:id="rId135" display="https://felix.fe.training/filing-document/?hid=65e5c2a030a30" xr:uid="{CAA60245-87BE-4AE6-9600-9A3D73615173}"/>
    <hyperlink ref="G132" r:id="rId136" display="https://felix.fe.training/filing-document/?hid=65e5c2fbd0850" xr:uid="{E7CB7176-E7AD-470C-AEFF-2559C06D8E94}"/>
    <hyperlink ref="J33" r:id="rId137" display="https://felix.fe.training/filing-document/?hid=65e5c3bb7f923" xr:uid="{645FB28D-C2F9-4346-99C1-30EF0E941D5C}"/>
    <hyperlink ref="I33" r:id="rId138" display="https://felix.fe.training/filing-document/?hid=65e5c3c6e842b" xr:uid="{CA12EE50-48CA-49CD-AE1C-FD0D04758C7A}"/>
    <hyperlink ref="J36" r:id="rId139" display="https://felix.fe.training/filing-document/?hid=65e5c485d2493" xr:uid="{464D7519-9E0C-4585-B394-C193D2DCDFC9}"/>
    <hyperlink ref="I36" r:id="rId140" display="https://felix.fe.training/filing-document/?hid=65e5c4915f40c" xr:uid="{CF7CD9DB-BB3B-40E9-A0F9-8774756CDF5E}"/>
    <hyperlink ref="J37" r:id="rId141" display="https://felix.fe.training/filing-document/?hid=65e5c4a5759cb" xr:uid="{D98CA129-628A-47AF-945B-2EBB66EAB392}"/>
    <hyperlink ref="I37" r:id="rId142" display="https://felix.fe.training/filing-document/?hid=65e5c5892b3fc" xr:uid="{6A134E85-A367-4431-95AE-02862A8A55E6}"/>
    <hyperlink ref="J39" r:id="rId143" display="https://felix.fe.training/filing-document/?hid=65e5c5c3d0278" xr:uid="{A28FE4C7-9781-48B0-A50D-637EC73E751C}"/>
    <hyperlink ref="I39" r:id="rId144" display="https://felix.fe.training/filing-document/?hid=65e5c5db2c90f" xr:uid="{F0FA6475-EAB8-4D13-AD5B-8E8040E5CB72}"/>
    <hyperlink ref="J40" r:id="rId145" display="https://felix.fe.training/filing-document/?hid=65e5c5f21f7ad" xr:uid="{73336C5D-A764-4FA1-AB70-4309CC714613}"/>
    <hyperlink ref="I40" r:id="rId146" display="https://felix.fe.training/filing-document/?hid=65e5c60b8587a" xr:uid="{87E335ED-F6EF-4E3D-B817-DBC1583CCA40}"/>
    <hyperlink ref="J46" r:id="rId147" display="https://felix.fe.training/filing-document/?hid=65e5c62620fd6" xr:uid="{DBDCBDD9-5000-4EA6-B444-833E2C1B5DAE}"/>
    <hyperlink ref="I46" r:id="rId148" display="https://felix.fe.training/filing-document/?hid=65e5c642c4e3e" xr:uid="{E57C7FD5-14B1-442E-B387-4116D80106AD}"/>
    <hyperlink ref="J49" r:id="rId149" display="https://felix.fe.training/filing-document/?hid=65e5c6c5d0668" xr:uid="{194D59DD-B378-4852-8090-5401935D0353}"/>
    <hyperlink ref="I49" r:id="rId150" display="https://felix.fe.training/filing-document/?hid=65e5c6d87dabe" xr:uid="{15BFD1E6-96C6-45D6-9096-E6B23BBDCF2F}"/>
    <hyperlink ref="J53" r:id="rId151" display="https://felix.fe.training/filing-document/?hid=65e5c7fc30cd4" xr:uid="{010C7ACB-8D4B-46BF-8C06-775ADCD30457}"/>
    <hyperlink ref="I53" r:id="rId152" display="https://felix.fe.training/filing-document/?hid=65e5c815a642a" xr:uid="{444E6A14-8E71-4899-93F6-045206FE42C3}"/>
    <hyperlink ref="J54" r:id="rId153" display="https://felix.fe.training/filing-document/?hid=65e5c851138a3" xr:uid="{4D9242F7-7FE3-4DE0-98F7-47BEA266D442}"/>
    <hyperlink ref="I54" r:id="rId154" display="https://felix.fe.training/filing-document/?hid=65e5c871b3f68" xr:uid="{90C15FA6-CA2D-4A87-B7B9-CEC0435A443E}"/>
    <hyperlink ref="J55" r:id="rId155" display="https://felix.fe.training/filing-document/?hid=65e5c899134dd" xr:uid="{B0B6A613-9E42-467B-AF9A-E64F62E002F2}"/>
    <hyperlink ref="I55" r:id="rId156" display="https://felix.fe.training/filing-document/?hid=65e5c8abdc76e" xr:uid="{21DC9C71-1366-4858-BE2F-EEB31AFE5DF0}"/>
    <hyperlink ref="J56" r:id="rId157" display="https://felix.fe.training/filing-document/?hid=65e5c8c748af1" xr:uid="{ACE2D6CC-5708-4105-84F3-F445C40B85EB}"/>
    <hyperlink ref="I56" r:id="rId158" display="https://felix.fe.training/filing-document/?hid=65e5c8e25b476" xr:uid="{2FD40942-A777-44D5-B8C5-7A4C87301196}"/>
    <hyperlink ref="J59" r:id="rId159" display="https://felix.fe.training/filing-document/?hid=65e5c95fbe9f5" xr:uid="{5D380252-0953-498A-B7BC-5E5D793921A5}"/>
    <hyperlink ref="I59" r:id="rId160" display="https://felix.fe.training/filing-document/?hid=65e5c970c4ba4" xr:uid="{78C2BB09-9CA6-4303-9610-0A01E1D41867}"/>
    <hyperlink ref="J60" r:id="rId161" display="https://felix.fe.training/filing-document/?hid=65e5c98d79a28" xr:uid="{F0C99CE5-CCD6-40CE-BECD-640E80C38DD1}"/>
    <hyperlink ref="I60" r:id="rId162" display="https://felix.fe.training/filing-document/?hid=65e5c9a69afcd" xr:uid="{BD6667FA-326C-4565-8B90-62704F6C31F2}"/>
    <hyperlink ref="J63" r:id="rId163" display="https://felix.fe.training/filing-document/?hid=65e5c9e7724a6" xr:uid="{C89230FA-F460-4091-A79C-0986E6D20841}"/>
    <hyperlink ref="I63" r:id="rId164" display="https://felix.fe.training/filing-document/?hid=65e5c9f75c20c" xr:uid="{37C82C98-D4DE-4A2A-8AB7-A278EF57036C}"/>
    <hyperlink ref="J64" r:id="rId165" display="https://felix.fe.training/filing-document/?hid=65e5ca0b31cff" xr:uid="{9C05350B-CADF-4DA3-84A6-9B301930B4AD}"/>
    <hyperlink ref="I64" r:id="rId166" display="https://felix.fe.training/filing-document/?hid=65e5ca18548c7" xr:uid="{330580ED-19C5-461A-94AE-8BBD7170C68A}"/>
    <hyperlink ref="J65" r:id="rId167" display="https://felix.fe.training/filing-document/?hid=65e5ca29762c6" xr:uid="{F9B258A5-FEE6-45DA-9B84-794667110074}"/>
    <hyperlink ref="I65" r:id="rId168" display="https://felix.fe.training/filing-document/?hid=65e5ca39ef5ac" xr:uid="{6C26BB8D-CDA3-44D0-A7C0-E24804CFFCB6}"/>
    <hyperlink ref="J71" r:id="rId169" display="https://felix.fe.training/filing/document.php/?hid=6602d2dd5e377" xr:uid="{05A5478A-B577-4996-B5CA-1702BF02AA92}"/>
    <hyperlink ref="I71" r:id="rId170" display="https://felix.fe.training/filing/document.php/?hid=6602d2c486828" xr:uid="{FE783238-6F33-4706-818F-7E7E3AD85E20}"/>
    <hyperlink ref="J83" r:id="rId171" display="https://felix.fe.training/filing-document/?hid=65e5ca7ab17b1" xr:uid="{76BDF537-B01B-4774-BA6A-6E60C8621F38}"/>
    <hyperlink ref="I83" r:id="rId172" display="https://felix.fe.training/filing-document/?hid=65e5ca8a42d57" xr:uid="{A7CCEA56-2BA6-44AC-A9FA-46155801C5F3}"/>
    <hyperlink ref="J84" r:id="rId173" display="https://felix.fe.training/filing-document/?hid=65e5cac3784c5" xr:uid="{310A3F2E-A82A-4A2C-B4A5-3194EFCBA055}"/>
    <hyperlink ref="I84" r:id="rId174" display="https://felix.fe.training/filing-document/?hid=65e5cadd3b28c" xr:uid="{85368B24-291B-466B-AEF2-C20F745B3697}"/>
    <hyperlink ref="J85" r:id="rId175" display="https://felix.fe.training/filing-document/?hid=65e5caf5d322a" xr:uid="{B5BD0FA9-60E5-4D04-8BB2-BF6E21E03B8B}"/>
    <hyperlink ref="I85" r:id="rId176" display="https://felix.fe.training/filing-document/?hid=65e5cb073f02e" xr:uid="{BF1B5701-6B84-4B23-803F-EE9A50546B18}"/>
    <hyperlink ref="J87" r:id="rId177" display="https://felix.fe.training/filing-document/?hid=65e5cb1b972e3" xr:uid="{45F49EBA-FA7E-4D7F-BBDE-A13C7F100500}"/>
    <hyperlink ref="I87" r:id="rId178" display="https://felix.fe.training/filing-document/?hid=65e5cb2c461fb" xr:uid="{DC47ACDD-2FA4-4923-8484-32CFCF07C01C}"/>
    <hyperlink ref="J89" r:id="rId179" display="https://felix.fe.training/filing-document/?hid=65e5cb738378c" xr:uid="{2A0D33F1-46F2-4E18-A9A0-C8F66C91DB5A}"/>
    <hyperlink ref="I89" r:id="rId180" display="https://felix.fe.training/filing-document/?hid=65e5cb92e9b83" xr:uid="{15B66F97-8B01-4C83-A08A-E7199229DBCA}"/>
    <hyperlink ref="J96" r:id="rId181" display="https://felix.fe.training/filing-document/?hid=65e5cba65f9c8" xr:uid="{86E8A67C-B054-4F29-B26A-322821A6CF8E}"/>
    <hyperlink ref="I96" r:id="rId182" display="https://felix.fe.training/filing-document/?hid=65e5cbb41a289" xr:uid="{F8E546AC-6540-4E25-8564-84F632EF5BED}"/>
    <hyperlink ref="J97" r:id="rId183" display="https://felix.fe.training/filing-document/?hid=65e5cbc5d824a" xr:uid="{E04541B4-C0EE-4C1D-A3DA-587A8D4BDA81}"/>
    <hyperlink ref="I97" r:id="rId184" display="https://felix.fe.training/filing-document/?hid=65e5cbd617c0b" xr:uid="{CE0BB717-90A0-49A5-BD2F-544D2BE008D6}"/>
    <hyperlink ref="J101" r:id="rId185" display="https://felix.fe.training/filing-document/?hid=65e5cbe871000" xr:uid="{6249A3ED-C54A-44A8-9BCD-72572530EAE2}"/>
    <hyperlink ref="I101" r:id="rId186" display="https://felix.fe.training/filing-document/?hid=65e5cbf3a542a" xr:uid="{9D5A4174-D434-4CF9-94D0-16A340F856A9}"/>
    <hyperlink ref="J131" r:id="rId187" display="https://felix.fe.training/filing-document/?hid=65e5cc0db4ec1" xr:uid="{333375B0-8B85-4F80-8ECA-D530191A4B5A}"/>
    <hyperlink ref="I131" r:id="rId188" display="https://felix.fe.training/filing-document/?hid=65e5cc24438e6" xr:uid="{6394656E-E2F1-4196-B0F3-9BF9A7F546AC}"/>
    <hyperlink ref="J132" r:id="rId189" display="https://felix.fe.training/filing-document/?hid=65e5cc497afb2" xr:uid="{AB723070-9691-483C-A1A2-42CFE9BAE3B0}"/>
    <hyperlink ref="M33" r:id="rId190" display="https://felix.fe.training/filing-document/?hid=65e5e2a5075d6" xr:uid="{248F1846-C1FA-4198-AACB-61EAF14D71F1}"/>
    <hyperlink ref="L33" r:id="rId191" display="https://felix.fe.training/filing-document/?hid=65e5e2b87a316" xr:uid="{4D1AD48C-5073-410B-AB65-EA1334B48C4E}"/>
    <hyperlink ref="M34" r:id="rId192" display="https://felix.fe.training/filing-document/?hid=65e5e3f3e3a2f" xr:uid="{63E8100C-B98C-42AA-8696-9A391076EB84}"/>
    <hyperlink ref="M36" r:id="rId193" display="https://felix.fe.training/filing-document/?hid=65e5e4307fc27" xr:uid="{07BD3F63-F380-4D50-9B8A-771E33A4390B}"/>
    <hyperlink ref="L36" r:id="rId194" display="https://felix.fe.training/filing-document/?hid=65e5e4467ef8f" xr:uid="{1CEFF63A-BAAC-4451-9E7C-7BC785B87976}"/>
    <hyperlink ref="M37" r:id="rId195" display="https://felix.fe.training/filing-document/?hid=6405b9104a727" xr:uid="{74C9CD5C-F065-4D6A-8624-E130BDA5C893}"/>
    <hyperlink ref="L37:M37" r:id="rId196" display="https://felix.fe.training/filing-document/?hid=65e5e4467ef8f" xr:uid="{1A431BBA-E948-4694-B4B2-730B0C0482A1}"/>
    <hyperlink ref="M39" r:id="rId197" display="https://felix.fe.training/filing-document/?hid=65e5e46f127e8" xr:uid="{54EDFD39-2662-4192-AF0D-3A6FB93395DB}"/>
    <hyperlink ref="L39" r:id="rId198" display="https://felix.fe.training/filing-document/?hid=65e5e47d415db" xr:uid="{30B8B4E1-FA5B-4039-B5F3-DA8219BFA69B}"/>
    <hyperlink ref="M46" r:id="rId199" display="https://felix.fe.training/filing-document/?hid=65e5f48bdf8c4" xr:uid="{AC32C1E8-CE9D-444D-BC9B-8BECD548170B}"/>
    <hyperlink ref="L46" r:id="rId200" display="https://felix.fe.training/filing-document/?hid=65e5f49ca0bae" xr:uid="{5575C8FA-94F0-4F8F-916E-38E63C0DCE01}"/>
    <hyperlink ref="M49" r:id="rId201" display="https://felix.fe.training/filing-document/?hid=65e5f52dbfeab" xr:uid="{2F100679-FEC9-4D73-BC34-D9C6B1239F14}"/>
    <hyperlink ref="M52" r:id="rId202" display="https://felix.fe.training/filing-document/?hid=65e5f71003fd6" xr:uid="{6E1A3293-95F9-4C63-B18D-0442DFA3B353}"/>
    <hyperlink ref="M43" r:id="rId203" display="https://felix.fe.training/filing/document.php/?hid=65e5e5bd2eb92" xr:uid="{75C5756F-B024-4722-A753-7010E52E83D4}"/>
    <hyperlink ref="F42" r:id="rId204" display="https://felix.fe.training/filing-document/?hid=65e5b722469d6" xr:uid="{1F0ED2A5-6A44-4610-8588-456ECB98C288}"/>
    <hyperlink ref="M53" r:id="rId205" display="https://felix.fe.training/filing/document.php/?hid=65e6f52abcc9f" xr:uid="{20BC82CC-9591-4A3A-A30E-33C84B0C1AAE}"/>
    <hyperlink ref="M55" r:id="rId206" display="https://felix.fe.training/filing-document/?hid=6401da7317a4d" xr:uid="{BFFB278F-F0EC-48BC-9D61-7D2326C294A0}"/>
    <hyperlink ref="L55:M55" r:id="rId207" display="https://felix.fe.training/filing/document.php/?hid=65e6f5cbb0ada" xr:uid="{A1AC2FAA-6AFD-4BAD-B658-AB4F71EE55DC}"/>
    <hyperlink ref="M56" r:id="rId208" display="https://felix.fe.training/filing/document.php/?hid=65e6f61b8fb7d" xr:uid="{1EF08993-789D-4C2C-BA67-A004D64DFC2F}"/>
    <hyperlink ref="M59" r:id="rId209" display="https://felix.fe.training/filing/document.php/?hid=65e6f67c8e4f6" xr:uid="{C9B3AFB2-4B9F-4D9A-A614-B9BBA303F120}"/>
    <hyperlink ref="L59" r:id="rId210" display="https://felix.fe.training/filing/document.php/?hid=65e6f68e30ad0" xr:uid="{F7508540-E036-4EF0-9945-1643EEB6376F}"/>
    <hyperlink ref="M60" r:id="rId211" display="https://felix.fe.training/filing/document.php/?hid=65e6f6d4d6d1e" xr:uid="{DDC48975-B203-4656-B4C6-23B91561E137}"/>
    <hyperlink ref="M63" r:id="rId212" display="https://felix.fe.training/filing/document.php/?hid=65e6f8c1d7882" xr:uid="{D1D540BC-DB9E-4A2E-B8AF-6096FE1B7C3D}"/>
    <hyperlink ref="L63" r:id="rId213" display="https://felix.fe.training/filing/document.php/?hid=65e6f8d35ab9a" xr:uid="{4FDB9E5E-376D-415A-8007-3321A6E3C2AC}"/>
    <hyperlink ref="M64" r:id="rId214" display="https://felix.fe.training/filing/document.php/?hid=65e6f8e43ac27" xr:uid="{3DB7ABEE-DB80-4983-97EC-295E82895023}"/>
    <hyperlink ref="L64" r:id="rId215" display="https://felix.fe.training/filing/document.php/?hid=65e6f8f2df7f2" xr:uid="{CF0216DE-4AEE-4558-8F2E-96F3F21746CC}"/>
    <hyperlink ref="M65" r:id="rId216" display="https://felix.fe.training/filing/document.php/?hid=65e6f9014c490" xr:uid="{B91E2035-0802-43EB-A958-742593D1B2AD}"/>
    <hyperlink ref="L65" r:id="rId217" display="https://felix.fe.training/filing/document.php/?hid=65e6f91212147" xr:uid="{0C8B21D8-EE98-4830-B910-0B2BFD507E6A}"/>
    <hyperlink ref="M66" r:id="rId218" display="https://felix.fe.training/filing/document.php/?hid=65e6f92c07e19" xr:uid="{C83062DB-BA99-446B-AB6B-B93A27D0F2B9}"/>
    <hyperlink ref="L66" r:id="rId219" display="https://felix.fe.training/filing/document.php/?hid=65e6f944135e7" xr:uid="{5BC982C6-DD0E-45BE-B4E1-919C1D1628FD}"/>
    <hyperlink ref="M71" r:id="rId220" display="https://felix.fe.training/filing/document.php/?hid=65e6f9658d8f1" xr:uid="{53334333-0AF8-4480-940E-802CBCE60572}"/>
    <hyperlink ref="L71" r:id="rId221" display="https://felix.fe.training/filing/document.php/?hid=65e6f972d3c85" xr:uid="{4D94B1EB-5A44-4ADA-B624-36A91C01B3E8}"/>
    <hyperlink ref="M72" r:id="rId222" display="https://felix.fe.training/filing/document.php/?hid=65e6fa18261fa" xr:uid="{06F57BC5-6560-4137-BE66-A6F05CC734D0}"/>
    <hyperlink ref="L72" r:id="rId223" display="https://felix.fe.training/filing/document.php/?hid=65e6fa298a081" xr:uid="{F82B961B-9466-4991-B98A-0A4BC431BE0E}"/>
    <hyperlink ref="M74" r:id="rId224" display="https://felix.fe.training/filing/document.php/?hid=65e6fa45cc620" xr:uid="{652CFC5D-4120-42D8-B0B1-227F9F7C5A8E}"/>
    <hyperlink ref="L74" r:id="rId225" display="https://felix.fe.training/filing/document.php/?hid=65e6fa576e6df" xr:uid="{32E46AE2-7E74-4B7A-B151-D84E2ACC362A}"/>
    <hyperlink ref="M75" r:id="rId226" display="https://felix.fe.training/filing/document.php/?hid=65e6fa8b201f1" xr:uid="{D76D30AB-F719-451D-ADF2-7314C1289435}"/>
    <hyperlink ref="L75" r:id="rId227" display="https://felix.fe.training/filing/document.php/?hid=65e6fa9fe0301" xr:uid="{4DF748C6-36CA-4CF2-AE19-3272FFEB8123}"/>
    <hyperlink ref="M76" r:id="rId228" display="https://felix.fe.training/filing/document.php/?hid=65e6fabca6b7c" xr:uid="{90E16B9E-9122-4007-ADC5-828B5B3EAC3B}"/>
    <hyperlink ref="L76" r:id="rId229" display="https://felix.fe.training/filing/document.php/?hid=65e6facfcc7df" xr:uid="{3E41997B-BBB9-4329-A293-780CD9E08DAA}"/>
    <hyperlink ref="M77" r:id="rId230" display="https://felix.fe.training/filing/document.php/?hid=65e6fadfed2a2" xr:uid="{E6F03838-E3FD-4701-B906-30B3DCDCC45D}"/>
    <hyperlink ref="L77" r:id="rId231" display="https://felix.fe.training/filing/document.php/?hid=65e6fae92a656" xr:uid="{853F90FB-1FEA-4C6C-BD3C-27328FB01600}"/>
    <hyperlink ref="M83" r:id="rId232" display="https://felix.fe.training/filing/document.php/?hid=65e6fb495f6bd" xr:uid="{414F8AF2-5F26-4AD2-868F-AC20DA982C21}"/>
    <hyperlink ref="L83" r:id="rId233" display="https://felix.fe.training/filing/document.php/?hid=65e6fb63a99d8" xr:uid="{4D02A7F1-F89C-4EBA-BFBE-1F1A1EF30DE7}"/>
    <hyperlink ref="M84" r:id="rId234" display="https://felix.fe.training/filing/document.php/?hid=65e6fe87198fa" xr:uid="{2A975CC6-6DEC-4C8C-A845-E8AF5C0A6260}"/>
    <hyperlink ref="L84" r:id="rId235" display="https://felix.fe.training/filing/document.php/?hid=65e6feab5d7cc" xr:uid="{EB6BF4E8-1E66-4122-9F75-C971981C6257}"/>
    <hyperlink ref="M85" r:id="rId236" display="https://felix.fe.training/filing/document.php/?hid=65e6ffa90d368" xr:uid="{C67F58D9-5AD4-4AAD-B537-54322489861D}"/>
    <hyperlink ref="L85" r:id="rId237" display="https://felix.fe.training/filing/document.php/?hid=65e7063814b9c" xr:uid="{259A4726-06A7-4975-ACE2-2BDEB86C61F6}"/>
    <hyperlink ref="M87" r:id="rId238" display="https://felix.fe.training/filing/document.php/?hid=65e7069eb79c6" xr:uid="{BAB848C3-5AA2-4D34-BC81-8BD7BD5D3915}"/>
    <hyperlink ref="M96" r:id="rId239" display="https://felix.fe.training/filing/document.php/?hid=65e706c5e6b24" xr:uid="{6702BBF9-74BE-4760-AD39-8AC000B8CE00}"/>
    <hyperlink ref="L96" r:id="rId240" display="https://felix.fe.training/filing/document.php/?hid=65e706df6573b" xr:uid="{2204B3DF-5543-4065-8ACE-0F0AECF610D9}"/>
    <hyperlink ref="M97" r:id="rId241" display="https://felix.fe.training/filing/document.php/?hid=65e706edda557" xr:uid="{F59E061C-6916-42B4-B9FB-1D188234DDB2}"/>
    <hyperlink ref="L97" r:id="rId242" display="https://felix.fe.training/filing/document.php/?hid=65e707058783b" xr:uid="{64362554-7200-4C5A-83A1-AFB6C4101013}"/>
    <hyperlink ref="M101" r:id="rId243" display="https://felix.fe.training/filing/document.php/?hid=65e7071c8836e" xr:uid="{030A1867-E55B-4309-B3F6-50469B75B88E}"/>
    <hyperlink ref="L101" r:id="rId244" display="https://felix.fe.training/filing/document.php/?hid=65e7072d1a3ab" xr:uid="{E33F0BD2-9F13-4D43-BD5D-0367DF3A47CD}"/>
    <hyperlink ref="M131" r:id="rId245" display="https://felix.fe.training/filing/document.php/?hid=65e707b4e30b0" xr:uid="{D5866681-139E-4B8A-8A7E-FF06CD6ABE70}"/>
    <hyperlink ref="L131" r:id="rId246" display="https://felix.fe.training/filing/document.php/?hid=65e707df15584" xr:uid="{2F652306-83D6-4B14-8702-764035CDF67C}"/>
    <hyperlink ref="M132" r:id="rId247" display="https://felix.fe.training/filing/document.php/?hid=65e7080f6d321" xr:uid="{188C2708-C8B7-4EE8-8365-5572D4740CA2}"/>
    <hyperlink ref="L132" r:id="rId248" display="https://felix.fe.training/filing/document.php/?hid=65e708249bc79" xr:uid="{6DF79818-B226-44AD-A456-0D6E559BE047}"/>
    <hyperlink ref="S53" r:id="rId249" display="https://felix.fe.training/filing/document.php/?hid=65e73c78e732e" xr:uid="{C24975D2-609E-4159-85BC-728B24E5FD06}"/>
    <hyperlink ref="R53" r:id="rId250" display="https://felix.fe.training/filing/document.php/?hid=65e73c9b24a98" xr:uid="{DFECB246-4238-48A6-82A8-A35ECEFADFB4}"/>
    <hyperlink ref="S52" r:id="rId251" display="https://felix.fe.training/filing/document.php/?hid=65e73cd7f08bf" xr:uid="{D9A4FA2B-3425-4BA7-9D4A-D9867DFC4C55}"/>
    <hyperlink ref="R52" r:id="rId252" display="https://felix.fe.training/filing/document.php/?hid=65e73ce66d9ef" xr:uid="{74FF6EF3-0178-4402-9666-20805C49C9F4}"/>
    <hyperlink ref="S40" r:id="rId253" display="https://felix.fe.training/filing/document.php/?hid=65e73dc2d48ae" xr:uid="{094D8CB8-97AC-4753-A188-5E2C2778C868}"/>
    <hyperlink ref="R40" r:id="rId254" display="https://felix.fe.training/filing/document.php/?hid=65e73dd92067c" xr:uid="{E7473FC5-5B2B-4F4D-8073-E2D1D6E4F52B}"/>
    <hyperlink ref="S60" r:id="rId255" display="https://felix.fe.training/filing/document.php/?hid=65e73f6ec06d6" xr:uid="{A7ADB040-7348-4F30-927A-8A4DEE4B4BEE}"/>
    <hyperlink ref="R60" r:id="rId256" display="https://felix.fe.training/filing/document.php/?hid=65e73f80b18b9" xr:uid="{FD0750C2-3896-4F3C-A441-ADCD52FC79A1}"/>
    <hyperlink ref="M42" r:id="rId257" display="https://felix.fe.training/filing/document.php/?hid=65e5e50b99e1c" xr:uid="{8BE7DFF0-4C6E-4808-9F47-2CD83784E084}"/>
    <hyperlink ref="L42" r:id="rId258" display="https://felix.fe.training/filing/document.php/?hid=65e5e51c03d9c" xr:uid="{05843DE4-71AE-4A3C-A8E9-DEB79DFF0536}"/>
    <hyperlink ref="M44" r:id="rId259" display="https://felix.fe.training/filing/document.php/?hid=65e76129bc93a" xr:uid="{27EEED28-31D3-4DBD-A6D3-0F072CD43C62}"/>
    <hyperlink ref="L44" r:id="rId260" display="https://felix.fe.training/filing/document.php/?hid=65e76129bc93a" xr:uid="{C12556AA-1293-4251-B8C3-20935CDA8967}"/>
    <hyperlink ref="G42" r:id="rId261" display="https://felix.fe.training/filing/document.php/?hid=65e9f6dae7e99" xr:uid="{0A4199CF-5211-47B4-ADE6-B9AE463F618C}"/>
    <hyperlink ref="S34" r:id="rId262" display="https://felix.fe.training/filing/document.php/?hid=65e73d5ba1aca" xr:uid="{B71C3FEE-6B8A-4F4C-9662-7984A74EADC4}"/>
    <hyperlink ref="R34" r:id="rId263" display="https://felix.fe.training/filing/document.php/?hid=65e73d6ef1959" xr:uid="{F29659DF-2100-4DBD-ABE6-CAECC2643F36}"/>
    <hyperlink ref="M41" r:id="rId264" display="https://felix.fe.training/filing-document/?hid=65e5e54aa84cf" xr:uid="{094C93A7-86B6-4E57-BE81-0C86C7FB80F5}"/>
    <hyperlink ref="L56" r:id="rId265" display="https://felix.fe.training/filing/document.php/?hid=6602d1000833f" xr:uid="{8959ED66-99A6-4F4D-836E-EF287AB5A05F}"/>
    <hyperlink ref="C2" r:id="rId266" xr:uid="{5EE51663-F7B6-43C1-962D-52A2317C8EE5}"/>
  </hyperlinks>
  <printOptions headings="1" gridLines="1"/>
  <pageMargins left="0.31496062992125984" right="0.11811023622047245" top="0.74803149606299213" bottom="0.74803149606299213" header="0" footer="0"/>
  <pageSetup paperSize="9" scale="62" fitToHeight="0" orientation="landscape" r:id="rId267"/>
  <headerFooter>
    <oddHeader>&amp;R&amp;F  &amp;A</oddHeader>
    <oddFooter>&amp;L© 2017&amp;CPage &amp;P of</oddFooter>
  </headerFooter>
  <rowBreaks count="4" manualBreakCount="4">
    <brk id="28" max="19" man="1"/>
    <brk id="61" max="19" man="1"/>
    <brk id="102" max="19" man="1"/>
    <brk id="129" max="19" man="1"/>
  </rowBreaks>
  <drawing r:id="rId268"/>
  <legacyDrawing r:id="rId26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11363-0E88-4C4D-B377-88F0CB5D2F15}">
  <sheetPr>
    <pageSetUpPr fitToPage="1"/>
  </sheetPr>
  <dimension ref="A1:P25"/>
  <sheetViews>
    <sheetView zoomScaleNormal="100" zoomScaleSheetLayoutView="85" workbookViewId="0"/>
  </sheetViews>
  <sheetFormatPr defaultColWidth="12.59765625" defaultRowHeight="15" customHeight="1" x14ac:dyDescent="0.45"/>
  <cols>
    <col min="1" max="1" width="1.59765625" style="85" customWidth="1"/>
    <col min="2" max="2" width="40.59765625" customWidth="1"/>
    <col min="3" max="16" width="10.265625" customWidth="1"/>
  </cols>
  <sheetData>
    <row r="1" spans="1:16" ht="45" customHeight="1" x14ac:dyDescent="0.85">
      <c r="A1" s="83" t="s">
        <v>148</v>
      </c>
      <c r="B1" s="83"/>
      <c r="C1" s="83"/>
      <c r="D1" s="83"/>
      <c r="E1" s="83"/>
      <c r="F1" s="83"/>
      <c r="G1" s="83"/>
      <c r="H1" s="83"/>
      <c r="I1" s="83"/>
      <c r="J1" s="83"/>
      <c r="K1" s="83"/>
      <c r="L1" s="83"/>
      <c r="M1" s="83"/>
      <c r="N1" s="83"/>
      <c r="O1" s="83"/>
      <c r="P1" s="83"/>
    </row>
    <row r="2" spans="1:16" ht="15" customHeight="1" x14ac:dyDescent="0.45">
      <c r="A2" s="91"/>
      <c r="B2" s="54"/>
      <c r="C2" s="54"/>
      <c r="D2" s="54"/>
      <c r="E2" s="54"/>
      <c r="F2" s="54"/>
      <c r="G2" s="54"/>
      <c r="H2" s="54"/>
      <c r="I2" s="54"/>
      <c r="J2" s="54"/>
      <c r="K2" s="54"/>
      <c r="L2" s="54"/>
      <c r="M2" s="54"/>
      <c r="N2" s="54"/>
    </row>
    <row r="3" spans="1:16" ht="15" customHeight="1" x14ac:dyDescent="0.45">
      <c r="A3" s="91" t="s">
        <v>35</v>
      </c>
      <c r="B3" s="54"/>
      <c r="C3" s="54"/>
      <c r="D3" s="54"/>
      <c r="E3" s="54"/>
      <c r="F3" s="54"/>
      <c r="G3" s="54"/>
      <c r="H3" s="54"/>
      <c r="I3" s="54"/>
      <c r="J3" s="54"/>
      <c r="K3" s="54"/>
      <c r="L3" s="54"/>
      <c r="M3" s="54"/>
      <c r="N3" s="54"/>
    </row>
    <row r="4" spans="1:16" ht="15" customHeight="1" x14ac:dyDescent="0.45">
      <c r="A4" s="91"/>
      <c r="B4" t="s">
        <v>149</v>
      </c>
      <c r="C4" s="54"/>
      <c r="D4" s="54"/>
      <c r="E4" s="54"/>
      <c r="F4" s="54"/>
      <c r="G4" s="54"/>
      <c r="H4" s="54"/>
      <c r="I4" s="54"/>
      <c r="J4" s="54"/>
      <c r="K4" s="54"/>
      <c r="L4" s="54"/>
      <c r="M4" s="54"/>
      <c r="N4" s="54"/>
    </row>
    <row r="5" spans="1:16" ht="15" customHeight="1" x14ac:dyDescent="0.45">
      <c r="A5"/>
      <c r="B5" s="54"/>
      <c r="C5" s="54"/>
      <c r="D5" s="54"/>
      <c r="E5" s="54"/>
      <c r="F5" s="54"/>
      <c r="G5" s="54"/>
      <c r="H5" s="54"/>
      <c r="I5" s="54"/>
      <c r="J5" s="54"/>
      <c r="K5" s="54"/>
      <c r="L5" s="54"/>
      <c r="M5" s="54"/>
      <c r="N5" s="54"/>
    </row>
    <row r="6" spans="1:16" ht="15" customHeight="1" x14ac:dyDescent="0.45">
      <c r="A6" s="85" t="s">
        <v>46</v>
      </c>
    </row>
    <row r="7" spans="1:16" ht="15" customHeight="1" x14ac:dyDescent="0.45">
      <c r="B7" s="105" t="s">
        <v>150</v>
      </c>
    </row>
    <row r="8" spans="1:16" ht="15" customHeight="1" x14ac:dyDescent="0.45">
      <c r="B8" s="105" t="s">
        <v>151</v>
      </c>
    </row>
    <row r="9" spans="1:16" ht="15" customHeight="1" x14ac:dyDescent="0.45">
      <c r="B9" s="105" t="s">
        <v>152</v>
      </c>
    </row>
    <row r="10" spans="1:16" ht="15" customHeight="1" x14ac:dyDescent="0.45">
      <c r="B10" s="105" t="s">
        <v>153</v>
      </c>
    </row>
    <row r="11" spans="1:16" ht="15" customHeight="1" x14ac:dyDescent="0.5">
      <c r="B11" s="204"/>
    </row>
    <row r="12" spans="1:16" ht="15" customHeight="1" x14ac:dyDescent="0.45">
      <c r="B12" t="s">
        <v>154</v>
      </c>
    </row>
    <row r="14" spans="1:16" ht="15" customHeight="1" x14ac:dyDescent="0.45">
      <c r="A14" s="85" t="s">
        <v>30</v>
      </c>
    </row>
    <row r="15" spans="1:16" ht="15" customHeight="1" x14ac:dyDescent="0.45">
      <c r="B15" s="105" t="s">
        <v>155</v>
      </c>
    </row>
    <row r="16" spans="1:16" ht="15" customHeight="1" x14ac:dyDescent="0.45">
      <c r="B16" s="105" t="s">
        <v>156</v>
      </c>
    </row>
    <row r="17" spans="1:2" ht="15" customHeight="1" x14ac:dyDescent="0.45">
      <c r="B17" s="105" t="s">
        <v>157</v>
      </c>
    </row>
    <row r="18" spans="1:2" ht="15" customHeight="1" x14ac:dyDescent="0.45">
      <c r="B18" s="105" t="s">
        <v>158</v>
      </c>
    </row>
    <row r="19" spans="1:2" ht="15" customHeight="1" x14ac:dyDescent="0.45">
      <c r="B19" s="105" t="s">
        <v>159</v>
      </c>
    </row>
    <row r="20" spans="1:2" ht="15" customHeight="1" x14ac:dyDescent="0.45">
      <c r="B20" s="105" t="s">
        <v>160</v>
      </c>
    </row>
    <row r="21" spans="1:2" ht="15" customHeight="1" x14ac:dyDescent="0.45">
      <c r="B21" s="105" t="s">
        <v>161</v>
      </c>
    </row>
    <row r="22" spans="1:2" ht="15" customHeight="1" x14ac:dyDescent="0.45">
      <c r="B22" s="105"/>
    </row>
    <row r="23" spans="1:2" ht="15" customHeight="1" x14ac:dyDescent="0.45">
      <c r="B23" t="s">
        <v>154</v>
      </c>
    </row>
    <row r="25" spans="1:2" ht="15" customHeight="1" x14ac:dyDescent="0.5">
      <c r="A25" s="85" t="s">
        <v>147</v>
      </c>
      <c r="B25" s="204"/>
    </row>
  </sheetData>
  <hyperlinks>
    <hyperlink ref="B15" r:id="rId1" xr:uid="{AB1A90B4-84D8-4CD9-8944-94F635CD0E6C}"/>
    <hyperlink ref="B19" r:id="rId2" xr:uid="{E0163CBC-8063-4C65-9B1E-3C4D0AEB861A}"/>
    <hyperlink ref="B16" r:id="rId3" display="Sales Link" xr:uid="{46A2307B-C7A3-482B-9FDE-64392FA6F25F}"/>
    <hyperlink ref="B18" r:id="rId4" xr:uid="{18736559-0856-4C2B-ACFF-E992DAF63F45}"/>
    <hyperlink ref="B17" r:id="rId5" xr:uid="{B1ACD1E1-2758-45F7-8BBF-95DEDDBD5B10}"/>
    <hyperlink ref="B20" r:id="rId6" xr:uid="{05759E8C-FF70-4062-BE3A-8493375CC741}"/>
    <hyperlink ref="B21" r:id="rId7" display="Operatng profit link" xr:uid="{F5E51A6B-56F4-4D90-9381-B17D167FF59E}"/>
    <hyperlink ref="B7" r:id="rId8" xr:uid="{FF793704-848B-41F5-8E4F-E60443856B9E}"/>
    <hyperlink ref="B8" r:id="rId9" xr:uid="{4FD4A42A-605B-468F-AB54-F8FE934DDF45}"/>
    <hyperlink ref="B9" r:id="rId10" xr:uid="{8997726D-6404-4583-AFAE-CCB1586D544B}"/>
    <hyperlink ref="B10" r:id="rId11" xr:uid="{0B8FAD58-1783-4E1E-B892-09A4D081C82F}"/>
  </hyperlinks>
  <printOptions headings="1" gridLines="1"/>
  <pageMargins left="0.7" right="0.7" top="0.75" bottom="0.75" header="0.3" footer="0.3"/>
  <pageSetup paperSize="9" scale="69" fitToHeight="0" orientation="landscape" r:id="rId1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pageSetUpPr fitToPage="1"/>
  </sheetPr>
  <dimension ref="A1:P141"/>
  <sheetViews>
    <sheetView zoomScaleNormal="100" zoomScaleSheetLayoutView="85" workbookViewId="0">
      <pane xSplit="2" ySplit="3" topLeftCell="C4" activePane="bottomRight" state="frozen"/>
      <selection pane="topRight" sqref="A1:N1"/>
      <selection pane="bottomLeft" sqref="A1:N1"/>
      <selection pane="bottomRight" activeCell="C4" sqref="C4"/>
    </sheetView>
  </sheetViews>
  <sheetFormatPr defaultColWidth="12.59765625" defaultRowHeight="15" customHeight="1" x14ac:dyDescent="0.45"/>
  <cols>
    <col min="1" max="1" width="1.59765625" customWidth="1"/>
    <col min="2" max="2" width="40.59765625" customWidth="1"/>
    <col min="3" max="15" width="10.265625" customWidth="1"/>
    <col min="16" max="16" width="47.265625" bestFit="1" customWidth="1"/>
  </cols>
  <sheetData>
    <row r="1" spans="1:16" ht="45" customHeight="1" x14ac:dyDescent="0.85">
      <c r="A1" s="83" t="str">
        <f>"Financial forecast for "&amp;Info!N5</f>
        <v>Financial forecast for Red Bull</v>
      </c>
      <c r="B1" s="83"/>
      <c r="C1" s="83"/>
      <c r="D1" s="83"/>
      <c r="E1" s="83"/>
      <c r="F1" s="83"/>
      <c r="G1" s="83"/>
      <c r="H1" s="83"/>
      <c r="I1" s="83"/>
      <c r="J1" s="83"/>
      <c r="K1" s="83"/>
      <c r="L1" s="83"/>
      <c r="M1" s="83"/>
      <c r="N1" s="83"/>
      <c r="O1" s="83"/>
      <c r="P1" s="23"/>
    </row>
    <row r="2" spans="1:16" ht="15" customHeight="1" x14ac:dyDescent="0.55000000000000004">
      <c r="A2" s="95"/>
      <c r="B2" s="95"/>
      <c r="C2" s="95" t="s">
        <v>162</v>
      </c>
      <c r="D2" s="95" t="s">
        <v>162</v>
      </c>
      <c r="E2" s="95" t="s">
        <v>162</v>
      </c>
      <c r="F2" s="95" t="s">
        <v>162</v>
      </c>
      <c r="G2" s="95" t="s">
        <v>163</v>
      </c>
      <c r="H2" s="95" t="s">
        <v>163</v>
      </c>
      <c r="I2" s="95" t="s">
        <v>163</v>
      </c>
      <c r="J2" s="95" t="s">
        <v>163</v>
      </c>
      <c r="K2" s="95" t="s">
        <v>163</v>
      </c>
      <c r="L2" s="95" t="s">
        <v>163</v>
      </c>
      <c r="M2" s="95" t="s">
        <v>163</v>
      </c>
      <c r="N2" s="95" t="s">
        <v>163</v>
      </c>
      <c r="O2" s="95" t="s">
        <v>163</v>
      </c>
      <c r="P2" s="24"/>
    </row>
    <row r="3" spans="1:16" ht="15" customHeight="1" x14ac:dyDescent="0.45">
      <c r="A3" s="95"/>
      <c r="B3" s="95"/>
      <c r="C3" s="158">
        <f>EDATE(D3,-12)</f>
        <v>44196</v>
      </c>
      <c r="D3" s="158">
        <f>EDATE(E3,-12)</f>
        <v>44561</v>
      </c>
      <c r="E3" s="158">
        <f>EDATE(F3,-12)</f>
        <v>44926</v>
      </c>
      <c r="F3" s="158">
        <f>Info!N6</f>
        <v>45291</v>
      </c>
      <c r="G3" s="158">
        <f t="shared" ref="G3:O3" si="0">EDATE(F3,12)</f>
        <v>45657</v>
      </c>
      <c r="H3" s="158">
        <f t="shared" si="0"/>
        <v>46022</v>
      </c>
      <c r="I3" s="158">
        <f t="shared" si="0"/>
        <v>46387</v>
      </c>
      <c r="J3" s="158">
        <f t="shared" si="0"/>
        <v>46752</v>
      </c>
      <c r="K3" s="158">
        <f t="shared" si="0"/>
        <v>47118</v>
      </c>
      <c r="L3" s="158">
        <f t="shared" si="0"/>
        <v>47483</v>
      </c>
      <c r="M3" s="158">
        <f t="shared" si="0"/>
        <v>47848</v>
      </c>
      <c r="N3" s="158">
        <f t="shared" si="0"/>
        <v>48213</v>
      </c>
      <c r="O3" s="158">
        <f t="shared" si="0"/>
        <v>48579</v>
      </c>
    </row>
    <row r="4" spans="1:16" ht="15" customHeight="1" x14ac:dyDescent="0.45">
      <c r="A4" s="85"/>
      <c r="B4" t="s">
        <v>164</v>
      </c>
    </row>
    <row r="5" spans="1:16" ht="15" customHeight="1" x14ac:dyDescent="0.45">
      <c r="A5" s="85"/>
      <c r="C5" s="2"/>
      <c r="D5" s="2"/>
      <c r="E5" s="2"/>
      <c r="F5" s="2"/>
      <c r="G5" s="2"/>
      <c r="H5" s="2"/>
      <c r="J5" s="2"/>
      <c r="K5" s="211"/>
      <c r="L5" s="211"/>
      <c r="M5" s="2"/>
      <c r="N5" s="74"/>
      <c r="O5" s="2"/>
      <c r="P5" s="2"/>
    </row>
    <row r="6" spans="1:16" ht="15" customHeight="1" x14ac:dyDescent="0.45">
      <c r="A6" s="85" t="s">
        <v>165</v>
      </c>
      <c r="N6" s="74"/>
    </row>
    <row r="7" spans="1:16" ht="15" customHeight="1" x14ac:dyDescent="0.45">
      <c r="A7" s="85"/>
    </row>
    <row r="8" spans="1:16" ht="15" customHeight="1" x14ac:dyDescent="0.45">
      <c r="A8" s="85"/>
      <c r="B8" t="s">
        <v>166</v>
      </c>
      <c r="D8" s="74">
        <f t="shared" ref="D8:F12" si="1">D50/C50-1</f>
        <v>0.25744368615652413</v>
      </c>
      <c r="E8" s="74">
        <f t="shared" si="1"/>
        <v>0.24401562062094317</v>
      </c>
      <c r="F8" s="74">
        <f t="shared" si="1"/>
        <v>9.0999999439063339E-2</v>
      </c>
      <c r="G8" s="55">
        <v>0.09</v>
      </c>
      <c r="H8" s="76">
        <v>8.5000000000000006E-2</v>
      </c>
      <c r="I8" s="76">
        <v>0.08</v>
      </c>
      <c r="J8" s="76">
        <v>7.4999999999999997E-2</v>
      </c>
      <c r="K8" s="76">
        <v>7.0000000000000007E-2</v>
      </c>
      <c r="L8" s="76">
        <v>6.5000000000000002E-2</v>
      </c>
      <c r="M8" s="76">
        <v>5.1999999999999998E-2</v>
      </c>
      <c r="N8" s="76">
        <v>3.9E-2</v>
      </c>
      <c r="O8" s="76">
        <v>2.5999999999999999E-2</v>
      </c>
    </row>
    <row r="9" spans="1:16" ht="15" customHeight="1" x14ac:dyDescent="0.45">
      <c r="A9" s="85"/>
      <c r="B9" t="s">
        <v>167</v>
      </c>
      <c r="D9" s="74">
        <f t="shared" si="1"/>
        <v>0.21666170262245132</v>
      </c>
      <c r="E9" s="74">
        <f t="shared" si="1"/>
        <v>0.17871360203022491</v>
      </c>
      <c r="F9" s="74">
        <f t="shared" si="1"/>
        <v>6.5999998867431353E-2</v>
      </c>
      <c r="G9" s="55">
        <v>7.0000000000000007E-2</v>
      </c>
      <c r="H9" s="76">
        <v>6.7199999999999996E-2</v>
      </c>
      <c r="I9" s="76">
        <v>6.4399999999999999E-2</v>
      </c>
      <c r="J9" s="76">
        <v>6.1600000000000002E-2</v>
      </c>
      <c r="K9" s="76">
        <v>5.8799999999999998E-2</v>
      </c>
      <c r="L9" s="76">
        <v>5.6000000000000001E-2</v>
      </c>
      <c r="M9" s="76">
        <v>4.5999999999999999E-2</v>
      </c>
      <c r="N9" s="76">
        <v>3.5999999999999997E-2</v>
      </c>
      <c r="O9" s="76">
        <v>2.5999999999999999E-2</v>
      </c>
    </row>
    <row r="10" spans="1:16" ht="15" customHeight="1" x14ac:dyDescent="0.45">
      <c r="A10" s="85"/>
      <c r="B10" t="s">
        <v>168</v>
      </c>
      <c r="D10" s="74">
        <f t="shared" si="1"/>
        <v>0.37622811563360337</v>
      </c>
      <c r="E10" s="74">
        <f t="shared" si="1"/>
        <v>0.68187426305295396</v>
      </c>
      <c r="F10" s="74">
        <f t="shared" si="1"/>
        <v>0.21999998861639125</v>
      </c>
      <c r="G10" s="55">
        <v>0.22</v>
      </c>
      <c r="H10" s="76">
        <v>0.20319999999999999</v>
      </c>
      <c r="I10" s="76">
        <v>0.18640000000000001</v>
      </c>
      <c r="J10" s="76">
        <v>0.1696</v>
      </c>
      <c r="K10" s="76">
        <v>0.15279999999999999</v>
      </c>
      <c r="L10" s="76">
        <v>0.13600000000000001</v>
      </c>
      <c r="M10" s="76">
        <v>9.9299999999999999E-2</v>
      </c>
      <c r="N10" s="76">
        <v>6.2600000000000003E-2</v>
      </c>
      <c r="O10" s="76">
        <v>2.5999999999999999E-2</v>
      </c>
    </row>
    <row r="11" spans="1:16" ht="15" customHeight="1" x14ac:dyDescent="0.45">
      <c r="A11" s="85"/>
      <c r="B11" t="s">
        <v>169</v>
      </c>
      <c r="D11" s="74">
        <f t="shared" si="1"/>
        <v>0.21058520558749927</v>
      </c>
      <c r="E11" s="74">
        <f t="shared" si="1"/>
        <v>0.23555448958253344</v>
      </c>
      <c r="F11" s="74">
        <f t="shared" si="1"/>
        <v>8.4999995710717702E-2</v>
      </c>
      <c r="G11" s="55">
        <v>8.5000000000000006E-2</v>
      </c>
      <c r="H11" s="76">
        <v>8.1000000000000003E-2</v>
      </c>
      <c r="I11" s="76">
        <v>7.6999999999999999E-2</v>
      </c>
      <c r="J11" s="76">
        <v>7.2999999999999995E-2</v>
      </c>
      <c r="K11" s="76">
        <v>6.9000000000000006E-2</v>
      </c>
      <c r="L11" s="76">
        <v>6.5000000000000002E-2</v>
      </c>
      <c r="M11" s="76">
        <v>5.1999999999999998E-2</v>
      </c>
      <c r="N11" s="76">
        <v>3.9E-2</v>
      </c>
      <c r="O11" s="76">
        <v>2.5999999999999999E-2</v>
      </c>
    </row>
    <row r="12" spans="1:16" ht="15" customHeight="1" x14ac:dyDescent="0.45">
      <c r="A12" s="85"/>
      <c r="B12" t="s">
        <v>170</v>
      </c>
      <c r="D12" s="74">
        <f t="shared" si="1"/>
        <v>0.23914094359411786</v>
      </c>
      <c r="E12" s="74">
        <f t="shared" si="1"/>
        <v>0.23908278458899002</v>
      </c>
      <c r="F12" s="74">
        <f t="shared" si="1"/>
        <v>8.9813769866666782E-2</v>
      </c>
      <c r="G12" s="74">
        <f t="shared" ref="G12:O12" si="2">G54/F54-1</f>
        <v>9.2679491862271535E-2</v>
      </c>
      <c r="H12" s="74">
        <f t="shared" si="2"/>
        <v>8.908551320778435E-2</v>
      </c>
      <c r="I12" s="74">
        <f t="shared" si="2"/>
        <v>8.519659876820973E-2</v>
      </c>
      <c r="J12" s="74">
        <f t="shared" si="2"/>
        <v>8.0991962794580541E-2</v>
      </c>
      <c r="K12" s="74">
        <f t="shared" si="2"/>
        <v>7.6461269649378272E-2</v>
      </c>
      <c r="L12" s="74">
        <f t="shared" si="2"/>
        <v>7.1605915305543721E-2</v>
      </c>
      <c r="M12" s="74">
        <f t="shared" si="2"/>
        <v>5.6839381456481597E-2</v>
      </c>
      <c r="N12" s="74">
        <f t="shared" si="2"/>
        <v>4.15675653310974E-2</v>
      </c>
      <c r="O12" s="74">
        <f t="shared" si="2"/>
        <v>2.6000000000000023E-2</v>
      </c>
    </row>
    <row r="13" spans="1:16" ht="15" customHeight="1" x14ac:dyDescent="0.45">
      <c r="A13" s="85"/>
      <c r="B13" t="s">
        <v>171</v>
      </c>
      <c r="D13" s="74"/>
      <c r="E13" s="74"/>
      <c r="F13" s="74"/>
      <c r="G13" s="74"/>
      <c r="H13" s="74"/>
      <c r="I13" s="74"/>
      <c r="J13" s="74"/>
      <c r="K13" s="74"/>
      <c r="L13" s="74">
        <f>(L54/G54)^(1/COLUMNS(H54:L54))-1</f>
        <v>8.0650543522992724E-2</v>
      </c>
      <c r="M13" s="74"/>
      <c r="N13" s="74"/>
      <c r="O13" s="74"/>
    </row>
    <row r="14" spans="1:16" ht="15" customHeight="1" x14ac:dyDescent="0.45">
      <c r="A14" s="85"/>
      <c r="B14" t="s">
        <v>172</v>
      </c>
      <c r="C14" s="74">
        <f>-C55/C54</f>
        <v>0.27524088401530022</v>
      </c>
      <c r="D14" s="74">
        <f>-D55/D54</f>
        <v>0.28381392182734361</v>
      </c>
      <c r="E14" s="74">
        <f t="shared" ref="E14:F14" si="3">-E55/E54</f>
        <v>0.33654389988617955</v>
      </c>
      <c r="F14" s="74">
        <f t="shared" si="3"/>
        <v>0.32733715038579042</v>
      </c>
      <c r="G14" s="55">
        <v>0.31</v>
      </c>
      <c r="H14" s="55">
        <v>0.30499999999999999</v>
      </c>
      <c r="I14" s="55">
        <v>0.29499999999999998</v>
      </c>
      <c r="J14" s="55">
        <v>0.28499999999999998</v>
      </c>
      <c r="K14" s="55">
        <v>0.28499999999999998</v>
      </c>
      <c r="L14" s="55">
        <v>0.28499999999999998</v>
      </c>
      <c r="M14" s="55">
        <v>0.28499999999999998</v>
      </c>
      <c r="N14" s="55">
        <v>0.28499999999999998</v>
      </c>
      <c r="O14" s="55">
        <v>0.28499999999999998</v>
      </c>
    </row>
    <row r="15" spans="1:16" ht="15" customHeight="1" x14ac:dyDescent="0.45">
      <c r="A15" s="85"/>
      <c r="B15" t="s">
        <v>173</v>
      </c>
      <c r="C15" s="74">
        <f>-C58/C54</f>
        <v>0.1600442199627734</v>
      </c>
      <c r="D15" s="74">
        <f>-D58/D54</f>
        <v>0.15133323320755973</v>
      </c>
      <c r="E15" s="74">
        <f t="shared" ref="E15:F15" si="4">-E58/E54</f>
        <v>0.14988936715389617</v>
      </c>
      <c r="F15" s="74">
        <f t="shared" si="4"/>
        <v>0.14578888024379472</v>
      </c>
      <c r="G15" s="55">
        <v>0.155</v>
      </c>
      <c r="H15" s="55">
        <v>0.155</v>
      </c>
      <c r="I15" s="55">
        <v>0.15</v>
      </c>
      <c r="J15" s="55">
        <v>0.15</v>
      </c>
      <c r="K15" s="55">
        <v>0.15</v>
      </c>
      <c r="L15" s="55">
        <v>0.15</v>
      </c>
      <c r="M15" s="55">
        <v>0.15</v>
      </c>
      <c r="N15" s="55">
        <v>0.15</v>
      </c>
      <c r="O15" s="55">
        <v>0.15</v>
      </c>
    </row>
    <row r="16" spans="1:16" ht="15" customHeight="1" x14ac:dyDescent="0.45">
      <c r="A16" s="85"/>
      <c r="B16" t="s">
        <v>174</v>
      </c>
      <c r="C16" s="74">
        <f>-C59/C54</f>
        <v>0.25769865340033049</v>
      </c>
      <c r="D16" s="74">
        <f t="shared" ref="D16:F16" si="5">-D59/D54</f>
        <v>0.23826758351083696</v>
      </c>
      <c r="E16" s="74">
        <f t="shared" si="5"/>
        <v>0.23638672789233631</v>
      </c>
      <c r="F16" s="74">
        <f t="shared" si="5"/>
        <v>0.22991995375185292</v>
      </c>
      <c r="G16" s="55">
        <v>0.24</v>
      </c>
      <c r="H16" s="55">
        <v>0.24</v>
      </c>
      <c r="I16" s="55">
        <v>0.24</v>
      </c>
      <c r="J16" s="55">
        <v>0.24</v>
      </c>
      <c r="K16" s="55">
        <v>0.24</v>
      </c>
      <c r="L16" s="55">
        <v>0.24</v>
      </c>
      <c r="M16" s="55">
        <v>0.24</v>
      </c>
      <c r="N16" s="55">
        <v>0.24</v>
      </c>
      <c r="O16" s="55">
        <v>0.24</v>
      </c>
    </row>
    <row r="17" spans="1:15" ht="15" customHeight="1" x14ac:dyDescent="0.45">
      <c r="A17" s="85"/>
      <c r="B17" t="s">
        <v>175</v>
      </c>
      <c r="D17" s="74">
        <f>-D62/C80</f>
        <v>0.17934716446750587</v>
      </c>
      <c r="E17" s="74">
        <f>-E62/D80</f>
        <v>0.20397502394603909</v>
      </c>
      <c r="F17" s="74">
        <f>-F62/E80</f>
        <v>0.17411862905306766</v>
      </c>
      <c r="G17" s="55">
        <v>0.17</v>
      </c>
      <c r="H17" s="55">
        <v>0.17</v>
      </c>
      <c r="I17" s="55">
        <v>0.17</v>
      </c>
      <c r="J17" s="55">
        <v>0.17</v>
      </c>
      <c r="K17" s="55">
        <v>0.17</v>
      </c>
      <c r="L17" s="55">
        <v>0.16</v>
      </c>
      <c r="M17" s="55">
        <v>0.16</v>
      </c>
      <c r="N17" s="55">
        <v>0.16</v>
      </c>
      <c r="O17" s="55">
        <v>0.16</v>
      </c>
    </row>
    <row r="18" spans="1:15" ht="15" customHeight="1" x14ac:dyDescent="0.45">
      <c r="A18" s="85"/>
      <c r="B18" t="s">
        <v>176</v>
      </c>
      <c r="C18">
        <f>C67</f>
        <v>7.6356351500000006</v>
      </c>
      <c r="D18">
        <f>D67</f>
        <v>4.3481420000000002</v>
      </c>
      <c r="E18">
        <f>E67</f>
        <v>7.2397410000000004</v>
      </c>
      <c r="F18">
        <f>F67</f>
        <v>7</v>
      </c>
      <c r="G18" s="25">
        <v>7.5</v>
      </c>
      <c r="H18" s="25">
        <v>7.5</v>
      </c>
      <c r="I18" s="25">
        <v>7.5</v>
      </c>
      <c r="J18" s="25">
        <v>7.5</v>
      </c>
      <c r="K18" s="25">
        <v>7.5</v>
      </c>
      <c r="L18" s="25">
        <v>7.5</v>
      </c>
      <c r="M18" s="25">
        <v>7.5</v>
      </c>
      <c r="N18" s="25">
        <v>7.5</v>
      </c>
      <c r="O18" s="25">
        <v>7.5</v>
      </c>
    </row>
    <row r="19" spans="1:15" ht="15" customHeight="1" x14ac:dyDescent="0.45">
      <c r="A19" s="85"/>
      <c r="B19" t="s">
        <v>177</v>
      </c>
      <c r="C19" s="74">
        <f>-C70/C68</f>
        <v>0.25736780715171709</v>
      </c>
      <c r="D19" s="74">
        <f>-D70/D68</f>
        <v>0.25534235653743953</v>
      </c>
      <c r="E19" s="74">
        <f>-E70/E68</f>
        <v>0.25835484685320387</v>
      </c>
      <c r="F19" s="74">
        <f>-F70/F68</f>
        <v>0.22162687370103795</v>
      </c>
      <c r="G19" s="55">
        <v>0.255</v>
      </c>
      <c r="H19" s="55">
        <v>0.255</v>
      </c>
      <c r="I19" s="55">
        <v>0.255</v>
      </c>
      <c r="J19" s="55">
        <v>0.255</v>
      </c>
      <c r="K19" s="55">
        <v>0.255</v>
      </c>
      <c r="L19" s="55">
        <v>0.255</v>
      </c>
      <c r="M19" s="55">
        <v>0.255</v>
      </c>
      <c r="N19" s="55">
        <v>0.255</v>
      </c>
      <c r="O19" s="55">
        <v>0.255</v>
      </c>
    </row>
    <row r="20" spans="1:15" ht="15" customHeight="1" x14ac:dyDescent="0.45">
      <c r="A20" s="85"/>
      <c r="B20" t="s">
        <v>178</v>
      </c>
      <c r="F20" s="71">
        <v>0.24</v>
      </c>
      <c r="G20" s="55">
        <v>0.23</v>
      </c>
      <c r="H20" s="55">
        <v>0.23</v>
      </c>
      <c r="I20" s="55">
        <v>0.23</v>
      </c>
      <c r="J20" s="55">
        <v>0.23</v>
      </c>
      <c r="K20" s="55">
        <v>0.23</v>
      </c>
      <c r="L20" s="55">
        <v>0.23</v>
      </c>
      <c r="M20" s="55">
        <v>0.23</v>
      </c>
      <c r="N20" s="55">
        <v>0.23</v>
      </c>
      <c r="O20" s="55">
        <v>0.23</v>
      </c>
    </row>
    <row r="21" spans="1:15" ht="15" customHeight="1" x14ac:dyDescent="0.45">
      <c r="A21" s="85"/>
      <c r="B21" t="s">
        <v>179</v>
      </c>
      <c r="D21" s="210">
        <f>+D45/D71*-1</f>
        <v>0.71258992933946452</v>
      </c>
      <c r="E21" s="210">
        <f>+E45/E71*-1</f>
        <v>0.87774616958434637</v>
      </c>
      <c r="F21" s="210">
        <f>+F45/F71*-1</f>
        <v>0.79125509788438997</v>
      </c>
      <c r="G21" s="55">
        <v>0.75</v>
      </c>
      <c r="H21" s="55">
        <v>0.75</v>
      </c>
      <c r="I21" s="55">
        <v>0.75</v>
      </c>
      <c r="J21" s="55">
        <v>0.75</v>
      </c>
      <c r="K21" s="55">
        <v>0.75</v>
      </c>
      <c r="L21" s="55">
        <v>0.75</v>
      </c>
      <c r="M21" s="55">
        <v>0.75</v>
      </c>
      <c r="N21" s="55">
        <v>0.75</v>
      </c>
      <c r="O21" s="55">
        <v>0.75</v>
      </c>
    </row>
    <row r="22" spans="1:15" ht="15" customHeight="1" x14ac:dyDescent="0.45">
      <c r="A22" s="85"/>
    </row>
    <row r="23" spans="1:15" ht="15" customHeight="1" x14ac:dyDescent="0.45">
      <c r="A23" s="85"/>
      <c r="B23" t="s">
        <v>180</v>
      </c>
      <c r="C23">
        <f>+C75/C54*365</f>
        <v>39.123770395648975</v>
      </c>
      <c r="D23">
        <f>+D75/D54*365</f>
        <v>36.539803896758087</v>
      </c>
      <c r="E23">
        <f>+E75/E54*365</f>
        <v>41.077387246387772</v>
      </c>
      <c r="F23">
        <f>+F75/F54*365</f>
        <v>39.979199446178654</v>
      </c>
      <c r="G23" s="25">
        <v>40</v>
      </c>
      <c r="H23" s="25">
        <v>40</v>
      </c>
      <c r="I23" s="25">
        <v>39</v>
      </c>
      <c r="J23" s="25">
        <v>39</v>
      </c>
      <c r="K23" s="25">
        <v>39</v>
      </c>
      <c r="L23" s="25">
        <v>39</v>
      </c>
      <c r="M23" s="25">
        <v>39</v>
      </c>
      <c r="N23" s="25">
        <v>39</v>
      </c>
      <c r="O23" s="25">
        <v>39</v>
      </c>
    </row>
    <row r="24" spans="1:15" ht="15" customHeight="1" x14ac:dyDescent="0.45">
      <c r="A24" s="85"/>
      <c r="B24" t="s">
        <v>121</v>
      </c>
      <c r="C24">
        <f>-C76/C55*365</f>
        <v>92.813517593453</v>
      </c>
      <c r="D24">
        <f>-D76/D55*365</f>
        <v>78.431642132746006</v>
      </c>
      <c r="E24">
        <f>-E76/E55*365</f>
        <v>104.66438596471293</v>
      </c>
      <c r="F24">
        <f>-F76/F55*365</f>
        <v>89.995044848753352</v>
      </c>
      <c r="G24" s="25">
        <v>90</v>
      </c>
      <c r="H24" s="25">
        <v>90</v>
      </c>
      <c r="I24" s="25">
        <v>89</v>
      </c>
      <c r="J24" s="25">
        <v>90</v>
      </c>
      <c r="K24" s="25">
        <v>90</v>
      </c>
      <c r="L24" s="25">
        <v>90</v>
      </c>
      <c r="M24" s="25">
        <v>90</v>
      </c>
      <c r="N24" s="25">
        <v>90</v>
      </c>
      <c r="O24" s="25">
        <v>90</v>
      </c>
    </row>
    <row r="25" spans="1:15" ht="15" customHeight="1" x14ac:dyDescent="0.45">
      <c r="A25" s="85"/>
      <c r="B25" t="s">
        <v>181</v>
      </c>
      <c r="C25" s="74">
        <f>+C77/C54</f>
        <v>5.6305306885330572E-2</v>
      </c>
      <c r="D25" s="74">
        <f>+D77/D54</f>
        <v>5.1816294291752413E-2</v>
      </c>
      <c r="E25" s="74">
        <f>+E77/E54</f>
        <v>6.0473151757269673E-2</v>
      </c>
      <c r="F25" s="74">
        <f>+F77/F54</f>
        <v>5.1999300033329011E-2</v>
      </c>
      <c r="G25" s="55">
        <v>5.2999999999999999E-2</v>
      </c>
      <c r="H25" s="55">
        <v>5.2999999999999999E-2</v>
      </c>
      <c r="I25" s="55">
        <v>5.1999999999999998E-2</v>
      </c>
      <c r="J25" s="55">
        <v>5.1999999999999998E-2</v>
      </c>
      <c r="K25" s="55">
        <v>5.0999999999999997E-2</v>
      </c>
      <c r="L25" s="55">
        <v>5.0999999999999997E-2</v>
      </c>
      <c r="M25" s="55">
        <v>5.0999999999999997E-2</v>
      </c>
      <c r="N25" s="55">
        <v>5.0999999999999997E-2</v>
      </c>
      <c r="O25" s="55">
        <v>5.0999999999999997E-2</v>
      </c>
    </row>
    <row r="26" spans="1:15" ht="15" customHeight="1" x14ac:dyDescent="0.45">
      <c r="A26" s="85"/>
      <c r="B26" t="s">
        <v>182</v>
      </c>
      <c r="C26" s="74">
        <f>C38/C54</f>
        <v>5.9327907666656424E-2</v>
      </c>
      <c r="D26" s="74">
        <f>D38/D54</f>
        <v>6.9950088631351576E-2</v>
      </c>
      <c r="E26" s="74">
        <f>E38/E54</f>
        <v>6.8288069529345269E-2</v>
      </c>
      <c r="F26" s="74">
        <f>F38/F54</f>
        <v>7.5772303638216507E-2</v>
      </c>
      <c r="G26" s="55">
        <v>6.8000000000000005E-2</v>
      </c>
      <c r="H26" s="55">
        <v>6.8000000000000005E-2</v>
      </c>
      <c r="I26" s="55">
        <v>6.8000000000000005E-2</v>
      </c>
      <c r="J26" s="55">
        <v>6.2E-2</v>
      </c>
      <c r="K26" s="55">
        <v>6.2E-2</v>
      </c>
      <c r="L26" s="55">
        <v>6.2E-2</v>
      </c>
      <c r="M26" s="55">
        <v>5.5E-2</v>
      </c>
      <c r="N26" s="55">
        <v>5.5E-2</v>
      </c>
      <c r="O26" s="55">
        <v>5.0999999999999997E-2</v>
      </c>
    </row>
    <row r="27" spans="1:15" ht="15" customHeight="1" x14ac:dyDescent="0.45">
      <c r="A27" s="85"/>
      <c r="B27" t="s">
        <v>183</v>
      </c>
      <c r="C27">
        <f>+C81</f>
        <v>523.84919279999997</v>
      </c>
      <c r="D27">
        <f>+D81</f>
        <v>751.47738700000002</v>
      </c>
      <c r="E27">
        <f>+E81</f>
        <v>1162.603388</v>
      </c>
      <c r="F27">
        <f>+F81</f>
        <v>1205.8</v>
      </c>
      <c r="G27" s="25">
        <v>1200</v>
      </c>
      <c r="H27" s="25">
        <v>1200</v>
      </c>
      <c r="I27" s="25">
        <v>1200</v>
      </c>
      <c r="J27" s="25">
        <v>1200</v>
      </c>
      <c r="K27" s="25">
        <v>1200</v>
      </c>
      <c r="L27" s="25">
        <v>1200</v>
      </c>
      <c r="M27" s="25">
        <v>1200</v>
      </c>
      <c r="N27" s="25">
        <v>1200</v>
      </c>
      <c r="O27" s="25">
        <v>1200</v>
      </c>
    </row>
    <row r="28" spans="1:15" ht="15" customHeight="1" x14ac:dyDescent="0.45">
      <c r="A28" s="85"/>
      <c r="B28" t="s">
        <v>184</v>
      </c>
      <c r="C28">
        <f>-C85/C55*365</f>
        <v>252.23161530438296</v>
      </c>
      <c r="D28">
        <f>-D85/D55*365</f>
        <v>261.46575452671266</v>
      </c>
      <c r="E28">
        <f>-E85/E55*365</f>
        <v>245.70741846577033</v>
      </c>
      <c r="F28">
        <f>-F85/F55*365</f>
        <v>250.99932853625657</v>
      </c>
      <c r="G28" s="25">
        <v>259</v>
      </c>
      <c r="H28" s="25">
        <v>259</v>
      </c>
      <c r="I28" s="25">
        <v>259</v>
      </c>
      <c r="J28" s="25">
        <v>259</v>
      </c>
      <c r="K28" s="25">
        <v>259</v>
      </c>
      <c r="L28" s="25">
        <v>259</v>
      </c>
      <c r="M28" s="25">
        <v>259</v>
      </c>
      <c r="N28" s="25">
        <v>259</v>
      </c>
      <c r="O28" s="25">
        <v>259</v>
      </c>
    </row>
    <row r="29" spans="1:15" ht="15" customHeight="1" x14ac:dyDescent="0.45">
      <c r="A29" s="85"/>
    </row>
    <row r="30" spans="1:15" ht="15" customHeight="1" x14ac:dyDescent="0.45">
      <c r="A30" s="85"/>
      <c r="B30" t="s">
        <v>185</v>
      </c>
      <c r="D30">
        <f>D88-C88</f>
        <v>5.9601356299999679</v>
      </c>
      <c r="E30">
        <f>E88-D88</f>
        <v>40.856667000000016</v>
      </c>
      <c r="F30">
        <f>F88-E88</f>
        <v>-21.21639799999997</v>
      </c>
      <c r="G30" s="25">
        <v>0</v>
      </c>
      <c r="H30" s="25">
        <v>-11.2</v>
      </c>
      <c r="I30" s="25">
        <v>0</v>
      </c>
      <c r="J30" s="25">
        <v>0</v>
      </c>
      <c r="K30" s="25">
        <v>0</v>
      </c>
      <c r="L30" s="25">
        <v>0</v>
      </c>
      <c r="M30" s="25">
        <v>0</v>
      </c>
      <c r="N30" s="25">
        <v>0</v>
      </c>
      <c r="O30" s="25">
        <v>0</v>
      </c>
    </row>
    <row r="31" spans="1:15" ht="15" customHeight="1" x14ac:dyDescent="0.45">
      <c r="A31" s="85"/>
      <c r="B31" t="s">
        <v>186</v>
      </c>
      <c r="G31" s="55">
        <v>0.05</v>
      </c>
      <c r="H31" s="55">
        <v>0.04</v>
      </c>
      <c r="I31" s="55">
        <v>0.04</v>
      </c>
      <c r="J31" s="55">
        <v>3.2000000000000001E-2</v>
      </c>
      <c r="K31" s="55">
        <v>3.2000000000000001E-2</v>
      </c>
      <c r="L31" s="55">
        <v>3.2000000000000001E-2</v>
      </c>
      <c r="M31" s="55">
        <v>3.2000000000000001E-2</v>
      </c>
      <c r="N31" s="55">
        <v>3.2000000000000001E-2</v>
      </c>
      <c r="O31" s="55">
        <v>3.2000000000000001E-2</v>
      </c>
    </row>
    <row r="32" spans="1:15" ht="15" customHeight="1" x14ac:dyDescent="0.45">
      <c r="A32" s="85"/>
      <c r="B32" t="s">
        <v>187</v>
      </c>
      <c r="G32" s="55">
        <v>0.06</v>
      </c>
      <c r="H32" s="55">
        <v>0.06</v>
      </c>
      <c r="I32" s="55">
        <v>0.06</v>
      </c>
      <c r="J32" s="55">
        <v>0.06</v>
      </c>
      <c r="K32" s="55">
        <v>0.06</v>
      </c>
      <c r="L32" s="55">
        <v>0.06</v>
      </c>
      <c r="M32" s="55">
        <v>0.06</v>
      </c>
      <c r="N32" s="55">
        <v>0.06</v>
      </c>
      <c r="O32" s="55">
        <v>0.06</v>
      </c>
    </row>
    <row r="33" spans="1:15" ht="15" customHeight="1" x14ac:dyDescent="0.45">
      <c r="A33" s="85"/>
      <c r="B33" t="s">
        <v>188</v>
      </c>
      <c r="G33" s="55">
        <v>3.7999999999999999E-2</v>
      </c>
      <c r="H33" s="55">
        <v>0.03</v>
      </c>
      <c r="I33" s="55">
        <v>0.03</v>
      </c>
      <c r="J33" s="55">
        <v>2.1999999999999999E-2</v>
      </c>
      <c r="K33" s="55">
        <v>2.1999999999999999E-2</v>
      </c>
      <c r="L33" s="55">
        <v>2.1999999999999999E-2</v>
      </c>
      <c r="M33" s="55">
        <v>2.1999999999999999E-2</v>
      </c>
      <c r="N33" s="55">
        <v>2.1999999999999999E-2</v>
      </c>
      <c r="O33" s="55">
        <v>2.1999999999999999E-2</v>
      </c>
    </row>
    <row r="34" spans="1:15" ht="15" customHeight="1" x14ac:dyDescent="0.45">
      <c r="A34" s="85"/>
    </row>
    <row r="35" spans="1:15" ht="15" customHeight="1" x14ac:dyDescent="0.45">
      <c r="A35" s="85" t="s">
        <v>189</v>
      </c>
    </row>
    <row r="36" spans="1:15" ht="15" customHeight="1" x14ac:dyDescent="0.45">
      <c r="A36" s="85"/>
      <c r="B36" t="s">
        <v>95</v>
      </c>
    </row>
    <row r="37" spans="1:15" ht="15" customHeight="1" x14ac:dyDescent="0.45">
      <c r="A37" s="85"/>
      <c r="B37" t="s">
        <v>190</v>
      </c>
      <c r="G37">
        <f>F40</f>
        <v>2601.1999999999998</v>
      </c>
      <c r="H37">
        <f t="shared" ref="H37:O37" si="6">G40</f>
        <v>2943.1806010037994</v>
      </c>
      <c r="I37">
        <f t="shared" si="6"/>
        <v>3296.8839874670184</v>
      </c>
      <c r="J37">
        <f t="shared" si="6"/>
        <v>3663.2194497811911</v>
      </c>
      <c r="K37">
        <f t="shared" si="6"/>
        <v>3953.9414445689722</v>
      </c>
      <c r="L37">
        <f t="shared" si="6"/>
        <v>4265.0857228021805</v>
      </c>
      <c r="M37">
        <f t="shared" si="6"/>
        <v>4636.3974531532276</v>
      </c>
      <c r="N37">
        <f t="shared" si="6"/>
        <v>4882.4612827716564</v>
      </c>
      <c r="O37">
        <f t="shared" si="6"/>
        <v>5130.2189746100012</v>
      </c>
    </row>
    <row r="38" spans="1:15" ht="15" customHeight="1" x14ac:dyDescent="0.45">
      <c r="A38" s="85"/>
      <c r="B38" t="s">
        <v>191</v>
      </c>
      <c r="C38" s="3">
        <v>374.198736</v>
      </c>
      <c r="D38" s="66">
        <v>546.70401100000004</v>
      </c>
      <c r="E38" s="66">
        <v>661.31618200000003</v>
      </c>
      <c r="F38" s="66">
        <v>799.7</v>
      </c>
      <c r="G38">
        <f t="shared" ref="G38:O38" si="7">G26*G54</f>
        <v>784.18460100380003</v>
      </c>
      <c r="H38">
        <f t="shared" si="7"/>
        <v>854.04408863386527</v>
      </c>
      <c r="I38">
        <f t="shared" si="7"/>
        <v>926.80574018356606</v>
      </c>
      <c r="J38">
        <f t="shared" si="7"/>
        <v>913.46930125058327</v>
      </c>
      <c r="K38">
        <f t="shared" si="7"/>
        <v>983.31432380993328</v>
      </c>
      <c r="L38">
        <f t="shared" si="7"/>
        <v>1053.7254459993953</v>
      </c>
      <c r="M38">
        <f t="shared" si="7"/>
        <v>987.88742212294505</v>
      </c>
      <c r="N38">
        <f t="shared" si="7"/>
        <v>1028.95149708181</v>
      </c>
      <c r="O38">
        <f t="shared" si="7"/>
        <v>978.92574611459622</v>
      </c>
    </row>
    <row r="39" spans="1:15" ht="15" customHeight="1" x14ac:dyDescent="0.45">
      <c r="A39" s="85"/>
      <c r="B39" t="s">
        <v>192</v>
      </c>
      <c r="G39">
        <f t="shared" ref="G39:O39" si="8">-G17*G37</f>
        <v>-442.20400000000001</v>
      </c>
      <c r="H39">
        <f t="shared" si="8"/>
        <v>-500.34070217064595</v>
      </c>
      <c r="I39">
        <f t="shared" si="8"/>
        <v>-560.47027786939316</v>
      </c>
      <c r="J39">
        <f t="shared" si="8"/>
        <v>-622.7473064628025</v>
      </c>
      <c r="K39">
        <f t="shared" si="8"/>
        <v>-672.17004557672533</v>
      </c>
      <c r="L39">
        <f t="shared" si="8"/>
        <v>-682.4137156483489</v>
      </c>
      <c r="M39">
        <f t="shared" si="8"/>
        <v>-741.82359250451645</v>
      </c>
      <c r="N39">
        <f t="shared" si="8"/>
        <v>-781.19380524346502</v>
      </c>
      <c r="O39">
        <f t="shared" si="8"/>
        <v>-820.8350359376002</v>
      </c>
    </row>
    <row r="40" spans="1:15" ht="15" customHeight="1" x14ac:dyDescent="0.45">
      <c r="A40" s="85"/>
      <c r="B40" t="s">
        <v>193</v>
      </c>
      <c r="E40" s="54"/>
      <c r="F40">
        <f>F80</f>
        <v>2601.1999999999998</v>
      </c>
      <c r="G40">
        <f t="shared" ref="G40:O40" si="9">SUM(G37:G39)</f>
        <v>2943.1806010037994</v>
      </c>
      <c r="H40">
        <f t="shared" si="9"/>
        <v>3296.8839874670184</v>
      </c>
      <c r="I40">
        <f t="shared" si="9"/>
        <v>3663.2194497811911</v>
      </c>
      <c r="J40">
        <f t="shared" si="9"/>
        <v>3953.9414445689722</v>
      </c>
      <c r="K40">
        <f t="shared" si="9"/>
        <v>4265.0857228021805</v>
      </c>
      <c r="L40">
        <f t="shared" si="9"/>
        <v>4636.3974531532276</v>
      </c>
      <c r="M40">
        <f t="shared" si="9"/>
        <v>4882.4612827716564</v>
      </c>
      <c r="N40">
        <f t="shared" si="9"/>
        <v>5130.2189746100012</v>
      </c>
      <c r="O40">
        <f t="shared" si="9"/>
        <v>5288.3096847869974</v>
      </c>
    </row>
    <row r="41" spans="1:15" ht="15" customHeight="1" x14ac:dyDescent="0.45">
      <c r="A41" s="85"/>
    </row>
    <row r="42" spans="1:15" ht="15" customHeight="1" x14ac:dyDescent="0.45">
      <c r="A42" s="85"/>
      <c r="B42" t="s">
        <v>194</v>
      </c>
    </row>
    <row r="43" spans="1:15" ht="15" customHeight="1" x14ac:dyDescent="0.45">
      <c r="A43" s="85"/>
      <c r="B43" t="s">
        <v>190</v>
      </c>
      <c r="G43">
        <f>F46</f>
        <v>4112.3999999999996</v>
      </c>
      <c r="H43">
        <f t="shared" ref="H43:O43" si="10">G46</f>
        <v>4665.0546545794477</v>
      </c>
      <c r="I43">
        <f t="shared" si="10"/>
        <v>5275.0235657474768</v>
      </c>
      <c r="J43">
        <f t="shared" si="10"/>
        <v>5971.6583554559875</v>
      </c>
      <c r="K43">
        <f t="shared" si="10"/>
        <v>6748.8982001325212</v>
      </c>
      <c r="L43">
        <f t="shared" si="10"/>
        <v>7585.1234874199854</v>
      </c>
      <c r="M43">
        <f t="shared" si="10"/>
        <v>8488.1840079313024</v>
      </c>
      <c r="N43">
        <f t="shared" si="10"/>
        <v>9438.6537028342373</v>
      </c>
      <c r="O43">
        <f t="shared" si="10"/>
        <v>10426.984509930066</v>
      </c>
    </row>
    <row r="44" spans="1:15" ht="15" customHeight="1" x14ac:dyDescent="0.45">
      <c r="A44" s="85"/>
      <c r="B44" t="s">
        <v>195</v>
      </c>
      <c r="G44">
        <f t="shared" ref="G44:O44" si="11">G71</f>
        <v>2210.6186183177965</v>
      </c>
      <c r="H44">
        <f t="shared" si="11"/>
        <v>2439.8756446721163</v>
      </c>
      <c r="I44">
        <f t="shared" si="11"/>
        <v>2786.5391588340431</v>
      </c>
      <c r="J44">
        <f t="shared" si="11"/>
        <v>3108.9593787061394</v>
      </c>
      <c r="K44">
        <f t="shared" si="11"/>
        <v>3344.9011491498572</v>
      </c>
      <c r="L44">
        <f t="shared" si="11"/>
        <v>3612.2420820452639</v>
      </c>
      <c r="M44">
        <f t="shared" si="11"/>
        <v>3801.8787796117376</v>
      </c>
      <c r="N44">
        <f t="shared" si="11"/>
        <v>3953.323228383314</v>
      </c>
      <c r="O44">
        <f t="shared" si="11"/>
        <v>4041.5633644617169</v>
      </c>
    </row>
    <row r="45" spans="1:15" ht="15" customHeight="1" x14ac:dyDescent="0.45">
      <c r="A45" s="85"/>
      <c r="B45" t="s">
        <v>196</v>
      </c>
      <c r="D45" s="66">
        <v>-1220.139345</v>
      </c>
      <c r="E45" s="66">
        <v>-1510.722702</v>
      </c>
      <c r="F45" s="66">
        <v>-1701</v>
      </c>
      <c r="G45">
        <f t="shared" ref="G45:O45" si="12">-G21*G44</f>
        <v>-1657.9639637383475</v>
      </c>
      <c r="H45">
        <f t="shared" si="12"/>
        <v>-1829.9067335040872</v>
      </c>
      <c r="I45">
        <f t="shared" si="12"/>
        <v>-2089.9043691255324</v>
      </c>
      <c r="J45">
        <f t="shared" si="12"/>
        <v>-2331.7195340296048</v>
      </c>
      <c r="K45">
        <f t="shared" si="12"/>
        <v>-2508.675861862393</v>
      </c>
      <c r="L45">
        <f t="shared" si="12"/>
        <v>-2709.1815615339478</v>
      </c>
      <c r="M45">
        <f t="shared" si="12"/>
        <v>-2851.4090847088032</v>
      </c>
      <c r="N45">
        <f t="shared" si="12"/>
        <v>-2964.9924212874857</v>
      </c>
      <c r="O45">
        <f t="shared" si="12"/>
        <v>-3031.1725233462876</v>
      </c>
    </row>
    <row r="46" spans="1:15" ht="15" customHeight="1" x14ac:dyDescent="0.45">
      <c r="A46" s="85"/>
      <c r="B46" t="s">
        <v>193</v>
      </c>
      <c r="E46" s="54"/>
      <c r="F46">
        <f>F91</f>
        <v>4112.3999999999996</v>
      </c>
      <c r="G46">
        <f t="shared" ref="G46:O46" si="13">SUM(G43:G45)</f>
        <v>4665.0546545794477</v>
      </c>
      <c r="H46">
        <f t="shared" si="13"/>
        <v>5275.0235657474768</v>
      </c>
      <c r="I46">
        <f t="shared" si="13"/>
        <v>5971.6583554559875</v>
      </c>
      <c r="J46">
        <f t="shared" si="13"/>
        <v>6748.8982001325212</v>
      </c>
      <c r="K46">
        <f t="shared" si="13"/>
        <v>7585.1234874199854</v>
      </c>
      <c r="L46">
        <f t="shared" si="13"/>
        <v>8488.1840079313024</v>
      </c>
      <c r="M46">
        <f t="shared" si="13"/>
        <v>9438.6537028342373</v>
      </c>
      <c r="N46">
        <f t="shared" si="13"/>
        <v>10426.984509930066</v>
      </c>
      <c r="O46">
        <f t="shared" si="13"/>
        <v>11437.375351045495</v>
      </c>
    </row>
    <row r="47" spans="1:15" ht="15" customHeight="1" x14ac:dyDescent="0.45">
      <c r="A47" s="85"/>
    </row>
    <row r="48" spans="1:15" ht="15" customHeight="1" x14ac:dyDescent="0.45">
      <c r="A48" s="85" t="s">
        <v>197</v>
      </c>
    </row>
    <row r="49" spans="1:15" ht="15" customHeight="1" x14ac:dyDescent="0.45">
      <c r="A49" s="85"/>
      <c r="B49" t="s">
        <v>198</v>
      </c>
    </row>
    <row r="50" spans="1:15" ht="15" customHeight="1" x14ac:dyDescent="0.45">
      <c r="A50" s="85"/>
      <c r="B50" s="202" t="s">
        <v>199</v>
      </c>
      <c r="C50" s="3">
        <v>2249.6705459999998</v>
      </c>
      <c r="D50" s="66">
        <v>2828.8340240000002</v>
      </c>
      <c r="E50" s="66">
        <v>3519.1137140000001</v>
      </c>
      <c r="F50" s="66">
        <v>3839.3530599999999</v>
      </c>
      <c r="G50">
        <f t="shared" ref="G50:O50" si="14">(1+G8)*F50</f>
        <v>4184.8948354000004</v>
      </c>
      <c r="H50">
        <f t="shared" si="14"/>
        <v>4540.6108964089999</v>
      </c>
      <c r="I50">
        <f t="shared" si="14"/>
        <v>4903.8597681217207</v>
      </c>
      <c r="J50">
        <f t="shared" si="14"/>
        <v>5271.6492507308494</v>
      </c>
      <c r="K50">
        <f t="shared" si="14"/>
        <v>5640.6646982820093</v>
      </c>
      <c r="L50">
        <f t="shared" si="14"/>
        <v>6007.3079036703393</v>
      </c>
      <c r="M50">
        <f t="shared" si="14"/>
        <v>6319.6879146611973</v>
      </c>
      <c r="N50">
        <f t="shared" si="14"/>
        <v>6566.1557433329835</v>
      </c>
      <c r="O50">
        <f t="shared" si="14"/>
        <v>6736.8757926596409</v>
      </c>
    </row>
    <row r="51" spans="1:15" ht="15" customHeight="1" x14ac:dyDescent="0.45">
      <c r="A51" s="85"/>
      <c r="B51" s="202" t="s">
        <v>200</v>
      </c>
      <c r="C51" s="3">
        <v>2981.1378300000001</v>
      </c>
      <c r="D51" s="66">
        <v>3627.0362279999999</v>
      </c>
      <c r="E51" s="66">
        <v>4275.2369369999997</v>
      </c>
      <c r="F51" s="66">
        <v>4557.4025700000002</v>
      </c>
      <c r="G51">
        <f t="shared" ref="G51:O51" si="15">(1+G9)*F51</f>
        <v>4876.4207499000004</v>
      </c>
      <c r="H51">
        <f t="shared" si="15"/>
        <v>5204.1162242932796</v>
      </c>
      <c r="I51">
        <f t="shared" si="15"/>
        <v>5539.2613091377671</v>
      </c>
      <c r="J51">
        <f t="shared" si="15"/>
        <v>5880.4798057806538</v>
      </c>
      <c r="K51">
        <f t="shared" si="15"/>
        <v>6226.2520183605557</v>
      </c>
      <c r="L51">
        <f t="shared" si="15"/>
        <v>6574.9221313887474</v>
      </c>
      <c r="M51">
        <f t="shared" si="15"/>
        <v>6877.3685494326301</v>
      </c>
      <c r="N51">
        <f t="shared" si="15"/>
        <v>7124.9538172122047</v>
      </c>
      <c r="O51">
        <f t="shared" si="15"/>
        <v>7310.2026164597219</v>
      </c>
    </row>
    <row r="52" spans="1:15" ht="15" customHeight="1" x14ac:dyDescent="0.45">
      <c r="A52" s="85"/>
      <c r="B52" s="202" t="s">
        <v>201</v>
      </c>
      <c r="C52" s="3">
        <v>341.569119</v>
      </c>
      <c r="D52" s="66">
        <v>470.07702499999999</v>
      </c>
      <c r="E52" s="66">
        <v>790.61045000000001</v>
      </c>
      <c r="F52" s="66">
        <v>964.54474000000005</v>
      </c>
      <c r="G52">
        <f t="shared" ref="G52:O52" si="16">(1+G10)*F52</f>
        <v>1176.7445828</v>
      </c>
      <c r="H52">
        <f t="shared" si="16"/>
        <v>1415.8590820249601</v>
      </c>
      <c r="I52">
        <f t="shared" si="16"/>
        <v>1679.7752149144126</v>
      </c>
      <c r="J52">
        <f t="shared" si="16"/>
        <v>1964.6650913638969</v>
      </c>
      <c r="K52">
        <f t="shared" si="16"/>
        <v>2264.8659173243004</v>
      </c>
      <c r="L52">
        <f t="shared" si="16"/>
        <v>2572.8876820804057</v>
      </c>
      <c r="M52">
        <f t="shared" si="16"/>
        <v>2828.3754289109897</v>
      </c>
      <c r="N52">
        <f t="shared" si="16"/>
        <v>3005.4317307608176</v>
      </c>
      <c r="O52">
        <f t="shared" si="16"/>
        <v>3083.5729557605987</v>
      </c>
    </row>
    <row r="53" spans="1:15" ht="15" customHeight="1" x14ac:dyDescent="0.45">
      <c r="A53" s="85"/>
      <c r="B53" s="202" t="s">
        <v>202</v>
      </c>
      <c r="C53" s="3">
        <v>734.91953799999999</v>
      </c>
      <c r="D53" s="66">
        <v>889.68272000000002</v>
      </c>
      <c r="E53" s="66">
        <v>1099.251479</v>
      </c>
      <c r="F53" s="66">
        <v>1192.68785</v>
      </c>
      <c r="G53">
        <f t="shared" ref="G53:O53" si="17">(1+G11)*F53</f>
        <v>1294.0663172499999</v>
      </c>
      <c r="H53">
        <f t="shared" si="17"/>
        <v>1398.8856889472497</v>
      </c>
      <c r="I53">
        <f t="shared" si="17"/>
        <v>1506.5998869961879</v>
      </c>
      <c r="J53">
        <f t="shared" si="17"/>
        <v>1616.5816787469096</v>
      </c>
      <c r="K53">
        <f t="shared" si="17"/>
        <v>1728.1258145804463</v>
      </c>
      <c r="L53">
        <f t="shared" si="17"/>
        <v>1840.4539925281751</v>
      </c>
      <c r="M53">
        <f t="shared" si="17"/>
        <v>1936.1576001396404</v>
      </c>
      <c r="N53">
        <f t="shared" si="17"/>
        <v>2011.6677465450862</v>
      </c>
      <c r="O53">
        <f t="shared" si="17"/>
        <v>2063.9711079552585</v>
      </c>
    </row>
    <row r="54" spans="1:15" ht="15" customHeight="1" x14ac:dyDescent="0.45">
      <c r="A54" s="85"/>
      <c r="B54" t="s">
        <v>203</v>
      </c>
      <c r="C54">
        <f t="shared" ref="C54:D54" si="18">SUM(C50:C53)</f>
        <v>6307.2970329999998</v>
      </c>
      <c r="D54">
        <f t="shared" si="18"/>
        <v>7815.629997</v>
      </c>
      <c r="E54">
        <f>SUM(E50:E53)</f>
        <v>9684.2125799999994</v>
      </c>
      <c r="F54">
        <f>SUM(F50:F53)</f>
        <v>10553.988219999999</v>
      </c>
      <c r="G54">
        <f t="shared" ref="G54:O54" si="19">SUM(G50:G53)</f>
        <v>11532.12648535</v>
      </c>
      <c r="H54">
        <f t="shared" si="19"/>
        <v>12559.471891674488</v>
      </c>
      <c r="I54">
        <f t="shared" si="19"/>
        <v>13629.496179170088</v>
      </c>
      <c r="J54">
        <f t="shared" si="19"/>
        <v>14733.37582662231</v>
      </c>
      <c r="K54">
        <f t="shared" si="19"/>
        <v>15859.90844854731</v>
      </c>
      <c r="L54">
        <f t="shared" si="19"/>
        <v>16995.571709667667</v>
      </c>
      <c r="M54">
        <f t="shared" si="19"/>
        <v>17961.589493144456</v>
      </c>
      <c r="N54">
        <f t="shared" si="19"/>
        <v>18708.209037851091</v>
      </c>
      <c r="O54">
        <f t="shared" si="19"/>
        <v>19194.622472835221</v>
      </c>
    </row>
    <row r="55" spans="1:15" ht="15" customHeight="1" x14ac:dyDescent="0.45">
      <c r="A55" s="85"/>
      <c r="B55" t="s">
        <v>204</v>
      </c>
      <c r="C55" s="3">
        <v>-1736.0260111100001</v>
      </c>
      <c r="D55" s="66">
        <f>-552.611255-1665.573346</f>
        <v>-2218.1846009999999</v>
      </c>
      <c r="E55" s="66">
        <f>-879.353942-2379.808727</f>
        <v>-3259.1626690000003</v>
      </c>
      <c r="F55" s="66">
        <f>E55*(1.06)</f>
        <v>-3454.7124291400005</v>
      </c>
      <c r="G55">
        <f t="shared" ref="G55:O55" si="20">G14*G54*-1</f>
        <v>-3574.9592104584999</v>
      </c>
      <c r="H55">
        <f t="shared" si="20"/>
        <v>-3830.6389269607189</v>
      </c>
      <c r="I55">
        <f t="shared" si="20"/>
        <v>-4020.7013728551756</v>
      </c>
      <c r="J55">
        <f t="shared" si="20"/>
        <v>-4199.0121105873577</v>
      </c>
      <c r="K55">
        <f t="shared" si="20"/>
        <v>-4520.0739078359829</v>
      </c>
      <c r="L55">
        <f t="shared" si="20"/>
        <v>-4843.737937255285</v>
      </c>
      <c r="M55">
        <f t="shared" si="20"/>
        <v>-5119.0530055461695</v>
      </c>
      <c r="N55">
        <f t="shared" si="20"/>
        <v>-5331.8395757875605</v>
      </c>
      <c r="O55">
        <f t="shared" si="20"/>
        <v>-5470.4674047580374</v>
      </c>
    </row>
    <row r="56" spans="1:15" ht="15" customHeight="1" x14ac:dyDescent="0.45">
      <c r="A56" s="85"/>
      <c r="B56" t="s">
        <v>205</v>
      </c>
      <c r="C56">
        <f t="shared" ref="C56:E56" si="21">SUM(C54:C55)</f>
        <v>4571.2710218899992</v>
      </c>
      <c r="D56">
        <f t="shared" si="21"/>
        <v>5597.4453960000001</v>
      </c>
      <c r="E56">
        <f t="shared" si="21"/>
        <v>6425.0499109999992</v>
      </c>
      <c r="F56">
        <f t="shared" ref="F56" si="22">SUM(F54:F55)</f>
        <v>7099.2757908599988</v>
      </c>
      <c r="G56">
        <f t="shared" ref="G56:O56" si="23">SUM(G54:G55)</f>
        <v>7957.1672748914998</v>
      </c>
      <c r="H56">
        <f t="shared" si="23"/>
        <v>8728.8329647137689</v>
      </c>
      <c r="I56">
        <f t="shared" si="23"/>
        <v>9608.7948063149124</v>
      </c>
      <c r="J56">
        <f t="shared" si="23"/>
        <v>10534.363716034954</v>
      </c>
      <c r="K56">
        <f t="shared" si="23"/>
        <v>11339.834540711327</v>
      </c>
      <c r="L56">
        <f t="shared" si="23"/>
        <v>12151.833772412381</v>
      </c>
      <c r="M56">
        <f t="shared" si="23"/>
        <v>12842.536487598287</v>
      </c>
      <c r="N56">
        <f t="shared" si="23"/>
        <v>13376.369462063531</v>
      </c>
      <c r="O56">
        <f t="shared" si="23"/>
        <v>13724.155068077183</v>
      </c>
    </row>
    <row r="57" spans="1:15" ht="15" customHeight="1" x14ac:dyDescent="0.45">
      <c r="A57" s="85"/>
    </row>
    <row r="58" spans="1:15" ht="15" customHeight="1" x14ac:dyDescent="0.45">
      <c r="A58" s="85"/>
      <c r="B58" t="s">
        <v>206</v>
      </c>
      <c r="C58" s="3">
        <v>-1009.44643372</v>
      </c>
      <c r="D58" s="66">
        <v>-1182.7645570000004</v>
      </c>
      <c r="E58" s="66">
        <v>-1451.5604949999999</v>
      </c>
      <c r="F58" s="66">
        <f>E58*1.06</f>
        <v>-1538.6541247</v>
      </c>
      <c r="G58">
        <f t="shared" ref="G58:O58" si="24">-G15*G54</f>
        <v>-1787.47960522925</v>
      </c>
      <c r="H58">
        <f t="shared" si="24"/>
        <v>-1946.7181432095456</v>
      </c>
      <c r="I58">
        <f t="shared" si="24"/>
        <v>-2044.4244268755131</v>
      </c>
      <c r="J58">
        <f t="shared" si="24"/>
        <v>-2210.0063739933466</v>
      </c>
      <c r="K58">
        <f t="shared" si="24"/>
        <v>-2378.9862672820964</v>
      </c>
      <c r="L58">
        <f t="shared" si="24"/>
        <v>-2549.3357564501498</v>
      </c>
      <c r="M58">
        <f t="shared" si="24"/>
        <v>-2694.2384239716685</v>
      </c>
      <c r="N58">
        <f t="shared" si="24"/>
        <v>-2806.2313556776635</v>
      </c>
      <c r="O58">
        <f t="shared" si="24"/>
        <v>-2879.193370925283</v>
      </c>
    </row>
    <row r="59" spans="1:15" ht="15" customHeight="1" x14ac:dyDescent="0.45">
      <c r="A59" s="85"/>
      <c r="B59" t="s">
        <v>207</v>
      </c>
      <c r="C59" s="3">
        <v>-1625.381952</v>
      </c>
      <c r="D59" s="66">
        <v>-1862.2112729999999</v>
      </c>
      <c r="E59" s="66">
        <v>-2289.2193240000001</v>
      </c>
      <c r="F59" s="66">
        <f>E59*1.06</f>
        <v>-2426.5724834400003</v>
      </c>
      <c r="G59">
        <f t="shared" ref="G59:O59" si="25">-G16*G54</f>
        <v>-2767.7103564839999</v>
      </c>
      <c r="H59">
        <f t="shared" si="25"/>
        <v>-3014.2732540018769</v>
      </c>
      <c r="I59">
        <f t="shared" si="25"/>
        <v>-3271.0790830008209</v>
      </c>
      <c r="J59">
        <f t="shared" si="25"/>
        <v>-3536.0101983893542</v>
      </c>
      <c r="K59">
        <f t="shared" si="25"/>
        <v>-3806.3780276513544</v>
      </c>
      <c r="L59">
        <f t="shared" si="25"/>
        <v>-4078.93721032024</v>
      </c>
      <c r="M59">
        <f t="shared" si="25"/>
        <v>-4310.7814783546692</v>
      </c>
      <c r="N59">
        <f t="shared" si="25"/>
        <v>-4489.9701690842621</v>
      </c>
      <c r="O59">
        <f t="shared" si="25"/>
        <v>-4606.7093934804525</v>
      </c>
    </row>
    <row r="60" spans="1:15" ht="15" customHeight="1" x14ac:dyDescent="0.45">
      <c r="A60" s="85"/>
      <c r="B60" t="s">
        <v>65</v>
      </c>
      <c r="C60">
        <f t="shared" ref="C60:E60" si="26">SUM(C58:C59,C56)</f>
        <v>1936.4426361699993</v>
      </c>
      <c r="D60">
        <f t="shared" si="26"/>
        <v>2552.4695659999998</v>
      </c>
      <c r="E60">
        <f t="shared" si="26"/>
        <v>2684.2700919999988</v>
      </c>
      <c r="F60">
        <f t="shared" ref="F60:O60" si="27">SUM(F58:F59,F56)</f>
        <v>3134.0491827199985</v>
      </c>
      <c r="G60">
        <f t="shared" si="27"/>
        <v>3401.9773131782504</v>
      </c>
      <c r="H60">
        <f t="shared" si="27"/>
        <v>3767.8415675023462</v>
      </c>
      <c r="I60">
        <f t="shared" si="27"/>
        <v>4293.2912964385787</v>
      </c>
      <c r="J60">
        <f t="shared" si="27"/>
        <v>4788.3471436522523</v>
      </c>
      <c r="K60">
        <f t="shared" si="27"/>
        <v>5154.4702457778758</v>
      </c>
      <c r="L60">
        <f t="shared" si="27"/>
        <v>5523.5608056419915</v>
      </c>
      <c r="M60">
        <f t="shared" si="27"/>
        <v>5837.5165852719492</v>
      </c>
      <c r="N60">
        <f t="shared" si="27"/>
        <v>6080.167937301605</v>
      </c>
      <c r="O60">
        <f t="shared" si="27"/>
        <v>6238.2523036714483</v>
      </c>
    </row>
    <row r="61" spans="1:15" ht="15" customHeight="1" x14ac:dyDescent="0.45">
      <c r="A61" s="85"/>
    </row>
    <row r="62" spans="1:15" ht="15" customHeight="1" x14ac:dyDescent="0.45">
      <c r="A62" s="85"/>
      <c r="B62" t="s">
        <v>192</v>
      </c>
      <c r="C62" s="3">
        <v>-314.22113899999999</v>
      </c>
      <c r="D62" s="66">
        <v>-289.48076400000002</v>
      </c>
      <c r="E62" s="66">
        <v>-392.71516600000001</v>
      </c>
      <c r="F62" s="66">
        <v>-400</v>
      </c>
      <c r="G62">
        <f t="shared" ref="G62:O62" si="28">G39</f>
        <v>-442.20400000000001</v>
      </c>
      <c r="H62">
        <f t="shared" si="28"/>
        <v>-500.34070217064595</v>
      </c>
      <c r="I62">
        <f t="shared" si="28"/>
        <v>-560.47027786939316</v>
      </c>
      <c r="J62">
        <f t="shared" si="28"/>
        <v>-622.7473064628025</v>
      </c>
      <c r="K62">
        <f t="shared" si="28"/>
        <v>-672.17004557672533</v>
      </c>
      <c r="L62">
        <f t="shared" si="28"/>
        <v>-682.4137156483489</v>
      </c>
      <c r="M62">
        <f t="shared" si="28"/>
        <v>-741.82359250451645</v>
      </c>
      <c r="N62">
        <f t="shared" si="28"/>
        <v>-781.19380524346502</v>
      </c>
      <c r="O62">
        <f t="shared" si="28"/>
        <v>-820.8350359376002</v>
      </c>
    </row>
    <row r="63" spans="1:15" ht="15" customHeight="1" x14ac:dyDescent="0.45">
      <c r="A63" s="85"/>
      <c r="B63" t="s">
        <v>63</v>
      </c>
      <c r="C63">
        <f>SUM(C60,C62)</f>
        <v>1622.2214971699993</v>
      </c>
      <c r="D63">
        <f>D60+D62</f>
        <v>2262.9888019999999</v>
      </c>
      <c r="E63">
        <f>E60+E62</f>
        <v>2291.5549259999989</v>
      </c>
      <c r="F63">
        <f>F60+F62</f>
        <v>2734.0491827199985</v>
      </c>
      <c r="G63">
        <f t="shared" ref="G63:O63" si="29">G60+G62</f>
        <v>2959.7733131782502</v>
      </c>
      <c r="H63">
        <f t="shared" si="29"/>
        <v>3267.5008653317</v>
      </c>
      <c r="I63">
        <f t="shared" si="29"/>
        <v>3732.8210185691855</v>
      </c>
      <c r="J63">
        <f t="shared" si="29"/>
        <v>4165.5998371894493</v>
      </c>
      <c r="K63">
        <f t="shared" si="29"/>
        <v>4482.3002002011508</v>
      </c>
      <c r="L63">
        <f t="shared" si="29"/>
        <v>4841.147089993643</v>
      </c>
      <c r="M63">
        <f t="shared" si="29"/>
        <v>5095.6929927674328</v>
      </c>
      <c r="N63">
        <f t="shared" si="29"/>
        <v>5298.9741320581397</v>
      </c>
      <c r="O63">
        <f t="shared" si="29"/>
        <v>5417.4172677338483</v>
      </c>
    </row>
    <row r="64" spans="1:15" ht="15" customHeight="1" x14ac:dyDescent="0.45">
      <c r="A64" s="85"/>
    </row>
    <row r="65" spans="1:15" ht="15" customHeight="1" x14ac:dyDescent="0.45">
      <c r="A65" s="85"/>
      <c r="B65" t="s">
        <v>208</v>
      </c>
      <c r="C65" s="3">
        <v>10.136563839999999</v>
      </c>
      <c r="D65" s="66">
        <v>56.465197000000003</v>
      </c>
      <c r="E65" s="66">
        <v>52.646692999999999</v>
      </c>
      <c r="F65" s="66">
        <v>55</v>
      </c>
      <c r="G65">
        <f t="shared" ref="G65:O65" si="30">IF(Circswitch=1,G120,0)</f>
        <v>0</v>
      </c>
      <c r="H65">
        <f t="shared" si="30"/>
        <v>0</v>
      </c>
      <c r="I65">
        <f t="shared" si="30"/>
        <v>0</v>
      </c>
      <c r="J65">
        <f t="shared" si="30"/>
        <v>0</v>
      </c>
      <c r="K65">
        <f t="shared" si="30"/>
        <v>0</v>
      </c>
      <c r="L65">
        <f t="shared" si="30"/>
        <v>0</v>
      </c>
      <c r="M65">
        <f t="shared" si="30"/>
        <v>0</v>
      </c>
      <c r="N65">
        <f t="shared" si="30"/>
        <v>0</v>
      </c>
      <c r="O65">
        <f t="shared" si="30"/>
        <v>0</v>
      </c>
    </row>
    <row r="66" spans="1:15" ht="15" customHeight="1" x14ac:dyDescent="0.45">
      <c r="A66" s="85"/>
      <c r="B66" t="s">
        <v>209</v>
      </c>
      <c r="C66" s="3">
        <v>-20.26868073</v>
      </c>
      <c r="D66" s="66">
        <v>-24.409697999999999</v>
      </c>
      <c r="E66" s="66">
        <v>-30.7379</v>
      </c>
      <c r="F66" s="66">
        <v>-34.200000000000003</v>
      </c>
      <c r="G66">
        <f t="shared" ref="G66:O66" si="31">-IF(Circswitch=1,G118+G119,0)</f>
        <v>0</v>
      </c>
      <c r="H66">
        <f t="shared" si="31"/>
        <v>0</v>
      </c>
      <c r="I66">
        <f t="shared" si="31"/>
        <v>0</v>
      </c>
      <c r="J66">
        <f t="shared" si="31"/>
        <v>0</v>
      </c>
      <c r="K66">
        <f t="shared" si="31"/>
        <v>0</v>
      </c>
      <c r="L66">
        <f t="shared" si="31"/>
        <v>0</v>
      </c>
      <c r="M66">
        <f t="shared" si="31"/>
        <v>0</v>
      </c>
      <c r="N66">
        <f t="shared" si="31"/>
        <v>0</v>
      </c>
      <c r="O66">
        <f t="shared" si="31"/>
        <v>0</v>
      </c>
    </row>
    <row r="67" spans="1:15" ht="15" customHeight="1" x14ac:dyDescent="0.45">
      <c r="A67" s="85"/>
      <c r="B67" t="s">
        <v>210</v>
      </c>
      <c r="C67" s="3">
        <v>7.6356351500000006</v>
      </c>
      <c r="D67" s="66">
        <v>4.3481420000000002</v>
      </c>
      <c r="E67" s="66">
        <v>7.2397410000000004</v>
      </c>
      <c r="F67" s="66">
        <v>7</v>
      </c>
      <c r="G67">
        <f t="shared" ref="G67:O67" si="32">G18</f>
        <v>7.5</v>
      </c>
      <c r="H67">
        <f t="shared" si="32"/>
        <v>7.5</v>
      </c>
      <c r="I67">
        <f t="shared" si="32"/>
        <v>7.5</v>
      </c>
      <c r="J67">
        <f t="shared" si="32"/>
        <v>7.5</v>
      </c>
      <c r="K67">
        <f t="shared" si="32"/>
        <v>7.5</v>
      </c>
      <c r="L67">
        <f t="shared" si="32"/>
        <v>7.5</v>
      </c>
      <c r="M67">
        <f t="shared" si="32"/>
        <v>7.5</v>
      </c>
      <c r="N67">
        <f t="shared" si="32"/>
        <v>7.5</v>
      </c>
      <c r="O67">
        <f t="shared" si="32"/>
        <v>7.5</v>
      </c>
    </row>
    <row r="68" spans="1:15" ht="15" customHeight="1" x14ac:dyDescent="0.45">
      <c r="A68" s="85"/>
      <c r="B68" t="s">
        <v>211</v>
      </c>
      <c r="C68">
        <f>SUM(C65:C67,C63)</f>
        <v>1619.7250154299993</v>
      </c>
      <c r="D68">
        <f>SUM(D63,D65:D67)</f>
        <v>2299.3924429999997</v>
      </c>
      <c r="E68">
        <f>SUM(E63,E65:E67)</f>
        <v>2320.7034599999988</v>
      </c>
      <c r="F68">
        <f>SUM(F63,F65:F67)</f>
        <v>2761.8491827199987</v>
      </c>
      <c r="G68">
        <f t="shared" ref="G68:O68" si="33">SUM(G63,G65:G67)</f>
        <v>2967.2733131782502</v>
      </c>
      <c r="H68">
        <f t="shared" si="33"/>
        <v>3275.0008653317</v>
      </c>
      <c r="I68">
        <f t="shared" si="33"/>
        <v>3740.3210185691855</v>
      </c>
      <c r="J68">
        <f t="shared" si="33"/>
        <v>4173.0998371894493</v>
      </c>
      <c r="K68">
        <f t="shared" si="33"/>
        <v>4489.8002002011508</v>
      </c>
      <c r="L68">
        <f t="shared" si="33"/>
        <v>4848.647089993643</v>
      </c>
      <c r="M68">
        <f t="shared" si="33"/>
        <v>5103.1929927674328</v>
      </c>
      <c r="N68">
        <f t="shared" si="33"/>
        <v>5306.4741320581397</v>
      </c>
      <c r="O68">
        <f t="shared" si="33"/>
        <v>5424.9172677338483</v>
      </c>
    </row>
    <row r="69" spans="1:15" ht="15" customHeight="1" x14ac:dyDescent="0.45">
      <c r="A69" s="85"/>
    </row>
    <row r="70" spans="1:15" ht="15" customHeight="1" x14ac:dyDescent="0.45">
      <c r="A70" s="85"/>
      <c r="B70" t="s">
        <v>212</v>
      </c>
      <c r="C70" s="3">
        <v>-416.86507541000003</v>
      </c>
      <c r="D70" s="66">
        <v>-587.13228500000002</v>
      </c>
      <c r="E70" s="66">
        <v>-599.56498699999997</v>
      </c>
      <c r="F70" s="66">
        <v>-612.1</v>
      </c>
      <c r="G70">
        <f t="shared" ref="G70:O70" si="34">-G19*G68</f>
        <v>-756.65469486045379</v>
      </c>
      <c r="H70">
        <f t="shared" si="34"/>
        <v>-835.12522065958353</v>
      </c>
      <c r="I70">
        <f t="shared" si="34"/>
        <v>-953.78185973514235</v>
      </c>
      <c r="J70">
        <f t="shared" si="34"/>
        <v>-1064.1404584833097</v>
      </c>
      <c r="K70">
        <f t="shared" si="34"/>
        <v>-1144.8990510512936</v>
      </c>
      <c r="L70">
        <f t="shared" si="34"/>
        <v>-1236.4050079483791</v>
      </c>
      <c r="M70">
        <f t="shared" si="34"/>
        <v>-1301.3142131556954</v>
      </c>
      <c r="N70">
        <f t="shared" si="34"/>
        <v>-1353.1509036748257</v>
      </c>
      <c r="O70">
        <f t="shared" si="34"/>
        <v>-1383.3539032721314</v>
      </c>
    </row>
    <row r="71" spans="1:15" ht="15" customHeight="1" x14ac:dyDescent="0.45">
      <c r="A71" s="85"/>
      <c r="B71" t="s">
        <v>195</v>
      </c>
      <c r="C71">
        <f>SUM(C70,C68)</f>
        <v>1202.8599400199992</v>
      </c>
      <c r="D71">
        <f t="shared" ref="D71:E71" si="35">SUM(D70,D68)</f>
        <v>1712.2601579999996</v>
      </c>
      <c r="E71">
        <f t="shared" si="35"/>
        <v>1721.1384729999988</v>
      </c>
      <c r="F71">
        <f t="shared" ref="F71" si="36">SUM(F70,F68)</f>
        <v>2149.7491827199988</v>
      </c>
      <c r="G71">
        <f t="shared" ref="G71:O71" si="37">SUM(G70,G68)</f>
        <v>2210.6186183177965</v>
      </c>
      <c r="H71">
        <f t="shared" si="37"/>
        <v>2439.8756446721163</v>
      </c>
      <c r="I71">
        <f t="shared" si="37"/>
        <v>2786.5391588340431</v>
      </c>
      <c r="J71">
        <f t="shared" si="37"/>
        <v>3108.9593787061394</v>
      </c>
      <c r="K71">
        <f t="shared" si="37"/>
        <v>3344.9011491498572</v>
      </c>
      <c r="L71">
        <f t="shared" si="37"/>
        <v>3612.2420820452639</v>
      </c>
      <c r="M71">
        <f t="shared" si="37"/>
        <v>3801.8787796117376</v>
      </c>
      <c r="N71">
        <f t="shared" si="37"/>
        <v>3953.323228383314</v>
      </c>
      <c r="O71">
        <f t="shared" si="37"/>
        <v>4041.5633644617169</v>
      </c>
    </row>
    <row r="72" spans="1:15" ht="15" customHeight="1" x14ac:dyDescent="0.45">
      <c r="A72" s="85"/>
    </row>
    <row r="73" spans="1:15" ht="15" customHeight="1" x14ac:dyDescent="0.45">
      <c r="A73" s="85" t="s">
        <v>213</v>
      </c>
    </row>
    <row r="74" spans="1:15" ht="15" customHeight="1" x14ac:dyDescent="0.45">
      <c r="A74" s="85"/>
      <c r="B74" t="s">
        <v>214</v>
      </c>
      <c r="C74" s="3">
        <v>1082.7166952999999</v>
      </c>
      <c r="D74" s="66">
        <v>1104.475913</v>
      </c>
      <c r="E74" s="66">
        <v>277.82339200000001</v>
      </c>
      <c r="F74" s="66">
        <v>598.1</v>
      </c>
      <c r="G74">
        <f>MAX(0,G115)</f>
        <v>775.73175301233562</v>
      </c>
      <c r="H74">
        <f t="shared" ref="H74:O74" si="38">MAX(0,H115)</f>
        <v>972.14538443097661</v>
      </c>
      <c r="I74">
        <f t="shared" si="38"/>
        <v>1278.4582068175314</v>
      </c>
      <c r="J74">
        <f t="shared" si="38"/>
        <v>1661.170224773693</v>
      </c>
      <c r="K74">
        <f t="shared" si="38"/>
        <v>2171.8182171143217</v>
      </c>
      <c r="L74">
        <f t="shared" si="38"/>
        <v>2674.164218733255</v>
      </c>
      <c r="M74">
        <f t="shared" si="38"/>
        <v>3353.5594866099364</v>
      </c>
      <c r="N74">
        <f t="shared" si="38"/>
        <v>4074.8023150250156</v>
      </c>
      <c r="O74">
        <f t="shared" si="38"/>
        <v>4914.5090022357781</v>
      </c>
    </row>
    <row r="75" spans="1:15" ht="15" customHeight="1" x14ac:dyDescent="0.45">
      <c r="A75" s="85"/>
      <c r="B75" t="s">
        <v>78</v>
      </c>
      <c r="C75" s="3">
        <v>676.06915325</v>
      </c>
      <c r="D75" s="66">
        <v>782.41530799999998</v>
      </c>
      <c r="E75" s="66">
        <v>1089.868905</v>
      </c>
      <c r="F75" s="66">
        <v>1156</v>
      </c>
      <c r="G75">
        <f t="shared" ref="G75" si="39">G23*G54/365</f>
        <v>1263.7946833260276</v>
      </c>
      <c r="H75">
        <f t="shared" ref="H75:O75" si="40">H23*H54/365</f>
        <v>1376.380481279396</v>
      </c>
      <c r="I75">
        <f t="shared" si="40"/>
        <v>1456.3023314729685</v>
      </c>
      <c r="J75">
        <f t="shared" si="40"/>
        <v>1574.251115721288</v>
      </c>
      <c r="K75">
        <f t="shared" si="40"/>
        <v>1694.620354776288</v>
      </c>
      <c r="L75">
        <f t="shared" si="40"/>
        <v>1815.9651963754493</v>
      </c>
      <c r="M75">
        <f t="shared" si="40"/>
        <v>1919.1835348839281</v>
      </c>
      <c r="N75">
        <f t="shared" si="40"/>
        <v>1998.9593218525824</v>
      </c>
      <c r="O75">
        <f t="shared" si="40"/>
        <v>2050.9322642207499</v>
      </c>
    </row>
    <row r="76" spans="1:15" ht="15" customHeight="1" x14ac:dyDescent="0.45">
      <c r="A76" s="85"/>
      <c r="B76" t="s">
        <v>79</v>
      </c>
      <c r="C76" s="3">
        <v>441.44296089000005</v>
      </c>
      <c r="D76" s="66">
        <v>476.64619399999998</v>
      </c>
      <c r="E76" s="66">
        <v>934.57057399999997</v>
      </c>
      <c r="F76" s="66">
        <v>851.8</v>
      </c>
      <c r="G76">
        <f t="shared" ref="G76" si="41">-G24*G55/365</f>
        <v>881.49679161990412</v>
      </c>
      <c r="H76">
        <f t="shared" ref="H76:O76" si="42">-H24*H55/365</f>
        <v>944.54110527798548</v>
      </c>
      <c r="I76">
        <f t="shared" si="42"/>
        <v>980.3901977646866</v>
      </c>
      <c r="J76">
        <f t="shared" si="42"/>
        <v>1035.3728491859238</v>
      </c>
      <c r="K76">
        <f t="shared" si="42"/>
        <v>1114.5387717951737</v>
      </c>
      <c r="L76">
        <f t="shared" si="42"/>
        <v>1194.3463406930841</v>
      </c>
      <c r="M76">
        <f t="shared" si="42"/>
        <v>1262.2322479428913</v>
      </c>
      <c r="N76">
        <f t="shared" si="42"/>
        <v>1314.7001693722752</v>
      </c>
      <c r="O76">
        <f t="shared" si="42"/>
        <v>1348.8823737759544</v>
      </c>
    </row>
    <row r="77" spans="1:15" ht="15" customHeight="1" x14ac:dyDescent="0.45">
      <c r="A77" s="85"/>
      <c r="B77" t="s">
        <v>82</v>
      </c>
      <c r="C77" s="3">
        <v>355.13429506</v>
      </c>
      <c r="D77" s="66">
        <v>404.97698400000002</v>
      </c>
      <c r="E77" s="66">
        <v>585.63485700000001</v>
      </c>
      <c r="F77" s="66">
        <v>548.79999999999995</v>
      </c>
      <c r="G77">
        <f t="shared" ref="G77" si="43">G25*G54</f>
        <v>611.20270372354992</v>
      </c>
      <c r="H77">
        <f t="shared" ref="H77:O77" si="44">H25*H54</f>
        <v>665.65201025874785</v>
      </c>
      <c r="I77">
        <f t="shared" si="44"/>
        <v>708.73380131684451</v>
      </c>
      <c r="J77">
        <f t="shared" si="44"/>
        <v>766.13554298436009</v>
      </c>
      <c r="K77">
        <f t="shared" si="44"/>
        <v>808.85533087591273</v>
      </c>
      <c r="L77">
        <f t="shared" si="44"/>
        <v>866.774157193051</v>
      </c>
      <c r="M77">
        <f t="shared" si="44"/>
        <v>916.04106415036722</v>
      </c>
      <c r="N77">
        <f t="shared" si="44"/>
        <v>954.11866093040555</v>
      </c>
      <c r="O77">
        <f t="shared" si="44"/>
        <v>978.92574611459622</v>
      </c>
    </row>
    <row r="78" spans="1:15" ht="15" customHeight="1" x14ac:dyDescent="0.45">
      <c r="A78" s="85"/>
      <c r="B78" t="s">
        <v>215</v>
      </c>
      <c r="C78">
        <f>SUM(C74:C77)</f>
        <v>2555.3631045000002</v>
      </c>
      <c r="D78">
        <f>SUM(D74:D77)</f>
        <v>2768.5143989999997</v>
      </c>
      <c r="E78">
        <f>SUM(E74:E77)</f>
        <v>2887.8977279999999</v>
      </c>
      <c r="F78">
        <f>SUM(F74:F77)</f>
        <v>3154.7</v>
      </c>
      <c r="G78">
        <f t="shared" ref="G78" si="45">SUM(G74:G77)</f>
        <v>3532.2259316818167</v>
      </c>
      <c r="H78">
        <f t="shared" ref="H78:O78" si="46">SUM(H74:H77)</f>
        <v>3958.7189812471061</v>
      </c>
      <c r="I78">
        <f t="shared" si="46"/>
        <v>4423.8845373720305</v>
      </c>
      <c r="J78">
        <f t="shared" si="46"/>
        <v>5036.9297326652641</v>
      </c>
      <c r="K78">
        <f t="shared" si="46"/>
        <v>5789.832674561696</v>
      </c>
      <c r="L78">
        <f t="shared" si="46"/>
        <v>6551.2499129948392</v>
      </c>
      <c r="M78">
        <f t="shared" si="46"/>
        <v>7451.0163335871239</v>
      </c>
      <c r="N78">
        <f t="shared" si="46"/>
        <v>8342.580467180278</v>
      </c>
      <c r="O78">
        <f t="shared" si="46"/>
        <v>9293.2493863470772</v>
      </c>
    </row>
    <row r="79" spans="1:15" ht="15" customHeight="1" x14ac:dyDescent="0.45">
      <c r="A79" s="85"/>
    </row>
    <row r="80" spans="1:15" ht="15" customHeight="1" x14ac:dyDescent="0.45">
      <c r="A80" s="85"/>
      <c r="B80" t="s">
        <v>95</v>
      </c>
      <c r="C80" s="3">
        <v>1614.0805172999999</v>
      </c>
      <c r="D80" s="66">
        <f>501.556062+1423.754</f>
        <v>1925.310062</v>
      </c>
      <c r="E80" s="66">
        <f>565.62743+1731.656911</f>
        <v>2297.284341</v>
      </c>
      <c r="F80" s="66">
        <v>2601.1999999999998</v>
      </c>
      <c r="G80">
        <f t="shared" ref="G80" si="47">G40</f>
        <v>2943.1806010037994</v>
      </c>
      <c r="H80">
        <f t="shared" ref="H80:O80" si="48">H40</f>
        <v>3296.8839874670184</v>
      </c>
      <c r="I80">
        <f t="shared" si="48"/>
        <v>3663.2194497811911</v>
      </c>
      <c r="J80">
        <f t="shared" si="48"/>
        <v>3953.9414445689722</v>
      </c>
      <c r="K80">
        <f t="shared" si="48"/>
        <v>4265.0857228021805</v>
      </c>
      <c r="L80">
        <f t="shared" si="48"/>
        <v>4636.3974531532276</v>
      </c>
      <c r="M80">
        <f t="shared" si="48"/>
        <v>4882.4612827716564</v>
      </c>
      <c r="N80">
        <f t="shared" si="48"/>
        <v>5130.2189746100012</v>
      </c>
      <c r="O80">
        <f t="shared" si="48"/>
        <v>5288.3096847869974</v>
      </c>
    </row>
    <row r="81" spans="1:15" ht="15" customHeight="1" x14ac:dyDescent="0.45">
      <c r="A81" s="85"/>
      <c r="B81" t="s">
        <v>216</v>
      </c>
      <c r="C81" s="3">
        <v>523.84919279999997</v>
      </c>
      <c r="D81" s="66">
        <f>420.025524+157.010166+174.441697</f>
        <v>751.47738700000002</v>
      </c>
      <c r="E81" s="66">
        <f>764.563889+214.306234+183.733265</f>
        <v>1162.603388</v>
      </c>
      <c r="F81" s="66">
        <v>1205.8</v>
      </c>
      <c r="G81">
        <f t="shared" ref="G81" si="49">G27</f>
        <v>1200</v>
      </c>
      <c r="H81">
        <f t="shared" ref="H81:O81" si="50">H27</f>
        <v>1200</v>
      </c>
      <c r="I81">
        <f t="shared" si="50"/>
        <v>1200</v>
      </c>
      <c r="J81">
        <f t="shared" si="50"/>
        <v>1200</v>
      </c>
      <c r="K81">
        <f t="shared" si="50"/>
        <v>1200</v>
      </c>
      <c r="L81">
        <f t="shared" si="50"/>
        <v>1200</v>
      </c>
      <c r="M81">
        <f t="shared" si="50"/>
        <v>1200</v>
      </c>
      <c r="N81">
        <f t="shared" si="50"/>
        <v>1200</v>
      </c>
      <c r="O81">
        <f t="shared" si="50"/>
        <v>1200</v>
      </c>
    </row>
    <row r="82" spans="1:15" ht="15" customHeight="1" x14ac:dyDescent="0.45">
      <c r="A82" s="85"/>
      <c r="B82" t="s">
        <v>217</v>
      </c>
      <c r="C82">
        <f>SUM(C78,C80:C81)</f>
        <v>4693.2928146000004</v>
      </c>
      <c r="D82">
        <f t="shared" ref="D82:E82" si="51">SUM(D78,D80:D81)</f>
        <v>5445.3018480000001</v>
      </c>
      <c r="E82">
        <f t="shared" si="51"/>
        <v>6347.785457</v>
      </c>
      <c r="F82">
        <f t="shared" ref="F82:G82" si="52">SUM(F78,F80:F81)</f>
        <v>6961.7</v>
      </c>
      <c r="G82">
        <f t="shared" si="52"/>
        <v>7675.4065326856162</v>
      </c>
      <c r="H82">
        <f t="shared" ref="H82:O82" si="53">SUM(H78,H80:H81)</f>
        <v>8455.6029687141236</v>
      </c>
      <c r="I82">
        <f t="shared" si="53"/>
        <v>9287.1039871532212</v>
      </c>
      <c r="J82">
        <f t="shared" si="53"/>
        <v>10190.871177234236</v>
      </c>
      <c r="K82">
        <f t="shared" si="53"/>
        <v>11254.918397363876</v>
      </c>
      <c r="L82">
        <f t="shared" si="53"/>
        <v>12387.647366148067</v>
      </c>
      <c r="M82">
        <f t="shared" si="53"/>
        <v>13533.477616358781</v>
      </c>
      <c r="N82">
        <f t="shared" si="53"/>
        <v>14672.799441790279</v>
      </c>
      <c r="O82">
        <f t="shared" si="53"/>
        <v>15781.559071134074</v>
      </c>
    </row>
    <row r="83" spans="1:15" ht="15" customHeight="1" x14ac:dyDescent="0.45">
      <c r="A83" s="85"/>
    </row>
    <row r="84" spans="1:15" ht="15" customHeight="1" x14ac:dyDescent="0.45">
      <c r="A84" s="85"/>
      <c r="B84" t="s">
        <v>218</v>
      </c>
      <c r="C84" s="3">
        <v>0</v>
      </c>
      <c r="D84" s="66">
        <v>0</v>
      </c>
      <c r="E84" s="66">
        <v>0</v>
      </c>
      <c r="F84" s="66">
        <v>0</v>
      </c>
      <c r="G84">
        <f>-MIN(0,G115)</f>
        <v>0</v>
      </c>
      <c r="H84">
        <f t="shared" ref="H84:O84" si="54">-MIN(0,H115)</f>
        <v>0</v>
      </c>
      <c r="I84">
        <f t="shared" si="54"/>
        <v>0</v>
      </c>
      <c r="J84">
        <f t="shared" si="54"/>
        <v>0</v>
      </c>
      <c r="K84">
        <f t="shared" si="54"/>
        <v>0</v>
      </c>
      <c r="L84">
        <f t="shared" si="54"/>
        <v>0</v>
      </c>
      <c r="M84">
        <f t="shared" si="54"/>
        <v>0</v>
      </c>
      <c r="N84">
        <f t="shared" si="54"/>
        <v>0</v>
      </c>
      <c r="O84">
        <f t="shared" si="54"/>
        <v>0</v>
      </c>
    </row>
    <row r="85" spans="1:15" ht="15" customHeight="1" x14ac:dyDescent="0.45">
      <c r="A85" s="85"/>
      <c r="B85" t="s">
        <v>85</v>
      </c>
      <c r="C85" s="3">
        <v>1199.67299998</v>
      </c>
      <c r="D85" s="66">
        <v>1588.984412</v>
      </c>
      <c r="E85" s="66">
        <v>2193.9738240000001</v>
      </c>
      <c r="F85" s="66">
        <v>2375.6999999999998</v>
      </c>
      <c r="G85">
        <f t="shared" ref="G85" si="55">-G28*G55/365</f>
        <v>2536.7518781061681</v>
      </c>
      <c r="H85">
        <f t="shared" ref="H85:O85" si="56">-H28*H55/365</f>
        <v>2718.1794029666471</v>
      </c>
      <c r="I85">
        <f t="shared" si="56"/>
        <v>2853.0456316972341</v>
      </c>
      <c r="J85">
        <f t="shared" si="56"/>
        <v>2979.5729771017141</v>
      </c>
      <c r="K85">
        <f t="shared" si="56"/>
        <v>3207.3949099438892</v>
      </c>
      <c r="L85">
        <f t="shared" si="56"/>
        <v>3437.0633582167638</v>
      </c>
      <c r="M85">
        <f t="shared" si="56"/>
        <v>3632.4239135245421</v>
      </c>
      <c r="N85">
        <f t="shared" si="56"/>
        <v>3783.414931860214</v>
      </c>
      <c r="O85">
        <f t="shared" si="56"/>
        <v>3881.7837200885797</v>
      </c>
    </row>
    <row r="86" spans="1:15" ht="15" customHeight="1" x14ac:dyDescent="0.45">
      <c r="A86" s="85"/>
      <c r="B86" t="s">
        <v>219</v>
      </c>
      <c r="C86">
        <f>SUM(C84:C85)</f>
        <v>1199.67299998</v>
      </c>
      <c r="D86">
        <f>SUM(D84:D85)</f>
        <v>1588.984412</v>
      </c>
      <c r="E86">
        <f>SUM(E84:E85)</f>
        <v>2193.9738240000001</v>
      </c>
      <c r="F86">
        <f>SUM(F84:F85)</f>
        <v>2375.6999999999998</v>
      </c>
      <c r="G86">
        <f t="shared" ref="G86:O86" si="57">SUM(G84:G85)</f>
        <v>2536.7518781061681</v>
      </c>
      <c r="H86">
        <f t="shared" si="57"/>
        <v>2718.1794029666471</v>
      </c>
      <c r="I86">
        <f t="shared" si="57"/>
        <v>2853.0456316972341</v>
      </c>
      <c r="J86">
        <f t="shared" si="57"/>
        <v>2979.5729771017141</v>
      </c>
      <c r="K86">
        <f t="shared" si="57"/>
        <v>3207.3949099438892</v>
      </c>
      <c r="L86">
        <f t="shared" si="57"/>
        <v>3437.0633582167638</v>
      </c>
      <c r="M86">
        <f t="shared" si="57"/>
        <v>3632.4239135245421</v>
      </c>
      <c r="N86">
        <f t="shared" si="57"/>
        <v>3783.414931860214</v>
      </c>
      <c r="O86">
        <f t="shared" si="57"/>
        <v>3881.7837200885797</v>
      </c>
    </row>
    <row r="87" spans="1:15" ht="15" customHeight="1" x14ac:dyDescent="0.45">
      <c r="A87" s="85"/>
    </row>
    <row r="88" spans="1:15" ht="15" customHeight="1" x14ac:dyDescent="0.45">
      <c r="A88" s="85"/>
      <c r="B88" t="s">
        <v>100</v>
      </c>
      <c r="C88" s="3">
        <v>447.99959537000001</v>
      </c>
      <c r="D88" s="66">
        <v>453.95973099999998</v>
      </c>
      <c r="E88" s="66">
        <v>494.81639799999999</v>
      </c>
      <c r="F88" s="66">
        <v>473.6</v>
      </c>
      <c r="G88">
        <f>G30+F88</f>
        <v>473.6</v>
      </c>
      <c r="H88">
        <f t="shared" ref="H88:O88" si="58">H30+G88</f>
        <v>462.40000000000003</v>
      </c>
      <c r="I88">
        <f t="shared" si="58"/>
        <v>462.40000000000003</v>
      </c>
      <c r="J88">
        <f t="shared" si="58"/>
        <v>462.40000000000003</v>
      </c>
      <c r="K88">
        <f t="shared" si="58"/>
        <v>462.40000000000003</v>
      </c>
      <c r="L88">
        <f t="shared" si="58"/>
        <v>462.40000000000003</v>
      </c>
      <c r="M88">
        <f t="shared" si="58"/>
        <v>462.40000000000003</v>
      </c>
      <c r="N88">
        <f t="shared" si="58"/>
        <v>462.40000000000003</v>
      </c>
      <c r="O88">
        <f t="shared" si="58"/>
        <v>462.40000000000003</v>
      </c>
    </row>
    <row r="89" spans="1:15" ht="15" customHeight="1" x14ac:dyDescent="0.45">
      <c r="A89" s="85"/>
      <c r="B89" t="s">
        <v>220</v>
      </c>
      <c r="C89">
        <f>SUM(C88:C88,C86)</f>
        <v>1647.6725953499999</v>
      </c>
      <c r="D89">
        <f t="shared" ref="D89:E89" si="59">SUM(D86,D88:D88)</f>
        <v>2042.9441429999999</v>
      </c>
      <c r="E89">
        <f t="shared" si="59"/>
        <v>2688.7902220000001</v>
      </c>
      <c r="F89">
        <f t="shared" ref="F89:O89" si="60">SUM(F86,F88:F88)</f>
        <v>2849.2999999999997</v>
      </c>
      <c r="G89">
        <f t="shared" si="60"/>
        <v>3010.351878106168</v>
      </c>
      <c r="H89">
        <f t="shared" si="60"/>
        <v>3180.5794029666472</v>
      </c>
      <c r="I89">
        <f t="shared" si="60"/>
        <v>3315.4456316972341</v>
      </c>
      <c r="J89">
        <f t="shared" si="60"/>
        <v>3441.9729771017142</v>
      </c>
      <c r="K89">
        <f t="shared" si="60"/>
        <v>3669.7949099438893</v>
      </c>
      <c r="L89">
        <f t="shared" si="60"/>
        <v>3899.4633582167639</v>
      </c>
      <c r="M89">
        <f t="shared" si="60"/>
        <v>4094.8239135245421</v>
      </c>
      <c r="N89">
        <f t="shared" si="60"/>
        <v>4245.8149318602136</v>
      </c>
      <c r="O89">
        <f t="shared" si="60"/>
        <v>4344.1837200885793</v>
      </c>
    </row>
    <row r="90" spans="1:15" ht="15" customHeight="1" x14ac:dyDescent="0.45">
      <c r="A90" s="85"/>
    </row>
    <row r="91" spans="1:15" ht="15" customHeight="1" x14ac:dyDescent="0.45">
      <c r="A91" s="85"/>
      <c r="B91" t="s">
        <v>194</v>
      </c>
      <c r="C91" s="3">
        <v>3045.6202192500004</v>
      </c>
      <c r="D91" s="66">
        <v>3402.3577049999999</v>
      </c>
      <c r="E91" s="66">
        <v>3658.9952349999999</v>
      </c>
      <c r="F91" s="66">
        <v>4112.3999999999996</v>
      </c>
      <c r="G91">
        <f t="shared" ref="G91:O91" si="61">G46</f>
        <v>4665.0546545794477</v>
      </c>
      <c r="H91">
        <f t="shared" si="61"/>
        <v>5275.0235657474768</v>
      </c>
      <c r="I91">
        <f t="shared" si="61"/>
        <v>5971.6583554559875</v>
      </c>
      <c r="J91">
        <f t="shared" si="61"/>
        <v>6748.8982001325212</v>
      </c>
      <c r="K91">
        <f t="shared" si="61"/>
        <v>7585.1234874199854</v>
      </c>
      <c r="L91">
        <f t="shared" si="61"/>
        <v>8488.1840079313024</v>
      </c>
      <c r="M91">
        <f t="shared" si="61"/>
        <v>9438.6537028342373</v>
      </c>
      <c r="N91">
        <f t="shared" si="61"/>
        <v>10426.984509930066</v>
      </c>
      <c r="O91">
        <f t="shared" si="61"/>
        <v>11437.375351045495</v>
      </c>
    </row>
    <row r="92" spans="1:15" ht="15" customHeight="1" x14ac:dyDescent="0.45">
      <c r="A92" s="85"/>
      <c r="B92" t="s">
        <v>221</v>
      </c>
      <c r="C92">
        <f>SUM(C91,C89)</f>
        <v>4693.2928146000004</v>
      </c>
      <c r="D92">
        <f t="shared" ref="D92:E92" si="62">SUM(D91,D89)</f>
        <v>5445.3018480000001</v>
      </c>
      <c r="E92">
        <f t="shared" si="62"/>
        <v>6347.785457</v>
      </c>
      <c r="F92">
        <f t="shared" ref="F92" si="63">SUM(F91,F89)</f>
        <v>6961.6999999999989</v>
      </c>
      <c r="G92">
        <f t="shared" ref="G92:O92" si="64">SUM(G91,G89)</f>
        <v>7675.4065326856162</v>
      </c>
      <c r="H92">
        <f t="shared" si="64"/>
        <v>8455.6029687141236</v>
      </c>
      <c r="I92">
        <f t="shared" si="64"/>
        <v>9287.1039871532212</v>
      </c>
      <c r="J92">
        <f t="shared" si="64"/>
        <v>10190.871177234236</v>
      </c>
      <c r="K92">
        <f t="shared" si="64"/>
        <v>11254.918397363876</v>
      </c>
      <c r="L92">
        <f t="shared" si="64"/>
        <v>12387.647366148067</v>
      </c>
      <c r="M92">
        <f t="shared" si="64"/>
        <v>13533.477616358779</v>
      </c>
      <c r="N92">
        <f t="shared" si="64"/>
        <v>14672.799441790279</v>
      </c>
      <c r="O92">
        <f t="shared" si="64"/>
        <v>15781.559071134074</v>
      </c>
    </row>
    <row r="93" spans="1:15" ht="15" customHeight="1" x14ac:dyDescent="0.45">
      <c r="A93" s="85"/>
    </row>
    <row r="94" spans="1:15" ht="15" customHeight="1" x14ac:dyDescent="0.45">
      <c r="A94" s="85"/>
      <c r="B94" t="s">
        <v>222</v>
      </c>
      <c r="C94" s="98" t="str">
        <f t="shared" ref="C94:O94" si="65">IF(ROUND(C92,6)=ROUND(C82,6),"OK",C82-C92)</f>
        <v>OK</v>
      </c>
      <c r="D94" s="98" t="str">
        <f t="shared" si="65"/>
        <v>OK</v>
      </c>
      <c r="E94" s="98" t="str">
        <f t="shared" si="65"/>
        <v>OK</v>
      </c>
      <c r="F94" s="98" t="str">
        <f t="shared" si="65"/>
        <v>OK</v>
      </c>
      <c r="G94" s="98" t="str">
        <f t="shared" si="65"/>
        <v>OK</v>
      </c>
      <c r="H94" s="98" t="str">
        <f t="shared" si="65"/>
        <v>OK</v>
      </c>
      <c r="I94" s="98" t="str">
        <f t="shared" si="65"/>
        <v>OK</v>
      </c>
      <c r="J94" s="98" t="str">
        <f t="shared" si="65"/>
        <v>OK</v>
      </c>
      <c r="K94" s="98" t="str">
        <f t="shared" si="65"/>
        <v>OK</v>
      </c>
      <c r="L94" s="98" t="str">
        <f t="shared" si="65"/>
        <v>OK</v>
      </c>
      <c r="M94" s="98" t="str">
        <f t="shared" si="65"/>
        <v>OK</v>
      </c>
      <c r="N94" s="98" t="str">
        <f t="shared" si="65"/>
        <v>OK</v>
      </c>
      <c r="O94" s="98" t="str">
        <f t="shared" si="65"/>
        <v>OK</v>
      </c>
    </row>
    <row r="95" spans="1:15" ht="15" customHeight="1" x14ac:dyDescent="0.45">
      <c r="A95" s="85"/>
    </row>
    <row r="96" spans="1:15" ht="15" customHeight="1" x14ac:dyDescent="0.45">
      <c r="A96" s="85" t="s">
        <v>223</v>
      </c>
    </row>
    <row r="97" spans="1:15" ht="15" customHeight="1" x14ac:dyDescent="0.45">
      <c r="A97" s="85"/>
      <c r="B97" t="s">
        <v>195</v>
      </c>
      <c r="G97">
        <f t="shared" ref="G97:O97" si="66">G71</f>
        <v>2210.6186183177965</v>
      </c>
      <c r="H97">
        <f t="shared" si="66"/>
        <v>2439.8756446721163</v>
      </c>
      <c r="I97">
        <f t="shared" si="66"/>
        <v>2786.5391588340431</v>
      </c>
      <c r="J97">
        <f t="shared" si="66"/>
        <v>3108.9593787061394</v>
      </c>
      <c r="K97">
        <f t="shared" si="66"/>
        <v>3344.9011491498572</v>
      </c>
      <c r="L97">
        <f t="shared" si="66"/>
        <v>3612.2420820452639</v>
      </c>
      <c r="M97">
        <f t="shared" si="66"/>
        <v>3801.8787796117376</v>
      </c>
      <c r="N97">
        <f t="shared" si="66"/>
        <v>3953.323228383314</v>
      </c>
      <c r="O97">
        <f t="shared" si="66"/>
        <v>4041.5633644617169</v>
      </c>
    </row>
    <row r="98" spans="1:15" ht="15" customHeight="1" x14ac:dyDescent="0.45">
      <c r="A98" s="85"/>
      <c r="B98" t="str">
        <f>B62</f>
        <v>Depreciation</v>
      </c>
      <c r="G98">
        <f t="shared" ref="G98:O98" si="67">-G39</f>
        <v>442.20400000000001</v>
      </c>
      <c r="H98">
        <f t="shared" si="67"/>
        <v>500.34070217064595</v>
      </c>
      <c r="I98">
        <f t="shared" si="67"/>
        <v>560.47027786939316</v>
      </c>
      <c r="J98">
        <f t="shared" si="67"/>
        <v>622.7473064628025</v>
      </c>
      <c r="K98">
        <f t="shared" si="67"/>
        <v>672.17004557672533</v>
      </c>
      <c r="L98">
        <f t="shared" si="67"/>
        <v>682.4137156483489</v>
      </c>
      <c r="M98">
        <f t="shared" si="67"/>
        <v>741.82359250451645</v>
      </c>
      <c r="N98">
        <f t="shared" si="67"/>
        <v>781.19380524346502</v>
      </c>
      <c r="O98">
        <f t="shared" si="67"/>
        <v>820.8350359376002</v>
      </c>
    </row>
    <row r="99" spans="1:15" ht="15" customHeight="1" x14ac:dyDescent="0.45">
      <c r="A99" s="85"/>
      <c r="B99" t="s">
        <v>224</v>
      </c>
      <c r="G99">
        <f t="shared" ref="G99:O99" si="68">+F75-G75</f>
        <v>-107.79468332602755</v>
      </c>
      <c r="H99">
        <f t="shared" si="68"/>
        <v>-112.58579795336846</v>
      </c>
      <c r="I99">
        <f t="shared" si="68"/>
        <v>-79.921850193572482</v>
      </c>
      <c r="J99">
        <f t="shared" si="68"/>
        <v>-117.9487842483195</v>
      </c>
      <c r="K99">
        <f t="shared" si="68"/>
        <v>-120.36923905499998</v>
      </c>
      <c r="L99">
        <f t="shared" si="68"/>
        <v>-121.34484159916133</v>
      </c>
      <c r="M99">
        <f t="shared" si="68"/>
        <v>-103.21833850847884</v>
      </c>
      <c r="N99">
        <f t="shared" si="68"/>
        <v>-79.775786968654302</v>
      </c>
      <c r="O99">
        <f t="shared" si="68"/>
        <v>-51.972942368167423</v>
      </c>
    </row>
    <row r="100" spans="1:15" ht="15" customHeight="1" x14ac:dyDescent="0.45">
      <c r="A100" s="85"/>
      <c r="B100" t="s">
        <v>225</v>
      </c>
      <c r="G100">
        <f t="shared" ref="G100:O100" si="69">+F76-G76</f>
        <v>-29.696791619904161</v>
      </c>
      <c r="H100">
        <f t="shared" si="69"/>
        <v>-63.044313658081364</v>
      </c>
      <c r="I100">
        <f t="shared" si="69"/>
        <v>-35.849092486701124</v>
      </c>
      <c r="J100">
        <f t="shared" si="69"/>
        <v>-54.982651421237165</v>
      </c>
      <c r="K100">
        <f t="shared" si="69"/>
        <v>-79.165922609249947</v>
      </c>
      <c r="L100">
        <f t="shared" si="69"/>
        <v>-79.807568897910414</v>
      </c>
      <c r="M100">
        <f t="shared" si="69"/>
        <v>-67.885907249807133</v>
      </c>
      <c r="N100">
        <f t="shared" si="69"/>
        <v>-52.467921429383978</v>
      </c>
      <c r="O100">
        <f t="shared" si="69"/>
        <v>-34.182204403679179</v>
      </c>
    </row>
    <row r="101" spans="1:15" ht="15" customHeight="1" x14ac:dyDescent="0.45">
      <c r="A101" s="85"/>
      <c r="B101" t="s">
        <v>226</v>
      </c>
      <c r="G101">
        <f t="shared" ref="G101:O101" si="70">+F77-G77</f>
        <v>-62.402703723549962</v>
      </c>
      <c r="H101">
        <f t="shared" si="70"/>
        <v>-54.449306535197934</v>
      </c>
      <c r="I101">
        <f t="shared" si="70"/>
        <v>-43.081791058096655</v>
      </c>
      <c r="J101">
        <f t="shared" si="70"/>
        <v>-57.40174166751558</v>
      </c>
      <c r="K101">
        <f t="shared" si="70"/>
        <v>-42.719787891552642</v>
      </c>
      <c r="L101">
        <f t="shared" si="70"/>
        <v>-57.918826317138269</v>
      </c>
      <c r="M101">
        <f t="shared" si="70"/>
        <v>-49.266906957316223</v>
      </c>
      <c r="N101">
        <f t="shared" si="70"/>
        <v>-38.077596780038334</v>
      </c>
      <c r="O101">
        <f t="shared" si="70"/>
        <v>-24.807085184190669</v>
      </c>
    </row>
    <row r="102" spans="1:15" ht="15" customHeight="1" x14ac:dyDescent="0.45">
      <c r="A102" s="85"/>
      <c r="B102" t="s">
        <v>227</v>
      </c>
      <c r="G102">
        <f t="shared" ref="G102:O102" si="71">G85-F85</f>
        <v>161.05187810616826</v>
      </c>
      <c r="H102">
        <f t="shared" si="71"/>
        <v>181.42752486047902</v>
      </c>
      <c r="I102">
        <f t="shared" si="71"/>
        <v>134.86622873058695</v>
      </c>
      <c r="J102">
        <f t="shared" si="71"/>
        <v>126.52734540448</v>
      </c>
      <c r="K102">
        <f t="shared" si="71"/>
        <v>227.8219328421751</v>
      </c>
      <c r="L102">
        <f t="shared" si="71"/>
        <v>229.66844827287468</v>
      </c>
      <c r="M102">
        <f t="shared" si="71"/>
        <v>195.36055530777821</v>
      </c>
      <c r="N102">
        <f t="shared" si="71"/>
        <v>150.99101833567192</v>
      </c>
      <c r="O102">
        <f t="shared" si="71"/>
        <v>98.368788228365702</v>
      </c>
    </row>
    <row r="103" spans="1:15" ht="15" customHeight="1" x14ac:dyDescent="0.45">
      <c r="A103" s="85"/>
      <c r="B103" t="s">
        <v>228</v>
      </c>
      <c r="G103">
        <f t="shared" ref="G103:O103" si="72">SUM(G97:G102)</f>
        <v>2613.9803177544832</v>
      </c>
      <c r="H103">
        <f t="shared" si="72"/>
        <v>2891.5644535565934</v>
      </c>
      <c r="I103">
        <f t="shared" si="72"/>
        <v>3323.0229316956529</v>
      </c>
      <c r="J103">
        <f t="shared" si="72"/>
        <v>3627.9008532363496</v>
      </c>
      <c r="K103">
        <f t="shared" si="72"/>
        <v>4002.638178012955</v>
      </c>
      <c r="L103">
        <f t="shared" si="72"/>
        <v>4265.2530091522767</v>
      </c>
      <c r="M103">
        <f t="shared" si="72"/>
        <v>4518.6917747084299</v>
      </c>
      <c r="N103">
        <f t="shared" si="72"/>
        <v>4715.1867467843749</v>
      </c>
      <c r="O103">
        <f t="shared" si="72"/>
        <v>4849.8049566716463</v>
      </c>
    </row>
    <row r="104" spans="1:15" ht="15" customHeight="1" x14ac:dyDescent="0.45">
      <c r="A104" s="85"/>
    </row>
    <row r="105" spans="1:15" ht="15" customHeight="1" x14ac:dyDescent="0.45">
      <c r="A105" s="85"/>
      <c r="B105" t="s">
        <v>229</v>
      </c>
      <c r="G105">
        <f t="shared" ref="G105:O105" si="73">-G38</f>
        <v>-784.18460100380003</v>
      </c>
      <c r="H105">
        <f t="shared" si="73"/>
        <v>-854.04408863386527</v>
      </c>
      <c r="I105">
        <f t="shared" si="73"/>
        <v>-926.80574018356606</v>
      </c>
      <c r="J105">
        <f t="shared" si="73"/>
        <v>-913.46930125058327</v>
      </c>
      <c r="K105">
        <f t="shared" si="73"/>
        <v>-983.31432380993328</v>
      </c>
      <c r="L105">
        <f t="shared" si="73"/>
        <v>-1053.7254459993953</v>
      </c>
      <c r="M105">
        <f t="shared" si="73"/>
        <v>-987.88742212294505</v>
      </c>
      <c r="N105">
        <f t="shared" si="73"/>
        <v>-1028.95149708181</v>
      </c>
      <c r="O105">
        <f t="shared" si="73"/>
        <v>-978.92574611459622</v>
      </c>
    </row>
    <row r="106" spans="1:15" ht="15" customHeight="1" x14ac:dyDescent="0.45">
      <c r="A106" s="85"/>
      <c r="B106" t="s">
        <v>230</v>
      </c>
      <c r="G106">
        <f t="shared" ref="G106:O106" si="74">F81-G81</f>
        <v>5.7999999999999545</v>
      </c>
      <c r="H106">
        <f t="shared" si="74"/>
        <v>0</v>
      </c>
      <c r="I106">
        <f t="shared" si="74"/>
        <v>0</v>
      </c>
      <c r="J106">
        <f t="shared" si="74"/>
        <v>0</v>
      </c>
      <c r="K106">
        <f t="shared" si="74"/>
        <v>0</v>
      </c>
      <c r="L106">
        <f t="shared" si="74"/>
        <v>0</v>
      </c>
      <c r="M106">
        <f t="shared" si="74"/>
        <v>0</v>
      </c>
      <c r="N106">
        <f t="shared" si="74"/>
        <v>0</v>
      </c>
      <c r="O106">
        <f t="shared" si="74"/>
        <v>0</v>
      </c>
    </row>
    <row r="107" spans="1:15" ht="15" customHeight="1" x14ac:dyDescent="0.45">
      <c r="A107" s="85"/>
      <c r="B107" t="s">
        <v>231</v>
      </c>
      <c r="G107">
        <f t="shared" ref="G107:O107" si="75">SUM(G105:G106)</f>
        <v>-778.38460100380007</v>
      </c>
      <c r="H107">
        <f t="shared" si="75"/>
        <v>-854.04408863386527</v>
      </c>
      <c r="I107">
        <f t="shared" si="75"/>
        <v>-926.80574018356606</v>
      </c>
      <c r="J107">
        <f t="shared" si="75"/>
        <v>-913.46930125058327</v>
      </c>
      <c r="K107">
        <f t="shared" si="75"/>
        <v>-983.31432380993328</v>
      </c>
      <c r="L107">
        <f t="shared" si="75"/>
        <v>-1053.7254459993953</v>
      </c>
      <c r="M107">
        <f t="shared" si="75"/>
        <v>-987.88742212294505</v>
      </c>
      <c r="N107">
        <f t="shared" si="75"/>
        <v>-1028.95149708181</v>
      </c>
      <c r="O107">
        <f t="shared" si="75"/>
        <v>-978.92574611459622</v>
      </c>
    </row>
    <row r="108" spans="1:15" ht="15" customHeight="1" x14ac:dyDescent="0.45">
      <c r="A108" s="85"/>
    </row>
    <row r="109" spans="1:15" ht="15" customHeight="1" x14ac:dyDescent="0.45">
      <c r="A109" s="85"/>
      <c r="B109" t="s">
        <v>196</v>
      </c>
      <c r="G109">
        <f t="shared" ref="G109:O109" si="76">G45</f>
        <v>-1657.9639637383475</v>
      </c>
      <c r="H109">
        <f t="shared" si="76"/>
        <v>-1829.9067335040872</v>
      </c>
      <c r="I109">
        <f t="shared" si="76"/>
        <v>-2089.9043691255324</v>
      </c>
      <c r="J109">
        <f t="shared" si="76"/>
        <v>-2331.7195340296048</v>
      </c>
      <c r="K109">
        <f t="shared" si="76"/>
        <v>-2508.675861862393</v>
      </c>
      <c r="L109">
        <f t="shared" si="76"/>
        <v>-2709.1815615339478</v>
      </c>
      <c r="M109">
        <f t="shared" si="76"/>
        <v>-2851.4090847088032</v>
      </c>
      <c r="N109">
        <f t="shared" si="76"/>
        <v>-2964.9924212874857</v>
      </c>
      <c r="O109">
        <f t="shared" si="76"/>
        <v>-3031.1725233462876</v>
      </c>
    </row>
    <row r="110" spans="1:15" ht="15" customHeight="1" x14ac:dyDescent="0.45">
      <c r="A110" s="85"/>
      <c r="B110" t="s">
        <v>232</v>
      </c>
      <c r="G110">
        <f t="shared" ref="G110:O110" si="77">G88-F88</f>
        <v>0</v>
      </c>
      <c r="H110">
        <f t="shared" si="77"/>
        <v>-11.199999999999989</v>
      </c>
      <c r="I110">
        <f t="shared" si="77"/>
        <v>0</v>
      </c>
      <c r="J110">
        <f t="shared" si="77"/>
        <v>0</v>
      </c>
      <c r="K110">
        <f t="shared" si="77"/>
        <v>0</v>
      </c>
      <c r="L110">
        <f t="shared" si="77"/>
        <v>0</v>
      </c>
      <c r="M110">
        <f t="shared" si="77"/>
        <v>0</v>
      </c>
      <c r="N110">
        <f t="shared" si="77"/>
        <v>0</v>
      </c>
      <c r="O110">
        <f t="shared" si="77"/>
        <v>0</v>
      </c>
    </row>
    <row r="111" spans="1:15" ht="15" customHeight="1" x14ac:dyDescent="0.45">
      <c r="A111" s="85"/>
      <c r="B111" t="s">
        <v>233</v>
      </c>
      <c r="G111">
        <f t="shared" ref="G111:O111" si="78">SUM(G109:G110)</f>
        <v>-1657.9639637383475</v>
      </c>
      <c r="H111">
        <f t="shared" si="78"/>
        <v>-1841.1067335040873</v>
      </c>
      <c r="I111">
        <f t="shared" si="78"/>
        <v>-2089.9043691255324</v>
      </c>
      <c r="J111">
        <f t="shared" si="78"/>
        <v>-2331.7195340296048</v>
      </c>
      <c r="K111">
        <f t="shared" si="78"/>
        <v>-2508.675861862393</v>
      </c>
      <c r="L111">
        <f t="shared" si="78"/>
        <v>-2709.1815615339478</v>
      </c>
      <c r="M111">
        <f t="shared" si="78"/>
        <v>-2851.4090847088032</v>
      </c>
      <c r="N111">
        <f t="shared" si="78"/>
        <v>-2964.9924212874857</v>
      </c>
      <c r="O111">
        <f t="shared" si="78"/>
        <v>-3031.1725233462876</v>
      </c>
    </row>
    <row r="112" spans="1:15" ht="15" customHeight="1" x14ac:dyDescent="0.45">
      <c r="A112" s="85"/>
    </row>
    <row r="113" spans="1:15" ht="15" customHeight="1" x14ac:dyDescent="0.45">
      <c r="A113" s="85"/>
      <c r="B113" t="s">
        <v>234</v>
      </c>
      <c r="G113">
        <f>F115</f>
        <v>598.1</v>
      </c>
      <c r="H113">
        <f t="shared" ref="H113:O113" si="79">G115</f>
        <v>775.73175301233562</v>
      </c>
      <c r="I113">
        <f t="shared" si="79"/>
        <v>972.14538443097661</v>
      </c>
      <c r="J113">
        <f t="shared" si="79"/>
        <v>1278.4582068175314</v>
      </c>
      <c r="K113">
        <f t="shared" si="79"/>
        <v>1661.170224773693</v>
      </c>
      <c r="L113">
        <f t="shared" si="79"/>
        <v>2171.8182171143217</v>
      </c>
      <c r="M113">
        <f t="shared" si="79"/>
        <v>2674.164218733255</v>
      </c>
      <c r="N113">
        <f t="shared" si="79"/>
        <v>3353.5594866099364</v>
      </c>
      <c r="O113">
        <f t="shared" si="79"/>
        <v>4074.8023150250156</v>
      </c>
    </row>
    <row r="114" spans="1:15" ht="15" customHeight="1" x14ac:dyDescent="0.45">
      <c r="A114" s="85"/>
      <c r="B114" t="s">
        <v>235</v>
      </c>
      <c r="G114">
        <f t="shared" ref="G114:O114" si="80">SUM(G103,G107,G111)</f>
        <v>177.63175301233559</v>
      </c>
      <c r="H114">
        <f t="shared" si="80"/>
        <v>196.41363141864099</v>
      </c>
      <c r="I114">
        <f t="shared" si="80"/>
        <v>306.31282238655467</v>
      </c>
      <c r="J114">
        <f t="shared" si="80"/>
        <v>382.71201795616162</v>
      </c>
      <c r="K114">
        <f t="shared" si="80"/>
        <v>510.64799234062866</v>
      </c>
      <c r="L114">
        <f t="shared" si="80"/>
        <v>502.34600161893331</v>
      </c>
      <c r="M114">
        <f t="shared" si="80"/>
        <v>679.39526787668137</v>
      </c>
      <c r="N114">
        <f t="shared" si="80"/>
        <v>721.2428284150792</v>
      </c>
      <c r="O114">
        <f t="shared" si="80"/>
        <v>839.70668721076254</v>
      </c>
    </row>
    <row r="115" spans="1:15" ht="15" customHeight="1" x14ac:dyDescent="0.45">
      <c r="A115" s="85"/>
      <c r="B115" t="s">
        <v>236</v>
      </c>
      <c r="E115" s="54"/>
      <c r="F115">
        <f>F74-F84</f>
        <v>598.1</v>
      </c>
      <c r="G115">
        <f t="shared" ref="G115:O115" si="81">SUM(G113:G114)</f>
        <v>775.73175301233562</v>
      </c>
      <c r="H115">
        <f t="shared" si="81"/>
        <v>972.14538443097661</v>
      </c>
      <c r="I115">
        <f t="shared" si="81"/>
        <v>1278.4582068175314</v>
      </c>
      <c r="J115">
        <f t="shared" si="81"/>
        <v>1661.170224773693</v>
      </c>
      <c r="K115">
        <f t="shared" si="81"/>
        <v>2171.8182171143217</v>
      </c>
      <c r="L115">
        <f t="shared" si="81"/>
        <v>2674.164218733255</v>
      </c>
      <c r="M115">
        <f t="shared" si="81"/>
        <v>3353.5594866099364</v>
      </c>
      <c r="N115">
        <f t="shared" si="81"/>
        <v>4074.8023150250156</v>
      </c>
      <c r="O115">
        <f t="shared" si="81"/>
        <v>4914.5090022357781</v>
      </c>
    </row>
    <row r="116" spans="1:15" ht="15" customHeight="1" x14ac:dyDescent="0.45">
      <c r="A116" s="85"/>
    </row>
    <row r="117" spans="1:15" ht="15" customHeight="1" x14ac:dyDescent="0.45">
      <c r="A117" s="85" t="s">
        <v>237</v>
      </c>
    </row>
    <row r="118" spans="1:15" ht="15" customHeight="1" x14ac:dyDescent="0.45">
      <c r="A118" s="85"/>
      <c r="B118" t="s">
        <v>238</v>
      </c>
      <c r="G118">
        <f t="shared" ref="G118:O118" si="82">G31*AVERAGE(F84:G84)</f>
        <v>0</v>
      </c>
      <c r="H118">
        <f t="shared" si="82"/>
        <v>0</v>
      </c>
      <c r="I118">
        <f t="shared" si="82"/>
        <v>0</v>
      </c>
      <c r="J118">
        <f t="shared" si="82"/>
        <v>0</v>
      </c>
      <c r="K118">
        <f t="shared" si="82"/>
        <v>0</v>
      </c>
      <c r="L118">
        <f t="shared" si="82"/>
        <v>0</v>
      </c>
      <c r="M118">
        <f t="shared" si="82"/>
        <v>0</v>
      </c>
      <c r="N118">
        <f t="shared" si="82"/>
        <v>0</v>
      </c>
      <c r="O118">
        <f t="shared" si="82"/>
        <v>0</v>
      </c>
    </row>
    <row r="119" spans="1:15" ht="15" customHeight="1" x14ac:dyDescent="0.45">
      <c r="A119" s="85"/>
      <c r="B119" t="s">
        <v>239</v>
      </c>
      <c r="G119">
        <f t="shared" ref="G119:O119" si="83">G32*AVERAGE(F88:G88)</f>
        <v>28.416</v>
      </c>
      <c r="H119">
        <f t="shared" si="83"/>
        <v>28.08</v>
      </c>
      <c r="I119">
        <f t="shared" si="83"/>
        <v>27.744</v>
      </c>
      <c r="J119">
        <f t="shared" si="83"/>
        <v>27.744</v>
      </c>
      <c r="K119">
        <f t="shared" si="83"/>
        <v>27.744</v>
      </c>
      <c r="L119">
        <f t="shared" si="83"/>
        <v>27.744</v>
      </c>
      <c r="M119">
        <f t="shared" si="83"/>
        <v>27.744</v>
      </c>
      <c r="N119">
        <f t="shared" si="83"/>
        <v>27.744</v>
      </c>
      <c r="O119">
        <f t="shared" si="83"/>
        <v>27.744</v>
      </c>
    </row>
    <row r="120" spans="1:15" ht="15" customHeight="1" x14ac:dyDescent="0.45">
      <c r="A120" s="85"/>
      <c r="B120" t="s">
        <v>240</v>
      </c>
      <c r="G120">
        <f t="shared" ref="G120:O120" si="84">G33*AVERAGE(F74:G74)</f>
        <v>26.102803307234378</v>
      </c>
      <c r="H120">
        <f t="shared" si="84"/>
        <v>26.218157061649681</v>
      </c>
      <c r="I120">
        <f t="shared" si="84"/>
        <v>33.759053868727619</v>
      </c>
      <c r="J120">
        <f t="shared" si="84"/>
        <v>32.335912747503464</v>
      </c>
      <c r="K120">
        <f t="shared" si="84"/>
        <v>42.162872860768161</v>
      </c>
      <c r="L120">
        <f t="shared" si="84"/>
        <v>53.305806794323338</v>
      </c>
      <c r="M120">
        <f t="shared" si="84"/>
        <v>66.304960758775096</v>
      </c>
      <c r="N120">
        <f t="shared" si="84"/>
        <v>81.711979817984471</v>
      </c>
      <c r="O120">
        <f t="shared" si="84"/>
        <v>98.882424489868725</v>
      </c>
    </row>
    <row r="121" spans="1:15" ht="15" customHeight="1" x14ac:dyDescent="0.45">
      <c r="A121" s="85"/>
    </row>
    <row r="122" spans="1:15" ht="15" customHeight="1" x14ac:dyDescent="0.45">
      <c r="A122" s="85" t="s">
        <v>241</v>
      </c>
    </row>
    <row r="123" spans="1:15" ht="15" customHeight="1" x14ac:dyDescent="0.45">
      <c r="A123" s="85"/>
      <c r="B123" t="s">
        <v>114</v>
      </c>
      <c r="C123" s="74">
        <f t="shared" ref="C123:O123" si="85">C63/C54</f>
        <v>0.25719757428300577</v>
      </c>
      <c r="D123" s="74">
        <f t="shared" si="85"/>
        <v>0.28954656283225277</v>
      </c>
      <c r="E123" s="74">
        <f t="shared" si="85"/>
        <v>0.23662790413466936</v>
      </c>
      <c r="F123" s="74">
        <f t="shared" si="85"/>
        <v>0.25905365116278278</v>
      </c>
      <c r="G123" s="74">
        <f t="shared" si="85"/>
        <v>0.25665460025418901</v>
      </c>
      <c r="H123" s="74">
        <f t="shared" si="85"/>
        <v>0.2601622817833355</v>
      </c>
      <c r="I123" s="74">
        <f t="shared" si="85"/>
        <v>0.27387813676297462</v>
      </c>
      <c r="J123" s="74">
        <f t="shared" si="85"/>
        <v>0.2827322051788338</v>
      </c>
      <c r="K123" s="74">
        <f t="shared" si="85"/>
        <v>0.28261828967945318</v>
      </c>
      <c r="L123" s="74">
        <f t="shared" si="85"/>
        <v>0.28484755751051505</v>
      </c>
      <c r="M123" s="74">
        <f t="shared" si="85"/>
        <v>0.28369944623844939</v>
      </c>
      <c r="N123" s="74">
        <f t="shared" si="85"/>
        <v>0.28324326082400902</v>
      </c>
      <c r="O123" s="74">
        <f t="shared" si="85"/>
        <v>0.28223619794558252</v>
      </c>
    </row>
    <row r="124" spans="1:15" ht="15" customHeight="1" x14ac:dyDescent="0.45">
      <c r="A124" s="85"/>
      <c r="B124" t="s">
        <v>115</v>
      </c>
      <c r="C124" s="74">
        <f t="shared" ref="C124:O124" si="86">C60/C54</f>
        <v>0.30701624262159583</v>
      </c>
      <c r="D124" s="74">
        <f t="shared" si="86"/>
        <v>0.3265852614542597</v>
      </c>
      <c r="E124" s="74">
        <f t="shared" si="86"/>
        <v>0.27718000506758794</v>
      </c>
      <c r="F124" s="74">
        <f t="shared" si="86"/>
        <v>0.29695401561856194</v>
      </c>
      <c r="G124" s="74">
        <f t="shared" si="86"/>
        <v>0.29500000000000004</v>
      </c>
      <c r="H124" s="74">
        <f t="shared" si="86"/>
        <v>0.3</v>
      </c>
      <c r="I124" s="74">
        <f t="shared" si="86"/>
        <v>0.31500000000000006</v>
      </c>
      <c r="J124" s="74">
        <f t="shared" si="86"/>
        <v>0.32500000000000012</v>
      </c>
      <c r="K124" s="74">
        <f t="shared" si="86"/>
        <v>0.32500000000000001</v>
      </c>
      <c r="L124" s="74">
        <f t="shared" si="86"/>
        <v>0.32499999999999996</v>
      </c>
      <c r="M124" s="74">
        <f t="shared" si="86"/>
        <v>0.32500000000000007</v>
      </c>
      <c r="N124" s="74">
        <f t="shared" si="86"/>
        <v>0.32500000000000001</v>
      </c>
      <c r="O124" s="74">
        <f t="shared" si="86"/>
        <v>0.32500000000000007</v>
      </c>
    </row>
    <row r="125" spans="1:15" ht="15" customHeight="1" x14ac:dyDescent="0.45">
      <c r="A125" s="85"/>
      <c r="B125" t="s">
        <v>242</v>
      </c>
      <c r="C125" s="74">
        <f t="shared" ref="C125:O125" si="87">C71/C54</f>
        <v>0.19070925845518194</v>
      </c>
      <c r="D125" s="74">
        <f t="shared" si="87"/>
        <v>0.21908152748495568</v>
      </c>
      <c r="E125" s="74">
        <f t="shared" si="87"/>
        <v>0.17772621767458133</v>
      </c>
      <c r="F125" s="74">
        <f t="shared" si="87"/>
        <v>0.20369069378400337</v>
      </c>
      <c r="G125" s="74">
        <f t="shared" si="87"/>
        <v>0.19169219320704531</v>
      </c>
      <c r="H125" s="74">
        <f t="shared" si="87"/>
        <v>0.19426578328420627</v>
      </c>
      <c r="I125" s="74">
        <f t="shared" si="87"/>
        <v>0.20444916834803484</v>
      </c>
      <c r="J125" s="74">
        <f t="shared" si="87"/>
        <v>0.21101473384588748</v>
      </c>
      <c r="K125" s="74">
        <f t="shared" si="87"/>
        <v>0.21090292923199275</v>
      </c>
      <c r="L125" s="74">
        <f t="shared" si="87"/>
        <v>0.21254019245439659</v>
      </c>
      <c r="M125" s="74">
        <f t="shared" si="87"/>
        <v>0.21166716793426502</v>
      </c>
      <c r="N125" s="74">
        <f t="shared" si="87"/>
        <v>0.21131489499528333</v>
      </c>
      <c r="O125" s="74">
        <f t="shared" si="87"/>
        <v>0.2105570646248163</v>
      </c>
    </row>
    <row r="126" spans="1:15" ht="15" customHeight="1" x14ac:dyDescent="0.45">
      <c r="A126" s="85"/>
      <c r="B126" t="s">
        <v>243</v>
      </c>
      <c r="C126" s="66">
        <v>7900</v>
      </c>
      <c r="D126" s="66">
        <v>9800</v>
      </c>
      <c r="E126" s="66">
        <v>11582</v>
      </c>
      <c r="F126" s="66">
        <v>12138</v>
      </c>
      <c r="G126" s="74"/>
      <c r="H126" s="74"/>
      <c r="I126" s="74"/>
      <c r="J126" s="74"/>
      <c r="K126" s="74"/>
      <c r="L126" s="74"/>
      <c r="N126" s="74"/>
      <c r="O126" s="74"/>
    </row>
    <row r="127" spans="1:15" ht="15" customHeight="1" x14ac:dyDescent="0.45">
      <c r="A127" s="85"/>
      <c r="B127" t="s">
        <v>244</v>
      </c>
      <c r="C127" s="88">
        <f>C54/C126</f>
        <v>0.79839202949367083</v>
      </c>
      <c r="D127" s="88">
        <f t="shared" ref="D127:F127" si="88">D54/D126</f>
        <v>0.79751326499999997</v>
      </c>
      <c r="E127" s="88">
        <f t="shared" si="88"/>
        <v>0.83614337592816435</v>
      </c>
      <c r="F127" s="88">
        <f t="shared" si="88"/>
        <v>0.86949977096721032</v>
      </c>
      <c r="G127" s="74"/>
      <c r="H127" s="74"/>
      <c r="I127" s="74"/>
      <c r="J127" s="74"/>
      <c r="K127" s="74"/>
      <c r="L127" s="74"/>
      <c r="M127" s="74"/>
      <c r="N127" s="74"/>
      <c r="O127" s="74"/>
    </row>
    <row r="128" spans="1:15" ht="15" customHeight="1" x14ac:dyDescent="0.45">
      <c r="A128" s="85"/>
    </row>
    <row r="129" spans="1:15" ht="15" customHeight="1" x14ac:dyDescent="0.45">
      <c r="A129" s="85" t="s">
        <v>245</v>
      </c>
    </row>
    <row r="130" spans="1:15" ht="15" customHeight="1" x14ac:dyDescent="0.45">
      <c r="A130" s="85"/>
      <c r="B130" t="s">
        <v>246</v>
      </c>
      <c r="C130" s="74">
        <f t="shared" ref="C130:O130" si="89">(C75+C76+C77-C85)/C54</f>
        <v>4.3278984292604843E-2</v>
      </c>
      <c r="D130" s="74">
        <f t="shared" si="89"/>
        <v>9.6030741000801122E-3</v>
      </c>
      <c r="E130" s="74">
        <f t="shared" si="89"/>
        <v>4.2966891583868967E-2</v>
      </c>
      <c r="F130" s="74">
        <f t="shared" si="89"/>
        <v>1.7140439825126138E-2</v>
      </c>
      <c r="G130" s="74">
        <f t="shared" si="89"/>
        <v>1.9054794520547959E-2</v>
      </c>
      <c r="H130" s="74">
        <f t="shared" si="89"/>
        <v>2.1369863013698632E-2</v>
      </c>
      <c r="I130" s="74">
        <f t="shared" si="89"/>
        <v>2.1452054794520576E-2</v>
      </c>
      <c r="J130" s="74">
        <f t="shared" si="89"/>
        <v>2.689041095890414E-2</v>
      </c>
      <c r="K130" s="74">
        <f t="shared" si="89"/>
        <v>2.5890410958904108E-2</v>
      </c>
      <c r="L130" s="74">
        <f t="shared" si="89"/>
        <v>2.5890410958904132E-2</v>
      </c>
      <c r="M130" s="74">
        <f t="shared" si="89"/>
        <v>2.5890410958904132E-2</v>
      </c>
      <c r="N130" s="74">
        <f t="shared" si="89"/>
        <v>2.5890410958904139E-2</v>
      </c>
      <c r="O130" s="74">
        <f t="shared" si="89"/>
        <v>2.589041095890417E-2</v>
      </c>
    </row>
    <row r="131" spans="1:15" ht="15" customHeight="1" x14ac:dyDescent="0.45">
      <c r="A131" s="85"/>
      <c r="B131" t="s">
        <v>247</v>
      </c>
      <c r="C131" s="74">
        <f>C80/C54</f>
        <v>0.25590685024901694</v>
      </c>
      <c r="D131" s="74">
        <f t="shared" ref="D131:O131" si="90">D80/D54</f>
        <v>0.24634099397476888</v>
      </c>
      <c r="E131" s="74">
        <f t="shared" si="90"/>
        <v>0.23721952838420654</v>
      </c>
      <c r="F131" s="74">
        <f t="shared" si="90"/>
        <v>0.24646607005593191</v>
      </c>
      <c r="G131" s="74">
        <f t="shared" si="90"/>
        <v>0.25521577522954769</v>
      </c>
      <c r="H131" s="74">
        <f t="shared" si="90"/>
        <v>0.26250180070489115</v>
      </c>
      <c r="I131" s="74">
        <f t="shared" si="90"/>
        <v>0.26877144992194774</v>
      </c>
      <c r="J131" s="74">
        <f t="shared" si="90"/>
        <v>0.26836629236216464</v>
      </c>
      <c r="K131" s="74">
        <f t="shared" si="90"/>
        <v>0.26892246803561098</v>
      </c>
      <c r="L131" s="74">
        <f t="shared" si="90"/>
        <v>0.27280032306979618</v>
      </c>
      <c r="M131" s="74">
        <f t="shared" si="90"/>
        <v>0.27182790724814104</v>
      </c>
      <c r="N131" s="74">
        <f t="shared" si="90"/>
        <v>0.27422288067395262</v>
      </c>
      <c r="O131" s="74">
        <f t="shared" si="90"/>
        <v>0.27550996078569218</v>
      </c>
    </row>
    <row r="132" spans="1:15" ht="15" customHeight="1" x14ac:dyDescent="0.45">
      <c r="A132" s="85"/>
      <c r="B132" t="s">
        <v>248</v>
      </c>
      <c r="D132" s="74">
        <f t="shared" ref="D132:O132" si="91">(D63*(1-D19))/(C84+C88+C91-C74-C81)</f>
        <v>0.89300675767498883</v>
      </c>
      <c r="E132" s="74">
        <f t="shared" si="91"/>
        <v>0.84960561602348383</v>
      </c>
      <c r="F132" s="74">
        <f t="shared" si="91"/>
        <v>0.78430098386374647</v>
      </c>
      <c r="G132" s="74">
        <f>(G63*(1-G19))/(F84+F88+F91-F74-F81)</f>
        <v>0.79257795130218045</v>
      </c>
      <c r="H132" s="74">
        <f>(H63*(1-H19))/(G84+G88+G91-G74-G81)</f>
        <v>0.76963246352480352</v>
      </c>
      <c r="I132" s="74">
        <f t="shared" si="91"/>
        <v>0.78000972642397293</v>
      </c>
      <c r="J132" s="74">
        <f t="shared" si="91"/>
        <v>0.78455146174831181</v>
      </c>
      <c r="K132" s="74">
        <f t="shared" si="91"/>
        <v>0.76763572659593038</v>
      </c>
      <c r="L132" s="74">
        <f t="shared" si="91"/>
        <v>0.7713605485252254</v>
      </c>
      <c r="M132" s="74">
        <f t="shared" si="91"/>
        <v>0.74782847700849031</v>
      </c>
      <c r="N132" s="74">
        <f t="shared" si="91"/>
        <v>0.73824029886855813</v>
      </c>
      <c r="O132" s="74">
        <f t="shared" si="91"/>
        <v>0.71883814758721698</v>
      </c>
    </row>
    <row r="133" spans="1:15" ht="15" customHeight="1" x14ac:dyDescent="0.45">
      <c r="A133" s="85"/>
      <c r="B133" t="s">
        <v>249</v>
      </c>
      <c r="D133" s="74">
        <f t="shared" ref="D133:O133" si="92">(D84+D88+D91-D74-D81)/(C84+C88+C91-C74-C81)-1</f>
        <v>6.004608977389414E-2</v>
      </c>
      <c r="E133" s="74">
        <f t="shared" si="92"/>
        <v>0.35644546118777232</v>
      </c>
      <c r="F133" s="74">
        <f t="shared" si="92"/>
        <v>2.5324511900339797E-2</v>
      </c>
      <c r="G133" s="74">
        <f t="shared" si="92"/>
        <v>0.13688325422059311</v>
      </c>
      <c r="H133" s="74">
        <f t="shared" si="92"/>
        <v>0.12720995492809362</v>
      </c>
      <c r="I133" s="74">
        <f t="shared" si="92"/>
        <v>0.10947868510440517</v>
      </c>
      <c r="J133" s="74">
        <f t="shared" si="92"/>
        <v>9.9739056500989243E-2</v>
      </c>
      <c r="K133" s="74">
        <f t="shared" si="92"/>
        <v>7.4843153302858845E-2</v>
      </c>
      <c r="L133" s="74">
        <f t="shared" si="92"/>
        <v>8.5701406681304437E-2</v>
      </c>
      <c r="M133" s="74">
        <f t="shared" si="92"/>
        <v>5.3398741294615526E-2</v>
      </c>
      <c r="N133" s="74">
        <f t="shared" si="92"/>
        <v>4.9946380095261089E-2</v>
      </c>
      <c r="O133" s="74">
        <f t="shared" si="92"/>
        <v>3.0400152314014495E-2</v>
      </c>
    </row>
    <row r="134" spans="1:15" ht="15" customHeight="1" x14ac:dyDescent="0.45">
      <c r="A134" s="85"/>
    </row>
    <row r="135" spans="1:15" ht="15" customHeight="1" x14ac:dyDescent="0.45">
      <c r="A135" s="85" t="s">
        <v>250</v>
      </c>
      <c r="E135" s="74"/>
      <c r="F135" s="74"/>
      <c r="G135" s="74"/>
      <c r="H135" s="74"/>
      <c r="I135" s="74"/>
      <c r="J135" s="74"/>
      <c r="K135" s="74"/>
      <c r="L135" s="74"/>
      <c r="M135" s="205"/>
      <c r="O135" s="74"/>
    </row>
    <row r="136" spans="1:15" ht="15" customHeight="1" x14ac:dyDescent="0.45">
      <c r="A136" s="85"/>
      <c r="B136" t="s">
        <v>109</v>
      </c>
      <c r="C136">
        <f t="shared" ref="C136:O136" si="93">C84+C88-C74</f>
        <v>-634.7170999299999</v>
      </c>
      <c r="D136">
        <f t="shared" si="93"/>
        <v>-650.51618200000007</v>
      </c>
      <c r="E136">
        <f t="shared" si="93"/>
        <v>216.99300599999998</v>
      </c>
      <c r="F136">
        <f t="shared" si="93"/>
        <v>-124.5</v>
      </c>
      <c r="G136">
        <f t="shared" si="93"/>
        <v>-302.13175301233559</v>
      </c>
      <c r="H136">
        <f t="shared" si="93"/>
        <v>-509.74538443097657</v>
      </c>
      <c r="I136">
        <f t="shared" si="93"/>
        <v>-816.0582068175313</v>
      </c>
      <c r="J136">
        <f t="shared" si="93"/>
        <v>-1198.7702247736929</v>
      </c>
      <c r="K136">
        <f t="shared" si="93"/>
        <v>-1709.4182171143216</v>
      </c>
      <c r="L136">
        <f t="shared" si="93"/>
        <v>-2211.7642187332549</v>
      </c>
      <c r="M136">
        <f t="shared" si="93"/>
        <v>-2891.1594866099363</v>
      </c>
      <c r="N136">
        <f t="shared" si="93"/>
        <v>-3612.4023150250155</v>
      </c>
      <c r="O136">
        <f t="shared" si="93"/>
        <v>-4452.1090022357785</v>
      </c>
    </row>
    <row r="137" spans="1:15" ht="15" customHeight="1" x14ac:dyDescent="0.45">
      <c r="A137" s="85"/>
      <c r="B137" t="s">
        <v>251</v>
      </c>
      <c r="C137" s="75">
        <f t="shared" ref="C137:O137" si="94">C136/C60</f>
        <v>-0.32777480110920176</v>
      </c>
      <c r="D137" s="75">
        <f t="shared" si="94"/>
        <v>-0.25485756643885488</v>
      </c>
      <c r="E137" s="75">
        <f t="shared" si="94"/>
        <v>8.0838737743534075E-2</v>
      </c>
      <c r="F137" s="75">
        <f t="shared" si="94"/>
        <v>-3.9724966885155311E-2</v>
      </c>
      <c r="G137" s="75">
        <f t="shared" si="94"/>
        <v>-8.8810631347236463E-2</v>
      </c>
      <c r="H137" s="75">
        <f t="shared" si="94"/>
        <v>-0.13528843378860014</v>
      </c>
      <c r="I137" s="75">
        <f t="shared" si="94"/>
        <v>-0.19007753037733019</v>
      </c>
      <c r="J137" s="75">
        <f t="shared" si="94"/>
        <v>-0.25035156992802027</v>
      </c>
      <c r="K137" s="75">
        <f t="shared" si="94"/>
        <v>-0.33163800266662485</v>
      </c>
      <c r="L137" s="75">
        <f t="shared" si="94"/>
        <v>-0.40042362102252377</v>
      </c>
      <c r="M137" s="75">
        <f t="shared" si="94"/>
        <v>-0.49527216657582263</v>
      </c>
      <c r="N137" s="75">
        <f t="shared" si="94"/>
        <v>-0.59412870701532128</v>
      </c>
      <c r="O137" s="75">
        <f t="shared" si="94"/>
        <v>-0.71367889362466841</v>
      </c>
    </row>
    <row r="138" spans="1:15" ht="15" customHeight="1" x14ac:dyDescent="0.45">
      <c r="A138" s="85"/>
      <c r="B138" t="s">
        <v>252</v>
      </c>
      <c r="C138" s="75">
        <f t="shared" ref="C138:O138" si="95">C60/-C66</f>
        <v>95.538661936878782</v>
      </c>
      <c r="D138" s="75">
        <f t="shared" si="95"/>
        <v>104.56784700900437</v>
      </c>
      <c r="E138" s="75">
        <f t="shared" si="95"/>
        <v>87.327699419934305</v>
      </c>
      <c r="F138" s="75">
        <f t="shared" si="95"/>
        <v>91.63886499181281</v>
      </c>
      <c r="G138" s="75" t="e">
        <f t="shared" si="95"/>
        <v>#DIV/0!</v>
      </c>
      <c r="H138" s="75" t="e">
        <f t="shared" si="95"/>
        <v>#DIV/0!</v>
      </c>
      <c r="I138" s="75" t="e">
        <f t="shared" si="95"/>
        <v>#DIV/0!</v>
      </c>
      <c r="J138" s="75" t="e">
        <f t="shared" si="95"/>
        <v>#DIV/0!</v>
      </c>
      <c r="K138" s="75" t="e">
        <f t="shared" si="95"/>
        <v>#DIV/0!</v>
      </c>
      <c r="L138" s="75" t="e">
        <f t="shared" si="95"/>
        <v>#DIV/0!</v>
      </c>
      <c r="M138" s="75" t="e">
        <f t="shared" si="95"/>
        <v>#DIV/0!</v>
      </c>
      <c r="N138" s="75" t="e">
        <f t="shared" si="95"/>
        <v>#DIV/0!</v>
      </c>
      <c r="O138" s="75" t="e">
        <f t="shared" si="95"/>
        <v>#DIV/0!</v>
      </c>
    </row>
    <row r="139" spans="1:15" ht="15" customHeight="1" x14ac:dyDescent="0.45">
      <c r="A139" s="85"/>
      <c r="B139" t="s">
        <v>253</v>
      </c>
      <c r="C139" s="75">
        <f t="shared" ref="C139:O139" si="96">C136/(C136+C91)</f>
        <v>-0.26326943411522191</v>
      </c>
      <c r="D139" s="75">
        <f t="shared" si="96"/>
        <v>-0.23639303955658789</v>
      </c>
      <c r="E139" s="75">
        <f t="shared" si="96"/>
        <v>5.5983917521900441E-2</v>
      </c>
      <c r="F139" s="75">
        <f t="shared" si="96"/>
        <v>-3.1219438802377195E-2</v>
      </c>
      <c r="G139" s="75">
        <f t="shared" si="96"/>
        <v>-6.9249849201738892E-2</v>
      </c>
      <c r="H139" s="75">
        <f t="shared" si="96"/>
        <v>-0.10697075071704409</v>
      </c>
      <c r="I139" s="75">
        <f t="shared" si="96"/>
        <v>-0.15828578308832666</v>
      </c>
      <c r="J139" s="75">
        <f t="shared" si="96"/>
        <v>-0.2159896546702943</v>
      </c>
      <c r="K139" s="75">
        <f t="shared" si="96"/>
        <v>-0.29092987794219211</v>
      </c>
      <c r="L139" s="75">
        <f t="shared" si="96"/>
        <v>-0.35239265266159914</v>
      </c>
      <c r="M139" s="75">
        <f t="shared" si="96"/>
        <v>-0.44156732196048609</v>
      </c>
      <c r="N139" s="75">
        <f t="shared" si="96"/>
        <v>-0.53009886911714743</v>
      </c>
      <c r="O139" s="75">
        <f t="shared" si="96"/>
        <v>-0.6373570856026719</v>
      </c>
    </row>
    <row r="140" spans="1:15" ht="15" customHeight="1" x14ac:dyDescent="0.45">
      <c r="A140" s="85"/>
    </row>
    <row r="141" spans="1:15" ht="15" customHeight="1" x14ac:dyDescent="0.45">
      <c r="A141" s="85" t="s">
        <v>147</v>
      </c>
    </row>
  </sheetData>
  <printOptions headings="1" gridLines="1"/>
  <pageMargins left="0.31496062992125984" right="0.11811023622047245" top="0.74803149606299213" bottom="0.74803149606299213" header="0" footer="0"/>
  <pageSetup paperSize="9" scale="63" fitToHeight="0" orientation="landscape" r:id="rId1"/>
  <headerFooter>
    <oddHeader>&amp;R&amp;F  &amp;A</oddHeader>
    <oddFooter>&amp;L© 2016&amp;CPage &amp;P of</oddFooter>
  </headerFooter>
  <rowBreaks count="3" manualBreakCount="3">
    <brk id="34" max="15" man="1"/>
    <brk id="72" max="15" man="1"/>
    <brk id="112" max="1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2E53-0A7A-417D-9FB2-A74C27A6AE0C}">
  <sheetPr>
    <tabColor theme="4"/>
    <pageSetUpPr fitToPage="1"/>
  </sheetPr>
  <dimension ref="A1:L99"/>
  <sheetViews>
    <sheetView zoomScaleNormal="100" zoomScaleSheetLayoutView="85" workbookViewId="0"/>
  </sheetViews>
  <sheetFormatPr defaultRowHeight="14.25" x14ac:dyDescent="0.45"/>
  <cols>
    <col min="1" max="1" width="1.59765625" customWidth="1"/>
    <col min="2" max="2" width="50.59765625" customWidth="1"/>
    <col min="3" max="7" width="12.59765625" customWidth="1"/>
  </cols>
  <sheetData>
    <row r="1" spans="1:12" ht="45" customHeight="1" x14ac:dyDescent="0.85">
      <c r="A1" s="83" t="s">
        <v>254</v>
      </c>
      <c r="B1" s="127"/>
      <c r="C1" s="79"/>
      <c r="D1" s="79"/>
      <c r="E1" s="79"/>
      <c r="F1" s="79"/>
      <c r="G1" s="79"/>
      <c r="H1" s="79"/>
      <c r="I1" s="79"/>
      <c r="J1" s="79"/>
      <c r="K1" s="79"/>
      <c r="L1" s="79"/>
    </row>
    <row r="2" spans="1:12" x14ac:dyDescent="0.45">
      <c r="A2" t="s">
        <v>54</v>
      </c>
    </row>
    <row r="3" spans="1:12" ht="15.75" x14ac:dyDescent="0.45">
      <c r="A3" s="85"/>
    </row>
    <row r="4" spans="1:12" ht="15.75" x14ac:dyDescent="0.45">
      <c r="A4" s="85" t="s">
        <v>35</v>
      </c>
    </row>
    <row r="5" spans="1:12" ht="15.75" x14ac:dyDescent="0.45">
      <c r="A5" s="85"/>
      <c r="B5" t="s">
        <v>255</v>
      </c>
    </row>
    <row r="6" spans="1:12" ht="15.75" x14ac:dyDescent="0.45">
      <c r="A6" s="85"/>
      <c r="B6" t="s">
        <v>256</v>
      </c>
    </row>
    <row r="7" spans="1:12" ht="15.75" x14ac:dyDescent="0.45">
      <c r="A7" s="85"/>
      <c r="B7" t="s">
        <v>257</v>
      </c>
    </row>
    <row r="8" spans="1:12" ht="15.75" x14ac:dyDescent="0.45">
      <c r="A8" s="85"/>
    </row>
    <row r="9" spans="1:12" ht="15.75" x14ac:dyDescent="0.45">
      <c r="A9" s="85"/>
    </row>
    <row r="10" spans="1:12" ht="15.75" x14ac:dyDescent="0.45">
      <c r="A10" s="85"/>
    </row>
    <row r="11" spans="1:12" ht="15.75" x14ac:dyDescent="0.45">
      <c r="A11" s="85"/>
    </row>
    <row r="12" spans="1:12" ht="15.75" x14ac:dyDescent="0.45">
      <c r="A12" s="85"/>
    </row>
    <row r="13" spans="1:12" ht="15.75" x14ac:dyDescent="0.45">
      <c r="A13" s="85"/>
    </row>
    <row r="14" spans="1:12" ht="15.75" x14ac:dyDescent="0.45">
      <c r="A14" s="85"/>
    </row>
    <row r="15" spans="1:12" ht="15.75" x14ac:dyDescent="0.45">
      <c r="A15" s="85"/>
    </row>
    <row r="16" spans="1:12" ht="15.75" x14ac:dyDescent="0.45">
      <c r="A16" s="85"/>
    </row>
    <row r="17" spans="1:3" ht="15.75" x14ac:dyDescent="0.45">
      <c r="A17" s="85"/>
    </row>
    <row r="18" spans="1:3" ht="15.75" x14ac:dyDescent="0.45">
      <c r="A18" s="85"/>
    </row>
    <row r="19" spans="1:3" ht="15.75" x14ac:dyDescent="0.45">
      <c r="A19" s="85"/>
    </row>
    <row r="20" spans="1:3" ht="15.75" x14ac:dyDescent="0.45">
      <c r="A20" s="85"/>
    </row>
    <row r="21" spans="1:3" ht="15.75" x14ac:dyDescent="0.45">
      <c r="A21" s="85"/>
    </row>
    <row r="22" spans="1:3" ht="15.75" x14ac:dyDescent="0.45">
      <c r="A22" s="85"/>
    </row>
    <row r="23" spans="1:3" ht="15.75" x14ac:dyDescent="0.45">
      <c r="A23" s="85"/>
    </row>
    <row r="24" spans="1:3" ht="15.75" x14ac:dyDescent="0.45">
      <c r="A24" s="85"/>
    </row>
    <row r="25" spans="1:3" ht="15.75" x14ac:dyDescent="0.45">
      <c r="A25" s="85"/>
    </row>
    <row r="26" spans="1:3" ht="15.75" x14ac:dyDescent="0.45">
      <c r="A26" s="85"/>
    </row>
    <row r="27" spans="1:3" ht="15.75" x14ac:dyDescent="0.45">
      <c r="A27" s="85"/>
    </row>
    <row r="28" spans="1:3" ht="15.75" x14ac:dyDescent="0.45">
      <c r="A28" s="85"/>
    </row>
    <row r="29" spans="1:3" ht="15.75" x14ac:dyDescent="0.45">
      <c r="A29" s="85" t="s">
        <v>258</v>
      </c>
    </row>
    <row r="30" spans="1:3" ht="15.75" x14ac:dyDescent="0.45">
      <c r="A30" s="85"/>
    </row>
    <row r="31" spans="1:3" ht="15.75" x14ac:dyDescent="0.45">
      <c r="A31" s="85"/>
      <c r="B31" t="s">
        <v>8</v>
      </c>
      <c r="C31" t="s">
        <v>259</v>
      </c>
    </row>
    <row r="32" spans="1:3" ht="15.75" x14ac:dyDescent="0.45">
      <c r="A32" s="85"/>
      <c r="B32" t="s">
        <v>260</v>
      </c>
      <c r="C32" s="221">
        <v>4312.4561679999997</v>
      </c>
    </row>
    <row r="33" spans="1:3" ht="15.75" x14ac:dyDescent="0.45">
      <c r="A33" s="85"/>
      <c r="B33" t="s">
        <v>261</v>
      </c>
      <c r="C33" s="186">
        <v>47</v>
      </c>
    </row>
    <row r="34" spans="1:3" ht="15.75" x14ac:dyDescent="0.45">
      <c r="A34" s="85"/>
      <c r="B34" t="s">
        <v>262</v>
      </c>
      <c r="C34" s="106">
        <v>48.52</v>
      </c>
    </row>
    <row r="35" spans="1:3" ht="15.75" x14ac:dyDescent="0.45">
      <c r="A35" s="85"/>
      <c r="B35" t="s">
        <v>263</v>
      </c>
      <c r="C35" s="189">
        <v>59.55</v>
      </c>
    </row>
    <row r="36" spans="1:3" ht="15.75" x14ac:dyDescent="0.45">
      <c r="A36" s="85"/>
      <c r="B36" t="s">
        <v>264</v>
      </c>
      <c r="C36">
        <f>C33*MAX(0,(C35-C34)/C35)</f>
        <v>8.7054575986565865</v>
      </c>
    </row>
    <row r="37" spans="1:3" ht="15.75" x14ac:dyDescent="0.45">
      <c r="A37" s="85"/>
      <c r="B37" t="s">
        <v>265</v>
      </c>
      <c r="C37" s="214">
        <v>2.8540000000000001</v>
      </c>
    </row>
    <row r="38" spans="1:3" ht="15.75" x14ac:dyDescent="0.45">
      <c r="A38" s="85"/>
      <c r="B38" t="s">
        <v>266</v>
      </c>
      <c r="C38" s="214">
        <v>3.4929999999999999</v>
      </c>
    </row>
    <row r="39" spans="1:3" ht="15.75" x14ac:dyDescent="0.45">
      <c r="A39" s="85"/>
      <c r="B39" t="s">
        <v>267</v>
      </c>
      <c r="C39">
        <f>SUM(C36:C38,C32)</f>
        <v>4327.5086255986562</v>
      </c>
    </row>
    <row r="40" spans="1:3" ht="15.75" x14ac:dyDescent="0.45">
      <c r="A40" s="85"/>
      <c r="B40" t="s">
        <v>268</v>
      </c>
      <c r="C40">
        <f>C39*C35</f>
        <v>257703.13865439995</v>
      </c>
    </row>
    <row r="41" spans="1:3" ht="15.75" x14ac:dyDescent="0.45">
      <c r="A41" s="85"/>
    </row>
    <row r="42" spans="1:3" ht="15.75" x14ac:dyDescent="0.45">
      <c r="A42" s="85"/>
      <c r="B42" t="s">
        <v>269</v>
      </c>
      <c r="C42" s="105">
        <v>4557</v>
      </c>
    </row>
    <row r="43" spans="1:3" ht="15.75" x14ac:dyDescent="0.45">
      <c r="A43" s="85"/>
      <c r="B43" t="s">
        <v>270</v>
      </c>
      <c r="C43" s="105">
        <v>1960</v>
      </c>
    </row>
    <row r="44" spans="1:3" ht="15.75" x14ac:dyDescent="0.45">
      <c r="A44" s="85"/>
      <c r="B44" t="s">
        <v>271</v>
      </c>
      <c r="C44" s="105">
        <v>35547</v>
      </c>
    </row>
    <row r="45" spans="1:3" ht="15.75" x14ac:dyDescent="0.45">
      <c r="A45" s="85"/>
      <c r="B45" t="s">
        <v>272</v>
      </c>
      <c r="C45" s="105">
        <v>1539</v>
      </c>
    </row>
    <row r="46" spans="1:3" ht="15.75" x14ac:dyDescent="0.45">
      <c r="A46" s="85"/>
    </row>
    <row r="47" spans="1:3" ht="15.75" x14ac:dyDescent="0.45">
      <c r="A47" s="85"/>
      <c r="B47" t="s">
        <v>273</v>
      </c>
      <c r="C47" s="105">
        <v>12363</v>
      </c>
    </row>
    <row r="48" spans="1:3" ht="15.75" x14ac:dyDescent="0.45">
      <c r="A48" s="85"/>
      <c r="B48" t="s">
        <v>274</v>
      </c>
      <c r="C48" s="105">
        <v>1300</v>
      </c>
    </row>
    <row r="49" spans="1:9" ht="15.75" x14ac:dyDescent="0.45">
      <c r="A49" s="85"/>
      <c r="B49" t="s">
        <v>275</v>
      </c>
      <c r="C49" s="105">
        <v>19671</v>
      </c>
    </row>
    <row r="50" spans="1:9" ht="15.75" x14ac:dyDescent="0.45">
      <c r="A50" s="85"/>
      <c r="B50" t="s">
        <v>276</v>
      </c>
      <c r="C50" s="105">
        <v>118</v>
      </c>
    </row>
    <row r="51" spans="1:9" ht="15.75" x14ac:dyDescent="0.45">
      <c r="A51" s="85"/>
    </row>
    <row r="52" spans="1:9" ht="15.75" x14ac:dyDescent="0.45">
      <c r="A52" s="85"/>
      <c r="B52" t="s">
        <v>277</v>
      </c>
      <c r="C52">
        <f>SUM(C40,C42:C45)-SUM(C47:C50)</f>
        <v>267854.13865439995</v>
      </c>
    </row>
    <row r="53" spans="1:9" ht="15.75" x14ac:dyDescent="0.45">
      <c r="A53" s="85"/>
      <c r="G53" t="s">
        <v>278</v>
      </c>
    </row>
    <row r="54" spans="1:9" ht="15.75" x14ac:dyDescent="0.45">
      <c r="A54" s="85"/>
      <c r="B54" t="s">
        <v>279</v>
      </c>
      <c r="C54" s="98" t="s">
        <v>280</v>
      </c>
      <c r="D54" t="s">
        <v>281</v>
      </c>
      <c r="E54" t="s">
        <v>282</v>
      </c>
      <c r="F54" t="s">
        <v>283</v>
      </c>
      <c r="G54" s="98" t="s">
        <v>284</v>
      </c>
      <c r="H54" s="98" t="s">
        <v>285</v>
      </c>
      <c r="I54" s="98" t="s">
        <v>286</v>
      </c>
    </row>
    <row r="55" spans="1:9" ht="15.75" x14ac:dyDescent="0.45">
      <c r="A55" s="85"/>
      <c r="B55" t="s">
        <v>61</v>
      </c>
      <c r="C55" s="105">
        <v>13336</v>
      </c>
      <c r="D55" s="107">
        <v>0</v>
      </c>
      <c r="E55" s="107">
        <v>0</v>
      </c>
    </row>
    <row r="56" spans="1:9" ht="15.75" x14ac:dyDescent="0.45">
      <c r="A56" s="85"/>
      <c r="B56" t="s">
        <v>62</v>
      </c>
      <c r="C56" s="107">
        <v>0</v>
      </c>
      <c r="D56" s="107">
        <v>0</v>
      </c>
      <c r="E56" s="107">
        <v>0</v>
      </c>
    </row>
    <row r="57" spans="1:9" ht="15.75" x14ac:dyDescent="0.45">
      <c r="A57" s="85"/>
      <c r="B57" t="s">
        <v>63</v>
      </c>
      <c r="C57">
        <f>SUM(C55:C56)</f>
        <v>13336</v>
      </c>
      <c r="D57">
        <f>SUM(D55:D56)</f>
        <v>0</v>
      </c>
      <c r="E57">
        <f>SUM(E55:E56)</f>
        <v>0</v>
      </c>
      <c r="F57">
        <f>C57-D57+E57</f>
        <v>13336</v>
      </c>
    </row>
    <row r="58" spans="1:9" ht="15.75" x14ac:dyDescent="0.45">
      <c r="A58" s="85"/>
      <c r="B58" t="s">
        <v>287</v>
      </c>
      <c r="C58" s="105">
        <v>1128</v>
      </c>
      <c r="D58" s="107">
        <v>0</v>
      </c>
      <c r="E58" s="107">
        <v>0</v>
      </c>
    </row>
    <row r="59" spans="1:9" ht="15.75" x14ac:dyDescent="0.45">
      <c r="A59" s="85"/>
      <c r="B59" t="s">
        <v>65</v>
      </c>
      <c r="C59">
        <f>SUM(C57:C58)</f>
        <v>14464</v>
      </c>
      <c r="D59">
        <f t="shared" ref="D59:E59" si="0">SUM(D57:D58)</f>
        <v>0</v>
      </c>
      <c r="E59">
        <f t="shared" si="0"/>
        <v>0</v>
      </c>
      <c r="F59">
        <f>C59-D59+E59</f>
        <v>14464</v>
      </c>
      <c r="G59" s="66">
        <f>'1'!I55</f>
        <v>15566</v>
      </c>
      <c r="H59" s="66">
        <f>'1'!J55</f>
        <v>16632</v>
      </c>
      <c r="I59" s="66">
        <f>'1'!K55</f>
        <v>17632</v>
      </c>
    </row>
    <row r="60" spans="1:9" ht="15.75" x14ac:dyDescent="0.45">
      <c r="A60" s="85"/>
    </row>
    <row r="61" spans="1:9" ht="15.75" x14ac:dyDescent="0.45">
      <c r="A61" s="85"/>
      <c r="B61" t="s">
        <v>288</v>
      </c>
      <c r="F61" s="75">
        <f>$C$52/F59</f>
        <v>18.518676621570794</v>
      </c>
      <c r="G61" s="75">
        <f>$C$52/G59</f>
        <v>17.207640926018243</v>
      </c>
      <c r="H61" s="75">
        <f>$C$52/H59</f>
        <v>16.104746191341988</v>
      </c>
      <c r="I61" s="75">
        <f>$C$52/I59</f>
        <v>15.191364488112519</v>
      </c>
    </row>
    <row r="62" spans="1:9" ht="15.75" x14ac:dyDescent="0.45">
      <c r="A62" s="85"/>
    </row>
    <row r="63" spans="1:9" ht="15.75" x14ac:dyDescent="0.45">
      <c r="A63" s="85" t="s">
        <v>289</v>
      </c>
    </row>
    <row r="64" spans="1:9" ht="15.75" x14ac:dyDescent="0.45">
      <c r="A64" s="85"/>
    </row>
    <row r="65" spans="1:3" ht="15.75" x14ac:dyDescent="0.45">
      <c r="A65" s="85"/>
      <c r="B65" t="s">
        <v>8</v>
      </c>
      <c r="C65" t="s">
        <v>28</v>
      </c>
    </row>
    <row r="66" spans="1:3" ht="15.75" x14ac:dyDescent="0.45">
      <c r="A66" s="85"/>
      <c r="B66" t="s">
        <v>260</v>
      </c>
      <c r="C66" s="221">
        <v>1387.5910100000001</v>
      </c>
    </row>
    <row r="67" spans="1:3" ht="15.75" x14ac:dyDescent="0.45">
      <c r="A67" s="85"/>
      <c r="B67" t="s">
        <v>261</v>
      </c>
      <c r="C67" s="221">
        <v>3.7451999999999999E-2</v>
      </c>
    </row>
    <row r="68" spans="1:3" ht="15.75" x14ac:dyDescent="0.45">
      <c r="A68" s="85"/>
      <c r="B68" t="s">
        <v>262</v>
      </c>
      <c r="C68" s="106">
        <v>14.76</v>
      </c>
    </row>
    <row r="69" spans="1:3" ht="15.75" x14ac:dyDescent="0.45">
      <c r="A69" s="85"/>
      <c r="B69" t="s">
        <v>263</v>
      </c>
      <c r="C69" s="66">
        <v>29.2</v>
      </c>
    </row>
    <row r="70" spans="1:3" ht="15.75" x14ac:dyDescent="0.45">
      <c r="A70" s="85"/>
      <c r="B70" t="s">
        <v>264</v>
      </c>
      <c r="C70">
        <f>C67*MAX(0,(C69-C68)/C69)</f>
        <v>1.8520783561643835E-2</v>
      </c>
    </row>
    <row r="71" spans="1:3" ht="15.75" x14ac:dyDescent="0.45">
      <c r="A71" s="85"/>
      <c r="B71" t="s">
        <v>290</v>
      </c>
      <c r="C71" s="221">
        <v>0.32877600000000001</v>
      </c>
    </row>
    <row r="72" spans="1:3" ht="15.75" x14ac:dyDescent="0.45">
      <c r="A72" s="85"/>
      <c r="B72" t="s">
        <v>291</v>
      </c>
      <c r="C72" s="220">
        <v>15.74882</v>
      </c>
    </row>
    <row r="73" spans="1:3" ht="15.75" x14ac:dyDescent="0.45">
      <c r="A73" s="85"/>
      <c r="B73" t="s">
        <v>267</v>
      </c>
      <c r="C73">
        <f>SUM(C70:C72,C66)</f>
        <v>1403.6871267835618</v>
      </c>
    </row>
    <row r="74" spans="1:3" ht="15.75" x14ac:dyDescent="0.45">
      <c r="A74" s="85"/>
      <c r="B74" t="s">
        <v>268</v>
      </c>
      <c r="C74">
        <f>C73*C69</f>
        <v>40987.664102080002</v>
      </c>
    </row>
    <row r="75" spans="1:3" ht="15.75" x14ac:dyDescent="0.45">
      <c r="A75" s="85"/>
    </row>
    <row r="76" spans="1:3" ht="15.75" x14ac:dyDescent="0.45">
      <c r="A76" s="85"/>
      <c r="B76" t="s">
        <v>98</v>
      </c>
      <c r="C76" s="105">
        <v>3246</v>
      </c>
    </row>
    <row r="77" spans="1:3" ht="15.75" x14ac:dyDescent="0.45">
      <c r="A77" s="85"/>
      <c r="B77" t="s">
        <v>100</v>
      </c>
      <c r="C77" s="105">
        <v>9945</v>
      </c>
    </row>
    <row r="78" spans="1:3" ht="15.75" x14ac:dyDescent="0.45">
      <c r="A78" s="85"/>
      <c r="B78" t="s">
        <v>101</v>
      </c>
      <c r="C78" s="105">
        <v>106</v>
      </c>
    </row>
    <row r="79" spans="1:3" ht="15.75" x14ac:dyDescent="0.45">
      <c r="A79" s="85"/>
      <c r="B79" t="s">
        <v>102</v>
      </c>
      <c r="C79" s="105">
        <v>620</v>
      </c>
    </row>
    <row r="80" spans="1:3" ht="15.75" x14ac:dyDescent="0.45">
      <c r="A80" s="85"/>
      <c r="B80" t="s">
        <v>103</v>
      </c>
      <c r="C80" s="105">
        <v>117</v>
      </c>
    </row>
    <row r="81" spans="1:9" ht="15.75" x14ac:dyDescent="0.45">
      <c r="A81" s="85"/>
      <c r="B81" t="s">
        <v>292</v>
      </c>
      <c r="C81" s="105">
        <v>148</v>
      </c>
    </row>
    <row r="82" spans="1:9" ht="15.75" x14ac:dyDescent="0.45">
      <c r="A82" s="85"/>
      <c r="B82" t="s">
        <v>272</v>
      </c>
      <c r="C82" s="105">
        <v>0</v>
      </c>
    </row>
    <row r="83" spans="1:9" ht="15.75" x14ac:dyDescent="0.45">
      <c r="A83" s="85"/>
      <c r="C83" s="105"/>
    </row>
    <row r="84" spans="1:9" ht="15.75" x14ac:dyDescent="0.45">
      <c r="A84" s="85"/>
      <c r="B84" t="s">
        <v>273</v>
      </c>
      <c r="C84" s="105">
        <v>267</v>
      </c>
    </row>
    <row r="85" spans="1:9" ht="15.75" x14ac:dyDescent="0.45">
      <c r="A85" s="85"/>
      <c r="B85" t="s">
        <v>293</v>
      </c>
      <c r="C85" s="105">
        <v>1387</v>
      </c>
    </row>
    <row r="86" spans="1:9" ht="15.75" x14ac:dyDescent="0.45">
      <c r="A86" s="85"/>
    </row>
    <row r="87" spans="1:9" ht="15.75" x14ac:dyDescent="0.45">
      <c r="A87" s="85"/>
      <c r="B87" t="s">
        <v>277</v>
      </c>
      <c r="C87">
        <f>SUM(C74,C76:C82)-SUM(C84:C85)</f>
        <v>53515.664102080002</v>
      </c>
    </row>
    <row r="88" spans="1:9" ht="15.75" x14ac:dyDescent="0.45">
      <c r="A88" s="85"/>
      <c r="G88" t="s">
        <v>278</v>
      </c>
    </row>
    <row r="89" spans="1:9" ht="15.75" x14ac:dyDescent="0.45">
      <c r="A89" s="85"/>
      <c r="B89" t="s">
        <v>279</v>
      </c>
      <c r="C89" s="98" t="s">
        <v>280</v>
      </c>
      <c r="D89" t="s">
        <v>281</v>
      </c>
      <c r="E89" t="s">
        <v>282</v>
      </c>
      <c r="F89" t="s">
        <v>283</v>
      </c>
      <c r="G89" s="98" t="s">
        <v>284</v>
      </c>
      <c r="H89" s="98" t="s">
        <v>285</v>
      </c>
      <c r="I89" s="98" t="s">
        <v>286</v>
      </c>
    </row>
    <row r="90" spans="1:9" ht="15.75" x14ac:dyDescent="0.45">
      <c r="A90" s="85"/>
      <c r="B90" t="s">
        <v>61</v>
      </c>
      <c r="C90" s="105">
        <v>3657</v>
      </c>
      <c r="D90" s="66">
        <v>0</v>
      </c>
      <c r="E90" s="66">
        <v>0</v>
      </c>
    </row>
    <row r="91" spans="1:9" ht="15.75" x14ac:dyDescent="0.45">
      <c r="A91" s="85"/>
      <c r="B91" t="s">
        <v>294</v>
      </c>
      <c r="C91" s="105">
        <v>-137</v>
      </c>
      <c r="D91" s="107">
        <v>0</v>
      </c>
      <c r="E91" s="107">
        <v>0</v>
      </c>
    </row>
    <row r="92" spans="1:9" ht="15.75" x14ac:dyDescent="0.45">
      <c r="A92" s="85"/>
      <c r="B92" t="s">
        <v>295</v>
      </c>
      <c r="C92" s="105">
        <v>-17</v>
      </c>
      <c r="D92" s="107">
        <v>0</v>
      </c>
      <c r="E92" s="107">
        <v>0</v>
      </c>
    </row>
    <row r="93" spans="1:9" ht="15.75" x14ac:dyDescent="0.45">
      <c r="A93" s="85"/>
      <c r="B93" t="s">
        <v>63</v>
      </c>
      <c r="C93">
        <f>SUM(C90:C92)</f>
        <v>3503</v>
      </c>
      <c r="D93">
        <f t="shared" ref="D93:E93" si="1">SUM(D90:D92)</f>
        <v>0</v>
      </c>
      <c r="E93">
        <f t="shared" si="1"/>
        <v>0</v>
      </c>
      <c r="F93">
        <f>C93-D93+E93</f>
        <v>3503</v>
      </c>
    </row>
    <row r="94" spans="1:9" ht="15.75" x14ac:dyDescent="0.45">
      <c r="A94" s="85"/>
      <c r="B94" t="s">
        <v>287</v>
      </c>
      <c r="C94" s="185">
        <f>402+137</f>
        <v>539</v>
      </c>
      <c r="D94" s="66">
        <v>0</v>
      </c>
      <c r="E94" s="66">
        <v>0</v>
      </c>
    </row>
    <row r="95" spans="1:9" ht="15.75" x14ac:dyDescent="0.45">
      <c r="A95" s="85"/>
      <c r="B95" t="s">
        <v>65</v>
      </c>
      <c r="C95">
        <f>SUM(C93:C94)</f>
        <v>4042</v>
      </c>
      <c r="D95">
        <f t="shared" ref="D95:E95" si="2">SUM(D93:D94)</f>
        <v>0</v>
      </c>
      <c r="E95">
        <f t="shared" si="2"/>
        <v>0</v>
      </c>
      <c r="F95">
        <f>C95-D95+E95</f>
        <v>4042</v>
      </c>
      <c r="G95" s="66">
        <f>'2'!I55</f>
        <v>4525</v>
      </c>
      <c r="H95" s="66">
        <f>'2'!J55</f>
        <v>4737</v>
      </c>
      <c r="I95" s="66">
        <f>'2'!K55</f>
        <v>4938</v>
      </c>
    </row>
    <row r="96" spans="1:9" ht="15.75" x14ac:dyDescent="0.45">
      <c r="A96" s="85"/>
    </row>
    <row r="97" spans="1:9" ht="15.75" x14ac:dyDescent="0.45">
      <c r="A97" s="85"/>
      <c r="B97" t="s">
        <v>288</v>
      </c>
      <c r="F97" s="102">
        <f>$C$87/F95</f>
        <v>13.239897105907966</v>
      </c>
      <c r="G97" s="102">
        <f t="shared" ref="G97:I97" si="3">$C$87/G95</f>
        <v>11.826666099907182</v>
      </c>
      <c r="H97" s="102">
        <f t="shared" si="3"/>
        <v>11.297374731281401</v>
      </c>
      <c r="I97" s="102">
        <f t="shared" si="3"/>
        <v>10.837518044163629</v>
      </c>
    </row>
    <row r="98" spans="1:9" ht="15.75" x14ac:dyDescent="0.45">
      <c r="A98" s="85"/>
    </row>
    <row r="99" spans="1:9" ht="15.75" x14ac:dyDescent="0.45">
      <c r="A99" s="85" t="s">
        <v>147</v>
      </c>
    </row>
  </sheetData>
  <hyperlinks>
    <hyperlink ref="C32" r:id="rId1" display="https://felix.fe.training/filing/document.php/?hid=65e9cbbad3905" xr:uid="{21437524-3676-43C7-A342-43714DACA828}"/>
    <hyperlink ref="C33" r:id="rId2" display="https://felix.fe.training/filing/document.php/?hid=65e9ccb731cd1" xr:uid="{B211C77E-8764-4D09-8976-EDFFF0939B26}"/>
    <hyperlink ref="C34" r:id="rId3" display="https://felix.fe.training/filing/document.php/?hid=65e9ccb731cd1" xr:uid="{F8ECDF6D-C551-44AB-B3B2-F9084C512F04}"/>
    <hyperlink ref="C37" r:id="rId4" display="https://felix.fe.training/filing/document.php/?hid=65e9ccd08b36a" xr:uid="{9150BFA2-BC57-449F-AE51-A82CEDC792CF}"/>
    <hyperlink ref="C38" r:id="rId5" display="https://felix.fe.training/filing/document.php/?hid=65e9ccfaa66b6" xr:uid="{CEFA1C3B-4FE7-4C89-B003-FC02FD7DE004}"/>
    <hyperlink ref="C42" r:id="rId6" display="https://felix.fe.training/filing/document.php/?hid=65e5adf07822f" xr:uid="{36CD58D6-D1D0-48CE-8D23-080EDB6E3282}"/>
    <hyperlink ref="C43" r:id="rId7" display="https://felix.fe.training/filing/document.php/?hid=65e5ae176df1e" xr:uid="{BA478E6F-08E3-44AF-9487-5A3C11A49E93}"/>
    <hyperlink ref="C44" r:id="rId8" display="https://felix.fe.training/filing/document.php/?hid=65e5ae3f05e23" xr:uid="{6AA35611-51AD-44F2-9313-9699446E9057}"/>
    <hyperlink ref="C45" r:id="rId9" display="https://felix.fe.training/filing/document.php/?hid=65e9cdb850def" xr:uid="{205E64D9-C7AE-4929-80A7-52C188B035C5}"/>
    <hyperlink ref="C47" r:id="rId10" display="https://felix.fe.training/filing/document.php/?hid=65e5af83758ef" xr:uid="{AA619FD9-7BBC-4138-A249-412E13F139B7}"/>
    <hyperlink ref="C48" r:id="rId11" display="https://felix.fe.training/filing/document.php/?hid=65e5afad07d81" xr:uid="{278A22C0-2C04-4CD1-807D-2B43C2605303}"/>
    <hyperlink ref="C49" r:id="rId12" display="https://felix.fe.training/filing/document.php/?hid=65e9ce0234bb0" xr:uid="{B2A08991-70C3-492D-A45B-469DDE780BD4}"/>
    <hyperlink ref="C50" r:id="rId13" display="https://felix.fe.training/filing/document.php/?hid=65e9ce1a63276" xr:uid="{57112EDD-B6D4-4212-BA5C-760D3555CCD8}"/>
    <hyperlink ref="C55" r:id="rId14" display="https://felix.fe.training/filing-document/?hid=65e5a8d635490" xr:uid="{3EA84334-6795-49DF-A063-0BB15C02A4D7}"/>
    <hyperlink ref="C58" r:id="rId15" display="https://felix.fe.training/filing-document/?hid=65e5a99f7af68" xr:uid="{19E1D05D-5227-4C8E-9A69-8240F657E005}"/>
    <hyperlink ref="C66" r:id="rId16" display="https://felix.fe.training/filing/document.php/?hid=65e9f24145f54" xr:uid="{29B3338B-DBA3-4926-B0D4-747919DD57E0}"/>
    <hyperlink ref="C67" r:id="rId17" display="https://felix.fe.training/filing/document.php/?hid=65e9f47b42315" xr:uid="{8DDD1088-20A1-46F9-BB73-969AB1499D50}"/>
    <hyperlink ref="C68" r:id="rId18" display="https://felix.fe.training/filing/document.php/?hid=65e9f47b42315" xr:uid="{3600802B-343C-4B1E-9B01-C520E41E57B7}"/>
    <hyperlink ref="C72" r:id="rId19" display="https://felix.fe.training/filing/document.php/?hid=65e9f41a42b94" xr:uid="{847179FE-BB63-4052-BAFD-A7FFBF3515B8}"/>
    <hyperlink ref="C71" r:id="rId20" display="https://felix.fe.training/filing/document.php/?hid=65e9f43b6bcf5" xr:uid="{B1084EF0-8AEF-4139-867E-90E9731235DE}"/>
    <hyperlink ref="C76" r:id="rId21" display="https://felix.fe.training/filing-document/?hid=65e5c0c74ef46" xr:uid="{D3884CB5-7021-4C97-87E5-FC56EBE40AEB}"/>
    <hyperlink ref="C77" r:id="rId22" display="https://felix.fe.training/filing-document/?hid=65e5c1090ecb7" xr:uid="{9B06CECB-0590-4266-98BA-5C51844BEABD}"/>
    <hyperlink ref="C78" r:id="rId23" display="https://felix.fe.training/filing-document/?hid=65e5c16f23378" xr:uid="{F96FEDB3-D823-4E04-B903-E31241CC8EB2}"/>
    <hyperlink ref="C79" r:id="rId24" display="https://felix.fe.training/filing-document/?hid=65e5c1a2bde1f" xr:uid="{73AFE17F-AA34-426F-AAC2-440FB0A0C2FD}"/>
    <hyperlink ref="C80" r:id="rId25" display="https://felix.fe.training/filing-document/?hid=65e5c12ca9eca" xr:uid="{BBE69CE3-D9AF-4C65-8088-6916456AE3F2}"/>
    <hyperlink ref="C81" r:id="rId26" display="https://felix.fe.training/filing/document.php/?hid=65e9f5335f482" xr:uid="{F58E4F08-827A-414E-B062-36DBAA180909}"/>
    <hyperlink ref="C82" r:id="rId27" display="https://felix.fe.training/filing/document.php/?hid=65e9f5d74daf2" xr:uid="{336D697B-783A-4537-9136-35F9ED9492F1}"/>
    <hyperlink ref="C84" r:id="rId28" display="https://felix.fe.training/filing-document/?hid=65e5c1deed0ac" xr:uid="{EC2E39C8-116D-4489-9F1E-4AF15A2A4686}"/>
    <hyperlink ref="C85" r:id="rId29" display="https://felix.fe.training/filing/document.php/?hid=65e9f5ae63d78" xr:uid="{E61C729C-C3EF-41E0-A3A3-B3088D6CEF65}"/>
    <hyperlink ref="C91" r:id="rId30" display="https://felix.fe.training/filing-document/?hid=65e5b6c398e73" xr:uid="{59D12125-17FB-4A66-83A4-9C83720AA788}"/>
    <hyperlink ref="C92" r:id="rId31" display="https://felix.fe.training/filing/document.php/?hid=65e9f6dae7e99" xr:uid="{C726AF1C-2688-4205-AA7B-91F12B47EC1E}"/>
    <hyperlink ref="C94" r:id="rId32" display="https://felix.fe.training/filing-document/?hid=65e5b7550a469" xr:uid="{759510F2-DEAC-497D-B89B-2719324C951D}"/>
    <hyperlink ref="C90" r:id="rId33" display="https://felix.fe.training/filing-document/?hid=65e5b65e5b570" xr:uid="{4912B833-7882-407F-B4DB-FC6ED314A8C6}"/>
  </hyperlinks>
  <printOptions headings="1" gridLines="1"/>
  <pageMargins left="0.7" right="0.7" top="0.75" bottom="0.75" header="0.3" footer="0.3"/>
  <pageSetup paperSize="9" scale="80" fitToHeight="0" orientation="landscape" r:id="rId34"/>
  <rowBreaks count="2" manualBreakCount="2">
    <brk id="28" max="11" man="1"/>
    <brk id="62" max="11" man="1"/>
  </rowBreaks>
  <drawing r:id="rId35"/>
  <legacyDrawing r:id="rId3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Z83"/>
  <sheetViews>
    <sheetView zoomScale="85" zoomScaleNormal="85" zoomScaleSheetLayoutView="85" workbookViewId="0"/>
  </sheetViews>
  <sheetFormatPr defaultColWidth="12.59765625" defaultRowHeight="15" customHeight="1" x14ac:dyDescent="0.45"/>
  <cols>
    <col min="1" max="1" width="1.59765625" customWidth="1"/>
    <col min="2" max="2" width="50.59765625" customWidth="1"/>
    <col min="3" max="3" width="20.59765625" customWidth="1"/>
    <col min="4" max="4" width="21.86328125" customWidth="1"/>
    <col min="5" max="5" width="15.59765625" customWidth="1"/>
    <col min="6" max="12" width="11" customWidth="1"/>
    <col min="13" max="13" width="20.59765625" bestFit="1" customWidth="1"/>
    <col min="14" max="16" width="11" customWidth="1"/>
    <col min="17" max="26" width="12.59765625" customWidth="1"/>
  </cols>
  <sheetData>
    <row r="1" spans="1:26" ht="45" customHeight="1" x14ac:dyDescent="0.85">
      <c r="A1" s="83" t="s">
        <v>27</v>
      </c>
      <c r="B1" s="83"/>
      <c r="C1" s="83"/>
      <c r="D1" s="83"/>
      <c r="E1" s="83"/>
      <c r="F1" s="83"/>
      <c r="G1" s="83"/>
      <c r="H1" s="83"/>
      <c r="I1" s="83"/>
      <c r="J1" s="83"/>
      <c r="K1" s="83"/>
      <c r="L1" s="83"/>
      <c r="M1" s="83"/>
      <c r="N1" s="83"/>
      <c r="O1" s="83"/>
      <c r="P1" s="83"/>
      <c r="Q1" s="23"/>
      <c r="R1" s="23"/>
      <c r="S1" s="23"/>
      <c r="T1" s="23"/>
      <c r="U1" s="23"/>
      <c r="V1" s="23"/>
      <c r="W1" s="23"/>
      <c r="X1" s="23"/>
      <c r="Y1" s="23"/>
      <c r="Z1" s="23"/>
    </row>
    <row r="2" spans="1:26" ht="15" customHeight="1" x14ac:dyDescent="0.55000000000000004">
      <c r="A2" s="54"/>
      <c r="B2" s="54"/>
      <c r="C2" s="24"/>
      <c r="D2" s="54"/>
      <c r="E2" s="54" t="s">
        <v>296</v>
      </c>
      <c r="F2" s="24"/>
      <c r="G2" s="25" t="s">
        <v>297</v>
      </c>
      <c r="H2" s="25"/>
      <c r="I2" s="54"/>
      <c r="J2" s="54"/>
      <c r="K2" s="54"/>
      <c r="L2" s="54"/>
      <c r="M2" s="54"/>
      <c r="N2" s="54"/>
      <c r="O2" s="24"/>
      <c r="P2" s="24"/>
      <c r="Q2" s="24"/>
      <c r="R2" s="24"/>
      <c r="S2" s="24"/>
      <c r="T2" s="24"/>
      <c r="U2" s="24"/>
      <c r="V2" s="24"/>
      <c r="W2" s="24"/>
      <c r="X2" s="24"/>
      <c r="Y2" s="24"/>
      <c r="Z2" s="24"/>
    </row>
    <row r="3" spans="1:26" ht="15" customHeight="1" x14ac:dyDescent="0.55000000000000004">
      <c r="A3" s="54"/>
      <c r="B3" s="54"/>
      <c r="C3" s="24"/>
      <c r="D3" s="54"/>
      <c r="E3" s="54"/>
      <c r="F3" s="54"/>
      <c r="G3" s="24"/>
      <c r="H3" s="24"/>
      <c r="I3" s="24"/>
      <c r="J3" s="24"/>
      <c r="K3" s="24"/>
      <c r="L3" s="24"/>
      <c r="M3" s="24"/>
      <c r="N3" s="24"/>
      <c r="O3" s="24"/>
      <c r="P3" s="24"/>
      <c r="Q3" s="24"/>
      <c r="R3" s="24"/>
      <c r="S3" s="24"/>
      <c r="T3" s="24"/>
      <c r="U3" s="24"/>
      <c r="V3" s="24"/>
      <c r="W3" s="24"/>
      <c r="X3" s="24"/>
      <c r="Y3" s="24"/>
      <c r="Z3" s="24"/>
    </row>
    <row r="4" spans="1:26" ht="15" customHeight="1" x14ac:dyDescent="0.45">
      <c r="A4" s="26" t="s">
        <v>298</v>
      </c>
      <c r="B4" s="27"/>
      <c r="C4" s="28"/>
      <c r="D4" s="54"/>
      <c r="E4" s="26" t="s">
        <v>299</v>
      </c>
      <c r="F4" s="27"/>
      <c r="G4" s="27"/>
      <c r="H4" s="28"/>
      <c r="I4" s="54"/>
      <c r="J4" s="54"/>
      <c r="K4" s="54"/>
      <c r="L4" s="54"/>
      <c r="M4" s="29"/>
      <c r="N4" s="54"/>
      <c r="O4" s="54"/>
      <c r="P4" s="54"/>
      <c r="Q4" s="54"/>
      <c r="R4" s="54"/>
      <c r="S4" s="54"/>
      <c r="T4" s="54"/>
      <c r="U4" s="54"/>
      <c r="V4" s="54"/>
      <c r="W4" s="54"/>
      <c r="X4" s="54"/>
    </row>
    <row r="5" spans="1:26" ht="15" customHeight="1" x14ac:dyDescent="0.45">
      <c r="A5" s="30"/>
      <c r="B5" s="54" t="s">
        <v>300</v>
      </c>
      <c r="C5" s="31" t="s">
        <v>301</v>
      </c>
      <c r="D5" s="54"/>
      <c r="E5" s="128" t="str">
        <f>"Enterprise value calculation in "&amp;MAIN_CURRENCY&amp;" MM"</f>
        <v>Enterprise value calculation in USD MM</v>
      </c>
      <c r="F5" s="54"/>
      <c r="G5" s="54"/>
      <c r="H5" s="129"/>
      <c r="I5" s="54"/>
      <c r="J5" s="54"/>
      <c r="K5" s="54"/>
      <c r="L5" s="54"/>
      <c r="M5" s="29"/>
      <c r="N5" s="54"/>
      <c r="O5" s="54"/>
      <c r="P5" s="54"/>
      <c r="Q5" s="54"/>
      <c r="R5" s="54"/>
      <c r="S5" s="54"/>
      <c r="T5" s="54"/>
      <c r="U5" s="54"/>
      <c r="V5" s="54"/>
      <c r="W5" s="54"/>
      <c r="X5" s="54"/>
    </row>
    <row r="6" spans="1:26" ht="15" customHeight="1" x14ac:dyDescent="0.45">
      <c r="A6" s="30"/>
      <c r="B6" s="54" t="s">
        <v>302</v>
      </c>
      <c r="C6" s="31" t="s">
        <v>303</v>
      </c>
      <c r="D6" s="54"/>
      <c r="E6" s="130" t="s">
        <v>304</v>
      </c>
      <c r="F6" s="54"/>
      <c r="G6" s="54"/>
      <c r="H6" s="129">
        <f>D36*'1'!COMP_FX</f>
        <v>257703.13865439995</v>
      </c>
      <c r="I6" s="54"/>
      <c r="J6" s="54"/>
      <c r="K6" s="54"/>
      <c r="L6" s="54"/>
      <c r="M6" s="29"/>
      <c r="N6" s="54"/>
      <c r="O6" s="54"/>
      <c r="P6" s="54"/>
      <c r="Q6" s="54"/>
      <c r="R6" s="54"/>
      <c r="S6" s="54"/>
      <c r="T6" s="54"/>
      <c r="U6" s="54"/>
      <c r="V6" s="54"/>
      <c r="W6" s="54"/>
      <c r="X6" s="54"/>
    </row>
    <row r="7" spans="1:26" ht="15" customHeight="1" x14ac:dyDescent="0.45">
      <c r="A7" s="30"/>
      <c r="B7" s="54" t="s">
        <v>305</v>
      </c>
      <c r="C7" s="131">
        <f>ANALYSIS_DATE</f>
        <v>45358</v>
      </c>
      <c r="D7" s="54"/>
      <c r="E7" s="130" t="s">
        <v>306</v>
      </c>
      <c r="F7" s="54"/>
      <c r="G7" s="54"/>
      <c r="H7" s="129">
        <f>SUM(G31:G33)*'1'!COMP_FX</f>
        <v>42064</v>
      </c>
      <c r="I7" s="54"/>
      <c r="J7" s="54"/>
      <c r="K7" s="54"/>
      <c r="L7" s="54"/>
      <c r="M7" s="29"/>
      <c r="N7" s="54"/>
      <c r="O7" s="54"/>
      <c r="P7" s="54"/>
      <c r="Q7" s="54"/>
      <c r="R7" s="54"/>
      <c r="S7" s="54"/>
      <c r="T7" s="54"/>
      <c r="U7" s="54"/>
      <c r="V7" s="54"/>
      <c r="W7" s="54"/>
      <c r="X7" s="54"/>
    </row>
    <row r="8" spans="1:26" ht="15" customHeight="1" x14ac:dyDescent="0.45">
      <c r="A8" s="30"/>
      <c r="B8" s="54" t="s">
        <v>307</v>
      </c>
      <c r="C8" s="131">
        <f>Trading_comps!D17</f>
        <v>45291</v>
      </c>
      <c r="D8" s="54"/>
      <c r="E8" s="130" t="s">
        <v>308</v>
      </c>
      <c r="F8" s="54"/>
      <c r="G8" s="54"/>
      <c r="H8" s="129">
        <f>SUM(J31:J32)*'1'!COMP_FX</f>
        <v>13663</v>
      </c>
      <c r="I8" s="54"/>
      <c r="J8" s="54"/>
      <c r="K8" s="54"/>
      <c r="L8" s="54"/>
      <c r="M8" s="54"/>
      <c r="N8" s="54"/>
      <c r="O8" s="54"/>
      <c r="P8" s="54"/>
      <c r="Q8" s="54"/>
      <c r="R8" s="54"/>
      <c r="S8" s="54"/>
      <c r="T8" s="54"/>
      <c r="U8" s="54"/>
      <c r="V8" s="54"/>
      <c r="W8" s="54"/>
      <c r="X8" s="54"/>
    </row>
    <row r="9" spans="1:26" ht="15" customHeight="1" x14ac:dyDescent="0.45">
      <c r="A9" s="32"/>
      <c r="B9" s="54" t="s">
        <v>309</v>
      </c>
      <c r="C9" s="132" t="str">
        <f>MAIN_CURRENCY</f>
        <v>USD</v>
      </c>
      <c r="D9" s="54"/>
      <c r="E9" s="130" t="s">
        <v>310</v>
      </c>
      <c r="F9" s="54"/>
      <c r="G9" s="54"/>
      <c r="H9" s="129">
        <f>(SUM(J33:J37)-SUM(G34:G37))*'1'!COMP_FX</f>
        <v>18250</v>
      </c>
      <c r="I9" s="54"/>
      <c r="J9" s="54"/>
      <c r="K9" s="54"/>
      <c r="L9" s="54"/>
      <c r="M9" s="54"/>
      <c r="N9" s="54"/>
      <c r="O9" s="54"/>
      <c r="P9" s="54"/>
      <c r="Q9" s="54"/>
      <c r="R9" s="54"/>
      <c r="S9" s="54"/>
      <c r="T9" s="54"/>
      <c r="U9" s="54"/>
      <c r="V9" s="54"/>
      <c r="W9" s="54"/>
      <c r="X9" s="54"/>
    </row>
    <row r="10" spans="1:26" ht="15" customHeight="1" x14ac:dyDescent="0.45">
      <c r="A10" s="30"/>
      <c r="B10" s="54" t="s">
        <v>178</v>
      </c>
      <c r="C10" s="190">
        <f>21%+1.1%</f>
        <v>0.221</v>
      </c>
      <c r="D10" s="54"/>
      <c r="E10" s="133" t="s">
        <v>311</v>
      </c>
      <c r="F10" s="104"/>
      <c r="G10" s="104"/>
      <c r="H10" s="134">
        <f>'1'!COMP_EQ_VALUE+'1'!TOTAL_DEBT-H8-H9</f>
        <v>267854.13865439995</v>
      </c>
      <c r="I10" s="54"/>
      <c r="J10" s="54"/>
      <c r="K10" s="54"/>
      <c r="L10" s="54"/>
      <c r="M10" s="54"/>
      <c r="N10" s="54"/>
      <c r="O10" s="54"/>
      <c r="P10" s="54"/>
      <c r="Q10" s="54"/>
      <c r="R10" s="54"/>
      <c r="S10" s="54"/>
      <c r="T10" s="54"/>
      <c r="U10" s="54"/>
      <c r="V10" s="54"/>
      <c r="W10" s="54"/>
      <c r="X10" s="54"/>
    </row>
    <row r="11" spans="1:26" ht="15" customHeight="1" x14ac:dyDescent="0.45">
      <c r="A11" s="30"/>
      <c r="B11" s="54" t="s">
        <v>312</v>
      </c>
      <c r="C11" s="34">
        <v>45291</v>
      </c>
      <c r="D11" s="54"/>
      <c r="E11" s="54"/>
      <c r="F11" s="54"/>
      <c r="G11" s="54"/>
      <c r="H11" s="54"/>
      <c r="I11" s="54"/>
      <c r="J11" s="54"/>
      <c r="K11" s="54"/>
      <c r="L11" s="54"/>
      <c r="M11" s="54"/>
      <c r="N11" s="54"/>
      <c r="O11" s="54"/>
      <c r="P11" s="54"/>
      <c r="Q11" s="54"/>
      <c r="R11" s="54"/>
      <c r="S11" s="54"/>
      <c r="T11" s="54"/>
      <c r="U11" s="54"/>
      <c r="V11" s="54"/>
      <c r="W11" s="54"/>
      <c r="X11" s="54"/>
    </row>
    <row r="12" spans="1:26" ht="15" customHeight="1" x14ac:dyDescent="0.45">
      <c r="A12" s="30"/>
      <c r="B12" s="54" t="s">
        <v>313</v>
      </c>
      <c r="C12" s="35" t="s">
        <v>314</v>
      </c>
      <c r="D12" s="54"/>
      <c r="E12" s="26" t="s">
        <v>315</v>
      </c>
      <c r="F12" s="27"/>
      <c r="G12" s="27"/>
      <c r="H12" s="27"/>
      <c r="I12" s="27"/>
      <c r="J12" s="27"/>
      <c r="K12" s="28"/>
      <c r="L12" s="54"/>
      <c r="M12" s="54"/>
      <c r="N12" s="54"/>
      <c r="O12" s="54"/>
      <c r="P12" s="54"/>
      <c r="Q12" s="54"/>
      <c r="R12" s="54"/>
      <c r="S12" s="54"/>
      <c r="T12" s="54"/>
      <c r="U12" s="54"/>
      <c r="V12" s="54"/>
      <c r="W12" s="54"/>
      <c r="X12" s="54"/>
    </row>
    <row r="13" spans="1:26" ht="15" customHeight="1" x14ac:dyDescent="0.45">
      <c r="A13" s="30"/>
      <c r="B13" s="54" t="s">
        <v>316</v>
      </c>
      <c r="C13" s="131">
        <f>DATE(RIGHT(C12,4),LEFT(C12,2),MID(C12,4,2))</f>
        <v>45291</v>
      </c>
      <c r="D13" s="54"/>
      <c r="E13" s="128" t="str">
        <f>"Numbers in "&amp;MAIN_CURRENCY&amp;" MM"</f>
        <v>Numbers in USD MM</v>
      </c>
      <c r="F13" s="54"/>
      <c r="G13" s="73" t="s">
        <v>283</v>
      </c>
      <c r="H13" s="135" t="str">
        <f>YEAR($C$8)+1&amp;"e"</f>
        <v>2024e</v>
      </c>
      <c r="I13" s="135" t="str">
        <f>YEAR($C$8)+2&amp;"e"</f>
        <v>2025e</v>
      </c>
      <c r="J13" s="135" t="str">
        <f>YEAR($C$8)+3&amp;"e"</f>
        <v>2026e</v>
      </c>
      <c r="K13" s="136" t="str">
        <f>YEAR($C$8)+4&amp;"e"</f>
        <v>2027e</v>
      </c>
      <c r="L13" s="54"/>
      <c r="M13" s="54"/>
      <c r="N13" s="54"/>
      <c r="O13" s="54"/>
      <c r="P13" s="54"/>
      <c r="Q13" s="54"/>
      <c r="R13" s="54"/>
      <c r="S13" s="54"/>
      <c r="T13" s="54"/>
      <c r="U13" s="54"/>
      <c r="V13" s="54"/>
      <c r="W13" s="54"/>
      <c r="X13" s="54"/>
    </row>
    <row r="14" spans="1:26" ht="15" customHeight="1" x14ac:dyDescent="0.45">
      <c r="A14" s="30"/>
      <c r="B14" s="54" t="s">
        <v>317</v>
      </c>
      <c r="C14" s="36" t="s">
        <v>318</v>
      </c>
      <c r="D14" s="54"/>
      <c r="E14" s="128" t="s">
        <v>198</v>
      </c>
      <c r="F14" s="54"/>
      <c r="G14" s="54">
        <f>G44*'1'!COMP_FX</f>
        <v>45784</v>
      </c>
      <c r="H14" s="73">
        <f>IF(I$80&gt;0,SUMPRODUCT('1'!COMP_CALENDARIZE_PERCENTAGES,H44:J44)*I$81*'1'!COMP_FX,"N/A")</f>
        <v>47140</v>
      </c>
      <c r="I14" s="73">
        <f>IF(J$80&gt;0,SUMPRODUCT('1'!COMP_CALENDARIZE_PERCENTAGES,I44:K44)*J$81*'1'!COMP_FX,"N/A")</f>
        <v>49486</v>
      </c>
      <c r="J14" s="73">
        <f>IF(K$80&gt;0,SUMPRODUCT('1'!COMP_CALENDARIZE_PERCENTAGES,J44:L44)*K$81*'1'!COMP_FX,"N/A")</f>
        <v>52262</v>
      </c>
      <c r="K14" s="132" t="str">
        <f>IF(L$80&gt;0,SUMPRODUCT('1'!COMP_CALENDARIZE_PERCENTAGES,K44:M44)*L$81*'1'!COMP_FX,"N/A")</f>
        <v>N/A</v>
      </c>
      <c r="L14" s="54"/>
      <c r="M14" s="54"/>
      <c r="N14" s="54"/>
      <c r="O14" s="54"/>
      <c r="P14" s="54"/>
      <c r="Q14" s="54"/>
      <c r="R14" s="54"/>
      <c r="S14" s="54"/>
      <c r="T14" s="54"/>
      <c r="U14" s="54"/>
      <c r="V14" s="54"/>
      <c r="W14" s="54"/>
      <c r="X14" s="54"/>
    </row>
    <row r="15" spans="1:26" ht="15" customHeight="1" x14ac:dyDescent="0.45">
      <c r="A15" s="30"/>
      <c r="B15" s="54" t="s">
        <v>319</v>
      </c>
      <c r="C15" s="37">
        <v>1</v>
      </c>
      <c r="D15" s="54"/>
      <c r="E15" s="128" t="s">
        <v>65</v>
      </c>
      <c r="F15" s="54"/>
      <c r="G15" s="54">
        <f>G55*'1'!COMP_FX</f>
        <v>14464</v>
      </c>
      <c r="H15" s="73">
        <f>IF(I$80&gt;0,SUMPRODUCT('1'!COMP_CALENDARIZE_PERCENTAGES,H55:J55)*I$81*'1'!COMP_FX,"N/A")</f>
        <v>15566</v>
      </c>
      <c r="I15" s="73">
        <f>IF(J$80&gt;0,SUMPRODUCT('1'!COMP_CALENDARIZE_PERCENTAGES,I55:K55)*J$81*'1'!COMP_FX,"N/A")</f>
        <v>16632</v>
      </c>
      <c r="J15" s="73">
        <f>IF(K$80&gt;0,SUMPRODUCT('1'!COMP_CALENDARIZE_PERCENTAGES,J55:L55)*K$81*'1'!COMP_FX,"N/A")</f>
        <v>17632</v>
      </c>
      <c r="K15" s="132" t="str">
        <f>IF(L$80&gt;0,SUMPRODUCT('1'!COMP_CALENDARIZE_PERCENTAGES,K55:M55)*L$81*'1'!COMP_FX,"N/A")</f>
        <v>N/A</v>
      </c>
      <c r="L15" s="54"/>
      <c r="M15" s="54"/>
      <c r="N15" s="54"/>
      <c r="O15" s="54"/>
      <c r="P15" s="54"/>
      <c r="Q15" s="54"/>
      <c r="R15" s="54"/>
      <c r="S15" s="54"/>
      <c r="T15" s="54"/>
      <c r="U15" s="54"/>
      <c r="V15" s="54"/>
      <c r="W15" s="54"/>
      <c r="X15" s="54"/>
    </row>
    <row r="16" spans="1:26" ht="15" customHeight="1" x14ac:dyDescent="0.45">
      <c r="A16" s="30"/>
      <c r="B16" s="54" t="s">
        <v>320</v>
      </c>
      <c r="C16" s="38">
        <v>59.55</v>
      </c>
      <c r="D16" s="54"/>
      <c r="E16" s="128" t="s">
        <v>63</v>
      </c>
      <c r="F16" s="54"/>
      <c r="G16" s="54">
        <f>G53*'1'!COMP_FX</f>
        <v>13336</v>
      </c>
      <c r="H16" s="73">
        <f>IF(I$80&gt;0,SUMPRODUCT('1'!COMP_CALENDARIZE_PERCENTAGES,H53:J53)*I$81*'1'!COMP_FX,"N/A")</f>
        <v>13862</v>
      </c>
      <c r="I16" s="73">
        <f>IF(J$80&gt;0,SUMPRODUCT('1'!COMP_CALENDARIZE_PERCENTAGES,I53:K53)*J$81*'1'!COMP_FX,"N/A")</f>
        <v>14781</v>
      </c>
      <c r="J16" s="73">
        <f>IF(K$80&gt;0,SUMPRODUCT('1'!COMP_CALENDARIZE_PERCENTAGES,J53:L53)*K$81*'1'!COMP_FX,"N/A")</f>
        <v>15845</v>
      </c>
      <c r="K16" s="132" t="str">
        <f>IF(L$80&gt;0,SUMPRODUCT('1'!COMP_CALENDARIZE_PERCENTAGES,K53:M53)*L$81*'1'!COMP_FX,"N/A")</f>
        <v>N/A</v>
      </c>
      <c r="L16" s="54"/>
      <c r="M16" s="54"/>
      <c r="N16" s="54"/>
      <c r="O16" s="54"/>
      <c r="P16" s="54"/>
      <c r="Q16" s="54"/>
      <c r="R16" s="54"/>
      <c r="S16" s="54"/>
      <c r="T16" s="54"/>
      <c r="U16" s="54"/>
      <c r="V16" s="54"/>
      <c r="W16" s="54"/>
      <c r="X16" s="54"/>
    </row>
    <row r="17" spans="1:24" ht="15" customHeight="1" x14ac:dyDescent="0.45">
      <c r="A17" s="30"/>
      <c r="B17" s="54" t="s">
        <v>321</v>
      </c>
      <c r="C17" s="38">
        <v>51.55</v>
      </c>
      <c r="D17" s="54"/>
      <c r="E17" s="137" t="s">
        <v>322</v>
      </c>
      <c r="F17" s="104"/>
      <c r="G17" s="104"/>
      <c r="H17" s="138">
        <f>IF(I$80&gt;0,SUMPRODUCT('1'!COMP_CALENDARIZE_PERCENTAGES,H56:J56)*I$81*'1'!COMP_FX,"N/A")</f>
        <v>2.89</v>
      </c>
      <c r="I17" s="138">
        <f>IF(J$80&gt;0,SUMPRODUCT('1'!COMP_CALENDARIZE_PERCENTAGES,I56:K56)*J$81*'1'!COMP_FX,"N/A")</f>
        <v>3.09</v>
      </c>
      <c r="J17" s="138">
        <f>IF(K$80&gt;0,SUMPRODUCT('1'!COMP_CALENDARIZE_PERCENTAGES,J56:L56)*K$81*'1'!COMP_FX,"N/A")</f>
        <v>3.3</v>
      </c>
      <c r="K17" s="139" t="str">
        <f>IF(L$80&gt;0,SUMPRODUCT('1'!COMP_CALENDARIZE_PERCENTAGES,K56:M56)*L$81*'1'!COMP_FX,"N/A")</f>
        <v>N/A</v>
      </c>
      <c r="L17" s="54"/>
      <c r="M17" s="54"/>
      <c r="N17" s="54"/>
      <c r="O17" s="54"/>
      <c r="P17" s="54"/>
      <c r="Q17" s="54"/>
      <c r="R17" s="54"/>
      <c r="S17" s="54"/>
      <c r="T17" s="54"/>
      <c r="U17" s="54"/>
      <c r="V17" s="54"/>
      <c r="W17" s="54"/>
      <c r="X17" s="54"/>
    </row>
    <row r="18" spans="1:24" ht="15" customHeight="1" x14ac:dyDescent="0.45">
      <c r="A18" s="30"/>
      <c r="B18" s="54" t="s">
        <v>323</v>
      </c>
      <c r="C18" s="38">
        <v>64.989999999999995</v>
      </c>
      <c r="D18" s="54"/>
      <c r="E18" s="54"/>
      <c r="F18" s="54"/>
      <c r="G18" s="54"/>
      <c r="H18" s="54"/>
      <c r="I18" s="54"/>
      <c r="J18" s="54"/>
      <c r="K18" s="54"/>
      <c r="L18" s="54"/>
      <c r="M18" s="54"/>
      <c r="N18" s="54"/>
      <c r="O18" s="54"/>
      <c r="P18" s="54"/>
      <c r="Q18" s="54"/>
      <c r="R18" s="54"/>
      <c r="S18" s="54"/>
      <c r="T18" s="54"/>
      <c r="U18" s="54"/>
      <c r="V18" s="54"/>
      <c r="W18" s="54"/>
      <c r="X18" s="54"/>
    </row>
    <row r="19" spans="1:24" ht="15" customHeight="1" x14ac:dyDescent="0.45">
      <c r="A19" s="30"/>
      <c r="B19" s="54" t="s">
        <v>324</v>
      </c>
      <c r="C19" s="36" t="s">
        <v>325</v>
      </c>
      <c r="D19" s="54"/>
      <c r="E19" s="26" t="s">
        <v>326</v>
      </c>
      <c r="F19" s="27"/>
      <c r="G19" s="27"/>
      <c r="H19" s="27"/>
      <c r="I19" s="27"/>
      <c r="J19" s="27"/>
      <c r="K19" s="28"/>
      <c r="L19" s="54"/>
      <c r="M19" s="54"/>
      <c r="N19" s="54"/>
      <c r="O19" s="54"/>
      <c r="P19" s="54"/>
      <c r="Q19" s="54"/>
      <c r="R19" s="54"/>
      <c r="S19" s="54"/>
      <c r="T19" s="54"/>
      <c r="U19" s="54"/>
      <c r="V19" s="54"/>
      <c r="W19" s="54"/>
      <c r="X19" s="54"/>
    </row>
    <row r="20" spans="1:24" ht="15" customHeight="1" x14ac:dyDescent="0.45">
      <c r="A20" s="30"/>
      <c r="B20" s="54" t="s">
        <v>327</v>
      </c>
      <c r="C20" s="38">
        <v>0.79</v>
      </c>
      <c r="D20" s="54"/>
      <c r="E20" s="128" t="s">
        <v>328</v>
      </c>
      <c r="F20" s="54"/>
      <c r="G20" s="73" t="str">
        <f>G13</f>
        <v>LTM</v>
      </c>
      <c r="H20" s="73" t="str">
        <f>H13</f>
        <v>2024e</v>
      </c>
      <c r="I20" s="73" t="str">
        <f>I13</f>
        <v>2025e</v>
      </c>
      <c r="J20" s="73" t="str">
        <f>J13</f>
        <v>2026e</v>
      </c>
      <c r="K20" s="132" t="str">
        <f>K13</f>
        <v>2027e</v>
      </c>
      <c r="L20" s="54"/>
      <c r="M20" s="54"/>
      <c r="N20" s="54"/>
      <c r="O20" s="54"/>
      <c r="P20" s="54"/>
      <c r="Q20" s="54"/>
      <c r="R20" s="54"/>
      <c r="S20" s="54"/>
      <c r="T20" s="54"/>
      <c r="U20" s="54"/>
      <c r="V20" s="54"/>
      <c r="W20" s="54"/>
      <c r="X20" s="54"/>
    </row>
    <row r="21" spans="1:24" ht="15" customHeight="1" x14ac:dyDescent="0.45">
      <c r="A21" s="30"/>
      <c r="B21" s="54" t="s">
        <v>329</v>
      </c>
      <c r="C21" s="198">
        <v>5.8999999999999997E-2</v>
      </c>
      <c r="D21" s="54"/>
      <c r="E21" s="128" t="s">
        <v>330</v>
      </c>
      <c r="F21" s="54"/>
      <c r="G21" s="140">
        <f>IF(G14&lt;&gt;0,$H$10/G14,"N/A")</f>
        <v>5.8503874422156201</v>
      </c>
      <c r="H21" s="140">
        <f t="shared" ref="H21:J23" si="0">IF(ISNUMBER(H14),$H$10/H14,"N/A")</f>
        <v>5.6820988259312672</v>
      </c>
      <c r="I21" s="140">
        <f t="shared" si="0"/>
        <v>5.4127255921755637</v>
      </c>
      <c r="J21" s="140">
        <f t="shared" si="0"/>
        <v>5.1252179146301318</v>
      </c>
      <c r="K21" s="141" t="str">
        <f>IFERROR($H$10/K14,"N/A")</f>
        <v>N/A</v>
      </c>
      <c r="L21" s="54"/>
      <c r="M21" s="54"/>
      <c r="N21" s="54"/>
      <c r="O21" s="54"/>
      <c r="P21" s="54"/>
      <c r="Q21" s="54"/>
      <c r="R21" s="54"/>
      <c r="S21" s="54"/>
      <c r="T21" s="54"/>
      <c r="U21" s="54"/>
      <c r="V21" s="54"/>
      <c r="W21" s="54"/>
      <c r="X21" s="54"/>
    </row>
    <row r="22" spans="1:24" ht="15" customHeight="1" x14ac:dyDescent="0.45">
      <c r="A22" s="30"/>
      <c r="B22" s="54" t="s">
        <v>331</v>
      </c>
      <c r="C22" s="142">
        <f>G53/G44</f>
        <v>0.29128079678490304</v>
      </c>
      <c r="D22" s="54"/>
      <c r="E22" s="128" t="s">
        <v>288</v>
      </c>
      <c r="F22" s="54"/>
      <c r="G22" s="140">
        <f>IF(G15&lt;&gt;0,$H$10/G15,"N/A")</f>
        <v>18.518676621570794</v>
      </c>
      <c r="H22" s="140">
        <f t="shared" si="0"/>
        <v>17.207640926018243</v>
      </c>
      <c r="I22" s="140">
        <f t="shared" si="0"/>
        <v>16.104746191341988</v>
      </c>
      <c r="J22" s="140">
        <f t="shared" si="0"/>
        <v>15.191364488112519</v>
      </c>
      <c r="K22" s="141" t="str">
        <f>IFERROR($H$10/K15,"N/A")</f>
        <v>N/A</v>
      </c>
      <c r="L22" s="54"/>
      <c r="M22" s="54"/>
      <c r="N22" s="54"/>
      <c r="O22" s="54"/>
      <c r="P22" s="54"/>
      <c r="Q22" s="54"/>
      <c r="R22" s="54"/>
      <c r="S22" s="54"/>
      <c r="T22" s="54"/>
      <c r="U22" s="54"/>
      <c r="V22" s="54"/>
      <c r="W22" s="54"/>
      <c r="X22" s="54"/>
    </row>
    <row r="23" spans="1:24" ht="15" customHeight="1" x14ac:dyDescent="0.45">
      <c r="A23" s="39"/>
      <c r="B23" s="104" t="s">
        <v>118</v>
      </c>
      <c r="C23" s="143">
        <f>G53*(1-'1'!COMP_MTR)/D39</f>
        <v>0.28784062950238282</v>
      </c>
      <c r="D23" s="54"/>
      <c r="E23" s="128" t="s">
        <v>332</v>
      </c>
      <c r="F23" s="54"/>
      <c r="G23" s="140">
        <f>IF(G16&lt;&gt;0,$H$10/G16,"N/A")</f>
        <v>20.085043390401918</v>
      </c>
      <c r="H23" s="140">
        <f t="shared" si="0"/>
        <v>19.322907131323038</v>
      </c>
      <c r="I23" s="140">
        <f t="shared" si="0"/>
        <v>18.121516721087879</v>
      </c>
      <c r="J23" s="140">
        <f t="shared" si="0"/>
        <v>16.904647437955187</v>
      </c>
      <c r="K23" s="141" t="str">
        <f>IFERROR($H$10/K16,"N/A")</f>
        <v>N/A</v>
      </c>
      <c r="L23" s="54"/>
      <c r="M23" s="54"/>
      <c r="N23" s="54"/>
      <c r="O23" s="54"/>
      <c r="P23" s="54"/>
      <c r="Q23" s="54"/>
      <c r="R23" s="54"/>
      <c r="S23" s="54"/>
      <c r="T23" s="54"/>
      <c r="U23" s="54"/>
      <c r="V23" s="54"/>
      <c r="W23" s="54"/>
      <c r="X23" s="54"/>
    </row>
    <row r="24" spans="1:24" ht="15" customHeight="1" x14ac:dyDescent="0.45">
      <c r="A24" s="19"/>
      <c r="B24" s="54"/>
      <c r="C24" s="54"/>
      <c r="D24" s="54"/>
      <c r="E24" s="128" t="s">
        <v>333</v>
      </c>
      <c r="F24" s="54"/>
      <c r="G24" s="140"/>
      <c r="H24" s="140">
        <f>IF(ISNUMBER(H17),($C$16*'1'!COMP_FX)/H17,"N/A")</f>
        <v>20.605536332179931</v>
      </c>
      <c r="I24" s="140">
        <f>IF(ISNUMBER(I17),($C$16*'1'!COMP_FX)/I17,"N/A")</f>
        <v>19.271844660194176</v>
      </c>
      <c r="J24" s="140">
        <f>IF(ISNUMBER(J17),($C$16*'1'!COMP_FX)/J17,"N/A")</f>
        <v>18.045454545454547</v>
      </c>
      <c r="K24" s="141" t="str">
        <f>IFERROR(($C$16*'1'!COMP_FX)/K17,"N/A")</f>
        <v>N/A</v>
      </c>
      <c r="L24" s="54"/>
      <c r="M24" s="54"/>
      <c r="N24" s="54"/>
      <c r="O24" s="54"/>
      <c r="P24" s="54"/>
      <c r="Q24" s="54"/>
      <c r="R24" s="54"/>
      <c r="S24" s="54"/>
      <c r="T24" s="54"/>
      <c r="U24" s="54"/>
      <c r="V24" s="54"/>
      <c r="W24" s="54"/>
      <c r="X24" s="54"/>
    </row>
    <row r="25" spans="1:24" ht="15" customHeight="1" x14ac:dyDescent="0.45">
      <c r="A25" s="30"/>
      <c r="B25" s="54"/>
      <c r="C25" s="54"/>
      <c r="D25" s="54"/>
      <c r="E25" s="128" t="s">
        <v>334</v>
      </c>
      <c r="F25" s="54"/>
      <c r="G25" s="140">
        <f>D36/D37</f>
        <v>9.9342021762615147</v>
      </c>
      <c r="H25" s="54"/>
      <c r="I25" s="54"/>
      <c r="J25" s="54"/>
      <c r="K25" s="129"/>
      <c r="L25" s="54"/>
      <c r="M25" s="54"/>
      <c r="N25" s="54"/>
      <c r="O25" s="54"/>
      <c r="P25" s="54"/>
      <c r="Q25" s="54"/>
      <c r="R25" s="54"/>
      <c r="S25" s="54"/>
      <c r="T25" s="54"/>
      <c r="U25" s="54"/>
      <c r="V25" s="54"/>
      <c r="W25" s="54"/>
      <c r="X25" s="54"/>
    </row>
    <row r="26" spans="1:24" ht="15" customHeight="1" x14ac:dyDescent="0.45">
      <c r="A26" s="30"/>
      <c r="B26" s="54"/>
      <c r="C26" s="54"/>
      <c r="D26" s="54"/>
      <c r="E26" s="137" t="s">
        <v>335</v>
      </c>
      <c r="F26" s="104"/>
      <c r="G26" s="144">
        <f>IF(G15=0,"N/A",H7/G15)</f>
        <v>2.9081858407079646</v>
      </c>
      <c r="H26" s="104"/>
      <c r="I26" s="104"/>
      <c r="J26" s="104"/>
      <c r="K26" s="134"/>
      <c r="L26" s="54"/>
      <c r="M26" s="54"/>
      <c r="N26" s="54"/>
      <c r="O26" s="54"/>
      <c r="P26" s="54"/>
      <c r="Q26" s="54"/>
      <c r="R26" s="54"/>
      <c r="S26" s="54"/>
      <c r="T26" s="54"/>
      <c r="U26" s="54"/>
      <c r="V26" s="54"/>
      <c r="W26" s="54"/>
      <c r="X26" s="54"/>
    </row>
    <row r="27" spans="1:24" ht="15" customHeight="1" x14ac:dyDescent="0.45">
      <c r="A27" s="30"/>
      <c r="B27" s="54"/>
      <c r="C27" s="54"/>
      <c r="D27" s="54"/>
      <c r="E27" s="54"/>
      <c r="F27" s="54"/>
      <c r="G27" s="54"/>
      <c r="H27" s="54"/>
      <c r="I27" s="54"/>
      <c r="J27" s="54"/>
      <c r="K27" s="54"/>
      <c r="L27" s="54"/>
      <c r="M27" s="54"/>
      <c r="N27" s="54"/>
      <c r="O27" s="54"/>
      <c r="P27" s="54"/>
      <c r="Q27" s="54"/>
      <c r="R27" s="54"/>
      <c r="S27" s="54"/>
      <c r="T27" s="54"/>
      <c r="U27" s="54"/>
      <c r="V27" s="54"/>
      <c r="W27" s="54"/>
      <c r="X27" s="54"/>
    </row>
    <row r="28" spans="1:24" ht="15" customHeight="1" x14ac:dyDescent="0.55000000000000004">
      <c r="A28" s="26" t="s">
        <v>336</v>
      </c>
      <c r="B28" s="40"/>
      <c r="C28" s="41"/>
      <c r="D28" s="41"/>
      <c r="E28" s="41"/>
      <c r="F28" s="41"/>
      <c r="G28" s="41"/>
      <c r="H28" s="41"/>
      <c r="I28" s="41"/>
      <c r="J28" s="41"/>
      <c r="K28" s="41"/>
      <c r="L28" s="54"/>
      <c r="M28" s="26" t="s">
        <v>337</v>
      </c>
      <c r="N28" s="27"/>
      <c r="O28" s="27"/>
      <c r="P28" s="28"/>
      <c r="Q28" s="54"/>
      <c r="R28" s="54"/>
      <c r="S28" s="54"/>
      <c r="T28" s="54"/>
      <c r="U28" s="54"/>
      <c r="V28" s="54"/>
      <c r="W28" s="54"/>
      <c r="X28" s="54"/>
    </row>
    <row r="29" spans="1:24" ht="15" customHeight="1" x14ac:dyDescent="0.45">
      <c r="A29" s="128"/>
      <c r="B29" s="54"/>
      <c r="C29" s="54"/>
      <c r="D29" s="54"/>
      <c r="E29" s="54"/>
      <c r="F29" s="54"/>
      <c r="H29" s="54"/>
      <c r="I29" s="54"/>
      <c r="J29" s="54"/>
      <c r="K29" s="129"/>
      <c r="L29" s="54"/>
      <c r="M29" s="128" t="s">
        <v>338</v>
      </c>
      <c r="N29" s="73" t="s">
        <v>339</v>
      </c>
      <c r="O29" s="73" t="s">
        <v>340</v>
      </c>
      <c r="P29" s="132" t="s">
        <v>341</v>
      </c>
      <c r="Q29" s="54"/>
      <c r="R29" s="54"/>
      <c r="S29" s="54"/>
      <c r="T29" s="54"/>
      <c r="U29" s="54"/>
      <c r="V29" s="54"/>
      <c r="W29" s="54"/>
      <c r="X29" s="54"/>
    </row>
    <row r="30" spans="1:24" ht="15" customHeight="1" x14ac:dyDescent="0.45">
      <c r="A30" s="30"/>
      <c r="B30" s="21" t="s">
        <v>342</v>
      </c>
      <c r="C30" s="54"/>
      <c r="D30" s="21"/>
      <c r="E30" s="21" t="s">
        <v>343</v>
      </c>
      <c r="F30" s="42"/>
      <c r="G30" s="42"/>
      <c r="H30" s="21" t="s">
        <v>344</v>
      </c>
      <c r="I30" s="42"/>
      <c r="J30" s="42"/>
      <c r="K30" s="129"/>
      <c r="L30" s="54"/>
      <c r="M30" s="43" t="s">
        <v>345</v>
      </c>
      <c r="N30" s="191">
        <v>47</v>
      </c>
      <c r="O30" s="44">
        <v>48.52</v>
      </c>
      <c r="P30" s="129">
        <f>MAX(('1'!COMP_SHAREPRICE-O30)/'1'!COMP_SHAREPRICE*N30,0)</f>
        <v>8.7054575986565865</v>
      </c>
      <c r="Q30" s="54"/>
      <c r="S30" s="54"/>
      <c r="T30" s="54"/>
      <c r="U30" s="54"/>
      <c r="V30" s="54"/>
      <c r="W30" s="54"/>
      <c r="X30" s="54"/>
    </row>
    <row r="31" spans="1:24" ht="15" customHeight="1" x14ac:dyDescent="0.45">
      <c r="A31" s="30"/>
      <c r="B31" s="54" t="s">
        <v>346</v>
      </c>
      <c r="C31" s="54"/>
      <c r="D31" s="45">
        <v>45338</v>
      </c>
      <c r="E31" s="54" t="s">
        <v>269</v>
      </c>
      <c r="F31" s="54"/>
      <c r="G31" s="192">
        <v>4557</v>
      </c>
      <c r="H31" s="54" t="s">
        <v>347</v>
      </c>
      <c r="I31" s="54"/>
      <c r="J31" s="191">
        <v>12363</v>
      </c>
      <c r="K31" s="129"/>
      <c r="M31" s="43" t="s">
        <v>348</v>
      </c>
      <c r="N31" s="212">
        <v>2.8540000000000001</v>
      </c>
      <c r="O31" s="44">
        <v>0</v>
      </c>
      <c r="P31" s="129">
        <f>MAX(('1'!COMP_SHAREPRICE-O31)/'1'!COMP_SHAREPRICE*N31,0)</f>
        <v>2.8540000000000001</v>
      </c>
      <c r="Q31" s="54"/>
      <c r="R31" s="239" t="s">
        <v>349</v>
      </c>
      <c r="S31" s="239"/>
      <c r="T31" s="239"/>
      <c r="U31" s="239"/>
      <c r="V31" s="239"/>
    </row>
    <row r="32" spans="1:24" ht="15" customHeight="1" x14ac:dyDescent="0.45">
      <c r="A32" s="30"/>
      <c r="B32" s="54" t="s">
        <v>260</v>
      </c>
      <c r="D32" s="191">
        <v>4312.4561679999997</v>
      </c>
      <c r="E32" s="16" t="s">
        <v>270</v>
      </c>
      <c r="F32" s="54"/>
      <c r="G32" s="192">
        <v>1960</v>
      </c>
      <c r="H32" s="16" t="s">
        <v>274</v>
      </c>
      <c r="I32" s="54"/>
      <c r="J32" s="191">
        <v>1300</v>
      </c>
      <c r="K32" s="129"/>
      <c r="M32" s="43" t="s">
        <v>350</v>
      </c>
      <c r="N32" s="212">
        <v>3.4929999999999999</v>
      </c>
      <c r="O32" s="44">
        <v>0</v>
      </c>
      <c r="P32" s="129">
        <f>MAX(('1'!COMP_SHAREPRICE-O32)/'1'!COMP_SHAREPRICE*N32,0)</f>
        <v>3.4929999999999999</v>
      </c>
      <c r="Q32" s="54"/>
      <c r="R32" s="239"/>
      <c r="S32" s="239"/>
      <c r="T32" s="239"/>
      <c r="U32" s="239"/>
      <c r="V32" s="239"/>
    </row>
    <row r="33" spans="1:26" ht="15" customHeight="1" x14ac:dyDescent="0.45">
      <c r="A33" s="30"/>
      <c r="B33" s="54" t="s">
        <v>351</v>
      </c>
      <c r="D33" s="25">
        <v>0</v>
      </c>
      <c r="E33" s="16" t="s">
        <v>271</v>
      </c>
      <c r="F33" s="54"/>
      <c r="G33" s="192">
        <v>35547</v>
      </c>
      <c r="H33" s="16" t="s">
        <v>275</v>
      </c>
      <c r="I33" s="54"/>
      <c r="J33" s="191">
        <v>19671</v>
      </c>
      <c r="K33" s="129"/>
      <c r="M33" s="43" t="s">
        <v>352</v>
      </c>
      <c r="N33" s="25">
        <v>0</v>
      </c>
      <c r="O33" s="44">
        <v>0</v>
      </c>
      <c r="P33" s="129">
        <f>MAX(('1'!COMP_SHAREPRICE-O33)/'1'!COMP_SHAREPRICE*N33,0)</f>
        <v>0</v>
      </c>
      <c r="Q33" s="54"/>
      <c r="R33" s="239"/>
      <c r="S33" s="239"/>
      <c r="T33" s="239"/>
      <c r="U33" s="239"/>
      <c r="V33" s="239"/>
    </row>
    <row r="34" spans="1:26" ht="15" customHeight="1" x14ac:dyDescent="0.45">
      <c r="A34" s="30"/>
      <c r="B34" s="54" t="s">
        <v>353</v>
      </c>
      <c r="D34" s="54">
        <f>P38</f>
        <v>15.052457598656586</v>
      </c>
      <c r="E34" s="54" t="s">
        <v>354</v>
      </c>
      <c r="F34" s="54"/>
      <c r="G34" s="67">
        <v>0</v>
      </c>
      <c r="H34" s="16" t="s">
        <v>276</v>
      </c>
      <c r="I34" s="54"/>
      <c r="J34" s="191">
        <v>118</v>
      </c>
      <c r="K34" s="129"/>
      <c r="M34" s="43" t="s">
        <v>355</v>
      </c>
      <c r="N34" s="25">
        <v>0</v>
      </c>
      <c r="O34" s="44">
        <v>0</v>
      </c>
      <c r="P34" s="129">
        <f>MAX(('1'!COMP_SHAREPRICE-O34)/'1'!COMP_SHAREPRICE*N34,0)</f>
        <v>0</v>
      </c>
      <c r="Q34" s="54"/>
      <c r="R34" s="239"/>
      <c r="S34" s="239"/>
      <c r="T34" s="239"/>
      <c r="U34" s="239"/>
      <c r="V34" s="239"/>
    </row>
    <row r="35" spans="1:26" ht="15" customHeight="1" x14ac:dyDescent="0.45">
      <c r="A35" s="30"/>
      <c r="B35" s="54" t="s">
        <v>267</v>
      </c>
      <c r="D35" s="54">
        <f>SUM(D32:D34)</f>
        <v>4327.5086255986562</v>
      </c>
      <c r="E35" s="54" t="s">
        <v>272</v>
      </c>
      <c r="F35" s="54"/>
      <c r="G35" s="192">
        <v>1539</v>
      </c>
      <c r="H35" s="16" t="s">
        <v>104</v>
      </c>
      <c r="I35" s="54"/>
      <c r="J35" s="25">
        <v>0</v>
      </c>
      <c r="K35" s="129"/>
      <c r="L35" s="54"/>
      <c r="M35" s="43" t="s">
        <v>356</v>
      </c>
      <c r="N35" s="25">
        <v>0</v>
      </c>
      <c r="O35" s="44">
        <v>0</v>
      </c>
      <c r="P35" s="129">
        <f>MAX(('1'!COMP_SHAREPRICE-O35)/'1'!COMP_SHAREPRICE*N35,0)</f>
        <v>0</v>
      </c>
      <c r="Q35" s="54"/>
      <c r="R35" s="239"/>
      <c r="S35" s="239"/>
      <c r="T35" s="239"/>
      <c r="U35" s="239"/>
      <c r="V35" s="239"/>
    </row>
    <row r="36" spans="1:26" ht="15" customHeight="1" x14ac:dyDescent="0.45">
      <c r="A36" s="30"/>
      <c r="B36" s="54" t="s">
        <v>357</v>
      </c>
      <c r="D36" s="54">
        <f>D35*'1'!COMP_SHAREPRICE</f>
        <v>257703.13865439995</v>
      </c>
      <c r="E36" s="16" t="s">
        <v>104</v>
      </c>
      <c r="F36" s="54"/>
      <c r="G36" s="25">
        <v>0</v>
      </c>
      <c r="H36" s="16" t="s">
        <v>104</v>
      </c>
      <c r="I36" s="54"/>
      <c r="J36" s="25">
        <v>0</v>
      </c>
      <c r="K36" s="129"/>
      <c r="L36" s="54"/>
      <c r="M36" s="43" t="s">
        <v>358</v>
      </c>
      <c r="N36" s="25">
        <v>0</v>
      </c>
      <c r="O36" s="44">
        <v>0</v>
      </c>
      <c r="P36" s="129">
        <f>MAX(('1'!COMP_SHAREPRICE-O36)/'1'!COMP_SHAREPRICE*N36,0)</f>
        <v>0</v>
      </c>
      <c r="Q36" s="54"/>
      <c r="R36" s="239"/>
      <c r="S36" s="239"/>
      <c r="T36" s="239"/>
      <c r="U36" s="239"/>
      <c r="V36" s="239"/>
      <c r="W36" s="100"/>
      <c r="X36" s="100"/>
    </row>
    <row r="37" spans="1:26" ht="15" customHeight="1" x14ac:dyDescent="0.45">
      <c r="A37" s="30"/>
      <c r="B37" s="54" t="s">
        <v>359</v>
      </c>
      <c r="D37" s="191">
        <v>25941</v>
      </c>
      <c r="E37" s="16" t="s">
        <v>104</v>
      </c>
      <c r="F37" s="54"/>
      <c r="G37" s="25">
        <v>0</v>
      </c>
      <c r="H37" s="16" t="s">
        <v>104</v>
      </c>
      <c r="I37" s="54"/>
      <c r="J37" s="25">
        <v>0</v>
      </c>
      <c r="K37" s="129"/>
      <c r="L37" s="54"/>
      <c r="M37" s="43" t="s">
        <v>360</v>
      </c>
      <c r="N37" s="25">
        <v>0</v>
      </c>
      <c r="O37" s="44">
        <v>0</v>
      </c>
      <c r="P37" s="129">
        <f>MAX(('1'!COMP_SHAREPRICE-O37)/'1'!COMP_SHAREPRICE*N37,0)</f>
        <v>0</v>
      </c>
      <c r="Q37" s="54"/>
      <c r="R37" s="54"/>
      <c r="S37" s="145"/>
      <c r="T37" s="100"/>
      <c r="U37" s="100"/>
      <c r="V37" s="100"/>
      <c r="W37" s="100"/>
      <c r="X37" s="100"/>
    </row>
    <row r="38" spans="1:26" ht="15" customHeight="1" x14ac:dyDescent="0.45">
      <c r="A38" s="30"/>
      <c r="B38" s="54" t="s">
        <v>361</v>
      </c>
      <c r="C38" s="54"/>
      <c r="D38" s="54">
        <f>G39-J39</f>
        <v>10151</v>
      </c>
      <c r="F38" s="54"/>
      <c r="G38" s="54"/>
      <c r="H38" s="54"/>
      <c r="I38" s="54"/>
      <c r="J38" s="54"/>
      <c r="K38" s="129"/>
      <c r="L38" s="54"/>
      <c r="M38" s="137" t="s">
        <v>362</v>
      </c>
      <c r="N38" s="104"/>
      <c r="O38" s="104"/>
      <c r="P38" s="134">
        <f>SUM(P30:P37)</f>
        <v>15.052457598656586</v>
      </c>
      <c r="Q38" s="54"/>
      <c r="R38" s="54"/>
      <c r="S38" s="145"/>
      <c r="T38" s="100"/>
      <c r="U38" s="100"/>
      <c r="V38" s="100"/>
      <c r="W38" s="100"/>
      <c r="X38" s="100"/>
    </row>
    <row r="39" spans="1:26" ht="15" customHeight="1" x14ac:dyDescent="0.45">
      <c r="A39" s="104"/>
      <c r="B39" s="104" t="s">
        <v>117</v>
      </c>
      <c r="C39" s="104"/>
      <c r="D39" s="104">
        <f>D37+D38</f>
        <v>36092</v>
      </c>
      <c r="E39" s="104" t="s">
        <v>363</v>
      </c>
      <c r="F39" s="104"/>
      <c r="G39" s="104">
        <f>SUM(G31:G37)</f>
        <v>43603</v>
      </c>
      <c r="H39" s="104" t="s">
        <v>364</v>
      </c>
      <c r="I39" s="104"/>
      <c r="J39" s="104">
        <f>SUM(J31:J37)</f>
        <v>33452</v>
      </c>
      <c r="K39" s="134"/>
      <c r="L39" s="54"/>
      <c r="M39" s="54"/>
      <c r="N39" s="54"/>
      <c r="O39" s="54"/>
      <c r="P39" s="54"/>
      <c r="Q39" s="54"/>
      <c r="R39" s="54"/>
      <c r="S39" s="54"/>
      <c r="T39" s="100"/>
      <c r="U39" s="100"/>
      <c r="V39" s="100"/>
      <c r="W39" s="100"/>
      <c r="X39" s="100"/>
    </row>
    <row r="40" spans="1:26" ht="15" customHeight="1" x14ac:dyDescent="0.45">
      <c r="A40" s="39"/>
      <c r="B40" s="54"/>
      <c r="C40" s="54"/>
      <c r="D40" s="54"/>
      <c r="E40" s="54"/>
      <c r="F40" s="54"/>
      <c r="G40" s="54"/>
      <c r="H40" s="54"/>
      <c r="I40" s="54"/>
      <c r="J40" s="54"/>
      <c r="K40" s="54"/>
      <c r="L40" s="54"/>
      <c r="M40" s="54"/>
      <c r="N40" s="54"/>
      <c r="O40" s="54"/>
      <c r="P40" s="54"/>
      <c r="Q40" s="54"/>
      <c r="R40" s="54"/>
      <c r="S40" s="54"/>
      <c r="T40" s="54"/>
      <c r="U40" s="54"/>
      <c r="V40" s="54"/>
      <c r="W40" s="54"/>
      <c r="X40" s="54"/>
    </row>
    <row r="41" spans="1:26" ht="15" customHeight="1" x14ac:dyDescent="0.55000000000000004">
      <c r="A41" s="26" t="s">
        <v>365</v>
      </c>
      <c r="B41" s="40"/>
      <c r="C41" s="41"/>
      <c r="D41" s="41"/>
      <c r="E41" s="41"/>
      <c r="F41" s="41"/>
      <c r="G41" s="41"/>
      <c r="H41" s="41"/>
      <c r="I41" s="27" t="s">
        <v>366</v>
      </c>
      <c r="J41" s="41"/>
      <c r="K41" s="41"/>
      <c r="L41" s="46"/>
      <c r="M41" s="54"/>
      <c r="N41" s="54"/>
      <c r="O41" s="54"/>
      <c r="P41" s="54"/>
      <c r="Q41" s="54"/>
      <c r="R41" s="54"/>
      <c r="S41" s="54"/>
      <c r="T41" s="54"/>
      <c r="U41" s="54"/>
      <c r="V41" s="54"/>
      <c r="W41" s="54"/>
      <c r="X41" s="54"/>
    </row>
    <row r="42" spans="1:26" ht="15.75" customHeight="1" x14ac:dyDescent="0.45">
      <c r="A42" s="30"/>
      <c r="B42" s="54"/>
      <c r="C42" s="73" t="s">
        <v>367</v>
      </c>
      <c r="D42" s="146" t="s">
        <v>368</v>
      </c>
      <c r="E42" s="146" t="s">
        <v>369</v>
      </c>
      <c r="F42" s="54" t="s">
        <v>351</v>
      </c>
      <c r="G42" s="73" t="s">
        <v>370</v>
      </c>
      <c r="H42" s="73" t="s">
        <v>371</v>
      </c>
      <c r="I42" s="73" t="s">
        <v>372</v>
      </c>
      <c r="J42" s="73" t="s">
        <v>373</v>
      </c>
      <c r="K42" s="73" t="s">
        <v>374</v>
      </c>
      <c r="L42" s="132" t="s">
        <v>375</v>
      </c>
      <c r="M42" s="54"/>
      <c r="O42" s="54"/>
      <c r="P42" s="54"/>
      <c r="S42" s="54"/>
      <c r="T42" s="54"/>
      <c r="U42" s="54"/>
      <c r="V42" s="54"/>
      <c r="W42" s="54"/>
      <c r="X42" s="54"/>
    </row>
    <row r="43" spans="1:26" ht="15" customHeight="1" x14ac:dyDescent="0.45">
      <c r="A43" s="30"/>
      <c r="B43" s="54" t="s">
        <v>11</v>
      </c>
      <c r="C43" s="147">
        <f>C11</f>
        <v>45291</v>
      </c>
      <c r="D43" s="47">
        <v>0</v>
      </c>
      <c r="E43" s="47">
        <v>0</v>
      </c>
      <c r="F43" s="54"/>
      <c r="G43" s="147">
        <f>C13</f>
        <v>45291</v>
      </c>
      <c r="H43" s="147">
        <f>C43</f>
        <v>45291</v>
      </c>
      <c r="I43" s="147">
        <f>EDATE(C43,12)</f>
        <v>45657</v>
      </c>
      <c r="J43" s="147">
        <f>EDATE(I43,12)</f>
        <v>46022</v>
      </c>
      <c r="K43" s="147">
        <f>EDATE(J43,12)</f>
        <v>46387</v>
      </c>
      <c r="L43" s="131">
        <f>EDATE(K43,12)</f>
        <v>46752</v>
      </c>
      <c r="M43" s="54"/>
      <c r="N43" s="54"/>
      <c r="O43" s="54"/>
      <c r="P43" s="54"/>
      <c r="Q43" s="54"/>
      <c r="R43" s="54"/>
      <c r="S43" s="54"/>
      <c r="T43" s="54"/>
      <c r="U43" s="54"/>
      <c r="V43" s="54"/>
      <c r="W43" s="54"/>
      <c r="X43" s="54"/>
      <c r="Y43" s="54"/>
      <c r="Z43" s="54"/>
    </row>
    <row r="44" spans="1:26" ht="15" customHeight="1" x14ac:dyDescent="0.45">
      <c r="A44" s="30"/>
      <c r="B44" s="54" t="s">
        <v>198</v>
      </c>
      <c r="C44" s="191">
        <v>45784</v>
      </c>
      <c r="D44" s="25">
        <v>0</v>
      </c>
      <c r="E44" s="25">
        <v>0</v>
      </c>
      <c r="F44" s="25">
        <v>0</v>
      </c>
      <c r="G44" s="54">
        <f>C44-D44+E44+F44</f>
        <v>45784</v>
      </c>
      <c r="H44" s="54">
        <f>C44</f>
        <v>45784</v>
      </c>
      <c r="I44" s="25">
        <v>47140</v>
      </c>
      <c r="J44" s="64">
        <v>49486</v>
      </c>
      <c r="K44" s="64">
        <v>52262</v>
      </c>
      <c r="L44" s="48" t="s">
        <v>376</v>
      </c>
      <c r="M44" s="222"/>
      <c r="N44" s="54" t="s">
        <v>377</v>
      </c>
      <c r="O44" s="54"/>
      <c r="P44" s="54"/>
      <c r="Q44" s="54"/>
      <c r="R44" s="54"/>
      <c r="S44" s="54"/>
      <c r="T44" s="54"/>
      <c r="U44" s="54"/>
      <c r="V44" s="54"/>
      <c r="W44" s="54"/>
      <c r="X44" s="54"/>
      <c r="Y44" s="54"/>
      <c r="Z44" s="54"/>
    </row>
    <row r="45" spans="1:26" ht="15" customHeight="1" x14ac:dyDescent="0.45">
      <c r="A45" s="30"/>
      <c r="B45" s="54" t="s">
        <v>378</v>
      </c>
      <c r="C45" s="3">
        <v>0</v>
      </c>
      <c r="D45" s="3">
        <v>0</v>
      </c>
      <c r="E45" s="3">
        <v>0</v>
      </c>
      <c r="F45" s="54"/>
      <c r="G45" s="54"/>
      <c r="H45" s="49"/>
      <c r="I45" s="54"/>
      <c r="J45" s="62"/>
      <c r="K45" s="62"/>
      <c r="L45" s="48"/>
      <c r="M45" s="54"/>
      <c r="N45" s="54"/>
      <c r="O45" s="54"/>
      <c r="P45" s="54"/>
      <c r="Q45" s="54"/>
      <c r="R45" s="54"/>
      <c r="S45" s="54"/>
      <c r="T45" s="54"/>
      <c r="U45" s="54"/>
      <c r="V45" s="54"/>
      <c r="W45" s="54"/>
      <c r="X45" s="54"/>
      <c r="Y45" s="54"/>
      <c r="Z45" s="54"/>
    </row>
    <row r="46" spans="1:26" ht="15" customHeight="1" x14ac:dyDescent="0.45">
      <c r="A46" s="30"/>
      <c r="B46" s="54" t="s">
        <v>61</v>
      </c>
      <c r="C46" s="191">
        <v>13336</v>
      </c>
      <c r="D46" s="25">
        <v>0</v>
      </c>
      <c r="E46" s="25">
        <v>0</v>
      </c>
      <c r="F46" s="54"/>
      <c r="G46" s="54"/>
      <c r="H46" s="54"/>
      <c r="I46" s="54"/>
      <c r="J46" s="62"/>
      <c r="K46" s="62"/>
      <c r="L46" s="132"/>
      <c r="M46" s="54"/>
      <c r="N46" s="54"/>
      <c r="O46" s="54"/>
      <c r="P46" s="54"/>
      <c r="Q46" s="54"/>
      <c r="R46" s="54"/>
      <c r="S46" s="54"/>
      <c r="T46" s="54"/>
      <c r="U46" s="54"/>
      <c r="V46" s="54"/>
      <c r="W46" s="54"/>
      <c r="X46" s="54"/>
      <c r="Y46" s="54"/>
      <c r="Z46" s="54"/>
    </row>
    <row r="47" spans="1:26" ht="15" customHeight="1" x14ac:dyDescent="0.45">
      <c r="A47" s="30"/>
      <c r="B47" s="16" t="s">
        <v>62</v>
      </c>
      <c r="C47" s="25">
        <v>0</v>
      </c>
      <c r="D47" s="25">
        <v>0</v>
      </c>
      <c r="E47" s="25">
        <v>0</v>
      </c>
      <c r="F47" s="54"/>
      <c r="G47" s="54"/>
      <c r="H47" s="54"/>
      <c r="I47" s="54"/>
      <c r="J47" s="62"/>
      <c r="K47" s="62"/>
      <c r="L47" s="132"/>
      <c r="M47" s="54"/>
      <c r="N47" s="54"/>
      <c r="O47" s="54"/>
      <c r="P47" s="54"/>
      <c r="Q47" s="54"/>
      <c r="R47" s="54"/>
      <c r="S47" s="54"/>
      <c r="T47" s="54"/>
      <c r="U47" s="54"/>
      <c r="V47" s="54"/>
      <c r="W47" s="54"/>
      <c r="X47" s="54"/>
      <c r="Y47" s="54"/>
      <c r="Z47" s="54"/>
    </row>
    <row r="48" spans="1:26" ht="15" customHeight="1" x14ac:dyDescent="0.45">
      <c r="A48" s="30"/>
      <c r="B48" s="16" t="s">
        <v>62</v>
      </c>
      <c r="C48" s="25">
        <v>0</v>
      </c>
      <c r="D48" s="25">
        <v>0</v>
      </c>
      <c r="E48" s="25">
        <v>0</v>
      </c>
      <c r="F48" s="54"/>
      <c r="G48" s="54"/>
      <c r="H48" s="54"/>
      <c r="I48" s="54"/>
      <c r="J48" s="62"/>
      <c r="K48" s="62"/>
      <c r="L48" s="132"/>
      <c r="M48" s="54"/>
      <c r="N48" s="54"/>
      <c r="O48" s="54"/>
      <c r="P48" s="54"/>
      <c r="Q48" s="54"/>
      <c r="R48" s="54"/>
      <c r="S48" s="54"/>
      <c r="T48" s="54"/>
      <c r="U48" s="54"/>
      <c r="V48" s="54"/>
      <c r="W48" s="54"/>
      <c r="X48" s="54"/>
      <c r="Y48" s="54"/>
      <c r="Z48" s="54"/>
    </row>
    <row r="49" spans="1:26" ht="15" customHeight="1" x14ac:dyDescent="0.45">
      <c r="A49" s="30"/>
      <c r="B49" s="16" t="s">
        <v>62</v>
      </c>
      <c r="C49" s="25">
        <v>0</v>
      </c>
      <c r="D49" s="25">
        <v>0</v>
      </c>
      <c r="E49" s="25">
        <v>0</v>
      </c>
      <c r="F49" s="54"/>
      <c r="G49" s="54"/>
      <c r="H49" s="54"/>
      <c r="I49" s="54"/>
      <c r="J49" s="62"/>
      <c r="K49" s="62"/>
      <c r="L49" s="132"/>
      <c r="M49" s="54"/>
      <c r="N49" s="54"/>
      <c r="O49" s="54"/>
      <c r="P49" s="54"/>
      <c r="Q49" s="54"/>
      <c r="R49" s="54"/>
      <c r="S49" s="54"/>
      <c r="T49" s="54"/>
      <c r="U49" s="54"/>
      <c r="V49" s="54"/>
      <c r="W49" s="54"/>
      <c r="X49" s="54"/>
      <c r="Y49" s="54"/>
      <c r="Z49" s="54"/>
    </row>
    <row r="50" spans="1:26" ht="15" customHeight="1" x14ac:dyDescent="0.45">
      <c r="A50" s="30">
        <v>1</v>
      </c>
      <c r="B50" s="16" t="s">
        <v>62</v>
      </c>
      <c r="C50" s="25">
        <v>0</v>
      </c>
      <c r="D50" s="25">
        <v>0</v>
      </c>
      <c r="E50" s="25">
        <v>0</v>
      </c>
      <c r="F50" s="54"/>
      <c r="G50" s="54"/>
      <c r="H50" s="54"/>
      <c r="I50" s="54"/>
      <c r="J50" s="62"/>
      <c r="K50" s="62"/>
      <c r="L50" s="132"/>
      <c r="M50" s="54"/>
      <c r="N50" s="54"/>
      <c r="O50" s="54"/>
      <c r="P50" s="54"/>
      <c r="Q50" s="54"/>
      <c r="R50" s="54"/>
      <c r="S50" s="54"/>
      <c r="T50" s="54"/>
      <c r="U50" s="54"/>
      <c r="V50" s="54"/>
      <c r="W50" s="54"/>
      <c r="X50" s="54"/>
      <c r="Y50" s="54"/>
      <c r="Z50" s="54"/>
    </row>
    <row r="51" spans="1:26" ht="15" customHeight="1" x14ac:dyDescent="0.45">
      <c r="A51" s="30"/>
      <c r="B51" s="16" t="s">
        <v>62</v>
      </c>
      <c r="C51" s="25">
        <v>0</v>
      </c>
      <c r="D51" s="25">
        <v>0</v>
      </c>
      <c r="E51" s="25">
        <v>0</v>
      </c>
      <c r="F51" s="54"/>
      <c r="G51" s="54"/>
      <c r="H51" s="54"/>
      <c r="I51" s="54"/>
      <c r="J51" s="62"/>
      <c r="K51" s="62"/>
      <c r="L51" s="132"/>
      <c r="M51" s="54"/>
      <c r="N51" s="54"/>
      <c r="O51" s="54"/>
      <c r="P51" s="54"/>
      <c r="Q51" s="54"/>
      <c r="R51" s="54"/>
      <c r="S51" s="54"/>
      <c r="T51" s="54"/>
      <c r="U51" s="54"/>
      <c r="V51" s="54"/>
      <c r="W51" s="54"/>
      <c r="X51" s="54"/>
      <c r="Y51" s="54"/>
      <c r="Z51" s="54"/>
    </row>
    <row r="52" spans="1:26" ht="15" customHeight="1" x14ac:dyDescent="0.45">
      <c r="A52" s="30"/>
      <c r="B52" s="16" t="s">
        <v>62</v>
      </c>
      <c r="C52" s="25">
        <v>0</v>
      </c>
      <c r="D52" s="25">
        <v>0</v>
      </c>
      <c r="E52" s="25">
        <v>0</v>
      </c>
      <c r="F52" s="54"/>
      <c r="G52" s="54"/>
      <c r="H52" s="54"/>
      <c r="J52" s="63"/>
      <c r="K52" s="62"/>
      <c r="L52" s="132"/>
      <c r="M52" s="54"/>
      <c r="N52" s="54"/>
      <c r="O52" s="54"/>
      <c r="P52" s="54"/>
      <c r="Q52" s="54"/>
      <c r="R52" s="54"/>
      <c r="S52" s="54"/>
      <c r="T52" s="54"/>
      <c r="U52" s="54"/>
      <c r="V52" s="54"/>
      <c r="W52" s="54"/>
      <c r="X52" s="54"/>
      <c r="Y52" s="54"/>
      <c r="Z52" s="54"/>
    </row>
    <row r="53" spans="1:26" ht="15" customHeight="1" x14ac:dyDescent="0.45">
      <c r="A53" s="30"/>
      <c r="B53" s="54" t="s">
        <v>63</v>
      </c>
      <c r="C53" s="54">
        <f>SUM(C46:C52)</f>
        <v>13336</v>
      </c>
      <c r="D53" s="54">
        <f>SUM(D46:D52)</f>
        <v>0</v>
      </c>
      <c r="E53" s="54">
        <f>SUM(E46:E52)</f>
        <v>0</v>
      </c>
      <c r="F53" s="54">
        <f>SUM(F46:F52)</f>
        <v>0</v>
      </c>
      <c r="G53" s="54">
        <f>C53-D53+E53+F53</f>
        <v>13336</v>
      </c>
      <c r="H53" s="54">
        <f>C53</f>
        <v>13336</v>
      </c>
      <c r="I53" s="67">
        <v>13862</v>
      </c>
      <c r="J53" s="67">
        <v>14781</v>
      </c>
      <c r="K53" s="67">
        <v>15845</v>
      </c>
      <c r="L53" s="48" t="s">
        <v>376</v>
      </c>
      <c r="M53" s="54"/>
      <c r="N53" s="54" t="s">
        <v>379</v>
      </c>
      <c r="O53" s="54"/>
      <c r="P53" s="54"/>
      <c r="Q53" s="54"/>
      <c r="R53" s="54"/>
      <c r="S53" s="54"/>
      <c r="T53" s="54"/>
      <c r="U53" s="54"/>
      <c r="V53" s="54"/>
      <c r="W53" s="54"/>
      <c r="X53" s="54"/>
      <c r="Y53" s="54"/>
      <c r="Z53" s="54"/>
    </row>
    <row r="54" spans="1:26" ht="15" customHeight="1" x14ac:dyDescent="0.45">
      <c r="A54" s="30"/>
      <c r="B54" s="54" t="s">
        <v>287</v>
      </c>
      <c r="C54" s="191">
        <v>1128</v>
      </c>
      <c r="D54" s="25">
        <v>0</v>
      </c>
      <c r="E54" s="25">
        <v>0</v>
      </c>
      <c r="F54" s="25">
        <v>0</v>
      </c>
      <c r="G54" s="54">
        <f>C54-D54+E54+F54</f>
        <v>1128</v>
      </c>
      <c r="H54" s="54">
        <f>C54</f>
        <v>1128</v>
      </c>
      <c r="I54" s="54">
        <f>I55-I53</f>
        <v>1704</v>
      </c>
      <c r="J54" s="62">
        <f>J55-J53</f>
        <v>1851</v>
      </c>
      <c r="K54" s="62">
        <f>K55-K53</f>
        <v>1787</v>
      </c>
      <c r="L54" s="48" t="s">
        <v>376</v>
      </c>
      <c r="M54" s="54"/>
      <c r="N54" s="54"/>
      <c r="O54" s="54"/>
      <c r="P54" s="54"/>
      <c r="Q54" s="54"/>
      <c r="R54" s="54"/>
      <c r="S54" s="54"/>
      <c r="T54" s="54"/>
      <c r="U54" s="54"/>
      <c r="V54" s="54"/>
      <c r="W54" s="54"/>
      <c r="X54" s="54"/>
      <c r="Y54" s="54"/>
      <c r="Z54" s="54"/>
    </row>
    <row r="55" spans="1:26" ht="15" customHeight="1" x14ac:dyDescent="0.45">
      <c r="A55" s="30"/>
      <c r="B55" s="54" t="s">
        <v>380</v>
      </c>
      <c r="C55" s="54">
        <f>C53+C54</f>
        <v>14464</v>
      </c>
      <c r="D55" s="54">
        <f>D53+D54</f>
        <v>0</v>
      </c>
      <c r="E55" s="54">
        <f>E53+E54</f>
        <v>0</v>
      </c>
      <c r="F55" s="54"/>
      <c r="G55" s="54">
        <f>C55-D55+E55+F55</f>
        <v>14464</v>
      </c>
      <c r="H55" s="54">
        <f>C55</f>
        <v>14464</v>
      </c>
      <c r="I55" s="25">
        <v>15566</v>
      </c>
      <c r="J55" s="64">
        <v>16632</v>
      </c>
      <c r="K55" s="64">
        <v>17632</v>
      </c>
      <c r="L55" s="48" t="s">
        <v>376</v>
      </c>
      <c r="M55" s="54"/>
      <c r="N55" s="54" t="s">
        <v>377</v>
      </c>
      <c r="O55" s="54"/>
      <c r="P55" s="54"/>
      <c r="Q55" s="54"/>
      <c r="R55" s="54"/>
      <c r="S55" s="54"/>
      <c r="T55" s="54"/>
      <c r="U55" s="54"/>
      <c r="V55" s="54"/>
      <c r="W55" s="54"/>
      <c r="X55" s="54"/>
      <c r="Y55" s="54"/>
      <c r="Z55" s="54"/>
    </row>
    <row r="56" spans="1:26" ht="15" customHeight="1" x14ac:dyDescent="0.45">
      <c r="A56" s="39"/>
      <c r="B56" s="104" t="s">
        <v>322</v>
      </c>
      <c r="C56" s="104"/>
      <c r="D56" s="148"/>
      <c r="E56" s="148"/>
      <c r="F56" s="148"/>
      <c r="G56" s="104"/>
      <c r="H56" s="213">
        <v>2.69</v>
      </c>
      <c r="I56" s="213">
        <v>2.89</v>
      </c>
      <c r="J56" s="213">
        <v>3.09</v>
      </c>
      <c r="K56" s="213">
        <v>3.3</v>
      </c>
      <c r="L56" s="50" t="s">
        <v>376</v>
      </c>
      <c r="M56" s="54"/>
      <c r="N56" s="54" t="s">
        <v>377</v>
      </c>
      <c r="O56" s="54"/>
      <c r="P56" s="54"/>
      <c r="Q56" s="54"/>
      <c r="R56" s="54"/>
      <c r="S56" s="54"/>
      <c r="T56" s="54"/>
      <c r="U56" s="54"/>
      <c r="V56" s="54"/>
      <c r="W56" s="54"/>
      <c r="X56" s="54"/>
      <c r="Y56" s="54"/>
      <c r="Z56" s="54"/>
    </row>
    <row r="57" spans="1:26" ht="15" customHeight="1" x14ac:dyDescent="0.45">
      <c r="A57" s="51"/>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ht="15" customHeight="1" x14ac:dyDescent="0.55000000000000004">
      <c r="A58" s="26" t="s">
        <v>381</v>
      </c>
      <c r="B58" s="40"/>
      <c r="C58" s="41"/>
      <c r="D58" s="41"/>
      <c r="E58" s="41"/>
      <c r="F58" s="41"/>
      <c r="G58" s="41"/>
      <c r="H58" s="41"/>
      <c r="I58" s="27"/>
      <c r="J58" s="41"/>
      <c r="K58" s="41"/>
      <c r="L58" s="77"/>
      <c r="M58" s="54"/>
      <c r="N58" s="54"/>
      <c r="O58" s="54"/>
      <c r="P58" s="54"/>
      <c r="Q58" s="54"/>
      <c r="R58" s="54"/>
      <c r="S58" s="54"/>
      <c r="T58" s="54"/>
      <c r="U58" s="54"/>
      <c r="V58" s="54"/>
      <c r="W58" s="54"/>
      <c r="X58" s="54"/>
      <c r="Y58" s="54"/>
      <c r="Z58" s="54"/>
    </row>
    <row r="59" spans="1:26" ht="15" customHeight="1" x14ac:dyDescent="0.45">
      <c r="A59" s="51"/>
      <c r="B59" s="54"/>
      <c r="C59" s="54" t="str">
        <f t="shared" ref="C59:L59" si="1">C42</f>
        <v>Annual</v>
      </c>
      <c r="D59" s="54" t="str">
        <f t="shared" si="1"/>
        <v>Old 10-Q/Interim</v>
      </c>
      <c r="E59" s="54" t="str">
        <f t="shared" si="1"/>
        <v>New 10-Q/interim</v>
      </c>
      <c r="F59" s="54" t="str">
        <f t="shared" si="1"/>
        <v>Other adjustments</v>
      </c>
      <c r="G59" s="54" t="str">
        <f t="shared" si="1"/>
        <v>Adj. LTM</v>
      </c>
      <c r="H59" s="54" t="str">
        <f t="shared" si="1"/>
        <v>Fiscal Year</v>
      </c>
      <c r="I59" s="54" t="str">
        <f t="shared" si="1"/>
        <v>FY +1</v>
      </c>
      <c r="J59" s="54" t="str">
        <f t="shared" si="1"/>
        <v>FY +2</v>
      </c>
      <c r="K59" s="54" t="str">
        <f t="shared" si="1"/>
        <v>FY +3</v>
      </c>
      <c r="L59" s="149" t="str">
        <f t="shared" si="1"/>
        <v>FY +4</v>
      </c>
      <c r="M59" s="54"/>
      <c r="N59" s="54"/>
      <c r="O59" s="54"/>
      <c r="P59" s="54"/>
      <c r="Q59" s="54"/>
      <c r="R59" s="54"/>
      <c r="S59" s="54"/>
      <c r="T59" s="54"/>
      <c r="U59" s="54"/>
      <c r="V59" s="54"/>
      <c r="W59" s="54"/>
      <c r="X59" s="54"/>
      <c r="Y59" s="54"/>
      <c r="Z59" s="54"/>
    </row>
    <row r="60" spans="1:26" ht="15" customHeight="1" x14ac:dyDescent="0.45">
      <c r="A60" s="51"/>
      <c r="B60" s="54"/>
      <c r="C60" s="150">
        <f>C43</f>
        <v>45291</v>
      </c>
      <c r="D60" s="150">
        <f>D43</f>
        <v>0</v>
      </c>
      <c r="E60" s="150">
        <f>E43</f>
        <v>0</v>
      </c>
      <c r="F60" s="54"/>
      <c r="G60" s="150">
        <f>C13</f>
        <v>45291</v>
      </c>
      <c r="H60" s="147">
        <f>C60</f>
        <v>45291</v>
      </c>
      <c r="I60" s="147">
        <f>EDATE(C60,12)</f>
        <v>45657</v>
      </c>
      <c r="J60" s="147">
        <f>EDATE(I60,12)</f>
        <v>46022</v>
      </c>
      <c r="K60" s="150">
        <f>EDATE(J60,12)</f>
        <v>46387</v>
      </c>
      <c r="L60" s="151">
        <f>EDATE(K60,12)</f>
        <v>46752</v>
      </c>
      <c r="M60" s="54"/>
      <c r="N60" s="54"/>
      <c r="O60" s="54"/>
      <c r="P60" s="54"/>
      <c r="Q60" s="54"/>
      <c r="R60" s="54"/>
      <c r="S60" s="54"/>
      <c r="T60" s="54"/>
      <c r="U60" s="54"/>
      <c r="V60" s="54"/>
      <c r="W60" s="54"/>
      <c r="X60" s="54"/>
      <c r="Y60" s="54"/>
      <c r="Z60" s="54"/>
    </row>
    <row r="61" spans="1:26" ht="15" customHeight="1" x14ac:dyDescent="0.45">
      <c r="A61" s="51"/>
      <c r="B61" s="54" t="s">
        <v>382</v>
      </c>
      <c r="C61" s="76">
        <v>0.33300000000000002</v>
      </c>
      <c r="D61" s="54"/>
      <c r="E61" s="54"/>
      <c r="F61" s="54"/>
      <c r="G61" s="54"/>
      <c r="H61" s="54"/>
      <c r="I61" s="54"/>
      <c r="J61" s="54"/>
      <c r="K61" s="54"/>
      <c r="L61" s="149"/>
      <c r="M61" s="54"/>
      <c r="N61" s="54"/>
      <c r="O61" s="54"/>
      <c r="P61" s="54"/>
      <c r="Q61" s="54"/>
      <c r="R61" s="54"/>
      <c r="S61" s="54"/>
      <c r="T61" s="54"/>
      <c r="U61" s="54"/>
      <c r="V61" s="54"/>
      <c r="W61" s="54"/>
      <c r="X61" s="54"/>
      <c r="Y61" s="54"/>
      <c r="Z61" s="54"/>
    </row>
    <row r="62" spans="1:26" ht="15" customHeight="1" x14ac:dyDescent="0.45">
      <c r="A62" s="51"/>
      <c r="B62" s="54" t="s">
        <v>383</v>
      </c>
      <c r="C62" s="193">
        <v>397</v>
      </c>
      <c r="D62" s="81">
        <v>0</v>
      </c>
      <c r="E62" s="81">
        <v>0</v>
      </c>
      <c r="F62" s="54"/>
      <c r="G62" s="54">
        <f>C62-D62+E62+F62</f>
        <v>397</v>
      </c>
      <c r="H62" s="54">
        <f>C62</f>
        <v>397</v>
      </c>
      <c r="I62" s="54">
        <f>H62/H44*I44</f>
        <v>408.75808142582565</v>
      </c>
      <c r="J62" s="54">
        <f>I62/I44*J44</f>
        <v>429.10060283068321</v>
      </c>
      <c r="K62" s="54">
        <f>J62/J44*K44</f>
        <v>453.17171937794865</v>
      </c>
      <c r="L62" s="48" t="s">
        <v>376</v>
      </c>
      <c r="M62" s="54"/>
      <c r="N62" s="54"/>
      <c r="O62" s="54"/>
      <c r="P62" s="54"/>
      <c r="Q62" s="54"/>
      <c r="R62" s="54"/>
      <c r="S62" s="54"/>
      <c r="T62" s="54"/>
      <c r="U62" s="54"/>
      <c r="V62" s="54"/>
      <c r="W62" s="54"/>
      <c r="X62" s="54"/>
      <c r="Y62" s="54"/>
      <c r="Z62" s="54"/>
    </row>
    <row r="63" spans="1:26" ht="15" customHeight="1" x14ac:dyDescent="0.45">
      <c r="A63" s="51"/>
      <c r="B63" s="54" t="s">
        <v>384</v>
      </c>
      <c r="C63" s="54">
        <f>C55+C62</f>
        <v>14861</v>
      </c>
      <c r="D63" s="54">
        <f>D55+D62</f>
        <v>0</v>
      </c>
      <c r="E63" s="54">
        <f>E55+E62</f>
        <v>0</v>
      </c>
      <c r="F63" s="54"/>
      <c r="G63" s="54">
        <f>C63-D63+E63+F63</f>
        <v>14861</v>
      </c>
      <c r="H63" s="54">
        <f>C63</f>
        <v>14861</v>
      </c>
      <c r="I63" s="54">
        <f>I55+I62</f>
        <v>15974.758081425825</v>
      </c>
      <c r="J63" s="54">
        <f>J55+J62</f>
        <v>17061.100602830684</v>
      </c>
      <c r="K63" s="54">
        <f>K55+K62</f>
        <v>18085.171719377948</v>
      </c>
      <c r="L63" s="48" t="s">
        <v>376</v>
      </c>
      <c r="M63" s="54"/>
      <c r="N63" s="54"/>
      <c r="O63" s="54"/>
      <c r="P63" s="54"/>
      <c r="Q63" s="54"/>
      <c r="R63" s="54"/>
      <c r="S63" s="54"/>
      <c r="T63" s="54"/>
      <c r="U63" s="54"/>
      <c r="V63" s="54"/>
      <c r="W63" s="54"/>
      <c r="X63" s="54"/>
      <c r="Y63" s="54"/>
      <c r="Z63" s="54"/>
    </row>
    <row r="64" spans="1:26" ht="15" customHeight="1" x14ac:dyDescent="0.45">
      <c r="A64" s="51"/>
      <c r="B64" s="54" t="s">
        <v>385</v>
      </c>
      <c r="C64" s="54">
        <f>C53+$C$61*C62</f>
        <v>13468.200999999999</v>
      </c>
      <c r="D64" s="54">
        <f>D53+$C$61*D62</f>
        <v>0</v>
      </c>
      <c r="E64" s="54">
        <f>E53+$C$61*E62</f>
        <v>0</v>
      </c>
      <c r="F64" s="54"/>
      <c r="G64" s="54">
        <f>C64-D64+E64+F64</f>
        <v>13468.200999999999</v>
      </c>
      <c r="H64" s="54">
        <f>C64</f>
        <v>13468.200999999999</v>
      </c>
      <c r="I64" s="54">
        <f>I53+$C$61*I62</f>
        <v>13998.1164411148</v>
      </c>
      <c r="J64" s="54">
        <f>J53+$C$61*J62</f>
        <v>14923.890500742618</v>
      </c>
      <c r="K64" s="54">
        <f>K53+$C$61*K62</f>
        <v>15995.906182552857</v>
      </c>
      <c r="L64" s="48" t="s">
        <v>376</v>
      </c>
      <c r="M64" s="54"/>
      <c r="N64" s="54"/>
      <c r="O64" s="54"/>
      <c r="P64" s="54"/>
      <c r="Q64" s="54"/>
      <c r="R64" s="54"/>
      <c r="S64" s="54"/>
      <c r="T64" s="54"/>
      <c r="U64" s="54"/>
      <c r="V64" s="54"/>
      <c r="W64" s="54"/>
      <c r="X64" s="54"/>
      <c r="Y64" s="54"/>
      <c r="Z64" s="54"/>
    </row>
    <row r="65" spans="1:26" ht="15" customHeight="1" x14ac:dyDescent="0.45">
      <c r="A65" s="51"/>
      <c r="B65" s="54" t="s">
        <v>386</v>
      </c>
      <c r="C65" s="54"/>
      <c r="D65" s="54"/>
      <c r="E65" s="54"/>
      <c r="F65" s="54"/>
      <c r="G65" s="193">
        <v>1362</v>
      </c>
      <c r="H65" s="54"/>
      <c r="I65" s="54"/>
      <c r="J65" s="54"/>
      <c r="K65" s="54"/>
      <c r="L65" s="149"/>
      <c r="M65" s="54"/>
      <c r="N65" s="54"/>
      <c r="O65" s="54"/>
      <c r="P65" s="54"/>
      <c r="Q65" s="54"/>
      <c r="R65" s="54"/>
      <c r="S65" s="54"/>
      <c r="T65" s="54"/>
      <c r="U65" s="54"/>
      <c r="V65" s="54"/>
      <c r="W65" s="54"/>
      <c r="X65" s="54"/>
      <c r="Y65" s="54"/>
      <c r="Z65" s="54"/>
    </row>
    <row r="66" spans="1:26" ht="15" customHeight="1" x14ac:dyDescent="0.45">
      <c r="A66" s="51"/>
      <c r="B66" s="54"/>
      <c r="C66" s="54"/>
      <c r="D66" s="54"/>
      <c r="E66" s="54"/>
      <c r="F66" s="54"/>
      <c r="G66" s="54"/>
      <c r="H66" s="54"/>
      <c r="I66" s="54"/>
      <c r="J66" s="54"/>
      <c r="K66" s="54"/>
      <c r="L66" s="149"/>
      <c r="M66" s="54"/>
      <c r="N66" s="54"/>
      <c r="O66" s="54"/>
      <c r="P66" s="54"/>
      <c r="Q66" s="54"/>
      <c r="R66" s="54"/>
      <c r="S66" s="54"/>
      <c r="T66" s="54"/>
      <c r="U66" s="54"/>
      <c r="V66" s="54"/>
      <c r="W66" s="54"/>
      <c r="X66" s="54"/>
      <c r="Y66" s="54"/>
      <c r="Z66" s="54"/>
    </row>
    <row r="67" spans="1:26" ht="15" customHeight="1" x14ac:dyDescent="0.45">
      <c r="A67" s="51"/>
      <c r="B67" s="54" t="str">
        <f>"Calendarized EBITDAR in "&amp;MAIN_CURRENCY&amp;" MM"</f>
        <v>Calendarized EBITDAR in USD MM</v>
      </c>
      <c r="C67" s="54"/>
      <c r="D67" s="54"/>
      <c r="E67" s="54"/>
      <c r="F67" s="54"/>
      <c r="G67" s="54">
        <f>G63*COMP_FX</f>
        <v>14861</v>
      </c>
      <c r="H67" s="54"/>
      <c r="I67" s="54">
        <f>IF(I$80&gt;0,SUMPRODUCT('1'!COMP_CALENDARIZE_PERCENTAGES,H63:J63)*I$81*'1'!COMP_FX,"N/A")</f>
        <v>15974.758081425825</v>
      </c>
      <c r="J67" s="54">
        <f>IF(J$80&gt;0,SUMPRODUCT('1'!COMP_CALENDARIZE_PERCENTAGES,I63:K63)*J$81*'1'!COMP_FX,"N/A")</f>
        <v>17061.100602830684</v>
      </c>
      <c r="K67" s="54">
        <f>IF(K$80&gt;0,SUMPRODUCT('1'!COMP_CALENDARIZE_PERCENTAGES,J63:L63)*K$81*'1'!COMP_FX,"N/A")</f>
        <v>18085.171719377948</v>
      </c>
      <c r="L67" s="149"/>
      <c r="M67" s="54"/>
      <c r="N67" s="54"/>
      <c r="O67" s="54"/>
      <c r="P67" s="54"/>
      <c r="Q67" s="54"/>
      <c r="R67" s="54"/>
      <c r="S67" s="54"/>
      <c r="T67" s="54"/>
      <c r="U67" s="54"/>
      <c r="V67" s="54"/>
      <c r="W67" s="54"/>
      <c r="X67" s="54"/>
      <c r="Y67" s="54"/>
      <c r="Z67" s="54"/>
    </row>
    <row r="68" spans="1:26" ht="15" customHeight="1" x14ac:dyDescent="0.45">
      <c r="A68" s="51"/>
      <c r="B68" s="54" t="str">
        <f>"Calendarized EBITR in "&amp;MAIN_CURRENCY&amp;" MM"</f>
        <v>Calendarized EBITR in USD MM</v>
      </c>
      <c r="C68" s="54"/>
      <c r="D68" s="54"/>
      <c r="E68" s="54"/>
      <c r="F68" s="54"/>
      <c r="G68" s="54">
        <f>G64*COMP_FX</f>
        <v>13468.200999999999</v>
      </c>
      <c r="H68" s="54"/>
      <c r="I68" s="54">
        <f>IF(I$80&gt;0,SUMPRODUCT('1'!COMP_CALENDARIZE_PERCENTAGES,H64:J64)*I$81*'1'!COMP_FX,"N/A")</f>
        <v>13998.1164411148</v>
      </c>
      <c r="J68" s="54">
        <f>IF(J$80&gt;0,SUMPRODUCT('1'!COMP_CALENDARIZE_PERCENTAGES,I64:K64)*J$81*'1'!COMP_FX,"N/A")</f>
        <v>14923.890500742618</v>
      </c>
      <c r="K68" s="54">
        <f>IF(K$80&gt;0,SUMPRODUCT('1'!COMP_CALENDARIZE_PERCENTAGES,J64:L64)*K$81*'1'!COMP_FX,"N/A")</f>
        <v>15995.906182552857</v>
      </c>
      <c r="L68" s="149"/>
      <c r="M68" s="54"/>
      <c r="N68" s="54"/>
      <c r="O68" s="54"/>
      <c r="P68" s="54"/>
      <c r="Q68" s="54"/>
      <c r="R68" s="54"/>
      <c r="S68" s="54"/>
      <c r="T68" s="54"/>
      <c r="U68" s="54"/>
      <c r="V68" s="54"/>
      <c r="W68" s="54"/>
      <c r="X68" s="54"/>
      <c r="Y68" s="54"/>
      <c r="Z68" s="54"/>
    </row>
    <row r="69" spans="1:26" ht="15" customHeight="1" x14ac:dyDescent="0.45">
      <c r="A69" s="51"/>
      <c r="B69" s="54" t="str">
        <f>"Operating lease liabilities in "&amp;MAIN_CURRENCY&amp;" MM"</f>
        <v>Operating lease liabilities in USD MM</v>
      </c>
      <c r="C69" s="54"/>
      <c r="D69" s="54"/>
      <c r="E69" s="54"/>
      <c r="F69" s="54"/>
      <c r="G69" s="54">
        <f>G65*COMP_FX</f>
        <v>1362</v>
      </c>
      <c r="H69" s="54"/>
      <c r="I69" s="54"/>
      <c r="J69" s="54"/>
      <c r="K69" s="54"/>
      <c r="L69" s="149"/>
      <c r="M69" s="54"/>
      <c r="N69" s="54"/>
      <c r="O69" s="54"/>
      <c r="P69" s="54"/>
      <c r="Q69" s="54"/>
      <c r="R69" s="54"/>
      <c r="S69" s="54"/>
      <c r="T69" s="54"/>
      <c r="U69" s="54"/>
      <c r="V69" s="54"/>
      <c r="W69" s="54"/>
      <c r="X69" s="54"/>
      <c r="Y69" s="54"/>
      <c r="Z69" s="54"/>
    </row>
    <row r="70" spans="1:26" ht="15" customHeight="1" x14ac:dyDescent="0.45">
      <c r="A70" s="51"/>
      <c r="B70" s="54"/>
      <c r="C70" s="54"/>
      <c r="D70" s="54"/>
      <c r="E70" s="54"/>
      <c r="F70" s="54"/>
      <c r="G70" s="54"/>
      <c r="H70" s="54"/>
      <c r="I70" s="54"/>
      <c r="J70" s="54"/>
      <c r="K70" s="54"/>
      <c r="L70" s="149"/>
      <c r="M70" s="54"/>
      <c r="N70" s="54"/>
      <c r="O70" s="54"/>
      <c r="P70" s="54"/>
      <c r="Q70" s="54"/>
      <c r="R70" s="54"/>
      <c r="S70" s="54"/>
      <c r="T70" s="54"/>
      <c r="U70" s="54"/>
      <c r="V70" s="54"/>
      <c r="W70" s="54"/>
      <c r="X70" s="54"/>
      <c r="Y70" s="54"/>
      <c r="Z70" s="54"/>
    </row>
    <row r="71" spans="1:26" ht="15" customHeight="1" x14ac:dyDescent="0.45">
      <c r="A71" s="51"/>
      <c r="B71" s="54" t="str">
        <f>"EVR in "&amp;MAIN_CURRENCY&amp;" MM"</f>
        <v>EVR in USD MM</v>
      </c>
      <c r="C71" s="54"/>
      <c r="D71" s="54"/>
      <c r="E71" s="54"/>
      <c r="F71" s="54"/>
      <c r="G71" s="54">
        <f>COMP_EV+(G69*COMP_FX)</f>
        <v>269216.13865439995</v>
      </c>
      <c r="H71" s="54"/>
      <c r="I71" s="54"/>
      <c r="J71" s="54"/>
      <c r="K71" s="54"/>
      <c r="L71" s="149"/>
      <c r="M71" s="54"/>
      <c r="N71" s="54"/>
      <c r="O71" s="54"/>
      <c r="P71" s="54"/>
      <c r="Q71" s="54"/>
      <c r="R71" s="54"/>
      <c r="S71" s="54"/>
      <c r="T71" s="54"/>
      <c r="U71" s="54"/>
      <c r="V71" s="54"/>
      <c r="W71" s="54"/>
      <c r="X71" s="54"/>
      <c r="Y71" s="54"/>
      <c r="Z71" s="54"/>
    </row>
    <row r="72" spans="1:26" ht="15" customHeight="1" x14ac:dyDescent="0.45">
      <c r="A72" s="51"/>
      <c r="B72" s="54" t="s">
        <v>387</v>
      </c>
      <c r="C72" s="54"/>
      <c r="D72" s="54"/>
      <c r="E72" s="54"/>
      <c r="F72" s="54"/>
      <c r="G72" s="152">
        <f>IF(ISNUMBER(G67),EVR/G67,"N/A")</f>
        <v>18.115613932736689</v>
      </c>
      <c r="H72" s="152"/>
      <c r="I72" s="152">
        <f t="shared" ref="I72:K73" si="2">IF(ISNUMBER(I67),EVR/I67,"N/A")</f>
        <v>16.852595656357575</v>
      </c>
      <c r="J72" s="152">
        <f t="shared" si="2"/>
        <v>15.779529405607812</v>
      </c>
      <c r="K72" s="152">
        <f t="shared" si="2"/>
        <v>14.886015064260603</v>
      </c>
      <c r="L72" s="48" t="s">
        <v>376</v>
      </c>
      <c r="M72" s="54"/>
      <c r="N72" s="54"/>
      <c r="O72" s="54"/>
      <c r="P72" s="54"/>
      <c r="Q72" s="54"/>
      <c r="R72" s="54"/>
      <c r="S72" s="54"/>
      <c r="T72" s="54"/>
      <c r="U72" s="54"/>
      <c r="V72" s="54"/>
      <c r="W72" s="54"/>
      <c r="X72" s="54"/>
      <c r="Y72" s="54"/>
      <c r="Z72" s="54"/>
    </row>
    <row r="73" spans="1:26" ht="15" customHeight="1" x14ac:dyDescent="0.45">
      <c r="A73" s="51"/>
      <c r="B73" s="54" t="s">
        <v>388</v>
      </c>
      <c r="C73" s="54"/>
      <c r="D73" s="54"/>
      <c r="E73" s="54"/>
      <c r="F73" s="54"/>
      <c r="G73" s="152">
        <f>IF(ISNUMBER(G68),EVR/G68,"N/A")</f>
        <v>19.989019962977977</v>
      </c>
      <c r="H73" s="152"/>
      <c r="I73" s="152">
        <f t="shared" si="2"/>
        <v>19.232311703285117</v>
      </c>
      <c r="J73" s="152">
        <f t="shared" si="2"/>
        <v>18.039273247214169</v>
      </c>
      <c r="K73" s="152">
        <f t="shared" si="2"/>
        <v>16.830314930706511</v>
      </c>
      <c r="L73" s="48" t="s">
        <v>376</v>
      </c>
      <c r="M73" s="54"/>
      <c r="N73" s="54"/>
      <c r="O73" s="54"/>
      <c r="P73" s="54"/>
      <c r="Q73" s="54"/>
      <c r="R73" s="54"/>
      <c r="S73" s="54"/>
      <c r="T73" s="54"/>
      <c r="U73" s="54"/>
      <c r="V73" s="54"/>
      <c r="W73" s="54"/>
      <c r="X73" s="54"/>
      <c r="Y73" s="54"/>
      <c r="Z73" s="54"/>
    </row>
    <row r="74" spans="1:26" ht="15" customHeight="1" x14ac:dyDescent="0.45">
      <c r="A74" s="78"/>
      <c r="B74" s="153"/>
      <c r="C74" s="153"/>
      <c r="D74" s="153"/>
      <c r="E74" s="153"/>
      <c r="F74" s="153"/>
      <c r="G74" s="153"/>
      <c r="H74" s="153"/>
      <c r="I74" s="153"/>
      <c r="J74" s="153"/>
      <c r="K74" s="153"/>
      <c r="L74" s="154"/>
      <c r="M74" s="54"/>
      <c r="N74" s="54"/>
      <c r="O74" s="54"/>
      <c r="P74" s="54"/>
      <c r="Q74" s="54"/>
      <c r="R74" s="54"/>
      <c r="S74" s="54"/>
      <c r="T74" s="54"/>
      <c r="U74" s="54"/>
      <c r="V74" s="54"/>
      <c r="W74" s="54"/>
      <c r="X74" s="54"/>
      <c r="Y74" s="54"/>
      <c r="Z74" s="54"/>
    </row>
    <row r="75" spans="1:26" ht="15" customHeight="1" x14ac:dyDescent="0.4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row>
    <row r="76" spans="1:26" ht="15" customHeight="1" x14ac:dyDescent="0.45">
      <c r="A76" s="19"/>
      <c r="E76" s="26" t="s">
        <v>389</v>
      </c>
      <c r="F76" s="27"/>
      <c r="G76" s="27"/>
      <c r="H76" s="27"/>
      <c r="I76" s="27"/>
      <c r="J76" s="27"/>
      <c r="K76" s="27"/>
      <c r="L76" s="28"/>
      <c r="M76" s="54"/>
      <c r="N76" s="54"/>
      <c r="O76" s="54"/>
      <c r="P76" s="54"/>
      <c r="Q76" s="54"/>
      <c r="R76" s="54"/>
      <c r="S76" s="54"/>
      <c r="T76" s="54"/>
      <c r="U76" s="54"/>
      <c r="V76" s="54"/>
      <c r="W76" s="54"/>
      <c r="X76" s="54"/>
      <c r="Y76" s="54"/>
      <c r="Z76" s="54"/>
    </row>
    <row r="77" spans="1:26" ht="15" customHeight="1" x14ac:dyDescent="0.45">
      <c r="A77" s="19"/>
      <c r="E77" s="128"/>
      <c r="F77" s="54"/>
      <c r="G77" s="54"/>
      <c r="H77" s="54"/>
      <c r="I77" s="54"/>
      <c r="J77" s="54"/>
      <c r="K77" s="54"/>
      <c r="L77" s="129"/>
      <c r="M77" s="54"/>
      <c r="N77" s="54"/>
      <c r="O77" s="54"/>
      <c r="P77" s="54"/>
      <c r="Q77" s="54"/>
      <c r="R77" s="54"/>
      <c r="S77" s="54"/>
      <c r="T77" s="54"/>
      <c r="U77" s="54"/>
      <c r="V77" s="54"/>
      <c r="W77" s="54"/>
      <c r="X77" s="54"/>
      <c r="Y77" s="54"/>
      <c r="Z77" s="54"/>
    </row>
    <row r="78" spans="1:26" ht="15" customHeight="1" x14ac:dyDescent="0.45">
      <c r="A78" s="19"/>
      <c r="E78" s="128" t="s">
        <v>390</v>
      </c>
      <c r="F78" s="54"/>
      <c r="G78" s="147">
        <f>C11</f>
        <v>45291</v>
      </c>
      <c r="H78" s="54"/>
      <c r="I78" s="73" t="s">
        <v>391</v>
      </c>
      <c r="J78" s="73" t="s">
        <v>392</v>
      </c>
      <c r="K78" s="73" t="s">
        <v>393</v>
      </c>
      <c r="L78" s="129"/>
      <c r="M78" s="54"/>
      <c r="N78" s="54"/>
      <c r="O78" s="54"/>
      <c r="P78" s="54"/>
      <c r="Q78" s="54"/>
      <c r="R78" s="54"/>
      <c r="S78" s="54"/>
      <c r="T78" s="54"/>
      <c r="U78" s="54"/>
      <c r="V78" s="54"/>
      <c r="W78" s="54"/>
      <c r="X78" s="54"/>
      <c r="Y78" s="54"/>
      <c r="Z78" s="54"/>
    </row>
    <row r="79" spans="1:26" ht="15" customHeight="1" x14ac:dyDescent="0.45">
      <c r="A79" s="19"/>
      <c r="E79" s="128" t="s">
        <v>307</v>
      </c>
      <c r="F79" s="54"/>
      <c r="G79" s="147">
        <f>C8</f>
        <v>45291</v>
      </c>
      <c r="H79" s="54"/>
      <c r="I79" s="155">
        <f>-MIN((G79-G78)/365,0)</f>
        <v>0</v>
      </c>
      <c r="J79" s="155">
        <f>1-I79-K79</f>
        <v>1</v>
      </c>
      <c r="K79" s="155">
        <f>MAX((G79-G78)/365,0)</f>
        <v>0</v>
      </c>
      <c r="L79" s="129"/>
      <c r="M79" s="54"/>
      <c r="N79" s="54"/>
      <c r="O79" s="54"/>
      <c r="P79" s="54"/>
      <c r="Q79" s="54"/>
      <c r="R79" s="54"/>
      <c r="S79" s="54"/>
      <c r="T79" s="54"/>
      <c r="U79" s="54"/>
      <c r="V79" s="54"/>
      <c r="W79" s="54"/>
      <c r="X79" s="54"/>
      <c r="Y79" s="54"/>
      <c r="Z79" s="54"/>
    </row>
    <row r="80" spans="1:26" ht="15" customHeight="1" x14ac:dyDescent="0.45">
      <c r="A80" s="19"/>
      <c r="E80" s="128" t="s">
        <v>394</v>
      </c>
      <c r="F80" s="54"/>
      <c r="G80" s="54"/>
      <c r="H80" s="54"/>
      <c r="I80" s="54">
        <f>IF(SUMPRODUCT('1'!COMP_CALENDARIZE_PERCENTAGES,H81:J81)=1,1,0)</f>
        <v>1</v>
      </c>
      <c r="J80" s="54">
        <f>IF(SUMPRODUCT('1'!COMP_CALENDARIZE_PERCENTAGES,I81:K81)=1,1,0)</f>
        <v>1</v>
      </c>
      <c r="K80" s="54">
        <f>IF(SUMPRODUCT('1'!COMP_CALENDARIZE_PERCENTAGES,J81:L81)=1,1,0)</f>
        <v>1</v>
      </c>
      <c r="L80" s="129">
        <f>IF(SUMPRODUCT('1'!COMP_CALENDARIZE_PERCENTAGES,K81:M81)=1,1,0)</f>
        <v>0</v>
      </c>
      <c r="M80" s="54"/>
      <c r="N80" s="54"/>
      <c r="O80" s="54"/>
      <c r="P80" s="54"/>
      <c r="Q80" s="54"/>
      <c r="R80" s="54"/>
      <c r="S80" s="54"/>
      <c r="T80" s="54"/>
      <c r="U80" s="54"/>
      <c r="V80" s="54"/>
      <c r="W80" s="54"/>
      <c r="X80" s="54"/>
      <c r="Y80" s="54"/>
      <c r="Z80" s="54"/>
    </row>
    <row r="81" spans="1:26" ht="15" customHeight="1" x14ac:dyDescent="0.45">
      <c r="A81" s="19"/>
      <c r="E81" s="137" t="s">
        <v>395</v>
      </c>
      <c r="F81" s="104"/>
      <c r="G81" s="104"/>
      <c r="H81" s="104">
        <f>IF(OR(H44=0,H44="N/A"),0,1)</f>
        <v>1</v>
      </c>
      <c r="I81" s="104">
        <f>IF(OR(I44=0,I44="N/A"),0,1)</f>
        <v>1</v>
      </c>
      <c r="J81" s="104">
        <f>IF(OR(J44=0,J44="N/A"),0,1)</f>
        <v>1</v>
      </c>
      <c r="K81" s="104">
        <f>IF(OR(K44=0,K44="N/A"),0,1)</f>
        <v>1</v>
      </c>
      <c r="L81" s="134">
        <f>IF(OR(L44=0,L44="N/A"),0,1)</f>
        <v>0</v>
      </c>
      <c r="M81" s="54"/>
      <c r="N81" s="54"/>
      <c r="O81" s="54"/>
      <c r="P81" s="54"/>
      <c r="Q81" s="54"/>
      <c r="R81" s="54"/>
      <c r="S81" s="54"/>
      <c r="T81" s="54"/>
      <c r="U81" s="54"/>
      <c r="V81" s="54"/>
      <c r="W81" s="54"/>
      <c r="X81" s="54"/>
      <c r="Y81" s="54"/>
      <c r="Z81" s="54"/>
    </row>
    <row r="82" spans="1:26" ht="15" customHeight="1" x14ac:dyDescent="0.45">
      <c r="A82" s="19"/>
      <c r="E82" s="54"/>
      <c r="F82" s="54"/>
      <c r="G82" s="54"/>
      <c r="H82" s="54"/>
      <c r="I82" s="54"/>
      <c r="J82" s="54"/>
      <c r="K82" s="54"/>
      <c r="L82" s="54"/>
      <c r="M82" s="54"/>
      <c r="N82" s="54"/>
      <c r="O82" s="54"/>
      <c r="P82" s="54"/>
      <c r="Q82" s="54"/>
      <c r="R82" s="54"/>
      <c r="S82" s="54"/>
      <c r="T82" s="54"/>
      <c r="U82" s="54"/>
      <c r="V82" s="54"/>
      <c r="W82" s="54"/>
      <c r="X82" s="54"/>
    </row>
    <row r="83" spans="1:26" ht="15" customHeight="1" x14ac:dyDescent="0.45">
      <c r="A83" s="19" t="s">
        <v>147</v>
      </c>
    </row>
  </sheetData>
  <mergeCells count="1">
    <mergeCell ref="R31:V36"/>
  </mergeCells>
  <hyperlinks>
    <hyperlink ref="C10" r:id="rId1" display="https://felix.fe.training/filing/document.php/?hid=65e5ab9372b43" xr:uid="{F0656320-2102-4AF4-A774-5373F3E58CF6}"/>
    <hyperlink ref="D32" r:id="rId2" display="https://felix.fe.training/filing/document.php/?hid=65e9cbbad3905" xr:uid="{77366DB8-7AC5-46AF-9D32-90BBEFFA141B}"/>
    <hyperlink ref="N31" r:id="rId3" display="https://felix.fe.training/filing/document.php/?hid=65e9ccd08b36a" xr:uid="{85F11252-4B24-4621-BF1F-835CE304EE33}"/>
    <hyperlink ref="N30" r:id="rId4" display="https://felix.fe.training/filing/document.php/?hid=65e9ccb731cd1" xr:uid="{5E87103E-42BF-4087-92BA-887D4A18D0AF}"/>
    <hyperlink ref="N32" r:id="rId5" display="https://felix.fe.training/filing/document.php/?hid=65e9ccfaa66b6" xr:uid="{51337D15-A874-4426-B650-F100738082B4}"/>
    <hyperlink ref="D37" r:id="rId6" display="https://felix.fe.training/filing/document.php/?hid=65e5afe0e2336" xr:uid="{2ED14C99-8DC3-4083-A93F-9AFE6900159C}"/>
    <hyperlink ref="G31" r:id="rId7" display="https://felix.fe.training/filing/document.php/?hid=65e5adf07822f" xr:uid="{E0A90362-D38B-4B6A-89FA-D7E561358DA2}"/>
    <hyperlink ref="G32" r:id="rId8" display="https://felix.fe.training/filing/document.php/?hid=65e5ae176df1e" xr:uid="{36765667-DAE6-451F-9CCA-E79BAB899BD4}"/>
    <hyperlink ref="G33" r:id="rId9" display="https://felix.fe.training/filing/document.php/?hid=65e5ae3f05e23" xr:uid="{B2BC9431-6FD3-4A91-BBC4-E3E8788181A8}"/>
    <hyperlink ref="G35" r:id="rId10" display="https://felix.fe.training/filing/document.php/?hid=65e9cdb850def" xr:uid="{43F074ED-6F6F-47DF-AB42-5D2A575F2FAD}"/>
    <hyperlink ref="J31" r:id="rId11" display="https://felix.fe.training/filing/document.php/?hid=65e5af83758ef" xr:uid="{FB0EDF02-29E7-482A-95D0-D9139475B75A}"/>
    <hyperlink ref="J32" r:id="rId12" display="https://felix.fe.training/filing/document.php/?hid=65e5afad07d81" xr:uid="{A1BE9B58-AA38-441F-A840-7BC0A1ADCDDD}"/>
    <hyperlink ref="J33" r:id="rId13" display="https://felix.fe.training/filing/document.php/?hid=65e9ce0234bb0" xr:uid="{5932386B-121B-4738-89E4-79C6C21ECA05}"/>
    <hyperlink ref="J34" r:id="rId14" display="https://felix.fe.training/filing/document.php/?hid=65e9ce1a63276" xr:uid="{A77FA944-0D33-46CB-887F-11C40C12223C}"/>
    <hyperlink ref="C44" r:id="rId15" display="https://felix.fe.training/filing/document.php/?hid=65e5a7dc09c45" xr:uid="{A9AAADA9-15F0-4711-A329-AD5B9006C8D1}"/>
    <hyperlink ref="C46" r:id="rId16" display="https://felix.fe.training/filing-document/?hid=65e5a8d635490" xr:uid="{D8454FEB-AFD6-48E9-8F16-EDAB463444D6}"/>
    <hyperlink ref="C54" r:id="rId17" display="https://felix.fe.training/filing-document/?hid=65e5a99f7af68" xr:uid="{F6F18239-0970-4365-A98D-8AE6B91E8F62}"/>
    <hyperlink ref="C62" r:id="rId18" display="https://felix.fe.training/filing-document/?hid=65e5b089d88cf" xr:uid="{DB4FD27A-722F-4598-BC8E-8A3618FC3131}"/>
    <hyperlink ref="G65" r:id="rId19" display="https://felix.fe.training/filing-document/?hid=65e5b0aac38b8" xr:uid="{04695D34-F22C-4D57-A325-B00321397447}"/>
  </hyperlinks>
  <printOptions gridLines="1"/>
  <pageMargins left="0.31496062992125984" right="0.11811023622047245" top="0.74803149606299213" bottom="0.74803149606299213" header="0" footer="0"/>
  <pageSetup paperSize="9" scale="45" fitToHeight="0" orientation="landscape" r:id="rId20"/>
  <headerFooter>
    <oddHeader>&amp;R&amp;F  &amp;A</oddHeader>
    <oddFooter>&amp;L© 2016&amp;CPage &amp;P of</oddFooter>
  </headerFooter>
  <rowBreaks count="1" manualBreakCount="1">
    <brk id="57" max="21" man="1"/>
  </rowBreaks>
  <legacyDrawing r:id="rId2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1B72-D4C7-45E0-91FB-8F578694C7F2}">
  <sheetPr>
    <tabColor theme="4"/>
    <pageSetUpPr fitToPage="1"/>
  </sheetPr>
  <dimension ref="A1:Z83"/>
  <sheetViews>
    <sheetView zoomScale="85" zoomScaleNormal="85" zoomScaleSheetLayoutView="85" workbookViewId="0"/>
  </sheetViews>
  <sheetFormatPr defaultColWidth="12.59765625" defaultRowHeight="15" customHeight="1" x14ac:dyDescent="0.45"/>
  <cols>
    <col min="1" max="1" width="1.59765625" customWidth="1"/>
    <col min="2" max="2" width="50.59765625" customWidth="1"/>
    <col min="3" max="3" width="20.59765625" customWidth="1"/>
    <col min="4" max="4" width="21.86328125" customWidth="1"/>
    <col min="5" max="5" width="15.59765625" customWidth="1"/>
    <col min="6" max="12" width="11" customWidth="1"/>
    <col min="13" max="13" width="20.59765625" bestFit="1" customWidth="1"/>
    <col min="14" max="16" width="11" customWidth="1"/>
    <col min="17" max="26" width="12.59765625" customWidth="1"/>
  </cols>
  <sheetData>
    <row r="1" spans="1:26" ht="45" customHeight="1" x14ac:dyDescent="0.85">
      <c r="A1" s="83" t="s">
        <v>28</v>
      </c>
      <c r="B1" s="83"/>
      <c r="C1" s="83"/>
      <c r="D1" s="83"/>
      <c r="E1" s="83"/>
      <c r="F1" s="83"/>
      <c r="G1" s="83"/>
      <c r="H1" s="83"/>
      <c r="I1" s="83"/>
      <c r="J1" s="83"/>
      <c r="K1" s="83"/>
      <c r="L1" s="83"/>
      <c r="M1" s="83"/>
      <c r="N1" s="83"/>
      <c r="O1" s="83"/>
      <c r="P1" s="83"/>
      <c r="Q1" s="23"/>
      <c r="R1" s="23"/>
      <c r="S1" s="23"/>
      <c r="T1" s="23"/>
      <c r="U1" s="23"/>
      <c r="V1" s="23"/>
      <c r="W1" s="23"/>
      <c r="X1" s="23"/>
      <c r="Y1" s="23"/>
      <c r="Z1" s="23"/>
    </row>
    <row r="2" spans="1:26" ht="15" customHeight="1" x14ac:dyDescent="0.55000000000000004">
      <c r="A2" s="54"/>
      <c r="B2" s="54"/>
      <c r="C2" s="24"/>
      <c r="D2" s="54"/>
      <c r="E2" s="54" t="s">
        <v>296</v>
      </c>
      <c r="F2" s="24"/>
      <c r="G2" s="25" t="s">
        <v>297</v>
      </c>
      <c r="H2" s="25"/>
      <c r="I2" s="54"/>
      <c r="J2" s="54"/>
      <c r="K2" s="54"/>
      <c r="L2" s="54"/>
      <c r="M2" s="54"/>
      <c r="N2" s="54"/>
      <c r="O2" s="24"/>
      <c r="P2" s="24"/>
      <c r="Q2" s="24"/>
      <c r="R2" s="24"/>
      <c r="S2" s="24"/>
      <c r="T2" s="24"/>
      <c r="U2" s="24"/>
      <c r="V2" s="24"/>
      <c r="W2" s="24"/>
      <c r="X2" s="24"/>
      <c r="Y2" s="24"/>
      <c r="Z2" s="24"/>
    </row>
    <row r="3" spans="1:26" ht="15" customHeight="1" x14ac:dyDescent="0.55000000000000004">
      <c r="A3" s="54"/>
      <c r="B3" s="54"/>
      <c r="C3" s="24"/>
      <c r="D3" s="54"/>
      <c r="E3" s="54"/>
      <c r="F3" s="54"/>
      <c r="G3" s="24"/>
      <c r="H3" s="24"/>
      <c r="I3" s="24"/>
      <c r="J3" s="24"/>
      <c r="K3" s="24"/>
      <c r="L3" s="24"/>
      <c r="M3" s="24"/>
      <c r="N3" s="24"/>
      <c r="O3" s="24"/>
      <c r="P3" s="24"/>
      <c r="Q3" s="24"/>
      <c r="R3" s="24"/>
      <c r="S3" s="24"/>
      <c r="T3" s="24"/>
      <c r="U3" s="24"/>
      <c r="V3" s="24"/>
      <c r="W3" s="24"/>
      <c r="X3" s="24"/>
      <c r="Y3" s="24"/>
      <c r="Z3" s="24"/>
    </row>
    <row r="4" spans="1:26" ht="15" customHeight="1" x14ac:dyDescent="0.45">
      <c r="A4" s="26" t="s">
        <v>298</v>
      </c>
      <c r="B4" s="27"/>
      <c r="C4" s="28"/>
      <c r="D4" s="54"/>
      <c r="E4" s="26" t="s">
        <v>299</v>
      </c>
      <c r="F4" s="27"/>
      <c r="G4" s="27"/>
      <c r="H4" s="28"/>
      <c r="I4" s="54"/>
      <c r="J4" s="54"/>
      <c r="K4" s="54"/>
      <c r="L4" s="54"/>
      <c r="M4" s="29"/>
      <c r="N4" s="54"/>
      <c r="O4" s="54"/>
      <c r="P4" s="54"/>
      <c r="Q4" s="54"/>
      <c r="R4" s="54"/>
      <c r="S4" s="54"/>
      <c r="T4" s="54"/>
      <c r="U4" s="54"/>
      <c r="V4" s="54"/>
      <c r="W4" s="54"/>
      <c r="X4" s="54"/>
    </row>
    <row r="5" spans="1:26" ht="15" customHeight="1" x14ac:dyDescent="0.45">
      <c r="A5" s="30"/>
      <c r="B5" s="54" t="s">
        <v>300</v>
      </c>
      <c r="C5" s="31" t="s">
        <v>396</v>
      </c>
      <c r="D5" s="54"/>
      <c r="E5" s="128" t="str">
        <f>"Enterprise value calculation in "&amp;MAIN_CURRENCY&amp;" MM"</f>
        <v>Enterprise value calculation in USD MM</v>
      </c>
      <c r="F5" s="54"/>
      <c r="G5" s="54"/>
      <c r="H5" s="129"/>
      <c r="I5" s="54"/>
      <c r="J5" s="54"/>
      <c r="K5" s="54"/>
      <c r="L5" s="54"/>
      <c r="M5" s="29"/>
      <c r="N5" s="54"/>
      <c r="O5" s="54"/>
      <c r="P5" s="54"/>
      <c r="Q5" s="54"/>
      <c r="R5" s="54"/>
      <c r="S5" s="54"/>
      <c r="T5" s="54"/>
      <c r="U5" s="54"/>
      <c r="V5" s="54"/>
      <c r="W5" s="54"/>
      <c r="X5" s="54"/>
    </row>
    <row r="6" spans="1:26" ht="15" customHeight="1" x14ac:dyDescent="0.45">
      <c r="A6" s="30"/>
      <c r="B6" s="54" t="s">
        <v>302</v>
      </c>
      <c r="C6" s="31" t="s">
        <v>303</v>
      </c>
      <c r="D6" s="54"/>
      <c r="E6" s="130" t="s">
        <v>304</v>
      </c>
      <c r="F6" s="54"/>
      <c r="G6" s="54"/>
      <c r="H6" s="129">
        <f>D36*'2'!COMP_FX</f>
        <v>40987.664102080002</v>
      </c>
      <c r="I6" s="54"/>
      <c r="J6" s="54"/>
      <c r="K6" s="54"/>
      <c r="L6" s="54"/>
      <c r="M6" s="29"/>
      <c r="N6" s="54"/>
      <c r="O6" s="54"/>
      <c r="P6" s="54"/>
      <c r="Q6" s="54"/>
      <c r="R6" s="54"/>
      <c r="S6" s="54"/>
      <c r="T6" s="54"/>
      <c r="U6" s="54"/>
      <c r="V6" s="54"/>
      <c r="W6" s="54"/>
      <c r="X6" s="54"/>
    </row>
    <row r="7" spans="1:26" ht="15" customHeight="1" x14ac:dyDescent="0.45">
      <c r="A7" s="30"/>
      <c r="B7" s="54" t="s">
        <v>305</v>
      </c>
      <c r="C7" s="131">
        <f>ANALYSIS_DATE</f>
        <v>45358</v>
      </c>
      <c r="D7" s="54"/>
      <c r="E7" s="130" t="s">
        <v>306</v>
      </c>
      <c r="F7" s="54"/>
      <c r="G7" s="54"/>
      <c r="H7" s="129">
        <f>SUM(G31:G36)*'2'!COMP_FX</f>
        <v>14182</v>
      </c>
      <c r="I7" s="54"/>
      <c r="J7" s="54"/>
      <c r="K7" s="54"/>
      <c r="L7" s="54"/>
      <c r="M7" s="29"/>
      <c r="N7" s="54"/>
      <c r="O7" s="54"/>
      <c r="P7" s="54"/>
      <c r="Q7" s="54"/>
      <c r="R7" s="54"/>
      <c r="S7" s="54"/>
      <c r="T7" s="54"/>
      <c r="U7" s="54"/>
      <c r="V7" s="54"/>
      <c r="W7" s="54"/>
      <c r="X7" s="54"/>
    </row>
    <row r="8" spans="1:26" ht="15" customHeight="1" x14ac:dyDescent="0.45">
      <c r="A8" s="30"/>
      <c r="B8" s="54" t="s">
        <v>307</v>
      </c>
      <c r="C8" s="131">
        <f>Trading_comps!D17</f>
        <v>45291</v>
      </c>
      <c r="D8" s="54"/>
      <c r="E8" s="130" t="s">
        <v>308</v>
      </c>
      <c r="F8" s="54"/>
      <c r="G8" s="54"/>
      <c r="H8" s="129">
        <f>SUM(J31:J32)*'2'!COMP_FX</f>
        <v>267</v>
      </c>
      <c r="I8" s="54"/>
      <c r="J8" s="54"/>
      <c r="K8" s="54"/>
      <c r="L8" s="54"/>
      <c r="M8" s="54"/>
      <c r="N8" s="54"/>
      <c r="O8" s="54"/>
      <c r="P8" s="54"/>
      <c r="Q8" s="54"/>
      <c r="R8" s="54"/>
      <c r="S8" s="54"/>
      <c r="T8" s="54"/>
      <c r="U8" s="54"/>
      <c r="V8" s="54"/>
      <c r="W8" s="54"/>
      <c r="X8" s="54"/>
    </row>
    <row r="9" spans="1:26" ht="15" customHeight="1" x14ac:dyDescent="0.45">
      <c r="A9" s="32"/>
      <c r="B9" s="54" t="s">
        <v>309</v>
      </c>
      <c r="C9" s="132" t="str">
        <f>MAIN_CURRENCY</f>
        <v>USD</v>
      </c>
      <c r="D9" s="54"/>
      <c r="E9" s="130" t="s">
        <v>310</v>
      </c>
      <c r="F9" s="54"/>
      <c r="G9" s="54"/>
      <c r="H9" s="129">
        <f>(SUM(J33:J37)-SUM(G37))*'2'!COMP_FX</f>
        <v>1387</v>
      </c>
      <c r="I9" s="54"/>
      <c r="J9" s="54"/>
      <c r="K9" s="54"/>
      <c r="L9" s="54"/>
      <c r="M9" s="54"/>
      <c r="N9" s="54"/>
      <c r="O9" s="54"/>
      <c r="P9" s="54"/>
      <c r="Q9" s="54"/>
      <c r="R9" s="54"/>
      <c r="S9" s="54"/>
      <c r="T9" s="54"/>
      <c r="U9" s="54"/>
      <c r="V9" s="54"/>
      <c r="W9" s="54"/>
      <c r="X9" s="54"/>
    </row>
    <row r="10" spans="1:26" ht="15" customHeight="1" x14ac:dyDescent="0.45">
      <c r="A10" s="30"/>
      <c r="B10" s="54" t="s">
        <v>178</v>
      </c>
      <c r="C10" s="215">
        <f>21%+3.2%</f>
        <v>0.24199999999999999</v>
      </c>
      <c r="D10" s="216"/>
      <c r="E10" s="133" t="s">
        <v>311</v>
      </c>
      <c r="F10" s="104"/>
      <c r="G10" s="104"/>
      <c r="H10" s="134">
        <f>'2'!COMP_EQ_VALUE+'2'!TOTAL_DEBT-H8-H9</f>
        <v>53515.664102080002</v>
      </c>
      <c r="I10" s="54"/>
      <c r="J10" s="54"/>
      <c r="K10" s="54"/>
      <c r="L10" s="54"/>
      <c r="M10" s="54"/>
      <c r="N10" s="54"/>
      <c r="O10" s="54"/>
      <c r="P10" s="54"/>
      <c r="Q10" s="54"/>
      <c r="R10" s="54"/>
      <c r="S10" s="54"/>
      <c r="T10" s="54"/>
      <c r="U10" s="54"/>
      <c r="V10" s="54"/>
      <c r="W10" s="54"/>
      <c r="X10" s="54"/>
    </row>
    <row r="11" spans="1:26" ht="15" customHeight="1" x14ac:dyDescent="0.45">
      <c r="A11" s="30"/>
      <c r="B11" s="54" t="s">
        <v>312</v>
      </c>
      <c r="C11" s="34">
        <v>45291</v>
      </c>
      <c r="D11" s="54"/>
      <c r="E11" s="54"/>
      <c r="F11" s="54"/>
      <c r="G11" s="54"/>
      <c r="H11" s="54"/>
      <c r="I11" s="54"/>
      <c r="J11" s="54"/>
      <c r="K11" s="54"/>
      <c r="L11" s="54"/>
      <c r="M11" s="54"/>
      <c r="N11" s="54"/>
      <c r="O11" s="54"/>
      <c r="P11" s="54"/>
      <c r="Q11" s="54"/>
      <c r="R11" s="54"/>
      <c r="S11" s="54"/>
      <c r="T11" s="54"/>
      <c r="U11" s="54"/>
      <c r="V11" s="54"/>
      <c r="W11" s="54"/>
      <c r="X11" s="54"/>
    </row>
    <row r="12" spans="1:26" ht="15" customHeight="1" x14ac:dyDescent="0.45">
      <c r="A12" s="30"/>
      <c r="B12" s="54" t="s">
        <v>313</v>
      </c>
      <c r="C12" s="35" t="s">
        <v>314</v>
      </c>
      <c r="D12" s="54"/>
      <c r="E12" s="26" t="s">
        <v>315</v>
      </c>
      <c r="F12" s="27"/>
      <c r="G12" s="27"/>
      <c r="H12" s="27"/>
      <c r="I12" s="27"/>
      <c r="J12" s="27"/>
      <c r="K12" s="28"/>
      <c r="L12" s="54"/>
      <c r="M12" s="54"/>
      <c r="N12" s="54"/>
      <c r="O12" s="54"/>
      <c r="P12" s="54"/>
      <c r="Q12" s="54"/>
      <c r="R12" s="54"/>
      <c r="S12" s="54"/>
      <c r="T12" s="54"/>
      <c r="U12" s="54"/>
      <c r="V12" s="54"/>
      <c r="W12" s="54"/>
      <c r="X12" s="54"/>
    </row>
    <row r="13" spans="1:26" ht="15" customHeight="1" x14ac:dyDescent="0.45">
      <c r="A13" s="30"/>
      <c r="B13" s="54" t="s">
        <v>316</v>
      </c>
      <c r="C13" s="131">
        <f>DATE(RIGHT(C12,4),LEFT(C12,2),MID(C12,4,2))</f>
        <v>45291</v>
      </c>
      <c r="D13" s="54"/>
      <c r="E13" s="128" t="str">
        <f>"Numbers in "&amp;MAIN_CURRENCY&amp;" MM"</f>
        <v>Numbers in USD MM</v>
      </c>
      <c r="F13" s="54"/>
      <c r="G13" s="73" t="s">
        <v>283</v>
      </c>
      <c r="H13" s="135" t="str">
        <f>YEAR($C$8)+1&amp;"e"</f>
        <v>2024e</v>
      </c>
      <c r="I13" s="135" t="str">
        <f>YEAR($C$8)+2&amp;"e"</f>
        <v>2025e</v>
      </c>
      <c r="J13" s="135" t="str">
        <f>YEAR($C$8)+3&amp;"e"</f>
        <v>2026e</v>
      </c>
      <c r="K13" s="136" t="str">
        <f>YEAR($C$8)+4&amp;"e"</f>
        <v>2027e</v>
      </c>
      <c r="L13" s="54"/>
      <c r="M13" s="54"/>
      <c r="N13" s="54"/>
      <c r="O13" s="54"/>
      <c r="P13" s="54"/>
      <c r="Q13" s="54"/>
      <c r="R13" s="54"/>
      <c r="S13" s="54"/>
      <c r="T13" s="54"/>
      <c r="U13" s="54"/>
      <c r="V13" s="54"/>
      <c r="W13" s="54"/>
      <c r="X13" s="54"/>
    </row>
    <row r="14" spans="1:26" ht="15" customHeight="1" x14ac:dyDescent="0.45">
      <c r="A14" s="30"/>
      <c r="B14" s="54" t="s">
        <v>317</v>
      </c>
      <c r="C14" s="36" t="s">
        <v>318</v>
      </c>
      <c r="D14" s="54"/>
      <c r="E14" s="128" t="s">
        <v>198</v>
      </c>
      <c r="F14" s="54"/>
      <c r="G14" s="54">
        <f>G44*'2'!COMP_FX</f>
        <v>14814</v>
      </c>
      <c r="H14" s="73">
        <f>IF(I$80&gt;0,SUMPRODUCT('2'!COMP_CALENDARIZE_PERCENTAGES,H44:J44)*I$81*'2'!COMP_FX,"N/A")</f>
        <v>15533</v>
      </c>
      <c r="I14" s="73">
        <f>IF(J$80&gt;0,SUMPRODUCT('2'!COMP_CALENDARIZE_PERCENTAGES,I44:K44)*J$81*'2'!COMP_FX,"N/A")</f>
        <v>16115</v>
      </c>
      <c r="J14" s="73">
        <f>IF(K$80&gt;0,SUMPRODUCT('2'!COMP_CALENDARIZE_PERCENTAGES,J44:L44)*K$81*'2'!COMP_FX,"N/A")</f>
        <v>16676</v>
      </c>
      <c r="K14" s="132" t="str">
        <f>IF(L$80&gt;0,SUMPRODUCT('2'!COMP_CALENDARIZE_PERCENTAGES,K44:M44)*L$81*'2'!COMP_FX,"N/A")</f>
        <v>N/A</v>
      </c>
      <c r="L14" s="54"/>
      <c r="M14" s="54"/>
      <c r="N14" s="54"/>
      <c r="O14" s="54"/>
      <c r="P14" s="54"/>
      <c r="Q14" s="54"/>
      <c r="R14" s="54"/>
      <c r="S14" s="54"/>
      <c r="T14" s="54"/>
      <c r="U14" s="54"/>
      <c r="V14" s="54"/>
      <c r="W14" s="54"/>
      <c r="X14" s="54"/>
    </row>
    <row r="15" spans="1:26" ht="15" customHeight="1" x14ac:dyDescent="0.45">
      <c r="A15" s="30"/>
      <c r="B15" s="54" t="s">
        <v>319</v>
      </c>
      <c r="C15" s="37">
        <v>1</v>
      </c>
      <c r="D15" s="54"/>
      <c r="E15" s="128" t="s">
        <v>65</v>
      </c>
      <c r="F15" s="54"/>
      <c r="G15" s="54">
        <f>G55*'2'!COMP_FX</f>
        <v>4042</v>
      </c>
      <c r="H15" s="73">
        <f>IF(I$80&gt;0,SUMPRODUCT('2'!COMP_CALENDARIZE_PERCENTAGES,H55:J55)*I$81*'2'!COMP_FX,"N/A")</f>
        <v>4525</v>
      </c>
      <c r="I15" s="73">
        <f>IF(J$80&gt;0,SUMPRODUCT('2'!COMP_CALENDARIZE_PERCENTAGES,I55:K55)*J$81*'2'!COMP_FX,"N/A")</f>
        <v>4737</v>
      </c>
      <c r="J15" s="73">
        <f>IF(K$80&gt;0,SUMPRODUCT('2'!COMP_CALENDARIZE_PERCENTAGES,J55:L55)*K$81*'2'!COMP_FX,"N/A")</f>
        <v>4938</v>
      </c>
      <c r="K15" s="132" t="str">
        <f>IF(L$80&gt;0,SUMPRODUCT('2'!COMP_CALENDARIZE_PERCENTAGES,K55:M55)*L$81*'2'!COMP_FX,"N/A")</f>
        <v>N/A</v>
      </c>
      <c r="L15" s="54"/>
      <c r="M15" s="54"/>
      <c r="N15" s="54"/>
      <c r="O15" s="54"/>
      <c r="P15" s="54"/>
      <c r="Q15" s="54"/>
      <c r="R15" s="54"/>
      <c r="S15" s="54"/>
      <c r="T15" s="54"/>
      <c r="U15" s="54"/>
      <c r="V15" s="54"/>
      <c r="W15" s="54"/>
      <c r="X15" s="54"/>
    </row>
    <row r="16" spans="1:26" ht="15" customHeight="1" x14ac:dyDescent="0.45">
      <c r="A16" s="30"/>
      <c r="B16" s="54" t="s">
        <v>320</v>
      </c>
      <c r="C16" s="38">
        <v>29.2</v>
      </c>
      <c r="D16" s="54"/>
      <c r="E16" s="128" t="s">
        <v>63</v>
      </c>
      <c r="F16" s="54"/>
      <c r="G16" s="54">
        <f>G53*'2'!COMP_FX</f>
        <v>3503</v>
      </c>
      <c r="H16" s="73">
        <f>IF(I$80&gt;0,SUMPRODUCT('2'!COMP_CALENDARIZE_PERCENTAGES,H53:J53)*I$81*'2'!COMP_FX,"N/A")</f>
        <v>3933</v>
      </c>
      <c r="I16" s="73">
        <f>IF(J$80&gt;0,SUMPRODUCT('2'!COMP_CALENDARIZE_PERCENTAGES,I53:K53)*J$81*'2'!COMP_FX,"N/A")</f>
        <v>4128</v>
      </c>
      <c r="J16" s="73">
        <f>IF(K$80&gt;0,SUMPRODUCT('2'!COMP_CALENDARIZE_PERCENTAGES,J53:L53)*K$81*'2'!COMP_FX,"N/A")</f>
        <v>4282</v>
      </c>
      <c r="K16" s="132" t="str">
        <f>IF(L$80&gt;0,SUMPRODUCT('2'!COMP_CALENDARIZE_PERCENTAGES,K53:M53)*L$81*'2'!COMP_FX,"N/A")</f>
        <v>N/A</v>
      </c>
      <c r="L16" s="54"/>
      <c r="M16" s="54"/>
      <c r="N16" s="54"/>
      <c r="O16" s="54"/>
      <c r="P16" s="54"/>
      <c r="Q16" s="54"/>
      <c r="R16" s="54"/>
      <c r="S16" s="54"/>
      <c r="T16" s="54"/>
      <c r="U16" s="54"/>
      <c r="V16" s="54"/>
      <c r="W16" s="54"/>
      <c r="X16" s="54"/>
    </row>
    <row r="17" spans="1:24" ht="15" customHeight="1" x14ac:dyDescent="0.45">
      <c r="A17" s="30"/>
      <c r="B17" s="54" t="s">
        <v>321</v>
      </c>
      <c r="C17" s="38">
        <v>27.66</v>
      </c>
      <c r="D17" s="54"/>
      <c r="E17" s="137" t="s">
        <v>322</v>
      </c>
      <c r="F17" s="104"/>
      <c r="G17" s="104"/>
      <c r="H17" s="138">
        <f>IF(I$80&gt;0,SUMPRODUCT('2'!COMP_CALENDARIZE_PERCENTAGES,H56:J56)*I$81*'2'!COMP_FX,"N/A")</f>
        <v>1.93</v>
      </c>
      <c r="I17" s="138">
        <f>IF(J$80&gt;0,SUMPRODUCT('2'!COMP_CALENDARIZE_PERCENTAGES,I56:K56)*J$81*'2'!COMP_FX,"N/A")</f>
        <v>2.0699999999999998</v>
      </c>
      <c r="J17" s="138">
        <f>IF(K$80&gt;0,SUMPRODUCT('2'!COMP_CALENDARIZE_PERCENTAGES,J56:L56)*K$81*'2'!COMP_FX,"N/A")</f>
        <v>2.21</v>
      </c>
      <c r="K17" s="139" t="str">
        <f>IF(L$80&gt;0,SUMPRODUCT('2'!COMP_CALENDARIZE_PERCENTAGES,K56:M56)*L$81*'2'!COMP_FX,"N/A")</f>
        <v>N/A</v>
      </c>
      <c r="L17" s="54"/>
      <c r="M17" s="54"/>
      <c r="N17" s="54"/>
      <c r="O17" s="54"/>
      <c r="P17" s="54"/>
      <c r="Q17" s="54"/>
      <c r="R17" s="54"/>
      <c r="S17" s="54"/>
      <c r="T17" s="54"/>
      <c r="U17" s="54"/>
      <c r="V17" s="54"/>
      <c r="W17" s="54"/>
      <c r="X17" s="54"/>
    </row>
    <row r="18" spans="1:24" ht="15" customHeight="1" x14ac:dyDescent="0.45">
      <c r="A18" s="30"/>
      <c r="B18" s="54" t="s">
        <v>323</v>
      </c>
      <c r="C18" s="38">
        <v>35.99</v>
      </c>
      <c r="D18" s="54"/>
      <c r="E18" s="54"/>
      <c r="F18" s="54"/>
      <c r="G18" s="54"/>
      <c r="H18" s="54"/>
      <c r="I18" s="54"/>
      <c r="J18" s="54"/>
      <c r="K18" s="54"/>
      <c r="L18" s="54"/>
      <c r="M18" s="54"/>
      <c r="N18" s="54"/>
      <c r="O18" s="54"/>
      <c r="P18" s="54"/>
      <c r="Q18" s="54"/>
      <c r="R18" s="54"/>
      <c r="S18" s="54"/>
      <c r="T18" s="54"/>
      <c r="U18" s="54"/>
      <c r="V18" s="54"/>
      <c r="W18" s="54"/>
      <c r="X18" s="54"/>
    </row>
    <row r="19" spans="1:24" ht="15" customHeight="1" x14ac:dyDescent="0.45">
      <c r="A19" s="30"/>
      <c r="B19" s="54" t="s">
        <v>324</v>
      </c>
      <c r="C19" s="36" t="s">
        <v>397</v>
      </c>
      <c r="D19" s="54"/>
      <c r="E19" s="26" t="s">
        <v>326</v>
      </c>
      <c r="F19" s="27"/>
      <c r="G19" s="27"/>
      <c r="H19" s="27"/>
      <c r="I19" s="27"/>
      <c r="J19" s="27"/>
      <c r="K19" s="28"/>
      <c r="L19" s="54"/>
      <c r="M19" s="54"/>
      <c r="N19" s="54"/>
      <c r="O19" s="54"/>
      <c r="P19" s="54"/>
      <c r="Q19" s="54"/>
      <c r="R19" s="54"/>
      <c r="S19" s="54"/>
      <c r="T19" s="54"/>
      <c r="U19" s="54"/>
      <c r="V19" s="54"/>
      <c r="W19" s="54"/>
      <c r="X19" s="54"/>
    </row>
    <row r="20" spans="1:24" ht="15" customHeight="1" x14ac:dyDescent="0.45">
      <c r="A20" s="30"/>
      <c r="B20" s="54" t="s">
        <v>327</v>
      </c>
      <c r="C20" s="65">
        <v>0.51</v>
      </c>
      <c r="D20" s="54"/>
      <c r="E20" s="128" t="s">
        <v>328</v>
      </c>
      <c r="F20" s="54"/>
      <c r="G20" s="73" t="str">
        <f>G13</f>
        <v>LTM</v>
      </c>
      <c r="H20" s="73" t="str">
        <f>H13</f>
        <v>2024e</v>
      </c>
      <c r="I20" s="73" t="str">
        <f>I13</f>
        <v>2025e</v>
      </c>
      <c r="J20" s="73" t="str">
        <f>J13</f>
        <v>2026e</v>
      </c>
      <c r="K20" s="132" t="str">
        <f>K13</f>
        <v>2027e</v>
      </c>
      <c r="L20" s="54"/>
      <c r="M20" s="54"/>
      <c r="N20" s="54"/>
      <c r="O20" s="54"/>
      <c r="P20" s="54"/>
      <c r="Q20" s="54"/>
      <c r="R20" s="54"/>
      <c r="S20" s="54"/>
      <c r="T20" s="54"/>
      <c r="U20" s="54"/>
      <c r="V20" s="54"/>
      <c r="W20" s="54"/>
      <c r="X20" s="54"/>
    </row>
    <row r="21" spans="1:24" ht="15" customHeight="1" x14ac:dyDescent="0.45">
      <c r="A21" s="30"/>
      <c r="B21" s="54" t="s">
        <v>329</v>
      </c>
      <c r="C21" s="33">
        <v>6.9000000000000006E-2</v>
      </c>
      <c r="D21" s="54"/>
      <c r="E21" s="128" t="s">
        <v>330</v>
      </c>
      <c r="F21" s="54"/>
      <c r="G21" s="140">
        <f>IF(G14&lt;&gt;0,$H$10/G14,"N/A")</f>
        <v>3.6125060147212098</v>
      </c>
      <c r="H21" s="140">
        <f t="shared" ref="H21:J23" si="0">IF(ISNUMBER(H14),$H$10/H14,"N/A")</f>
        <v>3.4452883603991502</v>
      </c>
      <c r="I21" s="140">
        <f t="shared" si="0"/>
        <v>3.3208603228098048</v>
      </c>
      <c r="J21" s="140">
        <f t="shared" si="0"/>
        <v>3.2091427261981291</v>
      </c>
      <c r="K21" s="141" t="str">
        <f>IFERROR($H$10/K14,"N/A")</f>
        <v>N/A</v>
      </c>
      <c r="L21" s="54"/>
      <c r="M21" s="54"/>
      <c r="N21" s="54"/>
      <c r="O21" s="54"/>
      <c r="P21" s="54"/>
      <c r="Q21" s="54"/>
      <c r="R21" s="54"/>
      <c r="S21" s="54"/>
      <c r="T21" s="54"/>
      <c r="U21" s="54"/>
      <c r="V21" s="54"/>
      <c r="W21" s="54"/>
      <c r="X21" s="54"/>
    </row>
    <row r="22" spans="1:24" ht="15" customHeight="1" x14ac:dyDescent="0.45">
      <c r="A22" s="30"/>
      <c r="B22" s="54" t="s">
        <v>331</v>
      </c>
      <c r="C22" s="142">
        <f>G53/G44</f>
        <v>0.23646550560280816</v>
      </c>
      <c r="D22" s="54"/>
      <c r="E22" s="128" t="s">
        <v>288</v>
      </c>
      <c r="F22" s="54"/>
      <c r="G22" s="140">
        <f>IF(G15&lt;&gt;0,$H$10/G15,"N/A")</f>
        <v>13.239897105907966</v>
      </c>
      <c r="H22" s="140">
        <f t="shared" si="0"/>
        <v>11.826666099907182</v>
      </c>
      <c r="I22" s="140">
        <f t="shared" si="0"/>
        <v>11.297374731281401</v>
      </c>
      <c r="J22" s="140">
        <f t="shared" si="0"/>
        <v>10.837518044163629</v>
      </c>
      <c r="K22" s="141" t="str">
        <f>IFERROR($H$10/K15,"N/A")</f>
        <v>N/A</v>
      </c>
      <c r="L22" s="54"/>
      <c r="M22" s="54"/>
      <c r="N22" s="54"/>
      <c r="O22" s="54"/>
      <c r="P22" s="54"/>
      <c r="Q22" s="54"/>
      <c r="R22" s="54"/>
      <c r="S22" s="54"/>
      <c r="T22" s="54"/>
      <c r="U22" s="54"/>
      <c r="V22" s="54"/>
      <c r="W22" s="54"/>
      <c r="X22" s="54"/>
    </row>
    <row r="23" spans="1:24" ht="15" customHeight="1" x14ac:dyDescent="0.45">
      <c r="A23" s="39"/>
      <c r="B23" s="104" t="s">
        <v>118</v>
      </c>
      <c r="C23" s="143">
        <f>G53*(1-'2'!COMP_MTR)/D39</f>
        <v>6.9502512825882101E-2</v>
      </c>
      <c r="D23" s="54"/>
      <c r="E23" s="128" t="s">
        <v>332</v>
      </c>
      <c r="F23" s="54"/>
      <c r="G23" s="140">
        <f>IF(G16&lt;&gt;0,$H$10/G16,"N/A")</f>
        <v>15.277095090516701</v>
      </c>
      <c r="H23" s="140">
        <f t="shared" si="0"/>
        <v>13.606830435311467</v>
      </c>
      <c r="I23" s="140">
        <f t="shared" si="0"/>
        <v>12.96406591620155</v>
      </c>
      <c r="J23" s="140">
        <f t="shared" si="0"/>
        <v>12.497819734255021</v>
      </c>
      <c r="K23" s="141" t="str">
        <f>IFERROR($H$10/K16,"N/A")</f>
        <v>N/A</v>
      </c>
      <c r="L23" s="54"/>
      <c r="M23" s="54"/>
      <c r="N23" s="54"/>
      <c r="O23" s="54"/>
      <c r="P23" s="54"/>
      <c r="Q23" s="54"/>
      <c r="R23" s="54"/>
      <c r="S23" s="54"/>
      <c r="T23" s="54"/>
      <c r="U23" s="54"/>
      <c r="V23" s="54"/>
      <c r="W23" s="54"/>
      <c r="X23" s="54"/>
    </row>
    <row r="24" spans="1:24" ht="15" customHeight="1" x14ac:dyDescent="0.45">
      <c r="A24" s="19"/>
      <c r="B24" s="54"/>
      <c r="C24" s="54"/>
      <c r="D24" s="54"/>
      <c r="E24" s="128" t="s">
        <v>333</v>
      </c>
      <c r="F24" s="54"/>
      <c r="G24" s="140"/>
      <c r="H24" s="140">
        <f>IF(ISNUMBER(H17),($C$16*'2'!COMP_FX)/H17,"N/A")</f>
        <v>15.129533678756477</v>
      </c>
      <c r="I24" s="140">
        <f>IF(ISNUMBER(I17),($C$16*'2'!COMP_FX)/I17,"N/A")</f>
        <v>14.106280193236715</v>
      </c>
      <c r="J24" s="140">
        <f>IF(ISNUMBER(J17),($C$16*'2'!COMP_FX)/J17,"N/A")</f>
        <v>13.212669683257918</v>
      </c>
      <c r="K24" s="141" t="str">
        <f>IFERROR(($C$16*'2'!COMP_FX)/K17,"N/A")</f>
        <v>N/A</v>
      </c>
      <c r="L24" s="54"/>
      <c r="M24" s="54"/>
      <c r="N24" s="54"/>
      <c r="O24" s="54"/>
      <c r="P24" s="54"/>
      <c r="Q24" s="54"/>
      <c r="R24" s="54"/>
      <c r="S24" s="54"/>
      <c r="T24" s="54"/>
      <c r="U24" s="54"/>
      <c r="V24" s="54"/>
      <c r="W24" s="54"/>
      <c r="X24" s="54"/>
    </row>
    <row r="25" spans="1:24" ht="15" customHeight="1" x14ac:dyDescent="0.45">
      <c r="A25" s="30"/>
      <c r="B25" s="54"/>
      <c r="C25" s="54"/>
      <c r="D25" s="54"/>
      <c r="E25" s="128" t="s">
        <v>334</v>
      </c>
      <c r="F25" s="54"/>
      <c r="G25" s="140">
        <f>D36/D37</f>
        <v>1.5963414901885029</v>
      </c>
      <c r="H25" s="54"/>
      <c r="I25" s="54"/>
      <c r="J25" s="54"/>
      <c r="K25" s="129"/>
      <c r="L25" s="54"/>
      <c r="M25" s="54"/>
      <c r="N25" s="54"/>
      <c r="O25" s="54"/>
      <c r="P25" s="54"/>
      <c r="Q25" s="54"/>
      <c r="R25" s="54"/>
      <c r="S25" s="54"/>
      <c r="T25" s="54"/>
      <c r="U25" s="54"/>
      <c r="V25" s="54"/>
      <c r="W25" s="54"/>
      <c r="X25" s="54"/>
    </row>
    <row r="26" spans="1:24" ht="15" customHeight="1" x14ac:dyDescent="0.45">
      <c r="A26" s="30"/>
      <c r="B26" s="54"/>
      <c r="C26" s="54"/>
      <c r="D26" s="54"/>
      <c r="E26" s="137" t="s">
        <v>335</v>
      </c>
      <c r="F26" s="104"/>
      <c r="G26" s="144">
        <f>IF(G15=0,"N/A",H7/G15)</f>
        <v>3.5086590796635329</v>
      </c>
      <c r="H26" s="104"/>
      <c r="I26" s="104"/>
      <c r="J26" s="104"/>
      <c r="K26" s="134"/>
      <c r="L26" s="54"/>
      <c r="M26" s="54"/>
      <c r="N26" s="54"/>
      <c r="O26" s="54"/>
      <c r="P26" s="54"/>
      <c r="Q26" s="54"/>
      <c r="R26" s="54"/>
      <c r="S26" s="54"/>
      <c r="T26" s="54"/>
      <c r="U26" s="54"/>
      <c r="V26" s="54"/>
      <c r="W26" s="54"/>
      <c r="X26" s="54"/>
    </row>
    <row r="27" spans="1:24" ht="15" customHeight="1" x14ac:dyDescent="0.45">
      <c r="A27" s="30"/>
      <c r="B27" s="54"/>
      <c r="C27" s="54"/>
      <c r="D27" s="54"/>
      <c r="E27" s="54"/>
      <c r="F27" s="54"/>
      <c r="G27" s="54"/>
      <c r="H27" s="54"/>
      <c r="I27" s="54"/>
      <c r="J27" s="54"/>
      <c r="K27" s="54"/>
      <c r="L27" s="54"/>
      <c r="M27" s="54"/>
      <c r="N27" s="54"/>
      <c r="O27" s="54"/>
      <c r="P27" s="54"/>
      <c r="Q27" s="54"/>
      <c r="R27" s="54"/>
      <c r="S27" s="54"/>
      <c r="T27" s="54"/>
      <c r="U27" s="54"/>
      <c r="V27" s="54"/>
      <c r="W27" s="54"/>
      <c r="X27" s="54"/>
    </row>
    <row r="28" spans="1:24" ht="15" customHeight="1" x14ac:dyDescent="0.55000000000000004">
      <c r="A28" s="26" t="s">
        <v>336</v>
      </c>
      <c r="B28" s="40"/>
      <c r="C28" s="41"/>
      <c r="D28" s="41"/>
      <c r="E28" s="41"/>
      <c r="F28" s="41"/>
      <c r="G28" s="41"/>
      <c r="H28" s="41"/>
      <c r="I28" s="41"/>
      <c r="J28" s="41"/>
      <c r="K28" s="41"/>
      <c r="L28" s="54"/>
      <c r="M28" s="26" t="s">
        <v>337</v>
      </c>
      <c r="N28" s="27"/>
      <c r="O28" s="27"/>
      <c r="P28" s="28"/>
      <c r="Q28" s="54"/>
      <c r="R28" s="54"/>
      <c r="S28" s="54"/>
      <c r="T28" s="54"/>
      <c r="U28" s="54"/>
      <c r="V28" s="54"/>
      <c r="W28" s="54"/>
      <c r="X28" s="54"/>
    </row>
    <row r="29" spans="1:24" ht="15" customHeight="1" x14ac:dyDescent="0.45">
      <c r="A29" s="128"/>
      <c r="B29" s="54"/>
      <c r="C29" s="54"/>
      <c r="D29" s="54"/>
      <c r="E29" s="54"/>
      <c r="F29" s="54"/>
      <c r="H29" s="54"/>
      <c r="I29" s="54"/>
      <c r="J29" s="54"/>
      <c r="K29" s="129"/>
      <c r="L29" s="54"/>
      <c r="M29" s="128" t="s">
        <v>338</v>
      </c>
      <c r="N29" s="73" t="s">
        <v>339</v>
      </c>
      <c r="O29" s="73" t="s">
        <v>340</v>
      </c>
      <c r="P29" s="132" t="s">
        <v>341</v>
      </c>
      <c r="Q29" s="54"/>
      <c r="R29" s="54"/>
      <c r="S29" s="54"/>
      <c r="T29" s="54"/>
      <c r="U29" s="54"/>
      <c r="V29" s="54"/>
      <c r="W29" s="54"/>
      <c r="X29" s="54"/>
    </row>
    <row r="30" spans="1:24" ht="15" customHeight="1" x14ac:dyDescent="0.45">
      <c r="A30" s="30"/>
      <c r="B30" s="21" t="s">
        <v>342</v>
      </c>
      <c r="C30" s="54"/>
      <c r="D30" s="21"/>
      <c r="E30" s="21" t="s">
        <v>343</v>
      </c>
      <c r="F30" s="42"/>
      <c r="G30" s="42"/>
      <c r="H30" s="21" t="s">
        <v>344</v>
      </c>
      <c r="I30" s="42"/>
      <c r="J30" s="42"/>
      <c r="K30" s="129"/>
      <c r="L30" s="54"/>
      <c r="M30" s="43" t="s">
        <v>345</v>
      </c>
      <c r="N30" s="191">
        <v>3.7451999999999999E-2</v>
      </c>
      <c r="O30" s="194">
        <v>14.76</v>
      </c>
      <c r="P30" s="129">
        <f>MAX(('2'!COMP_SHAREPRICE-O30)/'2'!COMP_SHAREPRICE*N30,0)</f>
        <v>1.8520783561643835E-2</v>
      </c>
      <c r="Q30" s="54"/>
      <c r="S30" s="54"/>
      <c r="T30" s="54"/>
      <c r="U30" s="54"/>
      <c r="V30" s="54"/>
      <c r="W30" s="54"/>
      <c r="X30" s="54"/>
    </row>
    <row r="31" spans="1:24" ht="15" customHeight="1" x14ac:dyDescent="0.45">
      <c r="A31" s="30"/>
      <c r="B31" s="54" t="s">
        <v>346</v>
      </c>
      <c r="C31" s="54"/>
      <c r="D31" s="45">
        <v>45342</v>
      </c>
      <c r="E31" s="54" t="s">
        <v>269</v>
      </c>
      <c r="F31" s="54"/>
      <c r="G31" s="191">
        <v>3246</v>
      </c>
      <c r="H31" s="54" t="s">
        <v>347</v>
      </c>
      <c r="I31" s="54"/>
      <c r="J31" s="192">
        <v>267</v>
      </c>
      <c r="K31" s="129"/>
      <c r="M31" s="43" t="s">
        <v>348</v>
      </c>
      <c r="N31" s="191">
        <v>0.32877600000000001</v>
      </c>
      <c r="O31" s="44">
        <v>0</v>
      </c>
      <c r="P31" s="129">
        <f>MAX(('2'!COMP_SHAREPRICE-O31)/'2'!COMP_SHAREPRICE*N31,0)</f>
        <v>0.32877600000000001</v>
      </c>
      <c r="Q31" s="54"/>
      <c r="R31" s="239" t="s">
        <v>398</v>
      </c>
      <c r="S31" s="239"/>
      <c r="T31" s="239"/>
      <c r="U31" s="239"/>
      <c r="V31" s="239"/>
    </row>
    <row r="32" spans="1:24" ht="15" customHeight="1" x14ac:dyDescent="0.45">
      <c r="A32" s="30"/>
      <c r="B32" s="54" t="s">
        <v>260</v>
      </c>
      <c r="D32" s="192">
        <v>1387.5910100000001</v>
      </c>
      <c r="E32" s="16" t="s">
        <v>399</v>
      </c>
      <c r="F32" s="54"/>
      <c r="G32" s="191">
        <v>106</v>
      </c>
      <c r="H32" s="16" t="s">
        <v>274</v>
      </c>
      <c r="I32" s="54"/>
      <c r="J32" s="25">
        <v>0</v>
      </c>
      <c r="K32" s="129"/>
      <c r="M32" s="43" t="s">
        <v>350</v>
      </c>
      <c r="N32" s="191">
        <v>15.74882</v>
      </c>
      <c r="O32" s="44">
        <v>0</v>
      </c>
      <c r="P32" s="129">
        <f>MAX(('2'!COMP_SHAREPRICE-O32)/'2'!COMP_SHAREPRICE*N32,0)</f>
        <v>15.74882</v>
      </c>
      <c r="Q32" s="54"/>
      <c r="R32" s="239"/>
      <c r="S32" s="239"/>
      <c r="T32" s="239"/>
      <c r="U32" s="239"/>
      <c r="V32" s="239"/>
    </row>
    <row r="33" spans="1:26" ht="15" customHeight="1" x14ac:dyDescent="0.45">
      <c r="A33" s="30"/>
      <c r="B33" s="54" t="s">
        <v>351</v>
      </c>
      <c r="D33" s="25">
        <v>0</v>
      </c>
      <c r="E33" s="16" t="s">
        <v>399</v>
      </c>
      <c r="F33" s="54"/>
      <c r="G33" s="191">
        <v>620</v>
      </c>
      <c r="H33" s="16" t="s">
        <v>275</v>
      </c>
      <c r="I33" s="54"/>
      <c r="J33" s="192">
        <v>1387</v>
      </c>
      <c r="K33" s="129"/>
      <c r="M33" s="43" t="s">
        <v>352</v>
      </c>
      <c r="N33" s="25">
        <v>0</v>
      </c>
      <c r="O33" s="44">
        <v>0</v>
      </c>
      <c r="P33" s="129">
        <f>MAX(('2'!COMP_SHAREPRICE-O33)/'2'!COMP_SHAREPRICE*N33,0)</f>
        <v>0</v>
      </c>
      <c r="Q33" s="54"/>
      <c r="R33" s="239"/>
      <c r="S33" s="239"/>
      <c r="T33" s="239"/>
      <c r="U33" s="239"/>
      <c r="V33" s="239"/>
    </row>
    <row r="34" spans="1:26" ht="15" customHeight="1" x14ac:dyDescent="0.45">
      <c r="A34" s="30"/>
      <c r="B34" s="54" t="s">
        <v>353</v>
      </c>
      <c r="D34" s="54">
        <f>P38</f>
        <v>16.096116783561644</v>
      </c>
      <c r="E34" s="16" t="s">
        <v>271</v>
      </c>
      <c r="F34" s="54"/>
      <c r="G34" s="191">
        <v>9945</v>
      </c>
      <c r="H34" s="16" t="s">
        <v>104</v>
      </c>
      <c r="I34" s="54"/>
      <c r="J34" s="25">
        <v>0</v>
      </c>
      <c r="K34" s="129"/>
      <c r="M34" s="43" t="s">
        <v>355</v>
      </c>
      <c r="N34" s="25">
        <v>0</v>
      </c>
      <c r="O34" s="44">
        <v>0</v>
      </c>
      <c r="P34" s="129">
        <f>MAX(('2'!COMP_SHAREPRICE-O34)/'2'!COMP_SHAREPRICE*N34,0)</f>
        <v>0</v>
      </c>
      <c r="Q34" s="54"/>
      <c r="R34" s="239"/>
      <c r="S34" s="239"/>
      <c r="T34" s="239"/>
      <c r="U34" s="239"/>
      <c r="V34" s="239"/>
    </row>
    <row r="35" spans="1:26" ht="15" customHeight="1" x14ac:dyDescent="0.45">
      <c r="A35" s="30"/>
      <c r="B35" s="54" t="s">
        <v>267</v>
      </c>
      <c r="D35" s="54">
        <f>SUM(D32:D34)</f>
        <v>1403.6871267835618</v>
      </c>
      <c r="E35" s="16" t="s">
        <v>103</v>
      </c>
      <c r="G35" s="191">
        <v>117</v>
      </c>
      <c r="H35" s="16" t="s">
        <v>104</v>
      </c>
      <c r="I35" s="54"/>
      <c r="J35" s="25">
        <v>0</v>
      </c>
      <c r="K35" s="129"/>
      <c r="L35" s="54"/>
      <c r="M35" s="43" t="s">
        <v>356</v>
      </c>
      <c r="N35" s="25">
        <v>0</v>
      </c>
      <c r="O35" s="44">
        <v>0</v>
      </c>
      <c r="P35" s="129">
        <f>MAX(('2'!COMP_SHAREPRICE-O35)/'2'!COMP_SHAREPRICE*N35,0)</f>
        <v>0</v>
      </c>
      <c r="Q35" s="54"/>
      <c r="R35" s="239"/>
      <c r="S35" s="239"/>
      <c r="T35" s="239"/>
      <c r="U35" s="239"/>
      <c r="V35" s="239"/>
    </row>
    <row r="36" spans="1:26" ht="15" customHeight="1" x14ac:dyDescent="0.45">
      <c r="A36" s="30"/>
      <c r="B36" s="54" t="s">
        <v>357</v>
      </c>
      <c r="D36" s="54">
        <f>D35*'2'!COMP_SHAREPRICE</f>
        <v>40987.664102080002</v>
      </c>
      <c r="E36" s="16" t="s">
        <v>292</v>
      </c>
      <c r="F36" s="54"/>
      <c r="G36" s="191">
        <v>148</v>
      </c>
      <c r="H36" s="16" t="s">
        <v>104</v>
      </c>
      <c r="I36" s="54"/>
      <c r="J36" s="25">
        <v>0</v>
      </c>
      <c r="K36" s="129"/>
      <c r="L36" s="54"/>
      <c r="M36" s="43" t="s">
        <v>358</v>
      </c>
      <c r="N36" s="25">
        <v>0</v>
      </c>
      <c r="O36" s="44">
        <v>0</v>
      </c>
      <c r="P36" s="129">
        <f>MAX(('2'!COMP_SHAREPRICE-O36)/'2'!COMP_SHAREPRICE*N36,0)</f>
        <v>0</v>
      </c>
      <c r="Q36" s="54"/>
      <c r="R36" s="54"/>
      <c r="S36" s="145"/>
      <c r="T36" s="100"/>
      <c r="U36" s="100"/>
      <c r="V36" s="100"/>
      <c r="W36" s="100"/>
      <c r="X36" s="100"/>
    </row>
    <row r="37" spans="1:26" ht="15" customHeight="1" x14ac:dyDescent="0.45">
      <c r="A37" s="30"/>
      <c r="B37" s="54" t="s">
        <v>359</v>
      </c>
      <c r="D37" s="192">
        <v>25676</v>
      </c>
      <c r="E37" s="54" t="s">
        <v>272</v>
      </c>
      <c r="F37" s="54"/>
      <c r="G37" s="191">
        <v>0</v>
      </c>
      <c r="H37" s="16" t="s">
        <v>104</v>
      </c>
      <c r="I37" s="54"/>
      <c r="J37" s="25">
        <v>0</v>
      </c>
      <c r="K37" s="129"/>
      <c r="L37" s="54"/>
      <c r="M37" s="43" t="s">
        <v>360</v>
      </c>
      <c r="N37" s="25">
        <v>0</v>
      </c>
      <c r="O37" s="44">
        <v>0</v>
      </c>
      <c r="P37" s="129">
        <f>MAX(('2'!COMP_SHAREPRICE-O37)/'2'!COMP_SHAREPRICE*N37,0)</f>
        <v>0</v>
      </c>
      <c r="Q37" s="54"/>
      <c r="R37" s="54"/>
      <c r="S37" s="145"/>
      <c r="T37" s="100"/>
      <c r="U37" s="100"/>
      <c r="V37" s="100"/>
      <c r="W37" s="100"/>
      <c r="X37" s="100"/>
    </row>
    <row r="38" spans="1:26" ht="15" customHeight="1" x14ac:dyDescent="0.45">
      <c r="A38" s="30"/>
      <c r="B38" s="54" t="s">
        <v>361</v>
      </c>
      <c r="C38" s="54"/>
      <c r="D38" s="54">
        <f>G39-J39</f>
        <v>12528</v>
      </c>
      <c r="F38" s="54"/>
      <c r="G38" s="54"/>
      <c r="H38" s="54"/>
      <c r="I38" s="54"/>
      <c r="J38" s="54"/>
      <c r="K38" s="129"/>
      <c r="L38" s="54"/>
      <c r="M38" s="137" t="s">
        <v>362</v>
      </c>
      <c r="N38" s="104"/>
      <c r="O38" s="104"/>
      <c r="P38" s="134">
        <f>SUM(P30:P37)</f>
        <v>16.096116783561644</v>
      </c>
      <c r="Q38" s="54"/>
      <c r="R38" s="54"/>
      <c r="S38" s="145"/>
      <c r="T38" s="100"/>
      <c r="U38" s="100"/>
      <c r="V38" s="100"/>
      <c r="W38" s="100"/>
      <c r="X38" s="100"/>
    </row>
    <row r="39" spans="1:26" ht="15" customHeight="1" x14ac:dyDescent="0.45">
      <c r="A39" s="104"/>
      <c r="B39" s="104" t="s">
        <v>117</v>
      </c>
      <c r="C39" s="104"/>
      <c r="D39" s="104">
        <f>D37+D38</f>
        <v>38204</v>
      </c>
      <c r="E39" s="104" t="s">
        <v>363</v>
      </c>
      <c r="F39" s="104"/>
      <c r="G39" s="104">
        <f>SUM(G31:G37)</f>
        <v>14182</v>
      </c>
      <c r="H39" s="104" t="s">
        <v>364</v>
      </c>
      <c r="I39" s="104"/>
      <c r="J39" s="104">
        <f>SUM(J31:J37)</f>
        <v>1654</v>
      </c>
      <c r="K39" s="134"/>
      <c r="L39" s="54"/>
      <c r="M39" s="54"/>
      <c r="N39" s="54"/>
      <c r="O39" s="54"/>
      <c r="P39" s="54"/>
      <c r="Q39" s="54"/>
      <c r="R39" s="54"/>
      <c r="S39" s="54"/>
      <c r="T39" s="100"/>
      <c r="U39" s="100"/>
      <c r="V39" s="100"/>
      <c r="W39" s="100"/>
      <c r="X39" s="100"/>
    </row>
    <row r="40" spans="1:26" ht="15" customHeight="1" x14ac:dyDescent="0.45">
      <c r="A40" s="39"/>
      <c r="B40" s="54"/>
      <c r="C40" s="54"/>
      <c r="D40" s="54"/>
      <c r="E40" s="54"/>
      <c r="F40" s="54"/>
      <c r="G40" s="54"/>
      <c r="H40" s="54"/>
      <c r="I40" s="54"/>
      <c r="J40" s="54"/>
      <c r="K40" s="54"/>
      <c r="L40" s="54"/>
      <c r="M40" s="54"/>
      <c r="N40" s="54"/>
      <c r="O40" s="54"/>
      <c r="P40" s="54"/>
      <c r="Q40" s="54"/>
      <c r="R40" s="54"/>
      <c r="S40" s="54"/>
      <c r="T40" s="54"/>
      <c r="U40" s="54"/>
      <c r="V40" s="54"/>
      <c r="W40" s="54"/>
      <c r="X40" s="54"/>
    </row>
    <row r="41" spans="1:26" ht="15" customHeight="1" x14ac:dyDescent="0.55000000000000004">
      <c r="A41" s="26" t="s">
        <v>365</v>
      </c>
      <c r="B41" s="40"/>
      <c r="C41" s="41"/>
      <c r="D41" s="41"/>
      <c r="E41" s="41"/>
      <c r="F41" s="41"/>
      <c r="G41" s="41"/>
      <c r="H41" s="41"/>
      <c r="I41" s="27" t="s">
        <v>366</v>
      </c>
      <c r="J41" s="41"/>
      <c r="K41" s="41"/>
      <c r="L41" s="46"/>
      <c r="M41" s="54"/>
      <c r="N41" s="54"/>
      <c r="O41" s="54"/>
      <c r="P41" s="54"/>
      <c r="Q41" s="54"/>
      <c r="R41" s="54"/>
      <c r="S41" s="54"/>
      <c r="T41" s="54"/>
      <c r="U41" s="54"/>
      <c r="V41" s="54"/>
      <c r="W41" s="54"/>
      <c r="X41" s="54"/>
    </row>
    <row r="42" spans="1:26" ht="15.75" customHeight="1" x14ac:dyDescent="0.45">
      <c r="A42" s="30"/>
      <c r="B42" s="54"/>
      <c r="C42" s="73" t="s">
        <v>367</v>
      </c>
      <c r="D42" s="146" t="s">
        <v>368</v>
      </c>
      <c r="E42" s="146" t="s">
        <v>369</v>
      </c>
      <c r="F42" s="54" t="s">
        <v>351</v>
      </c>
      <c r="G42" s="73" t="s">
        <v>370</v>
      </c>
      <c r="H42" s="73" t="s">
        <v>371</v>
      </c>
      <c r="I42" s="73" t="s">
        <v>372</v>
      </c>
      <c r="J42" s="73" t="s">
        <v>373</v>
      </c>
      <c r="K42" s="73" t="s">
        <v>374</v>
      </c>
      <c r="L42" s="132" t="s">
        <v>375</v>
      </c>
      <c r="M42" s="54"/>
      <c r="O42" s="54"/>
      <c r="P42" s="54"/>
      <c r="S42" s="54"/>
      <c r="T42" s="54"/>
      <c r="U42" s="54"/>
      <c r="V42" s="54"/>
      <c r="W42" s="54"/>
      <c r="X42" s="54"/>
    </row>
    <row r="43" spans="1:26" ht="15" customHeight="1" x14ac:dyDescent="0.45">
      <c r="A43" s="30"/>
      <c r="B43" s="54" t="s">
        <v>11</v>
      </c>
      <c r="C43" s="147">
        <f>C11</f>
        <v>45291</v>
      </c>
      <c r="D43" s="47">
        <v>0</v>
      </c>
      <c r="E43" s="47">
        <v>0</v>
      </c>
      <c r="F43" s="54"/>
      <c r="G43" s="147">
        <f>C13</f>
        <v>45291</v>
      </c>
      <c r="H43" s="147">
        <f>C43</f>
        <v>45291</v>
      </c>
      <c r="I43" s="147">
        <f>EDATE(C43,12)</f>
        <v>45657</v>
      </c>
      <c r="J43" s="147">
        <f>EDATE(I43,12)</f>
        <v>46022</v>
      </c>
      <c r="K43" s="147">
        <f>EDATE(J43,12)</f>
        <v>46387</v>
      </c>
      <c r="L43" s="131">
        <f>EDATE(K43,12)</f>
        <v>46752</v>
      </c>
      <c r="M43" s="54"/>
      <c r="N43" s="54"/>
      <c r="O43" s="54"/>
      <c r="P43" s="54"/>
      <c r="Q43" s="54"/>
      <c r="R43" s="54"/>
      <c r="S43" s="54"/>
      <c r="T43" s="54"/>
      <c r="U43" s="54"/>
      <c r="V43" s="54"/>
      <c r="W43" s="54"/>
      <c r="X43" s="54"/>
      <c r="Y43" s="54"/>
      <c r="Z43" s="54"/>
    </row>
    <row r="44" spans="1:26" ht="15" customHeight="1" x14ac:dyDescent="0.45">
      <c r="A44" s="30"/>
      <c r="B44" s="54" t="s">
        <v>198</v>
      </c>
      <c r="C44" s="192">
        <v>14814</v>
      </c>
      <c r="D44" s="25">
        <v>0</v>
      </c>
      <c r="E44" s="25">
        <v>0</v>
      </c>
      <c r="F44" s="25">
        <v>0</v>
      </c>
      <c r="G44" s="54">
        <f>C44-D44+E44+F44</f>
        <v>14814</v>
      </c>
      <c r="H44" s="54">
        <f>C44</f>
        <v>14814</v>
      </c>
      <c r="I44" s="25">
        <v>15533</v>
      </c>
      <c r="J44" s="64">
        <v>16115</v>
      </c>
      <c r="K44" s="64">
        <v>16676</v>
      </c>
      <c r="L44" s="48" t="s">
        <v>376</v>
      </c>
      <c r="M44" s="54"/>
      <c r="N44" s="54" t="s">
        <v>377</v>
      </c>
      <c r="O44" s="54"/>
      <c r="P44" s="54"/>
      <c r="Q44" s="54"/>
      <c r="R44" s="54"/>
      <c r="S44" s="54"/>
      <c r="T44" s="54"/>
      <c r="U44" s="54"/>
      <c r="V44" s="54"/>
      <c r="W44" s="54"/>
      <c r="X44" s="54"/>
      <c r="Y44" s="54"/>
      <c r="Z44" s="54"/>
    </row>
    <row r="45" spans="1:26" ht="15" customHeight="1" x14ac:dyDescent="0.45">
      <c r="A45" s="30"/>
      <c r="B45" s="54" t="s">
        <v>378</v>
      </c>
      <c r="C45" s="3">
        <v>0</v>
      </c>
      <c r="D45" s="3">
        <v>0</v>
      </c>
      <c r="E45" s="3">
        <v>0</v>
      </c>
      <c r="F45" s="54"/>
      <c r="G45" s="54"/>
      <c r="H45" s="49"/>
      <c r="I45" s="54"/>
      <c r="J45" s="62"/>
      <c r="K45" s="62"/>
      <c r="L45" s="48"/>
      <c r="M45" s="54"/>
      <c r="N45" s="54"/>
      <c r="O45" s="54"/>
      <c r="P45" s="54"/>
      <c r="Q45" s="54"/>
      <c r="R45" s="54"/>
      <c r="S45" s="54"/>
      <c r="T45" s="54"/>
      <c r="U45" s="54"/>
      <c r="V45" s="54"/>
      <c r="W45" s="54"/>
      <c r="X45" s="54"/>
      <c r="Y45" s="54"/>
      <c r="Z45" s="54"/>
    </row>
    <row r="46" spans="1:26" ht="15" customHeight="1" x14ac:dyDescent="0.45">
      <c r="A46" s="30"/>
      <c r="B46" s="54" t="s">
        <v>61</v>
      </c>
      <c r="C46" s="191">
        <v>3657</v>
      </c>
      <c r="D46" s="25">
        <v>0</v>
      </c>
      <c r="E46" s="25">
        <v>0</v>
      </c>
      <c r="F46" s="54"/>
      <c r="G46" s="54"/>
      <c r="H46" s="54"/>
      <c r="I46" s="54"/>
      <c r="J46" s="62"/>
      <c r="K46" s="62"/>
      <c r="L46" s="132"/>
      <c r="M46" s="54"/>
      <c r="N46" s="54"/>
      <c r="O46" s="54"/>
      <c r="P46" s="54"/>
      <c r="Q46" s="54"/>
      <c r="R46" s="54"/>
      <c r="S46" s="54"/>
      <c r="T46" s="54"/>
      <c r="U46" s="54"/>
      <c r="V46" s="54"/>
      <c r="W46" s="54"/>
      <c r="X46" s="54"/>
      <c r="Y46" s="54"/>
      <c r="Z46" s="54"/>
    </row>
    <row r="47" spans="1:26" ht="15" customHeight="1" x14ac:dyDescent="0.45">
      <c r="A47" s="30"/>
      <c r="B47" s="16" t="s">
        <v>400</v>
      </c>
      <c r="C47" s="191">
        <v>-137</v>
      </c>
      <c r="D47" s="25">
        <v>0</v>
      </c>
      <c r="E47" s="25">
        <v>0</v>
      </c>
      <c r="F47" s="54"/>
      <c r="G47" s="54"/>
      <c r="H47" s="54"/>
      <c r="I47" s="54"/>
      <c r="J47" s="62"/>
      <c r="K47" s="62"/>
      <c r="L47" s="132"/>
      <c r="M47" s="54"/>
      <c r="N47" s="54"/>
      <c r="O47" s="54"/>
      <c r="P47" s="54"/>
      <c r="Q47" s="54"/>
      <c r="R47" s="54"/>
      <c r="S47" s="54"/>
      <c r="T47" s="54"/>
      <c r="U47" s="54"/>
      <c r="V47" s="54"/>
      <c r="W47" s="54"/>
      <c r="X47" s="54"/>
      <c r="Y47" s="54"/>
      <c r="Z47" s="54"/>
    </row>
    <row r="48" spans="1:26" ht="15" customHeight="1" x14ac:dyDescent="0.45">
      <c r="A48" s="30"/>
      <c r="B48" s="16" t="s">
        <v>401</v>
      </c>
      <c r="C48" s="191">
        <v>-17</v>
      </c>
      <c r="D48" s="25">
        <v>0</v>
      </c>
      <c r="E48" s="25">
        <v>0</v>
      </c>
      <c r="F48" s="54"/>
      <c r="G48" s="54"/>
      <c r="H48" s="54"/>
      <c r="I48" s="54"/>
      <c r="J48" s="62"/>
      <c r="K48" s="62"/>
      <c r="L48" s="132"/>
      <c r="M48" s="54"/>
      <c r="N48" s="54"/>
      <c r="O48" s="54"/>
      <c r="P48" s="54"/>
      <c r="Q48" s="54"/>
      <c r="R48" s="54"/>
      <c r="S48" s="54"/>
      <c r="T48" s="54"/>
      <c r="U48" s="54"/>
      <c r="V48" s="54"/>
      <c r="W48" s="54"/>
      <c r="X48" s="54"/>
      <c r="Y48" s="54"/>
      <c r="Z48" s="54"/>
    </row>
    <row r="49" spans="1:26" ht="15" customHeight="1" x14ac:dyDescent="0.45">
      <c r="A49" s="30"/>
      <c r="B49" s="16" t="s">
        <v>62</v>
      </c>
      <c r="C49" s="25">
        <v>0</v>
      </c>
      <c r="D49" s="25">
        <v>0</v>
      </c>
      <c r="E49" s="25">
        <v>0</v>
      </c>
      <c r="F49" s="54"/>
      <c r="G49" s="54"/>
      <c r="H49" s="54"/>
      <c r="I49" s="54"/>
      <c r="J49" s="62"/>
      <c r="K49" s="62"/>
      <c r="L49" s="132"/>
      <c r="M49" s="54"/>
      <c r="N49" s="54"/>
      <c r="O49" s="54"/>
      <c r="P49" s="54"/>
      <c r="Q49" s="54"/>
      <c r="R49" s="54"/>
      <c r="S49" s="54"/>
      <c r="T49" s="54"/>
      <c r="U49" s="54"/>
      <c r="V49" s="54"/>
      <c r="W49" s="54"/>
      <c r="X49" s="54"/>
      <c r="Y49" s="54"/>
      <c r="Z49" s="54"/>
    </row>
    <row r="50" spans="1:26" ht="15" customHeight="1" x14ac:dyDescent="0.45">
      <c r="A50" s="30">
        <v>1</v>
      </c>
      <c r="B50" s="16" t="s">
        <v>62</v>
      </c>
      <c r="C50" s="25">
        <v>0</v>
      </c>
      <c r="D50" s="25">
        <v>0</v>
      </c>
      <c r="E50" s="25">
        <v>0</v>
      </c>
      <c r="F50" s="54"/>
      <c r="G50" s="54"/>
      <c r="H50" s="54"/>
      <c r="I50" s="54"/>
      <c r="J50" s="62"/>
      <c r="K50" s="62"/>
      <c r="L50" s="132"/>
      <c r="M50" s="54"/>
      <c r="N50" s="54"/>
      <c r="O50" s="54"/>
      <c r="P50" s="54"/>
      <c r="Q50" s="54"/>
      <c r="R50" s="54"/>
      <c r="S50" s="54"/>
      <c r="T50" s="54"/>
      <c r="U50" s="54"/>
      <c r="V50" s="54"/>
      <c r="W50" s="54"/>
      <c r="X50" s="54"/>
      <c r="Y50" s="54"/>
      <c r="Z50" s="54"/>
    </row>
    <row r="51" spans="1:26" ht="15" customHeight="1" x14ac:dyDescent="0.45">
      <c r="A51" s="30"/>
      <c r="B51" s="16" t="s">
        <v>62</v>
      </c>
      <c r="C51" s="25">
        <v>0</v>
      </c>
      <c r="D51" s="25">
        <v>0</v>
      </c>
      <c r="E51" s="25">
        <v>0</v>
      </c>
      <c r="F51" s="54"/>
      <c r="G51" s="54"/>
      <c r="H51" s="54"/>
      <c r="I51" s="54"/>
      <c r="J51" s="62"/>
      <c r="K51" s="62"/>
      <c r="L51" s="132"/>
      <c r="M51" s="54"/>
      <c r="N51" s="54"/>
      <c r="O51" s="54"/>
      <c r="P51" s="54"/>
      <c r="Q51" s="54"/>
      <c r="R51" s="54"/>
      <c r="S51" s="54"/>
      <c r="T51" s="54"/>
      <c r="U51" s="54"/>
      <c r="V51" s="54"/>
      <c r="W51" s="54"/>
      <c r="X51" s="54"/>
      <c r="Y51" s="54"/>
      <c r="Z51" s="54"/>
    </row>
    <row r="52" spans="1:26" ht="15" customHeight="1" x14ac:dyDescent="0.45">
      <c r="A52" s="30"/>
      <c r="B52" s="16" t="s">
        <v>62</v>
      </c>
      <c r="C52" s="25">
        <v>0</v>
      </c>
      <c r="D52" s="25">
        <v>0</v>
      </c>
      <c r="E52" s="25">
        <v>0</v>
      </c>
      <c r="F52" s="54"/>
      <c r="G52" s="54"/>
      <c r="H52" s="54"/>
      <c r="J52" s="63"/>
      <c r="K52" s="62"/>
      <c r="L52" s="132"/>
      <c r="M52" s="54"/>
      <c r="N52" s="54"/>
      <c r="O52" s="54"/>
      <c r="P52" s="54"/>
      <c r="Q52" s="54"/>
      <c r="R52" s="54"/>
      <c r="S52" s="54"/>
      <c r="T52" s="54"/>
      <c r="U52" s="54"/>
      <c r="V52" s="54"/>
      <c r="W52" s="54"/>
      <c r="X52" s="54"/>
      <c r="Y52" s="54"/>
      <c r="Z52" s="54"/>
    </row>
    <row r="53" spans="1:26" ht="15" customHeight="1" x14ac:dyDescent="0.45">
      <c r="A53" s="30"/>
      <c r="B53" s="54" t="s">
        <v>63</v>
      </c>
      <c r="C53" s="54">
        <f>SUM(C46:C52)</f>
        <v>3503</v>
      </c>
      <c r="D53" s="54">
        <f>SUM(D46:D52)</f>
        <v>0</v>
      </c>
      <c r="E53" s="54">
        <f>SUM(E46:E52)</f>
        <v>0</v>
      </c>
      <c r="F53" s="54">
        <f>SUM(F46:F52)</f>
        <v>0</v>
      </c>
      <c r="G53" s="54">
        <f>C53-D53+E53+F53</f>
        <v>3503</v>
      </c>
      <c r="H53" s="54">
        <f>C53</f>
        <v>3503</v>
      </c>
      <c r="I53" s="25">
        <v>3933</v>
      </c>
      <c r="J53" s="64">
        <v>4128</v>
      </c>
      <c r="K53" s="64">
        <v>4282</v>
      </c>
      <c r="L53" s="48" t="s">
        <v>376</v>
      </c>
      <c r="M53" s="54"/>
      <c r="N53" s="54" t="s">
        <v>379</v>
      </c>
      <c r="O53" s="54"/>
      <c r="P53" s="54"/>
      <c r="Q53" s="54"/>
      <c r="R53" s="54"/>
      <c r="S53" s="54"/>
      <c r="T53" s="54"/>
      <c r="U53" s="54"/>
      <c r="V53" s="54"/>
      <c r="W53" s="54"/>
      <c r="X53" s="54"/>
      <c r="Y53" s="54"/>
      <c r="Z53" s="54"/>
    </row>
    <row r="54" spans="1:26" ht="15" customHeight="1" x14ac:dyDescent="0.45">
      <c r="A54" s="30"/>
      <c r="B54" s="54" t="s">
        <v>287</v>
      </c>
      <c r="C54" s="191">
        <f>402+137</f>
        <v>539</v>
      </c>
      <c r="D54" s="25">
        <v>0</v>
      </c>
      <c r="E54" s="25">
        <v>0</v>
      </c>
      <c r="F54" s="25">
        <v>0</v>
      </c>
      <c r="G54" s="54">
        <f>C54-D54+E54+F54</f>
        <v>539</v>
      </c>
      <c r="H54" s="54">
        <f>C54</f>
        <v>539</v>
      </c>
      <c r="I54" s="54">
        <f>I55-I53</f>
        <v>592</v>
      </c>
      <c r="J54" s="62">
        <f>J55-J53</f>
        <v>609</v>
      </c>
      <c r="K54" s="62">
        <f>K55-K53</f>
        <v>656</v>
      </c>
      <c r="L54" s="48" t="s">
        <v>376</v>
      </c>
      <c r="M54" s="54"/>
      <c r="N54" s="54"/>
      <c r="O54" s="54"/>
      <c r="P54" s="54"/>
      <c r="Q54" s="54"/>
      <c r="R54" s="54"/>
      <c r="S54" s="54"/>
      <c r="T54" s="54"/>
      <c r="U54" s="54"/>
      <c r="V54" s="54"/>
      <c r="W54" s="54"/>
      <c r="X54" s="54"/>
      <c r="Y54" s="54"/>
      <c r="Z54" s="54"/>
    </row>
    <row r="55" spans="1:26" ht="15" customHeight="1" x14ac:dyDescent="0.45">
      <c r="A55" s="30"/>
      <c r="B55" s="54" t="s">
        <v>380</v>
      </c>
      <c r="C55" s="54">
        <f>C53+C54</f>
        <v>4042</v>
      </c>
      <c r="D55" s="54">
        <f>D53+D54</f>
        <v>0</v>
      </c>
      <c r="E55" s="54">
        <f>E53+E54</f>
        <v>0</v>
      </c>
      <c r="F55" s="54"/>
      <c r="G55" s="54">
        <f>C55-D55+E55+F55</f>
        <v>4042</v>
      </c>
      <c r="H55" s="54">
        <f>C55</f>
        <v>4042</v>
      </c>
      <c r="I55" s="25">
        <v>4525</v>
      </c>
      <c r="J55" s="64">
        <v>4737</v>
      </c>
      <c r="K55" s="64">
        <v>4938</v>
      </c>
      <c r="L55" s="48" t="s">
        <v>376</v>
      </c>
      <c r="M55" s="54"/>
      <c r="N55" s="54" t="s">
        <v>377</v>
      </c>
      <c r="O55" s="54"/>
      <c r="P55" s="54"/>
      <c r="Q55" s="54"/>
      <c r="R55" s="54"/>
      <c r="S55" s="54"/>
      <c r="T55" s="54"/>
      <c r="U55" s="54"/>
      <c r="V55" s="54"/>
      <c r="W55" s="54"/>
      <c r="X55" s="54"/>
      <c r="Y55" s="54"/>
      <c r="Z55" s="54"/>
    </row>
    <row r="56" spans="1:26" ht="15" customHeight="1" x14ac:dyDescent="0.45">
      <c r="A56" s="39"/>
      <c r="B56" s="104" t="s">
        <v>322</v>
      </c>
      <c r="C56" s="104"/>
      <c r="D56" s="148"/>
      <c r="E56" s="148"/>
      <c r="F56" s="148"/>
      <c r="G56" s="104"/>
      <c r="H56" s="213">
        <v>1.79</v>
      </c>
      <c r="I56" s="213">
        <v>1.93</v>
      </c>
      <c r="J56" s="213">
        <v>2.0699999999999998</v>
      </c>
      <c r="K56" s="213">
        <v>2.21</v>
      </c>
      <c r="L56" s="50" t="s">
        <v>376</v>
      </c>
      <c r="M56" s="54"/>
      <c r="N56" s="54" t="s">
        <v>377</v>
      </c>
      <c r="O56" s="54"/>
      <c r="P56" s="54"/>
      <c r="Q56" s="54"/>
      <c r="R56" s="54"/>
      <c r="S56" s="54"/>
      <c r="T56" s="54"/>
      <c r="U56" s="54"/>
      <c r="V56" s="54"/>
      <c r="W56" s="54"/>
      <c r="X56" s="54"/>
      <c r="Y56" s="54"/>
      <c r="Z56" s="54"/>
    </row>
    <row r="57" spans="1:26" ht="15" customHeight="1" x14ac:dyDescent="0.45">
      <c r="A57" s="51"/>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ht="15" customHeight="1" x14ac:dyDescent="0.55000000000000004">
      <c r="A58" s="26" t="s">
        <v>381</v>
      </c>
      <c r="B58" s="40"/>
      <c r="C58" s="41"/>
      <c r="D58" s="41"/>
      <c r="E58" s="41"/>
      <c r="F58" s="41"/>
      <c r="G58" s="41"/>
      <c r="H58" s="41"/>
      <c r="I58" s="27"/>
      <c r="J58" s="41"/>
      <c r="K58" s="41"/>
      <c r="L58" s="77"/>
      <c r="M58" s="54"/>
      <c r="N58" s="54"/>
      <c r="O58" s="54"/>
      <c r="P58" s="54"/>
      <c r="Q58" s="54"/>
      <c r="R58" s="54"/>
      <c r="S58" s="54"/>
      <c r="T58" s="54"/>
      <c r="U58" s="54"/>
      <c r="V58" s="54"/>
      <c r="W58" s="54"/>
      <c r="X58" s="54"/>
      <c r="Y58" s="54"/>
      <c r="Z58" s="54"/>
    </row>
    <row r="59" spans="1:26" ht="15" customHeight="1" x14ac:dyDescent="0.45">
      <c r="A59" s="51"/>
      <c r="B59" s="54"/>
      <c r="C59" s="54" t="str">
        <f t="shared" ref="C59:L59" si="1">C42</f>
        <v>Annual</v>
      </c>
      <c r="D59" s="54" t="str">
        <f t="shared" si="1"/>
        <v>Old 10-Q/Interim</v>
      </c>
      <c r="E59" s="54" t="str">
        <f t="shared" si="1"/>
        <v>New 10-Q/interim</v>
      </c>
      <c r="F59" s="54" t="str">
        <f t="shared" si="1"/>
        <v>Other adjustments</v>
      </c>
      <c r="G59" s="54" t="str">
        <f t="shared" si="1"/>
        <v>Adj. LTM</v>
      </c>
      <c r="H59" s="54" t="str">
        <f t="shared" si="1"/>
        <v>Fiscal Year</v>
      </c>
      <c r="I59" s="54" t="str">
        <f t="shared" si="1"/>
        <v>FY +1</v>
      </c>
      <c r="J59" s="54" t="str">
        <f t="shared" si="1"/>
        <v>FY +2</v>
      </c>
      <c r="K59" s="54" t="str">
        <f t="shared" si="1"/>
        <v>FY +3</v>
      </c>
      <c r="L59" s="149" t="str">
        <f t="shared" si="1"/>
        <v>FY +4</v>
      </c>
      <c r="M59" s="54"/>
      <c r="N59" s="54"/>
      <c r="O59" s="54"/>
      <c r="P59" s="54"/>
      <c r="Q59" s="54"/>
      <c r="R59" s="54"/>
      <c r="S59" s="54"/>
      <c r="T59" s="54"/>
      <c r="U59" s="54"/>
      <c r="V59" s="54"/>
      <c r="W59" s="54"/>
      <c r="X59" s="54"/>
      <c r="Y59" s="54"/>
      <c r="Z59" s="54"/>
    </row>
    <row r="60" spans="1:26" ht="15" customHeight="1" x14ac:dyDescent="0.45">
      <c r="A60" s="51"/>
      <c r="B60" s="54"/>
      <c r="C60" s="150">
        <f>C43</f>
        <v>45291</v>
      </c>
      <c r="D60" s="150">
        <f>D43</f>
        <v>0</v>
      </c>
      <c r="E60" s="150">
        <f>E43</f>
        <v>0</v>
      </c>
      <c r="F60" s="54"/>
      <c r="G60" s="150">
        <f>C13</f>
        <v>45291</v>
      </c>
      <c r="H60" s="147">
        <f>C60</f>
        <v>45291</v>
      </c>
      <c r="I60" s="147">
        <f>EDATE(C60,12)</f>
        <v>45657</v>
      </c>
      <c r="J60" s="147">
        <f>EDATE(I60,12)</f>
        <v>46022</v>
      </c>
      <c r="K60" s="150">
        <f>EDATE(J60,12)</f>
        <v>46387</v>
      </c>
      <c r="L60" s="151">
        <f>EDATE(K60,12)</f>
        <v>46752</v>
      </c>
      <c r="M60" s="54"/>
      <c r="N60" s="54"/>
      <c r="O60" s="54"/>
      <c r="P60" s="54"/>
      <c r="Q60" s="54"/>
      <c r="R60" s="54"/>
      <c r="S60" s="54"/>
      <c r="T60" s="54"/>
      <c r="U60" s="54"/>
      <c r="V60" s="54"/>
      <c r="W60" s="54"/>
      <c r="X60" s="54"/>
      <c r="Y60" s="54"/>
      <c r="Z60" s="54"/>
    </row>
    <row r="61" spans="1:26" ht="15" customHeight="1" x14ac:dyDescent="0.45">
      <c r="A61" s="51"/>
      <c r="B61" s="54" t="s">
        <v>382</v>
      </c>
      <c r="C61" s="76">
        <v>0.33300000000000002</v>
      </c>
      <c r="D61" s="54"/>
      <c r="E61" s="54"/>
      <c r="F61" s="54"/>
      <c r="G61" s="54"/>
      <c r="H61" s="54"/>
      <c r="I61" s="54"/>
      <c r="J61" s="54"/>
      <c r="K61" s="54"/>
      <c r="L61" s="149"/>
      <c r="M61" s="54"/>
      <c r="N61" s="54"/>
      <c r="O61" s="54"/>
      <c r="P61" s="54"/>
      <c r="Q61" s="54"/>
      <c r="R61" s="54"/>
      <c r="S61" s="54"/>
      <c r="T61" s="54"/>
      <c r="U61" s="54"/>
      <c r="V61" s="54"/>
      <c r="W61" s="54"/>
      <c r="X61" s="54"/>
      <c r="Y61" s="54"/>
      <c r="Z61" s="54"/>
    </row>
    <row r="62" spans="1:26" ht="15" customHeight="1" x14ac:dyDescent="0.45">
      <c r="A62" s="51"/>
      <c r="B62" s="54" t="s">
        <v>383</v>
      </c>
      <c r="C62" s="191">
        <v>159</v>
      </c>
      <c r="D62" s="81">
        <v>0</v>
      </c>
      <c r="E62" s="81">
        <v>0</v>
      </c>
      <c r="F62" s="54"/>
      <c r="G62" s="54">
        <f>C62-D62+E62+F62</f>
        <v>159</v>
      </c>
      <c r="H62" s="54">
        <f>C62</f>
        <v>159</v>
      </c>
      <c r="I62" s="54">
        <f>H62/H44*I44</f>
        <v>166.71709194005669</v>
      </c>
      <c r="J62" s="54">
        <f>I62/I44*J44</f>
        <v>172.96375050627785</v>
      </c>
      <c r="K62" s="54">
        <f>J62/J44*K44</f>
        <v>178.98501417577967</v>
      </c>
      <c r="L62" s="48" t="s">
        <v>376</v>
      </c>
      <c r="M62" s="54"/>
      <c r="N62" s="54"/>
      <c r="O62" s="54"/>
      <c r="P62" s="54"/>
      <c r="Q62" s="54"/>
      <c r="R62" s="54"/>
      <c r="S62" s="54"/>
      <c r="T62" s="54"/>
      <c r="U62" s="54"/>
      <c r="V62" s="54"/>
      <c r="W62" s="54"/>
      <c r="X62" s="54"/>
      <c r="Y62" s="54"/>
      <c r="Z62" s="54"/>
    </row>
    <row r="63" spans="1:26" ht="15" customHeight="1" x14ac:dyDescent="0.45">
      <c r="A63" s="51"/>
      <c r="B63" s="54" t="s">
        <v>384</v>
      </c>
      <c r="C63" s="54">
        <f>C55+C62</f>
        <v>4201</v>
      </c>
      <c r="D63" s="54">
        <f>D55+D62</f>
        <v>0</v>
      </c>
      <c r="E63" s="54">
        <f>E55+E62</f>
        <v>0</v>
      </c>
      <c r="F63" s="54"/>
      <c r="G63" s="54">
        <f>C63-D63+E63+F63</f>
        <v>4201</v>
      </c>
      <c r="H63" s="54">
        <f>C63</f>
        <v>4201</v>
      </c>
      <c r="I63" s="54">
        <f>I55+I62</f>
        <v>4691.7170919400569</v>
      </c>
      <c r="J63" s="54">
        <f>J55+J62</f>
        <v>4909.9637505062783</v>
      </c>
      <c r="K63" s="54">
        <f>K55+K62</f>
        <v>5116.9850141757797</v>
      </c>
      <c r="L63" s="48" t="s">
        <v>376</v>
      </c>
      <c r="M63" s="54"/>
      <c r="N63" s="54"/>
      <c r="O63" s="54"/>
      <c r="P63" s="54"/>
      <c r="Q63" s="54"/>
      <c r="R63" s="54"/>
      <c r="S63" s="54"/>
      <c r="T63" s="54"/>
      <c r="U63" s="54"/>
      <c r="V63" s="54"/>
      <c r="W63" s="54"/>
      <c r="X63" s="54"/>
      <c r="Y63" s="54"/>
      <c r="Z63" s="54"/>
    </row>
    <row r="64" spans="1:26" ht="15" customHeight="1" x14ac:dyDescent="0.45">
      <c r="A64" s="51"/>
      <c r="B64" s="54" t="s">
        <v>385</v>
      </c>
      <c r="C64" s="54">
        <f>C53+$C$61*C62</f>
        <v>3555.9470000000001</v>
      </c>
      <c r="D64" s="54">
        <f>D53+$C$61*D62</f>
        <v>0</v>
      </c>
      <c r="E64" s="54">
        <f>E53+$C$61*E62</f>
        <v>0</v>
      </c>
      <c r="F64" s="54"/>
      <c r="G64" s="54">
        <f>C64-D64+E64+F64</f>
        <v>3555.9470000000001</v>
      </c>
      <c r="H64" s="54">
        <f>C64</f>
        <v>3555.9470000000001</v>
      </c>
      <c r="I64" s="54">
        <f>I53+$C$61*I62</f>
        <v>3988.516791616039</v>
      </c>
      <c r="J64" s="54">
        <f>J53+$C$61*J62</f>
        <v>4185.5969289185905</v>
      </c>
      <c r="K64" s="54">
        <f>K53+$C$61*K62</f>
        <v>4341.6020097205346</v>
      </c>
      <c r="L64" s="48" t="s">
        <v>376</v>
      </c>
      <c r="M64" s="54"/>
      <c r="N64" s="54"/>
      <c r="O64" s="54"/>
      <c r="P64" s="54"/>
      <c r="Q64" s="54"/>
      <c r="R64" s="54"/>
      <c r="S64" s="54"/>
      <c r="T64" s="54"/>
      <c r="U64" s="54"/>
      <c r="V64" s="54"/>
      <c r="W64" s="54"/>
      <c r="X64" s="54"/>
      <c r="Y64" s="54"/>
      <c r="Z64" s="54"/>
    </row>
    <row r="65" spans="1:26" ht="15" customHeight="1" x14ac:dyDescent="0.45">
      <c r="A65" s="51"/>
      <c r="B65" s="54" t="s">
        <v>386</v>
      </c>
      <c r="C65" s="54"/>
      <c r="D65" s="54"/>
      <c r="E65" s="54"/>
      <c r="F65" s="54"/>
      <c r="G65" s="191">
        <f>793+114</f>
        <v>907</v>
      </c>
      <c r="H65" s="54"/>
      <c r="I65" s="54"/>
      <c r="J65" s="54"/>
      <c r="K65" s="54"/>
      <c r="L65" s="149"/>
      <c r="M65" s="54"/>
      <c r="N65" s="54"/>
      <c r="O65" s="54"/>
      <c r="P65" s="54"/>
      <c r="Q65" s="54"/>
      <c r="R65" s="54"/>
      <c r="S65" s="54"/>
      <c r="T65" s="54"/>
      <c r="U65" s="54"/>
      <c r="V65" s="54"/>
      <c r="W65" s="54"/>
      <c r="X65" s="54"/>
      <c r="Y65" s="54"/>
      <c r="Z65" s="54"/>
    </row>
    <row r="66" spans="1:26" ht="15" customHeight="1" x14ac:dyDescent="0.45">
      <c r="A66" s="51"/>
      <c r="B66" s="54"/>
      <c r="C66" s="54"/>
      <c r="D66" s="54"/>
      <c r="E66" s="54"/>
      <c r="F66" s="54"/>
      <c r="G66" s="54"/>
      <c r="H66" s="54"/>
      <c r="I66" s="54"/>
      <c r="J66" s="54"/>
      <c r="K66" s="54"/>
      <c r="L66" s="149"/>
      <c r="M66" s="54"/>
      <c r="N66" s="54"/>
      <c r="O66" s="54"/>
      <c r="P66" s="54"/>
      <c r="Q66" s="54"/>
      <c r="R66" s="54"/>
      <c r="S66" s="54"/>
      <c r="T66" s="54"/>
      <c r="U66" s="54"/>
      <c r="V66" s="54"/>
      <c r="W66" s="54"/>
      <c r="X66" s="54"/>
      <c r="Y66" s="54"/>
      <c r="Z66" s="54"/>
    </row>
    <row r="67" spans="1:26" ht="15" customHeight="1" x14ac:dyDescent="0.45">
      <c r="A67" s="51"/>
      <c r="B67" s="54" t="str">
        <f>"Calendarized EBITDAR in "&amp;MAIN_CURRENCY&amp;" MM"</f>
        <v>Calendarized EBITDAR in USD MM</v>
      </c>
      <c r="C67" s="54"/>
      <c r="D67" s="54"/>
      <c r="E67" s="54"/>
      <c r="F67" s="54"/>
      <c r="G67" s="54">
        <f>G63*COMP_FX</f>
        <v>4201</v>
      </c>
      <c r="H67" s="54"/>
      <c r="I67" s="54">
        <f>IF(I$80&gt;0,SUMPRODUCT('2'!COMP_CALENDARIZE_PERCENTAGES,H63:J63)*I$81*'2'!COMP_FX,"N/A")</f>
        <v>4691.7170919400569</v>
      </c>
      <c r="J67" s="54">
        <f>IF(J$80&gt;0,SUMPRODUCT('2'!COMP_CALENDARIZE_PERCENTAGES,I63:K63)*J$81*'2'!COMP_FX,"N/A")</f>
        <v>4909.9637505062783</v>
      </c>
      <c r="K67" s="54">
        <f>IF(K$80&gt;0,SUMPRODUCT('2'!COMP_CALENDARIZE_PERCENTAGES,J63:L63)*K$81*'2'!COMP_FX,"N/A")</f>
        <v>5116.9850141757797</v>
      </c>
      <c r="L67" s="149"/>
      <c r="M67" s="54"/>
      <c r="N67" s="54"/>
      <c r="O67" s="54"/>
      <c r="P67" s="54"/>
      <c r="Q67" s="54"/>
      <c r="R67" s="54"/>
      <c r="S67" s="54"/>
      <c r="T67" s="54"/>
      <c r="U67" s="54"/>
      <c r="V67" s="54"/>
      <c r="W67" s="54"/>
      <c r="X67" s="54"/>
      <c r="Y67" s="54"/>
      <c r="Z67" s="54"/>
    </row>
    <row r="68" spans="1:26" ht="15" customHeight="1" x14ac:dyDescent="0.45">
      <c r="A68" s="51"/>
      <c r="B68" s="54" t="str">
        <f>"Calendarized EBITR in "&amp;MAIN_CURRENCY&amp;" MM"</f>
        <v>Calendarized EBITR in USD MM</v>
      </c>
      <c r="C68" s="54"/>
      <c r="D68" s="54"/>
      <c r="E68" s="54"/>
      <c r="F68" s="54"/>
      <c r="G68" s="54">
        <f>G64*COMP_FX</f>
        <v>3555.9470000000001</v>
      </c>
      <c r="H68" s="54"/>
      <c r="I68" s="54">
        <f>IF(I$80&gt;0,SUMPRODUCT('2'!COMP_CALENDARIZE_PERCENTAGES,H64:J64)*I$81*'2'!COMP_FX,"N/A")</f>
        <v>3988.516791616039</v>
      </c>
      <c r="J68" s="54">
        <f>IF(J$80&gt;0,SUMPRODUCT('2'!COMP_CALENDARIZE_PERCENTAGES,I64:K64)*J$81*'2'!COMP_FX,"N/A")</f>
        <v>4185.5969289185905</v>
      </c>
      <c r="K68" s="54">
        <f>IF(K$80&gt;0,SUMPRODUCT('2'!COMP_CALENDARIZE_PERCENTAGES,J64:L64)*K$81*'2'!COMP_FX,"N/A")</f>
        <v>4341.6020097205346</v>
      </c>
      <c r="L68" s="149"/>
      <c r="M68" s="54"/>
      <c r="N68" s="54"/>
      <c r="O68" s="54"/>
      <c r="P68" s="54"/>
      <c r="Q68" s="54"/>
      <c r="R68" s="54"/>
      <c r="S68" s="54"/>
      <c r="T68" s="54"/>
      <c r="U68" s="54"/>
      <c r="V68" s="54"/>
      <c r="W68" s="54"/>
      <c r="X68" s="54"/>
      <c r="Y68" s="54"/>
      <c r="Z68" s="54"/>
    </row>
    <row r="69" spans="1:26" ht="15" customHeight="1" x14ac:dyDescent="0.45">
      <c r="A69" s="51"/>
      <c r="B69" s="54" t="str">
        <f>"Operating lease liabilities in "&amp;MAIN_CURRENCY&amp;" MM"</f>
        <v>Operating lease liabilities in USD MM</v>
      </c>
      <c r="C69" s="54"/>
      <c r="D69" s="54"/>
      <c r="E69" s="54"/>
      <c r="F69" s="54"/>
      <c r="G69" s="54">
        <f>G65*COMP_FX</f>
        <v>907</v>
      </c>
      <c r="H69" s="54"/>
      <c r="I69" s="54"/>
      <c r="J69" s="54"/>
      <c r="K69" s="54"/>
      <c r="L69" s="149"/>
      <c r="M69" s="54"/>
      <c r="N69" s="54"/>
      <c r="O69" s="54"/>
      <c r="P69" s="54"/>
      <c r="Q69" s="54"/>
      <c r="R69" s="54"/>
      <c r="S69" s="54"/>
      <c r="T69" s="54"/>
      <c r="U69" s="54"/>
      <c r="V69" s="54"/>
      <c r="W69" s="54"/>
      <c r="X69" s="54"/>
      <c r="Y69" s="54"/>
      <c r="Z69" s="54"/>
    </row>
    <row r="70" spans="1:26" ht="15" customHeight="1" x14ac:dyDescent="0.45">
      <c r="A70" s="51"/>
      <c r="B70" s="54"/>
      <c r="C70" s="54"/>
      <c r="D70" s="54"/>
      <c r="E70" s="54"/>
      <c r="F70" s="54"/>
      <c r="G70" s="54"/>
      <c r="H70" s="54"/>
      <c r="I70" s="54"/>
      <c r="J70" s="54"/>
      <c r="K70" s="54"/>
      <c r="L70" s="149"/>
      <c r="M70" s="54"/>
      <c r="N70" s="54"/>
      <c r="O70" s="54"/>
      <c r="P70" s="54"/>
      <c r="Q70" s="54"/>
      <c r="R70" s="54"/>
      <c r="S70" s="54"/>
      <c r="T70" s="54"/>
      <c r="U70" s="54"/>
      <c r="V70" s="54"/>
      <c r="W70" s="54"/>
      <c r="X70" s="54"/>
      <c r="Y70" s="54"/>
      <c r="Z70" s="54"/>
    </row>
    <row r="71" spans="1:26" ht="15" customHeight="1" x14ac:dyDescent="0.45">
      <c r="A71" s="51"/>
      <c r="B71" s="54" t="str">
        <f>"EVR in "&amp;MAIN_CURRENCY&amp;" MM"</f>
        <v>EVR in USD MM</v>
      </c>
      <c r="C71" s="54"/>
      <c r="D71" s="54"/>
      <c r="E71" s="54"/>
      <c r="F71" s="54"/>
      <c r="G71" s="54">
        <f>COMP_EV+(G69*COMP_FX)</f>
        <v>54422.664102080002</v>
      </c>
      <c r="H71" s="54"/>
      <c r="I71" s="54"/>
      <c r="J71" s="54"/>
      <c r="K71" s="54"/>
      <c r="L71" s="149"/>
      <c r="M71" s="54"/>
      <c r="N71" s="54"/>
      <c r="O71" s="54"/>
      <c r="P71" s="54"/>
      <c r="Q71" s="54"/>
      <c r="R71" s="54"/>
      <c r="S71" s="54"/>
      <c r="T71" s="54"/>
      <c r="U71" s="54"/>
      <c r="V71" s="54"/>
      <c r="W71" s="54"/>
      <c r="X71" s="54"/>
      <c r="Y71" s="54"/>
      <c r="Z71" s="54"/>
    </row>
    <row r="72" spans="1:26" ht="15" customHeight="1" x14ac:dyDescent="0.45">
      <c r="A72" s="51"/>
      <c r="B72" s="54" t="s">
        <v>387</v>
      </c>
      <c r="C72" s="54"/>
      <c r="D72" s="54"/>
      <c r="E72" s="54"/>
      <c r="F72" s="54"/>
      <c r="G72" s="152">
        <f>IF(ISNUMBER(G67),EVR/G67,"N/A")</f>
        <v>12.954692716515115</v>
      </c>
      <c r="H72" s="152"/>
      <c r="I72" s="152">
        <f t="shared" ref="I72:K73" si="2">IF(ISNUMBER(I67),EVR/I67,"N/A")</f>
        <v>11.599732685411315</v>
      </c>
      <c r="J72" s="152">
        <f t="shared" si="2"/>
        <v>11.084127473745269</v>
      </c>
      <c r="K72" s="152">
        <f t="shared" si="2"/>
        <v>10.635689561589649</v>
      </c>
      <c r="L72" s="48" t="s">
        <v>376</v>
      </c>
      <c r="M72" s="54"/>
      <c r="N72" s="54"/>
      <c r="O72" s="54"/>
      <c r="P72" s="54"/>
      <c r="Q72" s="54"/>
      <c r="R72" s="54"/>
      <c r="S72" s="54"/>
      <c r="T72" s="54"/>
      <c r="U72" s="54"/>
      <c r="V72" s="54"/>
      <c r="W72" s="54"/>
      <c r="X72" s="54"/>
      <c r="Y72" s="54"/>
      <c r="Z72" s="54"/>
    </row>
    <row r="73" spans="1:26" ht="15" customHeight="1" x14ac:dyDescent="0.45">
      <c r="A73" s="51"/>
      <c r="B73" s="54" t="s">
        <v>388</v>
      </c>
      <c r="C73" s="54"/>
      <c r="D73" s="54"/>
      <c r="E73" s="54"/>
      <c r="F73" s="54"/>
      <c r="G73" s="152">
        <f>IF(ISNUMBER(G68),EVR/G68,"N/A")</f>
        <v>15.304689328069287</v>
      </c>
      <c r="H73" s="152"/>
      <c r="I73" s="152">
        <f t="shared" si="2"/>
        <v>13.644837654056714</v>
      </c>
      <c r="J73" s="152">
        <f t="shared" si="2"/>
        <v>13.002366215932044</v>
      </c>
      <c r="K73" s="152">
        <f t="shared" si="2"/>
        <v>12.535157294526668</v>
      </c>
      <c r="L73" s="48" t="s">
        <v>376</v>
      </c>
      <c r="M73" s="54"/>
      <c r="N73" s="54"/>
      <c r="O73" s="54"/>
      <c r="P73" s="54"/>
      <c r="Q73" s="54"/>
      <c r="R73" s="54"/>
      <c r="S73" s="54"/>
      <c r="T73" s="54"/>
      <c r="U73" s="54"/>
      <c r="V73" s="54"/>
      <c r="W73" s="54"/>
      <c r="X73" s="54"/>
      <c r="Y73" s="54"/>
      <c r="Z73" s="54"/>
    </row>
    <row r="74" spans="1:26" ht="15" customHeight="1" x14ac:dyDescent="0.45">
      <c r="A74" s="78"/>
      <c r="B74" s="153"/>
      <c r="C74" s="153"/>
      <c r="D74" s="153"/>
      <c r="E74" s="153"/>
      <c r="F74" s="153"/>
      <c r="G74" s="153"/>
      <c r="H74" s="153"/>
      <c r="I74" s="153"/>
      <c r="J74" s="153"/>
      <c r="K74" s="153"/>
      <c r="L74" s="154"/>
      <c r="M74" s="54"/>
      <c r="N74" s="54"/>
      <c r="O74" s="54"/>
      <c r="P74" s="54"/>
      <c r="Q74" s="54"/>
      <c r="R74" s="54"/>
      <c r="S74" s="54"/>
      <c r="T74" s="54"/>
      <c r="U74" s="54"/>
      <c r="V74" s="54"/>
      <c r="W74" s="54"/>
      <c r="X74" s="54"/>
      <c r="Y74" s="54"/>
      <c r="Z74" s="54"/>
    </row>
    <row r="75" spans="1:26" ht="15" customHeight="1" x14ac:dyDescent="0.4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row>
    <row r="76" spans="1:26" ht="15" customHeight="1" x14ac:dyDescent="0.45">
      <c r="A76" s="19"/>
      <c r="E76" s="26" t="s">
        <v>389</v>
      </c>
      <c r="F76" s="27"/>
      <c r="G76" s="27"/>
      <c r="H76" s="27"/>
      <c r="I76" s="27"/>
      <c r="J76" s="27"/>
      <c r="K76" s="27"/>
      <c r="L76" s="28"/>
      <c r="M76" s="54"/>
      <c r="N76" s="54"/>
      <c r="O76" s="54"/>
      <c r="P76" s="54"/>
      <c r="Q76" s="54"/>
      <c r="R76" s="54"/>
      <c r="S76" s="54"/>
      <c r="T76" s="54"/>
      <c r="U76" s="54"/>
      <c r="V76" s="54"/>
      <c r="W76" s="54"/>
      <c r="X76" s="54"/>
      <c r="Y76" s="54"/>
      <c r="Z76" s="54"/>
    </row>
    <row r="77" spans="1:26" ht="15" customHeight="1" x14ac:dyDescent="0.45">
      <c r="A77" s="19"/>
      <c r="E77" s="128"/>
      <c r="F77" s="54"/>
      <c r="G77" s="54"/>
      <c r="H77" s="54"/>
      <c r="I77" s="54"/>
      <c r="J77" s="54"/>
      <c r="K77" s="54"/>
      <c r="L77" s="129"/>
      <c r="M77" s="54"/>
      <c r="N77" s="54"/>
      <c r="O77" s="54"/>
      <c r="P77" s="54"/>
      <c r="Q77" s="54"/>
      <c r="R77" s="54"/>
      <c r="S77" s="54"/>
      <c r="T77" s="54"/>
      <c r="U77" s="54"/>
      <c r="V77" s="54"/>
      <c r="W77" s="54"/>
      <c r="X77" s="54"/>
      <c r="Y77" s="54"/>
      <c r="Z77" s="54"/>
    </row>
    <row r="78" spans="1:26" ht="15" customHeight="1" x14ac:dyDescent="0.45">
      <c r="A78" s="19"/>
      <c r="E78" s="128" t="s">
        <v>390</v>
      </c>
      <c r="F78" s="54"/>
      <c r="G78" s="147">
        <f>C11</f>
        <v>45291</v>
      </c>
      <c r="H78" s="54"/>
      <c r="I78" s="73" t="s">
        <v>391</v>
      </c>
      <c r="J78" s="73" t="s">
        <v>392</v>
      </c>
      <c r="K78" s="73" t="s">
        <v>393</v>
      </c>
      <c r="L78" s="129"/>
      <c r="M78" s="54"/>
      <c r="N78" s="54"/>
      <c r="O78" s="54"/>
      <c r="P78" s="54"/>
      <c r="Q78" s="54"/>
      <c r="R78" s="54"/>
      <c r="S78" s="54"/>
      <c r="T78" s="54"/>
      <c r="U78" s="54"/>
      <c r="V78" s="54"/>
      <c r="W78" s="54"/>
      <c r="X78" s="54"/>
      <c r="Y78" s="54"/>
      <c r="Z78" s="54"/>
    </row>
    <row r="79" spans="1:26" ht="15" customHeight="1" x14ac:dyDescent="0.45">
      <c r="A79" s="19"/>
      <c r="E79" s="128" t="s">
        <v>307</v>
      </c>
      <c r="F79" s="54"/>
      <c r="G79" s="147">
        <f>C8</f>
        <v>45291</v>
      </c>
      <c r="H79" s="54"/>
      <c r="I79" s="155">
        <f>-MIN((G79-G78)/365,0)</f>
        <v>0</v>
      </c>
      <c r="J79" s="155">
        <f>1-I79-K79</f>
        <v>1</v>
      </c>
      <c r="K79" s="155">
        <f>MAX((G79-G78)/365,0)</f>
        <v>0</v>
      </c>
      <c r="L79" s="129"/>
      <c r="M79" s="54"/>
      <c r="N79" s="54"/>
      <c r="O79" s="54"/>
      <c r="P79" s="54"/>
      <c r="Q79" s="54"/>
      <c r="R79" s="54"/>
      <c r="S79" s="54"/>
      <c r="T79" s="54"/>
      <c r="U79" s="54"/>
      <c r="V79" s="54"/>
      <c r="W79" s="54"/>
      <c r="X79" s="54"/>
      <c r="Y79" s="54"/>
      <c r="Z79" s="54"/>
    </row>
    <row r="80" spans="1:26" ht="15" customHeight="1" x14ac:dyDescent="0.45">
      <c r="A80" s="19"/>
      <c r="E80" s="128" t="s">
        <v>394</v>
      </c>
      <c r="F80" s="54"/>
      <c r="G80" s="54"/>
      <c r="H80" s="54"/>
      <c r="I80" s="54">
        <f>IF(SUMPRODUCT('2'!COMP_CALENDARIZE_PERCENTAGES,H81:J81)=1,1,0)</f>
        <v>1</v>
      </c>
      <c r="J80" s="54">
        <f>IF(SUMPRODUCT('2'!COMP_CALENDARIZE_PERCENTAGES,I81:K81)=1,1,0)</f>
        <v>1</v>
      </c>
      <c r="K80" s="54">
        <f>IF(SUMPRODUCT('2'!COMP_CALENDARIZE_PERCENTAGES,J81:L81)=1,1,0)</f>
        <v>1</v>
      </c>
      <c r="L80" s="129">
        <f>IF(SUMPRODUCT('2'!COMP_CALENDARIZE_PERCENTAGES,K81:M81)=1,1,0)</f>
        <v>0</v>
      </c>
      <c r="M80" s="54"/>
      <c r="N80" s="54"/>
      <c r="O80" s="54"/>
      <c r="P80" s="54"/>
      <c r="Q80" s="54"/>
      <c r="R80" s="54"/>
      <c r="S80" s="54"/>
      <c r="T80" s="54"/>
      <c r="U80" s="54"/>
      <c r="V80" s="54"/>
      <c r="W80" s="54"/>
      <c r="X80" s="54"/>
      <c r="Y80" s="54"/>
      <c r="Z80" s="54"/>
    </row>
    <row r="81" spans="1:26" ht="15" customHeight="1" x14ac:dyDescent="0.45">
      <c r="A81" s="19"/>
      <c r="E81" s="137" t="s">
        <v>395</v>
      </c>
      <c r="F81" s="104"/>
      <c r="G81" s="104"/>
      <c r="H81" s="104">
        <f>IF(OR(H44=0,H44="N/A"),0,1)</f>
        <v>1</v>
      </c>
      <c r="I81" s="104">
        <f>IF(OR(I44=0,I44="N/A"),0,1)</f>
        <v>1</v>
      </c>
      <c r="J81" s="104">
        <f>IF(OR(J44=0,J44="N/A"),0,1)</f>
        <v>1</v>
      </c>
      <c r="K81" s="104">
        <f>IF(OR(K44=0,K44="N/A"),0,1)</f>
        <v>1</v>
      </c>
      <c r="L81" s="134">
        <f>IF(OR(L44=0,L44="N/A"),0,1)</f>
        <v>0</v>
      </c>
      <c r="M81" s="54"/>
      <c r="N81" s="54"/>
      <c r="O81" s="54"/>
      <c r="P81" s="54"/>
      <c r="Q81" s="54"/>
      <c r="R81" s="54"/>
      <c r="S81" s="54"/>
      <c r="T81" s="54"/>
      <c r="U81" s="54"/>
      <c r="V81" s="54"/>
      <c r="W81" s="54"/>
      <c r="X81" s="54"/>
      <c r="Y81" s="54"/>
      <c r="Z81" s="54"/>
    </row>
    <row r="82" spans="1:26" ht="15" customHeight="1" x14ac:dyDescent="0.45">
      <c r="A82" s="19"/>
      <c r="E82" s="54"/>
      <c r="F82" s="54"/>
      <c r="G82" s="54"/>
      <c r="H82" s="54"/>
      <c r="I82" s="54"/>
      <c r="J82" s="54"/>
      <c r="K82" s="54"/>
      <c r="L82" s="54"/>
      <c r="M82" s="54"/>
      <c r="N82" s="54"/>
      <c r="O82" s="54"/>
      <c r="P82" s="54"/>
      <c r="Q82" s="54"/>
      <c r="R82" s="54"/>
      <c r="S82" s="54"/>
      <c r="T82" s="54"/>
      <c r="U82" s="54"/>
      <c r="V82" s="54"/>
      <c r="W82" s="54"/>
      <c r="X82" s="54"/>
    </row>
    <row r="83" spans="1:26" ht="15" customHeight="1" x14ac:dyDescent="0.45">
      <c r="A83" s="19" t="s">
        <v>147</v>
      </c>
    </row>
  </sheetData>
  <mergeCells count="1">
    <mergeCell ref="R31:V35"/>
  </mergeCells>
  <hyperlinks>
    <hyperlink ref="C10" r:id="rId1" display="https://felix.fe.training/filing-document/?hid=65e5bcc11d1c3" xr:uid="{9F3E0AA9-39AD-4203-8FAF-E57CF12D1D18}"/>
    <hyperlink ref="D32" r:id="rId2" display="https://felix.fe.training/filing/document.php/?hid=65e9f24145f54" xr:uid="{6B2E6966-57F5-4AC7-B138-04B5879305FC}"/>
    <hyperlink ref="N30" r:id="rId3" display="https://felix.fe.training/filing/document.php/?hid=65e9f47b42315" xr:uid="{4E1A76A7-1B22-422A-A882-9A37148CFCDF}"/>
    <hyperlink ref="O30" r:id="rId4" display="https://felix.fe.training/filing/document.php/?hid=65e9f47b42315" xr:uid="{98B1CB6B-D9BB-4E27-8B5D-C7DF976CB8F9}"/>
    <hyperlink ref="D37" r:id="rId5" display="https://felix.fe.training/filing-document/?hid=65e5c1ffa410b" xr:uid="{3A3E0556-5E79-4799-B9A9-2B62C82214F7}"/>
    <hyperlink ref="G31" r:id="rId6" display="https://felix.fe.training/filing-document/?hid=65e5c0c74ef46" xr:uid="{5F09C2B8-A8DC-4B9C-B522-57E87FAD3BE9}"/>
    <hyperlink ref="G32" r:id="rId7" display="https://felix.fe.training/filing-document/?hid=65e5c16f23378" xr:uid="{7B244A3B-4679-494A-BE12-B0293BCD2989}"/>
    <hyperlink ref="G33" r:id="rId8" display="https://felix.fe.training/filing-document/?hid=65e5c1a2bde1f" xr:uid="{8152DA2F-A65E-46D6-8520-697E617A086F}"/>
    <hyperlink ref="G34" r:id="rId9" display="https://felix.fe.training/filing-document/?hid=65e5c1090ecb7" xr:uid="{BB55ED4F-39C7-4682-B96F-19858398207F}"/>
    <hyperlink ref="G35" r:id="rId10" display="https://felix.fe.training/filing-document/?hid=65e5c12ca9eca" xr:uid="{4EF6F01E-A875-4585-9B2A-2158B5B328A5}"/>
    <hyperlink ref="J33" r:id="rId11" display="https://felix.fe.training/filing/document.php/?hid=65e9f5ae63d78" xr:uid="{F922F02B-4E34-4AF7-B877-3A0F7EF96B40}"/>
    <hyperlink ref="G37" r:id="rId12" display="https://felix.fe.training/filing/document.php/?hid=65e9f5d74daf2" xr:uid="{AB824D24-E74F-4EEF-BB7C-EE22FA135FA3}"/>
    <hyperlink ref="C44" r:id="rId13" display="https://felix.fe.training/filing-document/?hid=65e5b554354bb" xr:uid="{F5E0C813-46DD-45D4-88E6-3F6CE4878717}"/>
    <hyperlink ref="C47" r:id="rId14" display="https://felix.fe.training/filing-document/?hid=65e5b6c398e73" xr:uid="{E45FD51C-DC71-4AF2-8BC6-46840EFB49E9}"/>
    <hyperlink ref="C48" r:id="rId15" display="https://felix.fe.training/filing/document.php/?hid=65e9f6dae7e99" xr:uid="{596A48A2-B250-45C6-A7C5-4F7B64AE8EA8}"/>
    <hyperlink ref="C54" r:id="rId16" display="https://felix.fe.training/filing-document/?hid=65e5b7550a469" xr:uid="{4A74A29A-BC51-4A59-91AF-E688A926E354}"/>
    <hyperlink ref="C62" r:id="rId17" display="https://felix.fe.training/filing-document/?hid=65e5c28c1a301" xr:uid="{BCDF6B15-5148-4587-BE80-6B66C043084D}"/>
    <hyperlink ref="G65" r:id="rId18" display="https://felix.fe.training/filing-document/?hid=65e5c2fbd0850" xr:uid="{858F6573-9523-4D59-98A2-E28EDF9D9EBD}"/>
    <hyperlink ref="G36" r:id="rId19" display="https://felix.fe.training/filing/document.php/?hid=65e9f5335f482" xr:uid="{039232FC-21CD-4AC9-9458-62B0FB41BFE2}"/>
    <hyperlink ref="J31" r:id="rId20" display="https://felix.fe.training/filing-document/?hid=65e5c1deed0ac" xr:uid="{5022E31E-FD05-4846-B149-D2FDAAD5FF7F}"/>
    <hyperlink ref="N32" r:id="rId21" display="https://felix.fe.training/filing/document.php/?hid=65e9f41a42b94" xr:uid="{80BEE647-48F6-4613-B67C-07C2FAA50CB7}"/>
    <hyperlink ref="N31" r:id="rId22" display="https://felix.fe.training/filing/document.php/?hid=65e9f43b6bcf5" xr:uid="{BE0DFBBB-DC45-4EA7-847E-3FB8992EFD17}"/>
    <hyperlink ref="C46" r:id="rId23" display="https://felix.fe.training/filing-document/?hid=65e5b65e5b570" xr:uid="{F6E939C9-B93E-4DA2-99B8-36447FB9BAD5}"/>
  </hyperlinks>
  <printOptions gridLines="1"/>
  <pageMargins left="0.31496062992125984" right="0.11811023622047245" top="0.74803149606299213" bottom="0.74803149606299213" header="0" footer="0"/>
  <pageSetup paperSize="9" scale="45" fitToHeight="0" orientation="landscape" r:id="rId24"/>
  <headerFooter>
    <oddHeader>&amp;R&amp;F  &amp;A</oddHeader>
    <oddFooter>&amp;L© 2016&amp;CPage &amp;P of</oddFooter>
  </headerFooter>
  <rowBreaks count="1" manualBreakCount="1">
    <brk id="57" max="21" man="1"/>
  </rowBreaks>
  <legacyDrawing r:id="rId2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fitToPage="1"/>
  </sheetPr>
  <dimension ref="A1:BH82"/>
  <sheetViews>
    <sheetView zoomScaleNormal="100" zoomScaleSheetLayoutView="85" workbookViewId="0">
      <pane xSplit="3" topLeftCell="D1" activePane="topRight" state="frozen"/>
      <selection sqref="A1:N1"/>
      <selection pane="topRight" activeCell="D1" sqref="D1"/>
    </sheetView>
  </sheetViews>
  <sheetFormatPr defaultColWidth="12.59765625" defaultRowHeight="15" customHeight="1" outlineLevelCol="2" x14ac:dyDescent="0.45"/>
  <cols>
    <col min="1" max="1" width="1.59765625" customWidth="1"/>
    <col min="2" max="2" width="9.59765625" customWidth="1"/>
    <col min="3" max="3" width="22.3984375" bestFit="1" customWidth="1"/>
    <col min="4" max="4" width="10.59765625" customWidth="1"/>
    <col min="5" max="5" width="12.1328125" bestFit="1" customWidth="1"/>
    <col min="6" max="7" width="9.59765625" customWidth="1"/>
    <col min="8" max="10" width="9.73046875" customWidth="1"/>
    <col min="11" max="13" width="9.59765625" hidden="1" customWidth="1" outlineLevel="1"/>
    <col min="14" max="14" width="2.59765625" hidden="1" customWidth="1" outlineLevel="1"/>
    <col min="15" max="17" width="9.59765625" hidden="1" customWidth="1" outlineLevel="1"/>
    <col min="18" max="18" width="2.59765625" hidden="1" customWidth="1" outlineLevel="1"/>
    <col min="19" max="21" width="9.59765625" hidden="1" customWidth="1" outlineLevel="1"/>
    <col min="22" max="22" width="2.59765625" hidden="1" customWidth="1" outlineLevel="1"/>
    <col min="23" max="25" width="9.59765625" hidden="1" customWidth="1" outlineLevel="1"/>
    <col min="26" max="26" width="2.59765625" hidden="1" customWidth="1" outlineLevel="1"/>
    <col min="27" max="29" width="9.59765625" hidden="1" customWidth="1" outlineLevel="1"/>
    <col min="30" max="30" width="1.59765625" customWidth="1" collapsed="1"/>
    <col min="31" max="33" width="9.59765625" customWidth="1"/>
    <col min="34" max="34" width="1.59765625" customWidth="1"/>
    <col min="35" max="37" width="9.59765625" customWidth="1"/>
    <col min="38" max="38" width="1.59765625" customWidth="1"/>
    <col min="39" max="41" width="9.59765625" customWidth="1"/>
    <col min="42" max="42" width="1.59765625" customWidth="1"/>
    <col min="43" max="45" width="9.59765625" hidden="1" customWidth="1" outlineLevel="2"/>
    <col min="46" max="46" width="1.59765625" hidden="1" customWidth="1" outlineLevel="2"/>
    <col min="47" max="49" width="9.59765625" hidden="1" customWidth="1" outlineLevel="2"/>
    <col min="50" max="50" width="1.59765625" hidden="1" customWidth="1" outlineLevel="2"/>
    <col min="51" max="51" width="11.265625" customWidth="1" collapsed="1"/>
    <col min="52" max="53" width="9.59765625" customWidth="1"/>
    <col min="54" max="54" width="10.73046875" bestFit="1" customWidth="1"/>
    <col min="55" max="55" width="10.73046875" customWidth="1"/>
    <col min="56" max="56" width="11" bestFit="1" customWidth="1"/>
    <col min="57" max="60" width="9.59765625" customWidth="1"/>
  </cols>
  <sheetData>
    <row r="1" spans="1:60" ht="45" customHeight="1" x14ac:dyDescent="0.85">
      <c r="A1" s="83" t="s">
        <v>254</v>
      </c>
      <c r="B1" s="127"/>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83"/>
      <c r="BG1" s="83"/>
      <c r="BH1" s="83"/>
    </row>
    <row r="2" spans="1:60" ht="15.75" customHeight="1" x14ac:dyDescent="0.45">
      <c r="A2" s="85"/>
      <c r="B2" s="54"/>
      <c r="E2" s="54"/>
      <c r="F2" s="54"/>
      <c r="G2" s="54"/>
      <c r="H2" s="54"/>
      <c r="I2" s="54"/>
      <c r="J2" s="54"/>
    </row>
    <row r="3" spans="1:60" ht="15.75" customHeight="1" x14ac:dyDescent="0.45">
      <c r="A3" s="85" t="s">
        <v>35</v>
      </c>
      <c r="B3" s="54"/>
      <c r="E3" s="54"/>
      <c r="F3" s="54"/>
      <c r="G3" s="54"/>
      <c r="H3" s="54"/>
      <c r="I3" s="54"/>
      <c r="J3" s="54"/>
    </row>
    <row r="4" spans="1:60" ht="15.75" customHeight="1" x14ac:dyDescent="0.45">
      <c r="A4" s="85"/>
      <c r="B4">
        <v>1</v>
      </c>
      <c r="C4" t="s">
        <v>402</v>
      </c>
      <c r="E4" s="54"/>
      <c r="F4" s="54"/>
      <c r="G4" s="54"/>
      <c r="H4" s="54"/>
      <c r="I4" s="54"/>
      <c r="J4" s="54"/>
    </row>
    <row r="5" spans="1:60" ht="15.75" customHeight="1" x14ac:dyDescent="0.45">
      <c r="A5" s="85"/>
      <c r="B5">
        <v>2</v>
      </c>
      <c r="C5" t="s">
        <v>403</v>
      </c>
      <c r="E5" s="54"/>
      <c r="F5" s="54"/>
      <c r="G5" s="54"/>
      <c r="H5" s="54"/>
      <c r="I5" s="54"/>
      <c r="J5" s="54"/>
    </row>
    <row r="6" spans="1:60" ht="15.75" customHeight="1" x14ac:dyDescent="0.45">
      <c r="A6" s="85"/>
      <c r="B6">
        <v>3</v>
      </c>
      <c r="C6" s="182" t="s">
        <v>404</v>
      </c>
      <c r="E6" s="54"/>
      <c r="F6" s="54"/>
      <c r="G6" s="54"/>
      <c r="H6" s="54"/>
      <c r="I6" s="54"/>
      <c r="J6" s="54"/>
    </row>
    <row r="7" spans="1:60" ht="15.75" customHeight="1" x14ac:dyDescent="0.45">
      <c r="A7" s="85"/>
      <c r="B7">
        <v>4</v>
      </c>
      <c r="C7" t="s">
        <v>405</v>
      </c>
      <c r="E7" s="54"/>
      <c r="F7" s="54"/>
      <c r="G7" s="54"/>
      <c r="H7" s="54"/>
      <c r="I7" s="54"/>
      <c r="J7" s="54"/>
    </row>
    <row r="8" spans="1:60" ht="15.75" customHeight="1" x14ac:dyDescent="0.45">
      <c r="A8" s="85"/>
      <c r="E8" s="54"/>
      <c r="F8" s="54"/>
      <c r="G8" s="54"/>
      <c r="H8" s="54"/>
      <c r="I8" s="54"/>
      <c r="J8" s="54"/>
    </row>
    <row r="9" spans="1:60" ht="15.75" customHeight="1" x14ac:dyDescent="0.45">
      <c r="A9" s="85" t="s">
        <v>406</v>
      </c>
      <c r="E9" s="54"/>
      <c r="F9" s="54"/>
      <c r="G9" s="54"/>
      <c r="H9" s="54"/>
      <c r="I9" s="54"/>
      <c r="J9" s="54"/>
    </row>
    <row r="10" spans="1:60" ht="15.75" customHeight="1" x14ac:dyDescent="0.45">
      <c r="A10" s="85"/>
      <c r="B10">
        <v>1</v>
      </c>
      <c r="C10" t="s">
        <v>407</v>
      </c>
      <c r="E10" s="54"/>
      <c r="F10" s="54"/>
      <c r="G10" s="54"/>
      <c r="H10" s="54"/>
      <c r="I10" s="54"/>
      <c r="J10" s="54"/>
    </row>
    <row r="11" spans="1:60" ht="15.75" customHeight="1" x14ac:dyDescent="0.45">
      <c r="A11" s="85"/>
      <c r="B11">
        <v>2</v>
      </c>
      <c r="C11" t="s">
        <v>408</v>
      </c>
      <c r="E11" s="54"/>
      <c r="F11" s="54"/>
      <c r="G11" s="54"/>
      <c r="H11" s="54"/>
      <c r="I11" s="54"/>
      <c r="J11" s="54"/>
    </row>
    <row r="12" spans="1:60" ht="15.75" customHeight="1" x14ac:dyDescent="0.45">
      <c r="A12" s="85"/>
      <c r="B12">
        <v>3</v>
      </c>
      <c r="C12" t="s">
        <v>409</v>
      </c>
      <c r="E12" s="54"/>
      <c r="F12" s="54"/>
      <c r="G12" s="54"/>
      <c r="H12" s="54"/>
      <c r="I12" s="54"/>
      <c r="J12" s="54"/>
    </row>
    <row r="13" spans="1:60" ht="15.75" customHeight="1" x14ac:dyDescent="0.45">
      <c r="A13" s="85"/>
      <c r="B13">
        <v>4</v>
      </c>
      <c r="C13" t="s">
        <v>410</v>
      </c>
      <c r="E13" s="54"/>
      <c r="F13" s="54"/>
      <c r="G13" s="54"/>
      <c r="H13" s="54"/>
      <c r="I13" s="54"/>
      <c r="J13" s="54"/>
    </row>
    <row r="14" spans="1:60" ht="15.75" customHeight="1" x14ac:dyDescent="0.45">
      <c r="A14" s="85"/>
      <c r="E14" s="54"/>
      <c r="F14" s="54"/>
      <c r="G14" s="54"/>
      <c r="H14" s="54"/>
      <c r="I14" s="54"/>
      <c r="J14" s="54"/>
    </row>
    <row r="15" spans="1:60" ht="15.75" customHeight="1" x14ac:dyDescent="0.45">
      <c r="A15" s="97"/>
      <c r="C15" t="s">
        <v>411</v>
      </c>
      <c r="D15" s="53" t="s">
        <v>318</v>
      </c>
    </row>
    <row r="16" spans="1:60" ht="15.75" customHeight="1" x14ac:dyDescent="0.45">
      <c r="A16" s="97"/>
      <c r="C16" t="s">
        <v>305</v>
      </c>
      <c r="D16" s="45">
        <v>45358</v>
      </c>
    </row>
    <row r="17" spans="1:60" ht="15.75" customHeight="1" x14ac:dyDescent="0.45">
      <c r="A17" s="97"/>
      <c r="C17" t="s">
        <v>412</v>
      </c>
      <c r="D17" s="45">
        <v>45291</v>
      </c>
    </row>
    <row r="18" spans="1:60" ht="15.75" customHeight="1" x14ac:dyDescent="0.45">
      <c r="A18" s="97"/>
      <c r="AY18" s="74"/>
    </row>
    <row r="19" spans="1:60" ht="15.75" customHeight="1" x14ac:dyDescent="0.45">
      <c r="A19" s="97"/>
      <c r="C19" t="str">
        <f>"All data in "&amp;D15&amp;"m unless otherwise stated, as of "&amp;TEXT(D16,"dd-mmm-yy")</f>
        <v>All data in USDm unless otherwise stated, as of 07-Mar-24</v>
      </c>
    </row>
    <row r="20" spans="1:60" ht="15.75" customHeight="1" thickBot="1" x14ac:dyDescent="0.5">
      <c r="A20" s="156"/>
      <c r="B20" s="156"/>
      <c r="C20" s="156"/>
      <c r="D20" s="80"/>
      <c r="E20" s="80" t="s">
        <v>263</v>
      </c>
      <c r="F20" s="80" t="s">
        <v>263</v>
      </c>
      <c r="G20" s="80"/>
      <c r="H20" s="80"/>
      <c r="I20" s="240" t="s">
        <v>413</v>
      </c>
      <c r="J20" s="241"/>
      <c r="K20" s="157"/>
      <c r="L20" s="157" t="s">
        <v>198</v>
      </c>
      <c r="M20" s="157"/>
      <c r="N20" s="95"/>
      <c r="O20" s="157"/>
      <c r="P20" s="157" t="s">
        <v>65</v>
      </c>
      <c r="Q20" s="157"/>
      <c r="R20" s="80"/>
      <c r="S20" s="157"/>
      <c r="T20" s="157" t="s">
        <v>63</v>
      </c>
      <c r="U20" s="157"/>
      <c r="V20" s="80"/>
      <c r="W20" s="157"/>
      <c r="X20" s="157" t="s">
        <v>140</v>
      </c>
      <c r="Y20" s="157"/>
      <c r="Z20" s="80"/>
      <c r="AA20" s="157"/>
      <c r="AB20" s="157" t="s">
        <v>414</v>
      </c>
      <c r="AC20" s="157"/>
      <c r="AD20" s="80"/>
      <c r="AE20" s="157"/>
      <c r="AF20" s="157" t="s">
        <v>330</v>
      </c>
      <c r="AG20" s="157"/>
      <c r="AH20" s="95"/>
      <c r="AI20" s="157"/>
      <c r="AJ20" s="157" t="s">
        <v>288</v>
      </c>
      <c r="AK20" s="157"/>
      <c r="AL20" s="80"/>
      <c r="AM20" s="157"/>
      <c r="AN20" s="157" t="s">
        <v>332</v>
      </c>
      <c r="AO20" s="157"/>
      <c r="AP20" s="80"/>
      <c r="AQ20" s="157"/>
      <c r="AR20" s="157" t="s">
        <v>387</v>
      </c>
      <c r="AS20" s="157"/>
      <c r="AT20" s="80"/>
      <c r="AU20" s="157"/>
      <c r="AV20" s="157" t="s">
        <v>388</v>
      </c>
      <c r="AW20" s="157"/>
      <c r="AX20" s="80"/>
      <c r="AY20" s="80" t="s">
        <v>415</v>
      </c>
      <c r="AZ20" s="80" t="s">
        <v>416</v>
      </c>
      <c r="BA20" s="80" t="s">
        <v>417</v>
      </c>
      <c r="BB20" s="80" t="s">
        <v>418</v>
      </c>
      <c r="BC20" s="80" t="s">
        <v>419</v>
      </c>
      <c r="BD20" s="95" t="s">
        <v>420</v>
      </c>
      <c r="BE20" s="95" t="s">
        <v>421</v>
      </c>
      <c r="BF20" s="95" t="s">
        <v>422</v>
      </c>
      <c r="BG20" s="95" t="s">
        <v>362</v>
      </c>
      <c r="BH20" s="95"/>
    </row>
    <row r="21" spans="1:60" ht="15.75" customHeight="1" x14ac:dyDescent="0.45">
      <c r="A21" s="156"/>
      <c r="B21" s="156"/>
      <c r="C21" s="80" t="s">
        <v>423</v>
      </c>
      <c r="D21" s="80" t="s">
        <v>424</v>
      </c>
      <c r="E21" s="80" t="s">
        <v>425</v>
      </c>
      <c r="F21" s="80" t="s">
        <v>426</v>
      </c>
      <c r="G21" s="80" t="s">
        <v>427</v>
      </c>
      <c r="H21" s="80" t="s">
        <v>277</v>
      </c>
      <c r="I21" s="80" t="s">
        <v>284</v>
      </c>
      <c r="J21" s="80" t="s">
        <v>285</v>
      </c>
      <c r="K21" s="80" t="s">
        <v>283</v>
      </c>
      <c r="L21" s="80" t="str">
        <f>+I21</f>
        <v>2024e</v>
      </c>
      <c r="M21" s="80" t="str">
        <f>+J21</f>
        <v>2025e</v>
      </c>
      <c r="N21" s="95"/>
      <c r="O21" s="80" t="s">
        <v>283</v>
      </c>
      <c r="P21" s="80" t="str">
        <f>+L21</f>
        <v>2024e</v>
      </c>
      <c r="Q21" s="80" t="str">
        <f>+M21</f>
        <v>2025e</v>
      </c>
      <c r="R21" s="80"/>
      <c r="S21" s="80" t="s">
        <v>283</v>
      </c>
      <c r="T21" s="80" t="str">
        <f>+P21</f>
        <v>2024e</v>
      </c>
      <c r="U21" s="80" t="str">
        <f>+Q21</f>
        <v>2025e</v>
      </c>
      <c r="V21" s="80"/>
      <c r="W21" s="80" t="s">
        <v>283</v>
      </c>
      <c r="X21" s="80" t="str">
        <f>+L21</f>
        <v>2024e</v>
      </c>
      <c r="Y21" s="80" t="str">
        <f>+M21</f>
        <v>2025e</v>
      </c>
      <c r="Z21" s="80"/>
      <c r="AA21" s="80" t="s">
        <v>283</v>
      </c>
      <c r="AB21" s="80" t="str">
        <f>+X21</f>
        <v>2024e</v>
      </c>
      <c r="AC21" s="80" t="str">
        <f>+Y21</f>
        <v>2025e</v>
      </c>
      <c r="AD21" s="80"/>
      <c r="AE21" s="80" t="s">
        <v>283</v>
      </c>
      <c r="AF21" s="80" t="str">
        <f>+L21</f>
        <v>2024e</v>
      </c>
      <c r="AG21" s="80" t="str">
        <f>+M21</f>
        <v>2025e</v>
      </c>
      <c r="AH21" s="95"/>
      <c r="AI21" s="80" t="s">
        <v>283</v>
      </c>
      <c r="AJ21" s="80" t="str">
        <f>+P21</f>
        <v>2024e</v>
      </c>
      <c r="AK21" s="80" t="str">
        <f>+Q21</f>
        <v>2025e</v>
      </c>
      <c r="AL21" s="80"/>
      <c r="AM21" s="80" t="s">
        <v>283</v>
      </c>
      <c r="AN21" s="80" t="str">
        <f>+T21</f>
        <v>2024e</v>
      </c>
      <c r="AO21" s="80" t="str">
        <f>+U21</f>
        <v>2025e</v>
      </c>
      <c r="AP21" s="80"/>
      <c r="AQ21" s="80" t="s">
        <v>283</v>
      </c>
      <c r="AR21" s="80" t="str">
        <f>AJ21</f>
        <v>2024e</v>
      </c>
      <c r="AS21" s="80" t="str">
        <f>AK21</f>
        <v>2025e</v>
      </c>
      <c r="AT21" s="80"/>
      <c r="AU21" s="80" t="s">
        <v>283</v>
      </c>
      <c r="AV21" s="80" t="str">
        <f>AN21</f>
        <v>2024e</v>
      </c>
      <c r="AW21" s="80" t="str">
        <f>AO21</f>
        <v>2025e</v>
      </c>
      <c r="AX21" s="80"/>
      <c r="AY21" s="80" t="s">
        <v>428</v>
      </c>
      <c r="AZ21" s="80" t="s">
        <v>429</v>
      </c>
      <c r="BA21" s="80" t="s">
        <v>430</v>
      </c>
      <c r="BB21" s="80" t="s">
        <v>431</v>
      </c>
      <c r="BC21" s="80" t="s">
        <v>431</v>
      </c>
      <c r="BD21" s="95" t="s">
        <v>415</v>
      </c>
      <c r="BE21" s="95" t="s">
        <v>327</v>
      </c>
      <c r="BF21" s="95" t="s">
        <v>432</v>
      </c>
      <c r="BG21" s="95" t="s">
        <v>433</v>
      </c>
      <c r="BH21" s="95" t="s">
        <v>300</v>
      </c>
    </row>
    <row r="22" spans="1:60" ht="15.75" customHeight="1" x14ac:dyDescent="0.45">
      <c r="A22" s="85" t="s">
        <v>434</v>
      </c>
    </row>
    <row r="23" spans="1:60" ht="15.75" customHeight="1" x14ac:dyDescent="0.45">
      <c r="A23" s="97"/>
      <c r="B23" s="17">
        <v>1</v>
      </c>
      <c r="C23" t="str">
        <f ca="1">INDIRECT($B23&amp;"!"&amp;C$81)</f>
        <v>Coca-Cola Company</v>
      </c>
      <c r="D23" s="88">
        <f ca="1">INDIRECT($B23&amp;"!"&amp;D$81)*INDIRECT($B23&amp;"!"&amp;D$82)</f>
        <v>59.55</v>
      </c>
      <c r="E23" s="88">
        <f ca="1">INDIRECT($B23&amp;"!"&amp;E$81)*INDIRECT($B23&amp;"!"&amp;E$82)</f>
        <v>64.989999999999995</v>
      </c>
      <c r="F23" s="74">
        <f t="shared" ref="F23:F33" ca="1" si="0">D23/E23</f>
        <v>0.91629481458685957</v>
      </c>
      <c r="G23">
        <f t="shared" ref="G23:M24" ca="1" si="1">INDIRECT($B23&amp;"!"&amp;G$81)</f>
        <v>257703.13865439995</v>
      </c>
      <c r="H23">
        <f t="shared" ca="1" si="1"/>
        <v>267854.13865439995</v>
      </c>
      <c r="I23" s="75">
        <f t="shared" ca="1" si="1"/>
        <v>20.605536332179931</v>
      </c>
      <c r="J23" s="75">
        <f t="shared" ca="1" si="1"/>
        <v>19.271844660194176</v>
      </c>
      <c r="K23">
        <f t="shared" ca="1" si="1"/>
        <v>45784</v>
      </c>
      <c r="L23">
        <f t="shared" ca="1" si="1"/>
        <v>47140</v>
      </c>
      <c r="M23">
        <f t="shared" ca="1" si="1"/>
        <v>49486</v>
      </c>
      <c r="O23">
        <f t="shared" ref="O23:Q24" ca="1" si="2">INDIRECT($B23&amp;"!"&amp;O$81)</f>
        <v>14464</v>
      </c>
      <c r="P23">
        <f t="shared" ca="1" si="2"/>
        <v>15566</v>
      </c>
      <c r="Q23">
        <f t="shared" ca="1" si="2"/>
        <v>16632</v>
      </c>
      <c r="S23">
        <f t="shared" ref="S23:U24" ca="1" si="3">INDIRECT($B23&amp;"!"&amp;S$81)</f>
        <v>13336</v>
      </c>
      <c r="T23">
        <f t="shared" ca="1" si="3"/>
        <v>13862</v>
      </c>
      <c r="U23">
        <f t="shared" ca="1" si="3"/>
        <v>14781</v>
      </c>
      <c r="W23">
        <f t="shared" ref="W23:Y24" ca="1" si="4">INDIRECT($B23&amp;"!"&amp;W$81)</f>
        <v>14861</v>
      </c>
      <c r="X23">
        <f t="shared" ca="1" si="4"/>
        <v>15974.758081425825</v>
      </c>
      <c r="Y23">
        <f t="shared" ca="1" si="4"/>
        <v>17061.100602830684</v>
      </c>
      <c r="AA23">
        <f t="shared" ref="AA23:AC24" ca="1" si="5">INDIRECT($B23&amp;"!"&amp;AA$81)</f>
        <v>13468.200999999999</v>
      </c>
      <c r="AB23">
        <f t="shared" ca="1" si="5"/>
        <v>13998.1164411148</v>
      </c>
      <c r="AC23">
        <f t="shared" ca="1" si="5"/>
        <v>14923.890500742618</v>
      </c>
      <c r="AE23" s="102">
        <f t="shared" ref="AE23:AG24" ca="1" si="6">IFERROR($H23/K23,"N/A ")</f>
        <v>5.8503874422156201</v>
      </c>
      <c r="AF23" s="102">
        <f t="shared" ca="1" si="6"/>
        <v>5.6820988259312672</v>
      </c>
      <c r="AG23" s="102">
        <f t="shared" ca="1" si="6"/>
        <v>5.4127255921755637</v>
      </c>
      <c r="AI23" s="102">
        <f t="shared" ref="AI23:AK24" ca="1" si="7">IFERROR($H23/O23,"N/A ")</f>
        <v>18.518676621570794</v>
      </c>
      <c r="AJ23" s="102">
        <f t="shared" ca="1" si="7"/>
        <v>17.207640926018243</v>
      </c>
      <c r="AK23" s="102">
        <f t="shared" ca="1" si="7"/>
        <v>16.104746191341988</v>
      </c>
      <c r="AM23" s="102">
        <f t="shared" ref="AM23:AO24" ca="1" si="8">IFERROR($H23/S23,"N/A ")</f>
        <v>20.085043390401918</v>
      </c>
      <c r="AN23" s="102">
        <f t="shared" ca="1" si="8"/>
        <v>19.322907131323038</v>
      </c>
      <c r="AO23" s="102">
        <f t="shared" ca="1" si="8"/>
        <v>18.121516721087879</v>
      </c>
      <c r="AQ23" s="102">
        <f t="shared" ref="AQ23:AS24" ca="1" si="9">IFERROR(INDIRECT($B23&amp;"!"&amp;AQ$81)/W23,"N/A ")</f>
        <v>18.115613932736689</v>
      </c>
      <c r="AR23" s="102">
        <f t="shared" ca="1" si="9"/>
        <v>16.852595656357575</v>
      </c>
      <c r="AS23" s="102">
        <f t="shared" ca="1" si="9"/>
        <v>15.779529405607812</v>
      </c>
      <c r="AU23" s="102">
        <f t="shared" ref="AU23:AW24" ca="1" si="10">IFERROR(INDIRECT($B23&amp;"!"&amp;AU$81)/AA23,"N/A ")</f>
        <v>19.989019962977977</v>
      </c>
      <c r="AV23" s="102">
        <f t="shared" ca="1" si="10"/>
        <v>19.232311703285117</v>
      </c>
      <c r="AW23" s="102">
        <f t="shared" ca="1" si="10"/>
        <v>18.039273247214169</v>
      </c>
      <c r="AY23" s="74">
        <f t="shared" ref="AY23:AY31" ca="1" si="11">O23/K23</f>
        <v>0.31591822470732134</v>
      </c>
      <c r="AZ23" s="74">
        <f ca="1">INDIRECT($B23&amp;"!"&amp;AZ$81)</f>
        <v>5.8999999999999997E-2</v>
      </c>
      <c r="BA23" s="74">
        <f ca="1">INDIRECT($B23&amp;"!"&amp;BA$81)</f>
        <v>0.28784062950238282</v>
      </c>
      <c r="BB23" s="74">
        <f t="shared" ref="BB23:BC33" ca="1" si="12">+L23/K23-1</f>
        <v>2.9617333566311466E-2</v>
      </c>
      <c r="BC23" s="74">
        <f t="shared" ca="1" si="12"/>
        <v>4.9766652524395383E-2</v>
      </c>
      <c r="BD23" s="102">
        <f ca="1">INDIRECT("'"&amp;$B23&amp;"'!"&amp;BD$81)/INDIRECT("'"&amp;$B23&amp;"'!"&amp;BD$82)</f>
        <v>2.9081858407079646</v>
      </c>
      <c r="BE23" s="88">
        <f t="shared" ref="BE23:BH24" ca="1" si="13">INDIRECT("'"&amp;$B23&amp;"'!"&amp;BE$81)</f>
        <v>0.79</v>
      </c>
      <c r="BF23" s="98" t="str">
        <f t="shared" ca="1" si="13"/>
        <v>A+</v>
      </c>
      <c r="BG23">
        <f t="shared" ca="1" si="13"/>
        <v>42064</v>
      </c>
      <c r="BH23" t="str">
        <f t="shared" ca="1" si="13"/>
        <v>KO-US</v>
      </c>
    </row>
    <row r="24" spans="1:60" ht="15.75" customHeight="1" x14ac:dyDescent="0.45">
      <c r="A24" s="97"/>
      <c r="B24" s="17">
        <v>2</v>
      </c>
      <c r="C24" t="str">
        <f ca="1">INDIRECT($B24&amp;"!"&amp;C$81)</f>
        <v>Keurig Dr Pepper</v>
      </c>
      <c r="D24" s="88">
        <f ca="1">INDIRECT($B24&amp;"!"&amp;D$81)*INDIRECT($B24&amp;"!"&amp;D$82)</f>
        <v>29.2</v>
      </c>
      <c r="E24" s="88">
        <f ca="1">INDIRECT($B24&amp;"!"&amp;E$81)*INDIRECT($B24&amp;"!"&amp;E$82)</f>
        <v>35.99</v>
      </c>
      <c r="F24" s="74">
        <f t="shared" ref="F24" ca="1" si="14">D24/E24</f>
        <v>0.81133648235621003</v>
      </c>
      <c r="G24">
        <f t="shared" ca="1" si="1"/>
        <v>40987.664102080002</v>
      </c>
      <c r="H24">
        <f t="shared" ca="1" si="1"/>
        <v>53515.664102080002</v>
      </c>
      <c r="I24" s="75">
        <f t="shared" ca="1" si="1"/>
        <v>15.129533678756477</v>
      </c>
      <c r="J24" s="75">
        <f t="shared" ca="1" si="1"/>
        <v>14.106280193236715</v>
      </c>
      <c r="K24">
        <f t="shared" ca="1" si="1"/>
        <v>14814</v>
      </c>
      <c r="L24">
        <f t="shared" ca="1" si="1"/>
        <v>15533</v>
      </c>
      <c r="M24">
        <f t="shared" ca="1" si="1"/>
        <v>16115</v>
      </c>
      <c r="O24">
        <f t="shared" ca="1" si="2"/>
        <v>4042</v>
      </c>
      <c r="P24">
        <f t="shared" ca="1" si="2"/>
        <v>4525</v>
      </c>
      <c r="Q24">
        <f t="shared" ca="1" si="2"/>
        <v>4737</v>
      </c>
      <c r="S24">
        <f t="shared" ca="1" si="3"/>
        <v>3503</v>
      </c>
      <c r="T24">
        <f t="shared" ca="1" si="3"/>
        <v>3933</v>
      </c>
      <c r="U24">
        <f t="shared" ca="1" si="3"/>
        <v>4128</v>
      </c>
      <c r="W24">
        <f t="shared" ca="1" si="4"/>
        <v>4201</v>
      </c>
      <c r="X24">
        <f t="shared" ca="1" si="4"/>
        <v>4691.7170919400569</v>
      </c>
      <c r="Y24">
        <f t="shared" ca="1" si="4"/>
        <v>4909.9637505062783</v>
      </c>
      <c r="AA24">
        <f t="shared" ca="1" si="5"/>
        <v>3555.9470000000001</v>
      </c>
      <c r="AB24">
        <f t="shared" ca="1" si="5"/>
        <v>3988.516791616039</v>
      </c>
      <c r="AC24">
        <f t="shared" ca="1" si="5"/>
        <v>4185.5969289185905</v>
      </c>
      <c r="AE24" s="102">
        <f t="shared" ca="1" si="6"/>
        <v>3.6125060147212098</v>
      </c>
      <c r="AF24" s="102">
        <f t="shared" ca="1" si="6"/>
        <v>3.4452883603991502</v>
      </c>
      <c r="AG24" s="102">
        <f t="shared" ca="1" si="6"/>
        <v>3.3208603228098048</v>
      </c>
      <c r="AI24" s="102">
        <f t="shared" ca="1" si="7"/>
        <v>13.239897105907966</v>
      </c>
      <c r="AJ24" s="102">
        <f t="shared" ca="1" si="7"/>
        <v>11.826666099907182</v>
      </c>
      <c r="AK24" s="102">
        <f t="shared" ca="1" si="7"/>
        <v>11.297374731281401</v>
      </c>
      <c r="AM24" s="102">
        <f t="shared" ca="1" si="8"/>
        <v>15.277095090516701</v>
      </c>
      <c r="AN24" s="102">
        <f t="shared" ca="1" si="8"/>
        <v>13.606830435311467</v>
      </c>
      <c r="AO24" s="197">
        <f t="shared" ca="1" si="8"/>
        <v>12.96406591620155</v>
      </c>
      <c r="AQ24" s="102">
        <f t="shared" ca="1" si="9"/>
        <v>12.954692716515115</v>
      </c>
      <c r="AR24" s="102">
        <f t="shared" ca="1" si="9"/>
        <v>11.599732685411315</v>
      </c>
      <c r="AS24" s="102">
        <f t="shared" ca="1" si="9"/>
        <v>11.084127473745269</v>
      </c>
      <c r="AU24" s="102">
        <f t="shared" ca="1" si="10"/>
        <v>15.304689328069287</v>
      </c>
      <c r="AV24" s="102">
        <f t="shared" ca="1" si="10"/>
        <v>13.644837654056714</v>
      </c>
      <c r="AW24" s="102">
        <f t="shared" ca="1" si="10"/>
        <v>13.002366215932044</v>
      </c>
      <c r="AY24" s="74">
        <f t="shared" ref="AY24" ca="1" si="15">O24/K24</f>
        <v>0.27285000675037124</v>
      </c>
      <c r="AZ24" s="74">
        <f ca="1">INDIRECT($B24&amp;"!"&amp;AZ$81)</f>
        <v>6.9000000000000006E-2</v>
      </c>
      <c r="BA24" s="74">
        <f ca="1">INDIRECT($B24&amp;"!"&amp;BA$81)</f>
        <v>6.9502512825882101E-2</v>
      </c>
      <c r="BB24" s="74">
        <f t="shared" ca="1" si="12"/>
        <v>4.8535169434318792E-2</v>
      </c>
      <c r="BC24" s="74">
        <f t="shared" ca="1" si="12"/>
        <v>3.7468615206334821E-2</v>
      </c>
      <c r="BD24" s="102">
        <f ca="1">INDIRECT("'"&amp;$B24&amp;"'!"&amp;BD$81)/INDIRECT("'"&amp;$B24&amp;"'!"&amp;BD$82)</f>
        <v>3.5086590796635329</v>
      </c>
      <c r="BE24" s="88">
        <f t="shared" ca="1" si="13"/>
        <v>0.51</v>
      </c>
      <c r="BF24" s="98" t="str">
        <f t="shared" ca="1" si="13"/>
        <v>BBB+</v>
      </c>
      <c r="BG24">
        <f t="shared" ca="1" si="13"/>
        <v>14182</v>
      </c>
      <c r="BH24" t="str">
        <f t="shared" ca="1" si="13"/>
        <v>KDP-US</v>
      </c>
    </row>
    <row r="25" spans="1:60" ht="15.75" customHeight="1" x14ac:dyDescent="0.45">
      <c r="A25" s="188"/>
      <c r="B25" s="17">
        <v>3</v>
      </c>
      <c r="C25" t="s">
        <v>435</v>
      </c>
      <c r="D25" s="195">
        <v>58.310001</v>
      </c>
      <c r="E25" s="195">
        <v>60.465000000000003</v>
      </c>
      <c r="F25" s="74">
        <f>D25/E25</f>
        <v>0.96435956338377571</v>
      </c>
      <c r="G25" s="3">
        <v>61586.849502999998</v>
      </c>
      <c r="H25" s="3">
        <v>57492.234375</v>
      </c>
      <c r="I25" s="93">
        <v>32.005070000000003</v>
      </c>
      <c r="J25" s="93">
        <v>28.208572</v>
      </c>
      <c r="K25" s="3">
        <v>7140.027</v>
      </c>
      <c r="L25" s="3">
        <v>7966.4497069999998</v>
      </c>
      <c r="M25" s="3">
        <v>8766.7158199999994</v>
      </c>
      <c r="O25" s="3">
        <v>1979.9</v>
      </c>
      <c r="P25" s="3">
        <v>2464.9326169999999</v>
      </c>
      <c r="Q25" s="3">
        <v>2772.4086910000001</v>
      </c>
      <c r="S25" s="3">
        <v>1911</v>
      </c>
      <c r="T25" s="3">
        <v>2374.9020999999998</v>
      </c>
      <c r="U25" s="3">
        <v>2677.5622560000002</v>
      </c>
      <c r="AE25" s="102">
        <f t="shared" ref="AE25:AG26" si="16">IFERROR($H25/K25,"N/A ")</f>
        <v>8.0521032168365743</v>
      </c>
      <c r="AF25" s="102">
        <f t="shared" si="16"/>
        <v>7.2167949952012425</v>
      </c>
      <c r="AG25" s="102">
        <f t="shared" si="16"/>
        <v>6.5580127787237892</v>
      </c>
      <c r="AI25" s="102">
        <f t="shared" ref="AI25:AK26" si="17">IFERROR($H25/O25,"N/A ")</f>
        <v>29.037948570634878</v>
      </c>
      <c r="AJ25" s="102">
        <f t="shared" si="17"/>
        <v>23.324059237356426</v>
      </c>
      <c r="AK25" s="102">
        <f t="shared" si="17"/>
        <v>20.737286880406767</v>
      </c>
      <c r="AM25" s="102">
        <f t="shared" ref="AM25:AO26" si="18">IFERROR($H25/S25,"N/A ")</f>
        <v>30.084895015698589</v>
      </c>
      <c r="AN25" s="102">
        <f t="shared" si="18"/>
        <v>24.208254468678941</v>
      </c>
      <c r="AO25" s="102">
        <f t="shared" si="18"/>
        <v>21.471857188817498</v>
      </c>
      <c r="AY25" s="74">
        <f>O25/K25</f>
        <v>0.27729587016967866</v>
      </c>
      <c r="AZ25" s="71">
        <v>0.14399999999999999</v>
      </c>
      <c r="BA25" s="71">
        <v>0.21275759</v>
      </c>
      <c r="BB25" s="74">
        <f t="shared" si="12"/>
        <v>0.11574503947954251</v>
      </c>
      <c r="BC25" s="74">
        <f t="shared" si="12"/>
        <v>0.10045454906930718</v>
      </c>
      <c r="BD25" s="102">
        <f t="shared" ref="BD25:BD33" si="19">BG25/O25</f>
        <v>3.939592908732764E-3</v>
      </c>
      <c r="BE25" s="195">
        <v>0.83330899999999997</v>
      </c>
      <c r="BF25" s="82"/>
      <c r="BG25" s="66">
        <v>7.8</v>
      </c>
      <c r="BH25" t="s">
        <v>436</v>
      </c>
    </row>
    <row r="26" spans="1:60" ht="15.75" customHeight="1" x14ac:dyDescent="0.45">
      <c r="A26" s="188"/>
      <c r="B26" s="17">
        <v>4</v>
      </c>
      <c r="C26" t="s">
        <v>29</v>
      </c>
      <c r="D26" s="195">
        <v>163</v>
      </c>
      <c r="E26" s="195">
        <v>196.88000500000001</v>
      </c>
      <c r="F26" s="74">
        <f>D26/E26</f>
        <v>0.8279154604856902</v>
      </c>
      <c r="G26" s="3">
        <v>225298.627473</v>
      </c>
      <c r="H26" s="3">
        <v>261223.953125</v>
      </c>
      <c r="I26" s="196">
        <v>19.967880000000001</v>
      </c>
      <c r="J26" s="196">
        <v>18.460207</v>
      </c>
      <c r="K26" s="3">
        <v>91471</v>
      </c>
      <c r="L26" s="3">
        <v>94732.460938000004</v>
      </c>
      <c r="M26" s="3">
        <v>99184.09375</v>
      </c>
      <c r="O26" s="3">
        <v>16823</v>
      </c>
      <c r="P26" s="3">
        <v>18074.462890999999</v>
      </c>
      <c r="Q26" s="3">
        <v>19387.865234000001</v>
      </c>
      <c r="S26" s="3">
        <v>13875</v>
      </c>
      <c r="T26" s="3">
        <v>14753.907227</v>
      </c>
      <c r="U26" s="3">
        <v>15839.621094</v>
      </c>
      <c r="AE26" s="102">
        <f t="shared" si="16"/>
        <v>2.8558117121820032</v>
      </c>
      <c r="AF26" s="102">
        <f t="shared" si="16"/>
        <v>2.7574914716505092</v>
      </c>
      <c r="AG26" s="102">
        <f t="shared" si="16"/>
        <v>2.6337282849348007</v>
      </c>
      <c r="AI26" s="102">
        <f t="shared" si="17"/>
        <v>15.52778654966415</v>
      </c>
      <c r="AJ26" s="102">
        <f t="shared" si="17"/>
        <v>14.452653708181497</v>
      </c>
      <c r="AK26" s="102">
        <f t="shared" si="17"/>
        <v>13.473579993061756</v>
      </c>
      <c r="AM26" s="102">
        <f t="shared" si="18"/>
        <v>18.826951576576576</v>
      </c>
      <c r="AN26" s="102">
        <f t="shared" si="18"/>
        <v>17.705408411878448</v>
      </c>
      <c r="AO26" s="102">
        <f t="shared" si="18"/>
        <v>16.491805679868872</v>
      </c>
      <c r="AY26" s="74">
        <f>O26/K26</f>
        <v>0.18391621388199539</v>
      </c>
      <c r="AZ26" s="71">
        <v>7.8E-2</v>
      </c>
      <c r="BA26" s="71">
        <v>0.16026564000000001</v>
      </c>
      <c r="BB26" s="74">
        <f t="shared" si="12"/>
        <v>3.5655682544194267E-2</v>
      </c>
      <c r="BC26" s="74">
        <f t="shared" si="12"/>
        <v>4.6991630618711255E-2</v>
      </c>
      <c r="BD26" s="102">
        <f t="shared" si="19"/>
        <v>2.6217083754383879</v>
      </c>
      <c r="BE26" s="195">
        <v>0.66320599999999996</v>
      </c>
      <c r="BF26" s="82" t="s">
        <v>325</v>
      </c>
      <c r="BG26" s="66">
        <v>44105</v>
      </c>
      <c r="BH26" t="s">
        <v>437</v>
      </c>
    </row>
    <row r="27" spans="1:60" ht="15.75" customHeight="1" x14ac:dyDescent="0.45">
      <c r="A27" s="97"/>
      <c r="B27" s="17">
        <v>5</v>
      </c>
      <c r="C27" t="s">
        <v>438</v>
      </c>
      <c r="D27" s="195">
        <v>32.198684999999998</v>
      </c>
      <c r="E27" s="195">
        <v>39.983741999999999</v>
      </c>
      <c r="F27" s="74">
        <f t="shared" si="0"/>
        <v>0.80529443692388769</v>
      </c>
      <c r="G27" s="3">
        <v>9949.3935679999995</v>
      </c>
      <c r="H27" s="3">
        <v>10146.370117</v>
      </c>
      <c r="I27" s="196">
        <v>16.743572</v>
      </c>
      <c r="J27" s="196">
        <v>15.374098</v>
      </c>
      <c r="K27" s="3">
        <v>11240.419469</v>
      </c>
      <c r="L27" s="3">
        <v>11139.314453000001</v>
      </c>
      <c r="M27" s="3">
        <v>11477.942383</v>
      </c>
      <c r="O27" s="3">
        <v>1545.8496700000001</v>
      </c>
      <c r="P27" s="3">
        <v>1548.230591</v>
      </c>
      <c r="Q27" s="3">
        <v>1649.336548</v>
      </c>
      <c r="S27" s="3">
        <v>1040.52098</v>
      </c>
      <c r="T27" s="3">
        <v>1039.752563</v>
      </c>
      <c r="U27" s="3">
        <v>1129.928345</v>
      </c>
      <c r="AE27" s="102">
        <f t="shared" ref="AE27:AG27" si="20">IFERROR($H27/K27,"N/A ")</f>
        <v>0.90266828075079553</v>
      </c>
      <c r="AF27" s="102">
        <f t="shared" si="20"/>
        <v>0.91086127066530709</v>
      </c>
      <c r="AG27" s="102">
        <f t="shared" si="20"/>
        <v>0.88398859119800133</v>
      </c>
      <c r="AI27" s="102">
        <f t="shared" ref="AI27:AK27" si="21">IFERROR($H27/O27,"N/A ")</f>
        <v>6.5636201979458972</v>
      </c>
      <c r="AJ27" s="102">
        <f t="shared" si="21"/>
        <v>6.5535264423670077</v>
      </c>
      <c r="AK27" s="102">
        <f t="shared" si="21"/>
        <v>6.1517888082353949</v>
      </c>
      <c r="AM27" s="102">
        <f t="shared" ref="AM27:AO27" si="22">IFERROR($H27/S27,"N/A ")</f>
        <v>9.7512403036794133</v>
      </c>
      <c r="AN27" s="102">
        <f t="shared" si="22"/>
        <v>9.7584468440497609</v>
      </c>
      <c r="AO27" s="102">
        <f t="shared" si="22"/>
        <v>8.9796580127388523</v>
      </c>
      <c r="AY27" s="74">
        <f>O27/K27</f>
        <v>0.1375259770565774</v>
      </c>
      <c r="AZ27" s="66"/>
      <c r="BA27" s="71">
        <v>7.6223520000000003E-2</v>
      </c>
      <c r="BB27" s="74">
        <f t="shared" si="12"/>
        <v>-8.9947725063853623E-3</v>
      </c>
      <c r="BC27" s="74">
        <f t="shared" si="12"/>
        <v>3.039935100393909E-2</v>
      </c>
      <c r="BD27" s="102">
        <f t="shared" si="19"/>
        <v>0.33462458028017694</v>
      </c>
      <c r="BE27" s="195">
        <v>0.57376199999999999</v>
      </c>
      <c r="BF27" s="82"/>
      <c r="BG27" s="66">
        <v>517.27929700000004</v>
      </c>
      <c r="BH27" t="s">
        <v>439</v>
      </c>
    </row>
    <row r="28" spans="1:60" ht="15.75" customHeight="1" x14ac:dyDescent="0.45">
      <c r="A28" s="97"/>
      <c r="B28" s="17">
        <v>6</v>
      </c>
      <c r="C28" t="s">
        <v>32</v>
      </c>
      <c r="D28" s="195">
        <v>64.059746000000004</v>
      </c>
      <c r="E28" s="195">
        <v>68.970984999999999</v>
      </c>
      <c r="F28" s="74">
        <f t="shared" si="0"/>
        <v>0.92879267999434845</v>
      </c>
      <c r="G28" s="3">
        <v>41263.382587</v>
      </c>
      <c r="H28" s="3">
        <v>55726.640625</v>
      </c>
      <c r="I28" s="217">
        <v>16.610657</v>
      </c>
      <c r="J28" s="217">
        <v>15.367435</v>
      </c>
      <c r="K28" s="3">
        <v>27619</v>
      </c>
      <c r="L28" s="3">
        <v>30029.949218999998</v>
      </c>
      <c r="M28" s="3">
        <v>31148.775390999999</v>
      </c>
      <c r="O28" s="3">
        <v>5092</v>
      </c>
      <c r="P28" s="3">
        <v>5167.6069340000004</v>
      </c>
      <c r="Q28" s="3">
        <v>5461.3969729999999</v>
      </c>
      <c r="S28" s="3">
        <v>3481</v>
      </c>
      <c r="T28" s="3">
        <v>3880.2907709999999</v>
      </c>
      <c r="U28" s="3">
        <v>4161.3125</v>
      </c>
      <c r="AE28" s="102">
        <f t="shared" ref="AE28:AG31" si="23">IFERROR($H28/K28,"N/A ")</f>
        <v>2.0176921910641226</v>
      </c>
      <c r="AF28" s="102">
        <f t="shared" si="23"/>
        <v>1.8557021265204692</v>
      </c>
      <c r="AG28" s="102">
        <f t="shared" si="23"/>
        <v>1.7890475604733223</v>
      </c>
      <c r="AI28" s="102">
        <f t="shared" ref="AI28:AK31" si="24">IFERROR($H28/O28,"N/A ")</f>
        <v>10.943959274351924</v>
      </c>
      <c r="AJ28" s="102">
        <f t="shared" si="24"/>
        <v>10.78383889036712</v>
      </c>
      <c r="AK28" s="102">
        <f t="shared" si="24"/>
        <v>10.203733751730704</v>
      </c>
      <c r="AM28" s="102">
        <f t="shared" ref="AM28:AO31" si="25">IFERROR($H28/S28,"N/A ")</f>
        <v>16.008802247917266</v>
      </c>
      <c r="AN28" s="102">
        <f t="shared" si="25"/>
        <v>14.361459981680326</v>
      </c>
      <c r="AO28" s="102">
        <f t="shared" si="25"/>
        <v>13.391601958516693</v>
      </c>
      <c r="AY28" s="74">
        <f t="shared" si="11"/>
        <v>0.18436583511350882</v>
      </c>
      <c r="AZ28" s="187">
        <v>2.8000000000000001E-2</v>
      </c>
      <c r="BA28" s="71">
        <v>4.4591450000000005E-2</v>
      </c>
      <c r="BB28" s="74">
        <f t="shared" si="12"/>
        <v>8.7293139469206027E-2</v>
      </c>
      <c r="BC28" s="74">
        <f t="shared" si="12"/>
        <v>3.7257011786490768E-2</v>
      </c>
      <c r="BD28" s="102">
        <f t="shared" si="19"/>
        <v>3.0638256087981146</v>
      </c>
      <c r="BE28" s="195">
        <v>0.49706299999999998</v>
      </c>
      <c r="BF28" s="82" t="s">
        <v>397</v>
      </c>
      <c r="BG28" s="66">
        <v>15601</v>
      </c>
      <c r="BH28" t="s">
        <v>440</v>
      </c>
    </row>
    <row r="29" spans="1:60" ht="15.75" customHeight="1" x14ac:dyDescent="0.45">
      <c r="A29" s="97"/>
      <c r="B29" s="17">
        <v>7</v>
      </c>
      <c r="C29" t="s">
        <v>441</v>
      </c>
      <c r="D29" s="195">
        <v>51.139999000000003</v>
      </c>
      <c r="E29" s="195">
        <v>55.119999</v>
      </c>
      <c r="F29" s="74">
        <f t="shared" si="0"/>
        <v>0.92779390289901864</v>
      </c>
      <c r="G29" s="3">
        <v>4791.1586399999997</v>
      </c>
      <c r="H29" s="3">
        <v>4568.5888670000004</v>
      </c>
      <c r="I29" s="217">
        <v>27.571838</v>
      </c>
      <c r="J29" s="217">
        <v>25.604756999999999</v>
      </c>
      <c r="K29" s="3">
        <v>1179.4960000000001</v>
      </c>
      <c r="L29" s="3">
        <v>1192.033203</v>
      </c>
      <c r="M29" s="3">
        <v>1214.404419</v>
      </c>
      <c r="O29" s="3">
        <v>255.09899999999999</v>
      </c>
      <c r="P29" s="3">
        <v>241.86547899999999</v>
      </c>
      <c r="Q29" s="3">
        <v>256.79907200000002</v>
      </c>
      <c r="S29" s="3">
        <v>221.98400000000001</v>
      </c>
      <c r="T29" s="3">
        <v>221.72254899999999</v>
      </c>
      <c r="U29" s="3">
        <v>235.46386699999999</v>
      </c>
      <c r="AE29" s="102">
        <f t="shared" si="23"/>
        <v>3.8733398561758583</v>
      </c>
      <c r="AF29" s="102">
        <f t="shared" si="23"/>
        <v>3.8326020244253218</v>
      </c>
      <c r="AG29" s="102">
        <f t="shared" si="23"/>
        <v>3.7619995411100366</v>
      </c>
      <c r="AI29" s="102">
        <f t="shared" si="24"/>
        <v>17.909081834895474</v>
      </c>
      <c r="AJ29" s="102">
        <f t="shared" si="24"/>
        <v>18.88896623812942</v>
      </c>
      <c r="AK29" s="102">
        <f t="shared" si="24"/>
        <v>17.790519379291215</v>
      </c>
      <c r="AM29" s="102">
        <f t="shared" si="25"/>
        <v>20.580712425219836</v>
      </c>
      <c r="AN29" s="102">
        <f t="shared" si="25"/>
        <v>20.604980808695288</v>
      </c>
      <c r="AO29" s="102">
        <f t="shared" si="25"/>
        <v>19.40250504337466</v>
      </c>
      <c r="AY29" s="74">
        <f t="shared" si="11"/>
        <v>0.21627796957344489</v>
      </c>
      <c r="AZ29" s="66"/>
      <c r="BA29" s="71">
        <v>0.39888126999999995</v>
      </c>
      <c r="BB29" s="74">
        <f t="shared" si="12"/>
        <v>1.0629288272278936E-2</v>
      </c>
      <c r="BC29" s="74">
        <f t="shared" si="12"/>
        <v>1.8767275897767055E-2</v>
      </c>
      <c r="BD29" s="102">
        <f t="shared" si="19"/>
        <v>0</v>
      </c>
      <c r="BE29" s="195">
        <v>0.58862199999999998</v>
      </c>
      <c r="BF29" s="82"/>
      <c r="BG29" s="66">
        <v>0</v>
      </c>
      <c r="BH29" t="s">
        <v>442</v>
      </c>
    </row>
    <row r="30" spans="1:60" ht="15.75" customHeight="1" x14ac:dyDescent="0.45">
      <c r="A30" s="188"/>
      <c r="B30" s="17">
        <v>8</v>
      </c>
      <c r="C30" t="s">
        <v>443</v>
      </c>
      <c r="D30" s="195">
        <v>14.92498</v>
      </c>
      <c r="E30" s="195">
        <v>18.540839999999999</v>
      </c>
      <c r="F30" s="74">
        <f t="shared" si="0"/>
        <v>0.8049786309573892</v>
      </c>
      <c r="G30" s="3">
        <v>1757.289313</v>
      </c>
      <c r="H30" s="3">
        <v>1665.655029</v>
      </c>
      <c r="I30" s="196">
        <v>84.284903999999997</v>
      </c>
      <c r="J30" s="196">
        <v>37.138088000000003</v>
      </c>
      <c r="K30" s="3">
        <v>431.80003399999998</v>
      </c>
      <c r="L30" s="3">
        <v>464.44598400000001</v>
      </c>
      <c r="M30" s="3">
        <v>497.50534099999999</v>
      </c>
      <c r="O30" s="3">
        <v>25.619330000000001</v>
      </c>
      <c r="P30" s="3">
        <v>38.204101999999999</v>
      </c>
      <c r="Q30" s="3">
        <v>74.948966999999996</v>
      </c>
      <c r="S30" s="3">
        <v>16.59844</v>
      </c>
      <c r="T30" s="3">
        <v>25.322018</v>
      </c>
      <c r="U30" s="3">
        <v>60.176150999999997</v>
      </c>
      <c r="AE30" s="102">
        <f t="shared" si="23"/>
        <v>3.857468498948752</v>
      </c>
      <c r="AF30" s="102">
        <f t="shared" si="23"/>
        <v>3.5863266911142029</v>
      </c>
      <c r="AG30" s="102">
        <f t="shared" si="23"/>
        <v>3.3480143663422499</v>
      </c>
      <c r="AI30" s="102">
        <f t="shared" si="24"/>
        <v>65.01555774487467</v>
      </c>
      <c r="AJ30" s="102">
        <f t="shared" si="24"/>
        <v>43.5988530498636</v>
      </c>
      <c r="AK30" s="102">
        <f t="shared" si="24"/>
        <v>22.223855720386382</v>
      </c>
      <c r="AM30" s="102">
        <f t="shared" si="25"/>
        <v>100.35009488843529</v>
      </c>
      <c r="AN30" s="102">
        <f t="shared" si="25"/>
        <v>65.778921292923812</v>
      </c>
      <c r="AO30" s="102">
        <f t="shared" si="25"/>
        <v>27.679653838278892</v>
      </c>
      <c r="AY30" s="74">
        <f t="shared" si="11"/>
        <v>5.9331468232353135E-2</v>
      </c>
      <c r="AZ30" s="71">
        <v>0.14799999999999999</v>
      </c>
      <c r="BA30" s="71">
        <v>4.969722E-2</v>
      </c>
      <c r="BB30" s="74">
        <f t="shared" si="12"/>
        <v>7.5604324755565111E-2</v>
      </c>
      <c r="BC30" s="74">
        <f t="shared" si="12"/>
        <v>7.1180197781621768E-2</v>
      </c>
      <c r="BD30" s="102">
        <f t="shared" si="19"/>
        <v>0</v>
      </c>
      <c r="BE30" s="195">
        <v>1.1002639999999999</v>
      </c>
      <c r="BF30" s="82"/>
      <c r="BG30" s="66">
        <v>0</v>
      </c>
      <c r="BH30" t="s">
        <v>444</v>
      </c>
    </row>
    <row r="31" spans="1:60" ht="15.75" customHeight="1" x14ac:dyDescent="0.45">
      <c r="A31" s="97"/>
      <c r="B31" s="17">
        <v>9</v>
      </c>
      <c r="C31" t="s">
        <v>445</v>
      </c>
      <c r="D31" s="195">
        <v>34.949962999999997</v>
      </c>
      <c r="E31" s="195">
        <v>41.701027000000003</v>
      </c>
      <c r="F31" s="74">
        <f t="shared" si="0"/>
        <v>0.83810796794045372</v>
      </c>
      <c r="G31" s="3">
        <v>17710.606392000002</v>
      </c>
      <c r="H31" s="3">
        <v>27257.615234000001</v>
      </c>
      <c r="I31" s="217">
        <v>13.710876000000001</v>
      </c>
      <c r="J31" s="217">
        <v>12.674232</v>
      </c>
      <c r="K31" s="3">
        <v>19310.743134</v>
      </c>
      <c r="L31" s="3">
        <v>19097.347656000002</v>
      </c>
      <c r="M31" s="3">
        <v>19600.4375</v>
      </c>
      <c r="O31" s="3">
        <v>2967.9427500000002</v>
      </c>
      <c r="P31" s="3">
        <v>2800.6140140000002</v>
      </c>
      <c r="Q31" s="3">
        <v>2966.1665039999998</v>
      </c>
      <c r="S31" s="3">
        <v>1917.9828199999999</v>
      </c>
      <c r="T31" s="3">
        <v>1864.0463870000001</v>
      </c>
      <c r="U31" s="3">
        <v>2008.5241699999999</v>
      </c>
      <c r="AE31" s="102">
        <f t="shared" si="23"/>
        <v>1.4115259596617034</v>
      </c>
      <c r="AF31" s="102">
        <f t="shared" si="23"/>
        <v>1.4272984775158664</v>
      </c>
      <c r="AG31" s="102">
        <f t="shared" si="23"/>
        <v>1.3906636131974095</v>
      </c>
      <c r="AI31" s="102">
        <f t="shared" si="24"/>
        <v>9.1840097771427693</v>
      </c>
      <c r="AJ31" s="102">
        <f t="shared" si="24"/>
        <v>9.7327282866335043</v>
      </c>
      <c r="AK31" s="102">
        <f t="shared" si="24"/>
        <v>9.1895094888442586</v>
      </c>
      <c r="AM31" s="102">
        <f t="shared" si="25"/>
        <v>14.211605521054668</v>
      </c>
      <c r="AN31" s="102">
        <f t="shared" si="25"/>
        <v>14.622820238861362</v>
      </c>
      <c r="AO31" s="102">
        <f t="shared" si="25"/>
        <v>13.570967002104835</v>
      </c>
      <c r="AY31" s="74">
        <f t="shared" si="11"/>
        <v>0.15369386508872404</v>
      </c>
      <c r="AZ31" s="187">
        <v>8.7999999999999995E-2</v>
      </c>
      <c r="BA31" s="71">
        <v>4.9461740000000004E-2</v>
      </c>
      <c r="BB31" s="74">
        <f t="shared" si="12"/>
        <v>-1.1050609317270532E-2</v>
      </c>
      <c r="BC31" s="74">
        <f t="shared" si="12"/>
        <v>2.6343440621291681E-2</v>
      </c>
      <c r="BD31" s="102">
        <f t="shared" si="19"/>
        <v>3.4171413458025763</v>
      </c>
      <c r="BE31" s="195">
        <v>0.92024099999999998</v>
      </c>
      <c r="BF31" s="82"/>
      <c r="BG31" s="66">
        <v>10141.879883</v>
      </c>
      <c r="BH31" t="s">
        <v>446</v>
      </c>
    </row>
    <row r="32" spans="1:60" ht="15.75" customHeight="1" x14ac:dyDescent="0.45">
      <c r="A32" s="85"/>
      <c r="B32" s="66">
        <v>10</v>
      </c>
      <c r="C32" t="s">
        <v>447</v>
      </c>
      <c r="D32" s="195">
        <v>0.90380300000000002</v>
      </c>
      <c r="E32" s="195">
        <v>0.99238700000000002</v>
      </c>
      <c r="F32" s="74">
        <f t="shared" si="0"/>
        <v>0.910736436491006</v>
      </c>
      <c r="G32" s="3">
        <v>5340.7712099999999</v>
      </c>
      <c r="H32" s="3">
        <v>6708.6845700000003</v>
      </c>
      <c r="I32" s="217">
        <v>14.832993999999999</v>
      </c>
      <c r="J32" s="217">
        <v>12.112270000000001</v>
      </c>
      <c r="K32" s="3">
        <v>6684.696884</v>
      </c>
      <c r="L32" s="3">
        <v>7053.1586909999996</v>
      </c>
      <c r="M32" s="3">
        <v>7776.919922</v>
      </c>
      <c r="O32" s="3">
        <v>1104.29979</v>
      </c>
      <c r="P32" s="3">
        <v>1094.0584719999999</v>
      </c>
      <c r="Q32" s="3">
        <v>1254.0354</v>
      </c>
      <c r="S32" s="3">
        <v>819.12199999999996</v>
      </c>
      <c r="T32" s="3">
        <v>860.69268799999998</v>
      </c>
      <c r="U32" s="3">
        <v>1006.274353</v>
      </c>
      <c r="AE32" s="102">
        <f t="shared" ref="AE32" si="26">IFERROR($H32/K32,"N/A ")</f>
        <v>1.0035884478258716</v>
      </c>
      <c r="AF32" s="102">
        <f t="shared" ref="AF32" si="27">IFERROR($H32/L32,"N/A ")</f>
        <v>0.95116030475259883</v>
      </c>
      <c r="AG32" s="102">
        <f t="shared" ref="AG32" si="28">IFERROR($H32/M32,"N/A ")</f>
        <v>0.86264030455320928</v>
      </c>
      <c r="AI32" s="102">
        <f t="shared" ref="AI32" si="29">IFERROR($H32/O32,"N/A ")</f>
        <v>6.075057362819928</v>
      </c>
      <c r="AJ32" s="102">
        <f t="shared" ref="AJ32" si="30">IFERROR($H32/P32,"N/A ")</f>
        <v>6.1319250677124693</v>
      </c>
      <c r="AK32" s="102">
        <f t="shared" ref="AK32" si="31">IFERROR($H32/Q32,"N/A ")</f>
        <v>5.3496771861464198</v>
      </c>
      <c r="AM32" s="102">
        <f t="shared" ref="AM32" si="32">IFERROR($H32/S32,"N/A ")</f>
        <v>8.1900920375719384</v>
      </c>
      <c r="AN32" s="102">
        <f t="shared" ref="AN32" si="33">IFERROR($H32/T32,"N/A ")</f>
        <v>7.7945179081154228</v>
      </c>
      <c r="AO32" s="102">
        <f t="shared" ref="AO32" si="34">IFERROR($H32/U32,"N/A ")</f>
        <v>6.6668543722687925</v>
      </c>
      <c r="AY32" s="74">
        <f t="shared" ref="AY32:AY33" si="35">O32/K32</f>
        <v>0.16519818462422298</v>
      </c>
      <c r="AZ32" s="66"/>
      <c r="BA32" s="71">
        <v>0.11376746</v>
      </c>
      <c r="BB32" s="74">
        <f t="shared" si="12"/>
        <v>5.5120196681157418E-2</v>
      </c>
      <c r="BC32" s="74">
        <f t="shared" si="12"/>
        <v>0.10261519167625388</v>
      </c>
      <c r="BD32" s="102">
        <f t="shared" si="19"/>
        <v>1.4948253788946204</v>
      </c>
      <c r="BE32" s="195">
        <v>0.60939200000000004</v>
      </c>
      <c r="BF32" s="82"/>
      <c r="BG32" s="66">
        <v>1650.7353519999999</v>
      </c>
      <c r="BH32" t="s">
        <v>448</v>
      </c>
    </row>
    <row r="33" spans="1:60" ht="15.75" customHeight="1" x14ac:dyDescent="0.45">
      <c r="A33" s="91"/>
      <c r="B33" s="66">
        <v>11</v>
      </c>
      <c r="C33" t="s">
        <v>449</v>
      </c>
      <c r="D33" s="195">
        <v>78.89</v>
      </c>
      <c r="E33" s="195">
        <v>99.62</v>
      </c>
      <c r="F33" s="74">
        <f t="shared" si="0"/>
        <v>0.79190925516964461</v>
      </c>
      <c r="G33" s="3">
        <v>19418.599999999999</v>
      </c>
      <c r="H33" s="3">
        <v>18435.7</v>
      </c>
      <c r="I33" s="196">
        <v>71.595932000000005</v>
      </c>
      <c r="J33" s="196">
        <v>51.117069000000001</v>
      </c>
      <c r="K33" s="3">
        <v>1318.0139999999999</v>
      </c>
      <c r="L33" s="3">
        <v>1879.6435550000001</v>
      </c>
      <c r="M33" s="3">
        <v>2494.1901859999998</v>
      </c>
      <c r="O33" s="3">
        <v>269.79000000000002</v>
      </c>
      <c r="P33" s="3">
        <v>398.62335200000001</v>
      </c>
      <c r="Q33" s="3">
        <v>540.36895800000002</v>
      </c>
      <c r="S33" s="3">
        <v>266.36599999999999</v>
      </c>
      <c r="T33" s="3">
        <v>377.48785400000003</v>
      </c>
      <c r="U33" s="3">
        <v>523.13378899999998</v>
      </c>
      <c r="AE33" s="102">
        <f t="shared" ref="AE33" si="36">IFERROR($H33/K33,"N/A ")</f>
        <v>13.987484199712599</v>
      </c>
      <c r="AF33" s="102">
        <f t="shared" ref="AF33" si="37">IFERROR($H33/L33,"N/A ")</f>
        <v>9.8080830011411386</v>
      </c>
      <c r="AG33" s="102">
        <f t="shared" ref="AG33" si="38">IFERROR($H33/M33,"N/A ")</f>
        <v>7.3914571966004852</v>
      </c>
      <c r="AI33" s="102">
        <f t="shared" ref="AI33" si="39">IFERROR($H33/O33,"N/A ")</f>
        <v>68.33351866266355</v>
      </c>
      <c r="AJ33" s="102">
        <f t="shared" ref="AJ33" si="40">IFERROR($H33/P33,"N/A ")</f>
        <v>46.248419485469583</v>
      </c>
      <c r="AK33" s="102">
        <f t="shared" ref="AK33" si="41">IFERROR($H33/Q33,"N/A ")</f>
        <v>34.116874641048497</v>
      </c>
      <c r="AM33" s="102">
        <f t="shared" ref="AM33" si="42">IFERROR($H33/S33,"N/A ")</f>
        <v>69.211911430137491</v>
      </c>
      <c r="AN33" s="102">
        <f t="shared" ref="AN33" si="43">IFERROR($H33/T33,"N/A ")</f>
        <v>48.837862740876425</v>
      </c>
      <c r="AO33" s="102">
        <f t="shared" ref="AO33" si="44">IFERROR($H33/U33,"N/A ")</f>
        <v>35.240889400856503</v>
      </c>
      <c r="AY33" s="74">
        <f t="shared" si="35"/>
        <v>0.20469433556851449</v>
      </c>
      <c r="AZ33" s="66"/>
      <c r="BA33" s="71">
        <v>0.23205199000000001</v>
      </c>
      <c r="BB33" s="74">
        <f t="shared" si="12"/>
        <v>0.42611804958065713</v>
      </c>
      <c r="BC33" s="74">
        <f t="shared" si="12"/>
        <v>0.3269484947639445</v>
      </c>
      <c r="BD33" s="102">
        <f t="shared" si="19"/>
        <v>0</v>
      </c>
      <c r="BE33" s="195">
        <v>1.57426</v>
      </c>
      <c r="BF33" s="82"/>
      <c r="BG33" s="66">
        <v>0</v>
      </c>
      <c r="BH33" t="s">
        <v>450</v>
      </c>
    </row>
    <row r="34" spans="1:60" ht="15.75" customHeight="1" x14ac:dyDescent="0.45">
      <c r="A34" s="85"/>
      <c r="F34" s="74"/>
    </row>
    <row r="35" spans="1:60" ht="15.75" customHeight="1" x14ac:dyDescent="0.45">
      <c r="A35" s="97"/>
      <c r="C35" t="s">
        <v>9</v>
      </c>
      <c r="K35">
        <f>'Red Bull Model'!F54</f>
        <v>10553.988219999999</v>
      </c>
      <c r="L35">
        <f>'Red Bull Model'!G54</f>
        <v>11532.12648535</v>
      </c>
      <c r="M35">
        <f>'Red Bull Model'!H54</f>
        <v>12559.471891674488</v>
      </c>
      <c r="O35">
        <f>'Red Bull Model'!F60</f>
        <v>3134.0491827199985</v>
      </c>
      <c r="P35">
        <f>'Red Bull Model'!G60</f>
        <v>3401.9773131782504</v>
      </c>
      <c r="Q35">
        <f>'Red Bull Model'!H60</f>
        <v>3767.8415675023462</v>
      </c>
      <c r="S35">
        <f>'Red Bull Model'!F63</f>
        <v>2734.0491827199985</v>
      </c>
      <c r="T35">
        <f>'Red Bull Model'!G63</f>
        <v>2959.7733131782502</v>
      </c>
      <c r="U35">
        <f>'Red Bull Model'!H63</f>
        <v>3267.5008653317</v>
      </c>
      <c r="AY35" s="74">
        <f>+'Red Bull Model'!F60/'Red Bull Model'!F54</f>
        <v>0.29695401561856194</v>
      </c>
      <c r="AZ35" s="74"/>
      <c r="BB35" s="74">
        <f>'Red Bull Model'!G12</f>
        <v>9.2679491862271535E-2</v>
      </c>
      <c r="BC35" s="74">
        <f>'Red Bull Model'!H12</f>
        <v>8.908551320778435E-2</v>
      </c>
    </row>
    <row r="36" spans="1:60" ht="15.75" customHeight="1" x14ac:dyDescent="0.45">
      <c r="A36" s="85"/>
    </row>
    <row r="37" spans="1:60" ht="15.75" customHeight="1" thickBot="1" x14ac:dyDescent="0.5">
      <c r="A37" s="156"/>
      <c r="B37" s="156"/>
      <c r="C37" s="156"/>
      <c r="D37" s="80"/>
      <c r="E37" s="80"/>
      <c r="F37" s="80"/>
      <c r="G37" s="80"/>
      <c r="H37" s="80"/>
      <c r="I37" s="240" t="s">
        <v>413</v>
      </c>
      <c r="J37" s="241"/>
      <c r="K37" s="80"/>
      <c r="L37" s="80"/>
      <c r="M37" s="80"/>
      <c r="N37" s="80"/>
      <c r="O37" s="80"/>
      <c r="P37" s="80"/>
      <c r="Q37" s="80"/>
      <c r="R37" s="80"/>
      <c r="S37" s="80"/>
      <c r="T37" s="80"/>
      <c r="U37" s="80"/>
      <c r="V37" s="80"/>
      <c r="W37" s="80"/>
      <c r="X37" s="80"/>
      <c r="Y37" s="80"/>
      <c r="Z37" s="80"/>
      <c r="AA37" s="80"/>
      <c r="AB37" s="80"/>
      <c r="AC37" s="80"/>
      <c r="AD37" s="80"/>
      <c r="AE37" s="157"/>
      <c r="AF37" s="157" t="s">
        <v>330</v>
      </c>
      <c r="AG37" s="157"/>
      <c r="AH37" s="95"/>
      <c r="AI37" s="157"/>
      <c r="AJ37" s="157" t="s">
        <v>288</v>
      </c>
      <c r="AK37" s="157"/>
      <c r="AL37" s="80"/>
      <c r="AM37" s="157"/>
      <c r="AN37" s="157" t="s">
        <v>332</v>
      </c>
      <c r="AO37" s="157"/>
      <c r="AP37" s="80"/>
      <c r="AQ37" s="157"/>
      <c r="AR37" s="157" t="s">
        <v>387</v>
      </c>
      <c r="AS37" s="157"/>
      <c r="AT37" s="80"/>
      <c r="AU37" s="157"/>
      <c r="AV37" s="157" t="s">
        <v>388</v>
      </c>
      <c r="AW37" s="157"/>
      <c r="AY37" s="80" t="s">
        <v>451</v>
      </c>
      <c r="AZ37" s="80" t="s">
        <v>416</v>
      </c>
    </row>
    <row r="38" spans="1:60" ht="15.75" customHeight="1" x14ac:dyDescent="0.45">
      <c r="A38" s="156"/>
      <c r="B38" s="156"/>
      <c r="C38" s="80" t="s">
        <v>423</v>
      </c>
      <c r="D38" s="80"/>
      <c r="E38" s="80"/>
      <c r="F38" s="80"/>
      <c r="G38" s="80"/>
      <c r="H38" s="80"/>
      <c r="I38" s="80" t="str">
        <f>+AN21</f>
        <v>2024e</v>
      </c>
      <c r="J38" s="80" t="str">
        <f>+AO21</f>
        <v>2025e</v>
      </c>
      <c r="K38" s="80"/>
      <c r="L38" s="80"/>
      <c r="M38" s="80"/>
      <c r="N38" s="80"/>
      <c r="O38" s="80"/>
      <c r="P38" s="80"/>
      <c r="Q38" s="80"/>
      <c r="R38" s="80"/>
      <c r="S38" s="80"/>
      <c r="T38" s="80"/>
      <c r="U38" s="80"/>
      <c r="V38" s="80"/>
      <c r="W38" s="80"/>
      <c r="X38" s="80"/>
      <c r="Y38" s="80"/>
      <c r="Z38" s="80"/>
      <c r="AA38" s="80"/>
      <c r="AB38" s="80"/>
      <c r="AC38" s="80"/>
      <c r="AD38" s="80"/>
      <c r="AE38" s="80" t="str">
        <f>AE21</f>
        <v>LTM</v>
      </c>
      <c r="AF38" s="80" t="str">
        <f>AF21</f>
        <v>2024e</v>
      </c>
      <c r="AG38" s="80" t="str">
        <f>AG21</f>
        <v>2025e</v>
      </c>
      <c r="AH38" s="80"/>
      <c r="AI38" s="80" t="str">
        <f>AI21</f>
        <v>LTM</v>
      </c>
      <c r="AJ38" s="80" t="str">
        <f>AJ21</f>
        <v>2024e</v>
      </c>
      <c r="AK38" s="80" t="str">
        <f>AK21</f>
        <v>2025e</v>
      </c>
      <c r="AL38" s="80"/>
      <c r="AM38" s="80" t="str">
        <f>AM21</f>
        <v>LTM</v>
      </c>
      <c r="AN38" s="80" t="str">
        <f>AN21</f>
        <v>2024e</v>
      </c>
      <c r="AO38" s="80" t="str">
        <f>AO21</f>
        <v>2025e</v>
      </c>
      <c r="AP38" s="80"/>
      <c r="AQ38" s="80" t="str">
        <f>AQ21</f>
        <v>LTM</v>
      </c>
      <c r="AR38" s="80" t="str">
        <f>AR21</f>
        <v>2024e</v>
      </c>
      <c r="AS38" s="80" t="str">
        <f>AS21</f>
        <v>2025e</v>
      </c>
      <c r="AT38" s="80"/>
      <c r="AU38" s="80" t="str">
        <f>AU21</f>
        <v>LTM</v>
      </c>
      <c r="AV38" s="80" t="str">
        <f>AV21</f>
        <v>2024e</v>
      </c>
      <c r="AW38" s="80" t="str">
        <f>AW21</f>
        <v>2025e</v>
      </c>
      <c r="AY38" s="80" t="s">
        <v>198</v>
      </c>
      <c r="AZ38" s="80" t="s">
        <v>429</v>
      </c>
    </row>
    <row r="39" spans="1:60" ht="15.75" customHeight="1" x14ac:dyDescent="0.45">
      <c r="A39" s="85" t="s">
        <v>452</v>
      </c>
    </row>
    <row r="40" spans="1:60" ht="15.75" customHeight="1" x14ac:dyDescent="0.45">
      <c r="A40" s="85"/>
      <c r="B40">
        <f>B23</f>
        <v>1</v>
      </c>
      <c r="C40" t="str">
        <f ca="1">OFFSET(C$22,$B40,0)</f>
        <v>Coca-Cola Company</v>
      </c>
      <c r="I40" s="75">
        <f ca="1">OFFSET(I$22,$B40,0)</f>
        <v>20.605536332179931</v>
      </c>
      <c r="J40" s="75">
        <f ca="1">OFFSET(J$22,$B40,0)</f>
        <v>19.271844660194176</v>
      </c>
      <c r="AE40" s="75">
        <f ca="1">OFFSET(AE$22,$B40,0)</f>
        <v>5.8503874422156201</v>
      </c>
      <c r="AF40" s="75">
        <f t="shared" ref="AF40:AG40" ca="1" si="45">OFFSET(AF$22,$B40,0)</f>
        <v>5.6820988259312672</v>
      </c>
      <c r="AG40" s="102">
        <f t="shared" ca="1" si="45"/>
        <v>5.4127255921755637</v>
      </c>
      <c r="AI40" s="102">
        <f ca="1">OFFSET(AI$22,$B40,0)</f>
        <v>18.518676621570794</v>
      </c>
      <c r="AJ40" s="102">
        <f t="shared" ref="AJ40:AO41" ca="1" si="46">OFFSET(AJ$22,$B40,0)</f>
        <v>17.207640926018243</v>
      </c>
      <c r="AK40" s="102">
        <f t="shared" ca="1" si="46"/>
        <v>16.104746191341988</v>
      </c>
      <c r="AM40" s="75">
        <f t="shared" ca="1" si="46"/>
        <v>20.085043390401918</v>
      </c>
      <c r="AN40" s="75">
        <f t="shared" ca="1" si="46"/>
        <v>19.322907131323038</v>
      </c>
      <c r="AO40" s="75">
        <f t="shared" ca="1" si="46"/>
        <v>18.121516721087879</v>
      </c>
      <c r="AQ40" s="99">
        <f ca="1">AQ23</f>
        <v>18.115613932736689</v>
      </c>
      <c r="AR40" s="99">
        <f ca="1">AR23</f>
        <v>16.852595656357575</v>
      </c>
      <c r="AS40" s="99">
        <f ca="1">AS23</f>
        <v>15.779529405607812</v>
      </c>
      <c r="AU40" s="99">
        <f ca="1">AU23</f>
        <v>19.989019962977977</v>
      </c>
      <c r="AV40" s="99">
        <f ca="1">AV23</f>
        <v>19.232311703285117</v>
      </c>
      <c r="AW40" s="99">
        <f ca="1">AW23</f>
        <v>18.039273247214169</v>
      </c>
      <c r="AY40" s="74">
        <f t="shared" ref="AY40:AY41" ca="1" si="47">OFFSET(AY$22,$B40,0)</f>
        <v>0.31591822470732134</v>
      </c>
      <c r="AZ40" s="74">
        <f ca="1">OFFSET(AZ$22,$B40,0)</f>
        <v>5.8999999999999997E-2</v>
      </c>
    </row>
    <row r="41" spans="1:60" ht="15.75" customHeight="1" x14ac:dyDescent="0.45">
      <c r="A41" s="85"/>
      <c r="B41">
        <f>B25</f>
        <v>3</v>
      </c>
      <c r="C41" t="str">
        <f ca="1">OFFSET(C$22,$B41,0)</f>
        <v>Monster Beverage</v>
      </c>
      <c r="I41" s="75">
        <f t="shared" ref="I41:J41" ca="1" si="48">OFFSET(I$22,$B41,0)</f>
        <v>32.005070000000003</v>
      </c>
      <c r="J41" s="75">
        <f t="shared" ca="1" si="48"/>
        <v>28.208572</v>
      </c>
      <c r="AE41" s="75">
        <f ca="1">OFFSET(AE$22,$B41,0)</f>
        <v>8.0521032168365743</v>
      </c>
      <c r="AF41" s="75">
        <f t="shared" ref="AF41:AG41" ca="1" si="49">OFFSET(AF$22,$B41,0)</f>
        <v>7.2167949952012425</v>
      </c>
      <c r="AG41" s="102">
        <f t="shared" ca="1" si="49"/>
        <v>6.5580127787237892</v>
      </c>
      <c r="AI41" s="102">
        <f ca="1">OFFSET(AI$22,$B41,0)</f>
        <v>29.037948570634878</v>
      </c>
      <c r="AJ41" s="102">
        <f t="shared" ca="1" si="46"/>
        <v>23.324059237356426</v>
      </c>
      <c r="AK41" s="102">
        <f t="shared" ca="1" si="46"/>
        <v>20.737286880406767</v>
      </c>
      <c r="AM41" s="75">
        <f t="shared" ca="1" si="46"/>
        <v>30.084895015698589</v>
      </c>
      <c r="AN41" s="75">
        <f t="shared" ca="1" si="46"/>
        <v>24.208254468678941</v>
      </c>
      <c r="AO41" s="75">
        <f t="shared" ca="1" si="46"/>
        <v>21.471857188817498</v>
      </c>
      <c r="AQ41" s="99"/>
      <c r="AR41" s="99"/>
      <c r="AS41" s="99"/>
      <c r="AU41" s="99"/>
      <c r="AV41" s="99"/>
      <c r="AW41" s="99"/>
      <c r="AY41" s="74">
        <f t="shared" ca="1" si="47"/>
        <v>0.27729587016967866</v>
      </c>
      <c r="AZ41" s="74">
        <f ca="1">OFFSET(AZ$22,$B41,0)</f>
        <v>0.14399999999999999</v>
      </c>
    </row>
    <row r="42" spans="1:60" ht="15.75" customHeight="1" x14ac:dyDescent="0.45">
      <c r="A42" s="85"/>
    </row>
    <row r="43" spans="1:60" ht="15.75" customHeight="1" x14ac:dyDescent="0.45">
      <c r="A43" s="85"/>
      <c r="C43" t="s">
        <v>453</v>
      </c>
      <c r="I43" s="75"/>
      <c r="J43" s="75">
        <f ca="1">MEDIAN(J40:J41)</f>
        <v>23.74020833009709</v>
      </c>
      <c r="AI43" s="75"/>
      <c r="AJ43" s="75"/>
      <c r="AK43" s="75">
        <f ca="1">MEDIAN(AK40:AK41)</f>
        <v>18.421016535874379</v>
      </c>
      <c r="AM43" s="75"/>
      <c r="AN43" s="75"/>
      <c r="AO43" s="75">
        <f ca="1">MEDIAN(AO40:AO41)</f>
        <v>19.79668695495269</v>
      </c>
    </row>
    <row r="44" spans="1:60" ht="15.75" customHeight="1" x14ac:dyDescent="0.45">
      <c r="A44" s="85"/>
    </row>
    <row r="45" spans="1:60" ht="15.75" customHeight="1" x14ac:dyDescent="0.45">
      <c r="A45" s="85"/>
      <c r="C45" t="s">
        <v>454</v>
      </c>
      <c r="J45">
        <f>'Red Bull Model'!H71</f>
        <v>2439.8756446721163</v>
      </c>
    </row>
    <row r="46" spans="1:60" ht="15.75" customHeight="1" x14ac:dyDescent="0.45">
      <c r="A46" s="85"/>
      <c r="C46" t="s">
        <v>455</v>
      </c>
      <c r="J46">
        <f ca="1">J43*J45</f>
        <v>57923.156104045986</v>
      </c>
    </row>
    <row r="47" spans="1:60" ht="15.75" customHeight="1" x14ac:dyDescent="0.45">
      <c r="A47" s="85"/>
      <c r="C47" s="54"/>
      <c r="F47" s="54"/>
      <c r="K47" s="54"/>
      <c r="Q47" s="54"/>
      <c r="R47" s="54"/>
      <c r="S47" s="54"/>
      <c r="T47" s="54"/>
      <c r="U47" s="54"/>
      <c r="V47" s="54"/>
      <c r="Z47" s="54"/>
      <c r="AA47" s="54"/>
      <c r="AB47" s="54"/>
      <c r="AC47" s="54"/>
      <c r="AD47" s="54"/>
      <c r="AH47" s="54"/>
      <c r="AI47" s="54"/>
      <c r="AJ47" s="54"/>
      <c r="AK47" s="54"/>
      <c r="AL47" s="54"/>
      <c r="AP47" s="54"/>
      <c r="AQ47" s="54"/>
      <c r="AR47" s="54"/>
      <c r="AS47" s="54"/>
      <c r="AT47" s="54"/>
      <c r="AX47" s="54"/>
      <c r="AY47" s="54"/>
      <c r="AZ47" s="54"/>
      <c r="BB47" s="54"/>
      <c r="BC47" s="54"/>
      <c r="BE47" s="54"/>
      <c r="BF47" s="54"/>
      <c r="BG47" s="54"/>
      <c r="BH47" s="54"/>
    </row>
    <row r="48" spans="1:60" ht="15.75" customHeight="1" x14ac:dyDescent="0.45">
      <c r="A48" s="85"/>
      <c r="C48" t="s">
        <v>456</v>
      </c>
      <c r="F48" s="54"/>
      <c r="K48" s="54"/>
      <c r="Q48" s="54"/>
      <c r="R48" s="54"/>
      <c r="S48" s="54"/>
      <c r="T48" s="54"/>
      <c r="U48" s="54"/>
      <c r="V48" s="54"/>
      <c r="Z48" s="54"/>
      <c r="AA48" s="54"/>
      <c r="AB48" s="54"/>
      <c r="AC48" s="54"/>
      <c r="AD48" s="54"/>
      <c r="AH48" s="54"/>
      <c r="AI48" s="54"/>
      <c r="AK48">
        <f>'Red Bull Model'!H60</f>
        <v>3767.8415675023462</v>
      </c>
      <c r="AP48" s="54"/>
      <c r="AQ48" s="54"/>
      <c r="AR48" s="54"/>
      <c r="AS48" s="54"/>
      <c r="AT48" s="54"/>
      <c r="AX48" s="54"/>
      <c r="AY48" s="54"/>
      <c r="AZ48" s="54"/>
      <c r="BB48" s="54"/>
      <c r="BC48" s="54"/>
      <c r="BE48" s="54"/>
      <c r="BF48" s="54"/>
      <c r="BG48" s="54"/>
      <c r="BH48" s="54"/>
    </row>
    <row r="49" spans="1:60" ht="15.75" customHeight="1" x14ac:dyDescent="0.45">
      <c r="A49" s="85"/>
      <c r="C49" t="s">
        <v>457</v>
      </c>
      <c r="F49" s="54"/>
      <c r="K49" s="54"/>
      <c r="Q49" s="54"/>
      <c r="R49" s="54"/>
      <c r="S49" s="54"/>
      <c r="T49" s="54"/>
      <c r="U49" s="54"/>
      <c r="V49" s="54"/>
      <c r="Z49" s="54"/>
      <c r="AA49" s="54"/>
      <c r="AB49" s="54"/>
      <c r="AC49" s="54"/>
      <c r="AD49" s="54"/>
      <c r="AH49" s="54"/>
      <c r="AI49" s="54"/>
      <c r="AK49">
        <f ca="1">AK43*AK48</f>
        <v>69407.471819515558</v>
      </c>
      <c r="AP49" s="54"/>
      <c r="AQ49" s="54"/>
      <c r="AR49" s="54"/>
      <c r="AS49" s="54"/>
      <c r="AT49" s="54"/>
      <c r="AX49" s="54"/>
      <c r="AY49" s="54"/>
      <c r="AZ49" s="54"/>
      <c r="BB49" s="54"/>
      <c r="BC49" s="54"/>
      <c r="BE49" s="54"/>
      <c r="BF49" s="54"/>
      <c r="BG49" s="54"/>
      <c r="BH49" s="54"/>
    </row>
    <row r="50" spans="1:60" ht="15.75" customHeight="1" x14ac:dyDescent="0.45">
      <c r="A50" s="85"/>
      <c r="C50" t="s">
        <v>458</v>
      </c>
      <c r="D50" s="54"/>
      <c r="F50" s="54"/>
      <c r="K50" s="54"/>
      <c r="Q50" s="54"/>
      <c r="R50" s="54"/>
      <c r="S50" s="54"/>
      <c r="T50" s="54"/>
      <c r="U50" s="54"/>
      <c r="V50" s="54"/>
      <c r="Z50" s="54"/>
      <c r="AA50" s="54"/>
      <c r="AB50" s="54"/>
      <c r="AC50" s="54"/>
      <c r="AD50" s="54"/>
      <c r="AH50" s="54"/>
      <c r="AI50" s="54"/>
      <c r="AK50">
        <f>'Red Bull Model'!F88+'Red Bull Model'!F84-'Red Bull Model'!F81-'Red Bull Model'!F74</f>
        <v>-1330.3</v>
      </c>
      <c r="AP50" s="54"/>
      <c r="AQ50" s="54"/>
      <c r="AR50" s="54"/>
      <c r="AS50" s="54"/>
      <c r="AT50" s="54"/>
      <c r="AX50" s="54"/>
      <c r="AY50" s="54"/>
      <c r="AZ50" s="54"/>
      <c r="BB50" s="54"/>
      <c r="BC50" s="54"/>
      <c r="BE50" s="54"/>
      <c r="BF50" s="54"/>
      <c r="BG50" s="54"/>
      <c r="BH50" s="54"/>
    </row>
    <row r="51" spans="1:60" ht="15.75" customHeight="1" x14ac:dyDescent="0.45">
      <c r="A51" s="85"/>
      <c r="C51" t="s">
        <v>455</v>
      </c>
      <c r="D51" s="54"/>
      <c r="F51" s="54"/>
      <c r="K51" s="54"/>
      <c r="Q51" s="54"/>
      <c r="R51" s="54"/>
      <c r="S51" s="54"/>
      <c r="T51" s="54"/>
      <c r="U51" s="54"/>
      <c r="V51" s="54"/>
      <c r="Z51" s="54"/>
      <c r="AA51" s="54"/>
      <c r="AB51" s="54"/>
      <c r="AC51" s="54"/>
      <c r="AD51" s="54"/>
      <c r="AH51" s="54"/>
      <c r="AI51" s="54"/>
      <c r="AK51">
        <f ca="1">AK49-AK50</f>
        <v>70737.771819515561</v>
      </c>
      <c r="AP51" s="54"/>
      <c r="AQ51" s="54"/>
      <c r="AR51" s="54"/>
      <c r="AS51" s="54"/>
      <c r="AT51" s="54"/>
      <c r="AX51" s="54"/>
      <c r="AY51" s="54"/>
      <c r="AZ51" s="54"/>
      <c r="BB51" s="54"/>
      <c r="BC51" s="54"/>
      <c r="BE51" s="54"/>
      <c r="BF51" s="54"/>
      <c r="BG51" s="54"/>
      <c r="BH51" s="54"/>
    </row>
    <row r="52" spans="1:60" ht="15.75" customHeight="1" x14ac:dyDescent="0.45">
      <c r="A52" s="85"/>
      <c r="C52" s="54"/>
      <c r="D52" s="54"/>
      <c r="K52" s="54"/>
      <c r="L52" s="54"/>
      <c r="M52" s="54"/>
      <c r="N52" s="54"/>
      <c r="O52" s="54"/>
      <c r="P52" s="54"/>
      <c r="Q52" s="54"/>
      <c r="R52" s="54"/>
      <c r="S52" s="54"/>
      <c r="T52" s="54"/>
      <c r="U52" s="54"/>
      <c r="V52" s="54"/>
      <c r="Z52" s="54"/>
      <c r="AA52" s="54"/>
      <c r="AB52" s="54"/>
      <c r="AC52" s="54"/>
      <c r="AD52" s="54"/>
      <c r="AH52" s="54"/>
      <c r="AI52" s="54"/>
      <c r="AJ52" s="54"/>
      <c r="AK52" s="54"/>
      <c r="AL52" s="54"/>
      <c r="AP52" s="54"/>
      <c r="AQ52" s="54"/>
      <c r="AR52" s="54"/>
      <c r="AS52" s="54"/>
      <c r="AT52" s="54"/>
      <c r="AX52" s="54"/>
      <c r="AY52" s="54"/>
      <c r="AZ52" s="54"/>
      <c r="BA52" s="54"/>
      <c r="BF52" s="54"/>
      <c r="BG52" s="54"/>
      <c r="BH52" s="54"/>
    </row>
    <row r="53" spans="1:60" ht="15.75" customHeight="1" x14ac:dyDescent="0.45">
      <c r="A53" s="85" t="s">
        <v>147</v>
      </c>
      <c r="AK53" s="54"/>
    </row>
    <row r="54" spans="1:60" ht="15.75" customHeight="1" x14ac:dyDescent="0.45">
      <c r="A54" s="85"/>
      <c r="AK54" s="54"/>
    </row>
    <row r="55" spans="1:60" ht="15.75" customHeight="1" x14ac:dyDescent="0.45">
      <c r="A55" s="85"/>
      <c r="AK55" s="54"/>
    </row>
    <row r="56" spans="1:60" ht="15.75" customHeight="1" x14ac:dyDescent="0.45">
      <c r="A56" s="85"/>
      <c r="E56" s="182"/>
      <c r="AK56" s="54"/>
    </row>
    <row r="57" spans="1:60" ht="15.75" customHeight="1" x14ac:dyDescent="0.45">
      <c r="A57" s="85"/>
      <c r="E57" s="182"/>
      <c r="AK57" s="54"/>
    </row>
    <row r="58" spans="1:60" ht="15.75" customHeight="1" x14ac:dyDescent="0.45">
      <c r="A58" s="85"/>
      <c r="E58" s="182"/>
    </row>
    <row r="59" spans="1:60" ht="15.75" customHeight="1" x14ac:dyDescent="0.45">
      <c r="A59" s="85"/>
      <c r="E59" s="182"/>
    </row>
    <row r="60" spans="1:60" ht="15.75" customHeight="1" x14ac:dyDescent="0.45">
      <c r="A60" s="85"/>
      <c r="E60" s="182"/>
    </row>
    <row r="61" spans="1:60" ht="15.75" customHeight="1" x14ac:dyDescent="0.45">
      <c r="A61" s="85"/>
      <c r="E61" s="182"/>
    </row>
    <row r="62" spans="1:60" ht="15.75" customHeight="1" x14ac:dyDescent="0.45">
      <c r="A62" s="85"/>
      <c r="E62" s="182"/>
    </row>
    <row r="63" spans="1:60" ht="15.75" customHeight="1" x14ac:dyDescent="0.45">
      <c r="A63" s="85"/>
      <c r="E63" s="182"/>
    </row>
    <row r="64" spans="1:60" ht="15.75" customHeight="1" x14ac:dyDescent="0.45">
      <c r="A64" s="85"/>
      <c r="E64" s="182"/>
    </row>
    <row r="65" spans="1:5" ht="15.75" customHeight="1" x14ac:dyDescent="0.45">
      <c r="A65" s="85"/>
      <c r="E65" s="182"/>
    </row>
    <row r="66" spans="1:5" ht="15.75" customHeight="1" x14ac:dyDescent="0.45">
      <c r="A66" s="85"/>
    </row>
    <row r="67" spans="1:5" ht="15" customHeight="1" x14ac:dyDescent="0.45">
      <c r="A67" s="85"/>
    </row>
    <row r="68" spans="1:5" ht="15" customHeight="1" x14ac:dyDescent="0.45">
      <c r="A68" s="85"/>
    </row>
    <row r="69" spans="1:5" ht="15" customHeight="1" x14ac:dyDescent="0.45">
      <c r="A69" s="85"/>
    </row>
    <row r="72" spans="1:5" ht="15.75" customHeight="1" x14ac:dyDescent="0.45">
      <c r="A72" s="21"/>
    </row>
    <row r="73" spans="1:5" ht="15.75" customHeight="1" x14ac:dyDescent="0.45">
      <c r="A73" s="21"/>
    </row>
    <row r="74" spans="1:5" ht="15.75" customHeight="1" x14ac:dyDescent="0.45">
      <c r="A74" s="21"/>
    </row>
    <row r="75" spans="1:5" ht="15.75" customHeight="1" x14ac:dyDescent="0.45">
      <c r="A75" s="21"/>
    </row>
    <row r="76" spans="1:5" ht="15.75" customHeight="1" x14ac:dyDescent="0.45">
      <c r="A76" s="21"/>
    </row>
    <row r="77" spans="1:5" ht="15.75" customHeight="1" x14ac:dyDescent="0.45">
      <c r="A77" s="21"/>
    </row>
    <row r="78" spans="1:5" ht="15.75" customHeight="1" x14ac:dyDescent="0.45">
      <c r="A78" s="21"/>
    </row>
    <row r="79" spans="1:5" ht="15.75" customHeight="1" x14ac:dyDescent="0.45">
      <c r="A79" s="21"/>
    </row>
    <row r="80" spans="1:5" ht="15.75" customHeight="1" x14ac:dyDescent="0.45">
      <c r="A80" s="21" t="s">
        <v>459</v>
      </c>
    </row>
    <row r="81" spans="1:60" ht="15.75" customHeight="1" x14ac:dyDescent="0.45">
      <c r="A81" s="21"/>
      <c r="C81" t="s">
        <v>460</v>
      </c>
      <c r="D81" t="s">
        <v>461</v>
      </c>
      <c r="E81" t="s">
        <v>462</v>
      </c>
      <c r="G81" t="s">
        <v>463</v>
      </c>
      <c r="H81" t="s">
        <v>464</v>
      </c>
      <c r="I81" t="s">
        <v>465</v>
      </c>
      <c r="J81" t="s">
        <v>466</v>
      </c>
      <c r="K81" t="s">
        <v>467</v>
      </c>
      <c r="L81" t="s">
        <v>468</v>
      </c>
      <c r="M81" t="s">
        <v>469</v>
      </c>
      <c r="O81" t="s">
        <v>470</v>
      </c>
      <c r="P81" t="s">
        <v>471</v>
      </c>
      <c r="Q81" t="s">
        <v>472</v>
      </c>
      <c r="S81" t="s">
        <v>473</v>
      </c>
      <c r="T81" t="s">
        <v>474</v>
      </c>
      <c r="U81" t="s">
        <v>475</v>
      </c>
      <c r="W81" t="s">
        <v>476</v>
      </c>
      <c r="X81" t="s">
        <v>477</v>
      </c>
      <c r="Y81" t="s">
        <v>478</v>
      </c>
      <c r="AA81" t="s">
        <v>479</v>
      </c>
      <c r="AB81" t="s">
        <v>480</v>
      </c>
      <c r="AC81" t="s">
        <v>481</v>
      </c>
      <c r="AQ81" t="s">
        <v>482</v>
      </c>
      <c r="AR81" t="s">
        <v>482</v>
      </c>
      <c r="AS81" t="s">
        <v>482</v>
      </c>
      <c r="AU81" t="s">
        <v>482</v>
      </c>
      <c r="AV81" t="s">
        <v>482</v>
      </c>
      <c r="AW81" t="s">
        <v>482</v>
      </c>
      <c r="AZ81" t="s">
        <v>483</v>
      </c>
      <c r="BA81" t="s">
        <v>430</v>
      </c>
      <c r="BD81" t="s">
        <v>484</v>
      </c>
      <c r="BE81" t="s">
        <v>485</v>
      </c>
      <c r="BF81" t="s">
        <v>486</v>
      </c>
      <c r="BG81" t="s">
        <v>484</v>
      </c>
      <c r="BH81" t="s">
        <v>300</v>
      </c>
    </row>
    <row r="82" spans="1:60" ht="15.75" customHeight="1" x14ac:dyDescent="0.45">
      <c r="A82" s="21"/>
      <c r="D82" t="s">
        <v>487</v>
      </c>
      <c r="E82" t="s">
        <v>487</v>
      </c>
      <c r="G82" t="s">
        <v>465</v>
      </c>
      <c r="H82" t="s">
        <v>466</v>
      </c>
      <c r="BD82" t="s">
        <v>470</v>
      </c>
    </row>
  </sheetData>
  <mergeCells count="2">
    <mergeCell ref="I37:J37"/>
    <mergeCell ref="I20:J20"/>
  </mergeCells>
  <printOptions gridLines="1"/>
  <pageMargins left="0.23622047244094491" right="0.23622047244094491" top="0.35433070866141736" bottom="0.35433070866141736" header="0.31496062992125984" footer="0.31496062992125984"/>
  <pageSetup paperSize="9" scale="48"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Props1.xml><?xml version="1.0" encoding="utf-8"?>
<ds:datastoreItem xmlns:ds="http://schemas.openxmlformats.org/officeDocument/2006/customXml" ds:itemID="{77F24BD9-5459-4237-BB08-C0910670372A}">
  <ds:schemaRefs>
    <ds:schemaRef ds:uri="http://schemas.microsoft.com/sharepoint/v3/contenttype/forms"/>
  </ds:schemaRefs>
</ds:datastoreItem>
</file>

<file path=customXml/itemProps2.xml><?xml version="1.0" encoding="utf-8"?>
<ds:datastoreItem xmlns:ds="http://schemas.openxmlformats.org/officeDocument/2006/customXml" ds:itemID="{55E3BEC7-1A19-4F23-A241-1D9803404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99976A-A153-47D6-BDE7-A7DFBE24173B}">
  <ds:schemaRefs>
    <ds:schemaRef ds:uri="http://purl.org/dc/elements/1.1/"/>
    <ds:schemaRef ds:uri="http://schemas.microsoft.com/office/2006/metadata/properties"/>
    <ds:schemaRef ds:uri="http://schemas.microsoft.com/office/2006/documentManagement/types"/>
    <ds:schemaRef ds:uri="http://purl.org/dc/terms/"/>
    <ds:schemaRef ds:uri="http://purl.org/dc/dcmitype/"/>
    <ds:schemaRef ds:uri="http://schemas.openxmlformats.org/package/2006/metadata/core-properties"/>
    <ds:schemaRef ds:uri="http://www.w3.org/XML/1998/namespace"/>
    <ds:schemaRef ds:uri="http://schemas.microsoft.com/office/infopath/2007/PartnerControls"/>
    <ds:schemaRef ds:uri="6ea4884f-dd23-4a9e-9674-e0962577458b"/>
    <ds:schemaRef ds:uri="69eded41-6c5d-4718-b7b7-dbfd1652bc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193</vt:i4>
      </vt:variant>
    </vt:vector>
  </HeadingPairs>
  <TitlesOfParts>
    <vt:vector size="213" baseType="lpstr">
      <vt:lpstr>Welcome</vt:lpstr>
      <vt:lpstr>Info</vt:lpstr>
      <vt:lpstr>Accounting</vt:lpstr>
      <vt:lpstr>Accounting Qualitative</vt:lpstr>
      <vt:lpstr>Red Bull Model</vt:lpstr>
      <vt:lpstr>Trading_comps_scratch</vt:lpstr>
      <vt:lpstr>1</vt:lpstr>
      <vt:lpstr>2</vt:lpstr>
      <vt:lpstr>Trading_comps</vt:lpstr>
      <vt:lpstr>Checklist</vt:lpstr>
      <vt:lpstr>DCF</vt:lpstr>
      <vt:lpstr>WACC</vt:lpstr>
      <vt:lpstr>Transaction_comps</vt:lpstr>
      <vt:lpstr>Synergies</vt:lpstr>
      <vt:lpstr>Valuation_summary</vt:lpstr>
      <vt:lpstr>ESG</vt:lpstr>
      <vt:lpstr>M&amp;A</vt:lpstr>
      <vt:lpstr>LBO</vt:lpstr>
      <vt:lpstr>Scratchpad</vt:lpstr>
      <vt:lpstr>Factset codes</vt:lpstr>
      <vt:lpstr>ANALYSIS_DATE</vt:lpstr>
      <vt:lpstr>'1'!BETA</vt:lpstr>
      <vt:lpstr>'2'!BETA</vt:lpstr>
      <vt:lpstr>'1'!CASH_AND_ST_INVESTMENTS</vt:lpstr>
      <vt:lpstr>'2'!CASH_AND_ST_INVESTMENTS</vt:lpstr>
      <vt:lpstr>Circswitch</vt:lpstr>
      <vt:lpstr>'1'!COMP_CALENDARIZE_PERCENTAGES</vt:lpstr>
      <vt:lpstr>'2'!COMP_CALENDARIZE_PERCENTAGES</vt:lpstr>
      <vt:lpstr>'Factset codes'!COMP_CALENDARIZE_PERCENTAGES</vt:lpstr>
      <vt:lpstr>'1'!COMP_EQ_VALUE</vt:lpstr>
      <vt:lpstr>'2'!COMP_EQ_VALUE</vt:lpstr>
      <vt:lpstr>'Factset codes'!COMP_EQ_VALUE</vt:lpstr>
      <vt:lpstr>'1'!COMP_EV</vt:lpstr>
      <vt:lpstr>'2'!COMP_EV</vt:lpstr>
      <vt:lpstr>'Factset codes'!COMP_EV</vt:lpstr>
      <vt:lpstr>'1'!COMP_FX</vt:lpstr>
      <vt:lpstr>'2'!COMP_FX</vt:lpstr>
      <vt:lpstr>'1'!COMP_MTR</vt:lpstr>
      <vt:lpstr>'2'!COMP_MTR</vt:lpstr>
      <vt:lpstr>'Factset codes'!Comp_MTR</vt:lpstr>
      <vt:lpstr>'1'!COMP_SHAREPRICE</vt:lpstr>
      <vt:lpstr>'2'!COMP_SHAREPRICE</vt:lpstr>
      <vt:lpstr>'Factset codes'!COMP_SHAREPRICE</vt:lpstr>
      <vt:lpstr>'1'!COMPANY_NAME</vt:lpstr>
      <vt:lpstr>'2'!COMPANY_NAME</vt:lpstr>
      <vt:lpstr>'1'!CREDIT_RATING</vt:lpstr>
      <vt:lpstr>'2'!CREDIT_RATING</vt:lpstr>
      <vt:lpstr>'1'!DSO</vt:lpstr>
      <vt:lpstr>'2'!DSO</vt:lpstr>
      <vt:lpstr>'1'!EBIT_CY1</vt:lpstr>
      <vt:lpstr>'2'!EBIT_CY1</vt:lpstr>
      <vt:lpstr>'1'!EBIT_CY2</vt:lpstr>
      <vt:lpstr>'2'!EBIT_CY2</vt:lpstr>
      <vt:lpstr>'1'!EBIT_CY3</vt:lpstr>
      <vt:lpstr>'2'!EBIT_CY3</vt:lpstr>
      <vt:lpstr>'1'!EBIT_CY4</vt:lpstr>
      <vt:lpstr>'2'!EBIT_CY4</vt:lpstr>
      <vt:lpstr>'1'!EBIT_LTM</vt:lpstr>
      <vt:lpstr>'2'!EBIT_LTM</vt:lpstr>
      <vt:lpstr>'Factset codes'!EBIT_LTM</vt:lpstr>
      <vt:lpstr>'1'!EBITDA_CY1</vt:lpstr>
      <vt:lpstr>'2'!EBITDA_CY1</vt:lpstr>
      <vt:lpstr>'1'!EBITDA_CY2</vt:lpstr>
      <vt:lpstr>'2'!EBITDA_CY2</vt:lpstr>
      <vt:lpstr>'1'!EBITDA_CY3</vt:lpstr>
      <vt:lpstr>'2'!EBITDA_CY3</vt:lpstr>
      <vt:lpstr>'1'!EBITDA_CY4</vt:lpstr>
      <vt:lpstr>'2'!EBITDA_CY4</vt:lpstr>
      <vt:lpstr>'1'!EBITDA_LTM</vt:lpstr>
      <vt:lpstr>'2'!EBITDA_LTM</vt:lpstr>
      <vt:lpstr>'Factset codes'!EBITDA_LTM</vt:lpstr>
      <vt:lpstr>'1'!EBITDAR_CY1</vt:lpstr>
      <vt:lpstr>'2'!EBITDAR_CY1</vt:lpstr>
      <vt:lpstr>'1'!EBITDAR_CY2</vt:lpstr>
      <vt:lpstr>'2'!EBITDAR_CY2</vt:lpstr>
      <vt:lpstr>'1'!EBITDAR_CY3</vt:lpstr>
      <vt:lpstr>'2'!EBITDAR_CY3</vt:lpstr>
      <vt:lpstr>'1'!EBITDAR_LTM</vt:lpstr>
      <vt:lpstr>'2'!EBITDAR_LTM</vt:lpstr>
      <vt:lpstr>'1'!EBITR_CY1</vt:lpstr>
      <vt:lpstr>'2'!EBITR_CY1</vt:lpstr>
      <vt:lpstr>'1'!EBITR_CY2</vt:lpstr>
      <vt:lpstr>'2'!EBITR_CY2</vt:lpstr>
      <vt:lpstr>'1'!EBITR_CY3</vt:lpstr>
      <vt:lpstr>'2'!EBITR_CY3</vt:lpstr>
      <vt:lpstr>'1'!EBITR_LTM</vt:lpstr>
      <vt:lpstr>'2'!EBITR_LTM</vt:lpstr>
      <vt:lpstr>'1'!EPS_5YR_GROWTH</vt:lpstr>
      <vt:lpstr>'2'!EPS_5YR_GROWTH</vt:lpstr>
      <vt:lpstr>'1'!EPS_CY1</vt:lpstr>
      <vt:lpstr>'2'!EPS_CY1</vt:lpstr>
      <vt:lpstr>'1'!EPS_CY2</vt:lpstr>
      <vt:lpstr>'2'!EPS_CY2</vt:lpstr>
      <vt:lpstr>'1'!EPS_CY3</vt:lpstr>
      <vt:lpstr>'2'!EPS_CY3</vt:lpstr>
      <vt:lpstr>'1'!EPS_CY4</vt:lpstr>
      <vt:lpstr>'2'!EPS_CY4</vt:lpstr>
      <vt:lpstr>'1'!EV_EBIT_CY1</vt:lpstr>
      <vt:lpstr>'2'!EV_EBIT_CY1</vt:lpstr>
      <vt:lpstr>'Factset codes'!EV_EBIT_CY1</vt:lpstr>
      <vt:lpstr>'1'!EV_EBIT_CY2</vt:lpstr>
      <vt:lpstr>'2'!EV_EBIT_CY2</vt:lpstr>
      <vt:lpstr>'Factset codes'!EV_EBIT_CY2</vt:lpstr>
      <vt:lpstr>'1'!EV_EBIT_CY3</vt:lpstr>
      <vt:lpstr>'2'!EV_EBIT_CY3</vt:lpstr>
      <vt:lpstr>'Factset codes'!EV_EBIT_CY3</vt:lpstr>
      <vt:lpstr>'1'!EV_EBIT_CY4</vt:lpstr>
      <vt:lpstr>'2'!EV_EBIT_CY4</vt:lpstr>
      <vt:lpstr>'Factset codes'!EV_EBIT_CY4</vt:lpstr>
      <vt:lpstr>'1'!EV_EBIT_LTM</vt:lpstr>
      <vt:lpstr>'2'!EV_EBIT_LTM</vt:lpstr>
      <vt:lpstr>'Factset codes'!EV_EBIT_LTM</vt:lpstr>
      <vt:lpstr>'1'!EV_EBITDA_CY1</vt:lpstr>
      <vt:lpstr>'2'!EV_EBITDA_CY1</vt:lpstr>
      <vt:lpstr>'Factset codes'!EV_EBITDA_CY1</vt:lpstr>
      <vt:lpstr>'1'!EV_EBITDA_CY2</vt:lpstr>
      <vt:lpstr>'2'!EV_EBITDA_CY2</vt:lpstr>
      <vt:lpstr>'Factset codes'!EV_EBITDA_CY2</vt:lpstr>
      <vt:lpstr>'1'!EV_EBITDA_CY3</vt:lpstr>
      <vt:lpstr>'2'!EV_EBITDA_CY3</vt:lpstr>
      <vt:lpstr>'Factset codes'!EV_EBITDA_CY3</vt:lpstr>
      <vt:lpstr>'1'!EV_EBITDA_CY4</vt:lpstr>
      <vt:lpstr>'2'!EV_EBITDA_CY4</vt:lpstr>
      <vt:lpstr>'Factset codes'!EV_EBITDA_CY4</vt:lpstr>
      <vt:lpstr>'1'!EV_EBITDA_LMT</vt:lpstr>
      <vt:lpstr>'2'!EV_EBITDA_LMT</vt:lpstr>
      <vt:lpstr>'Factset codes'!EV_EBITDA_LMT</vt:lpstr>
      <vt:lpstr>'1'!EV_REVENUE_CY1</vt:lpstr>
      <vt:lpstr>'2'!EV_REVENUE_CY1</vt:lpstr>
      <vt:lpstr>'Factset codes'!EV_REVENUE_CY1</vt:lpstr>
      <vt:lpstr>'1'!EV_REVENUE_CY2</vt:lpstr>
      <vt:lpstr>'2'!EV_REVENUE_CY2</vt:lpstr>
      <vt:lpstr>'Factset codes'!EV_REVENUE_CY2</vt:lpstr>
      <vt:lpstr>'1'!EV_REVENUE_CY3</vt:lpstr>
      <vt:lpstr>'2'!EV_REVENUE_CY3</vt:lpstr>
      <vt:lpstr>'Factset codes'!EV_REVENUE_CY3</vt:lpstr>
      <vt:lpstr>'1'!EV_REVENUE_CY4</vt:lpstr>
      <vt:lpstr>'2'!EV_REVENUE_CY4</vt:lpstr>
      <vt:lpstr>'Factset codes'!EV_REVENUE_CY4</vt:lpstr>
      <vt:lpstr>'1'!EV_REVENUE_LTM</vt:lpstr>
      <vt:lpstr>'2'!EV_REVENUE_LTM</vt:lpstr>
      <vt:lpstr>'Factset codes'!EV_REVENUE_LTM</vt:lpstr>
      <vt:lpstr>'1'!EVR</vt:lpstr>
      <vt:lpstr>'2'!EVR</vt:lpstr>
      <vt:lpstr>'1'!FCF_LTM</vt:lpstr>
      <vt:lpstr>'2'!FCF_LTM</vt:lpstr>
      <vt:lpstr>'Factset codes'!FCF_LTM</vt:lpstr>
      <vt:lpstr>'1'!GROSS_DEBT_LTM_EBITDA</vt:lpstr>
      <vt:lpstr>'2'!GROSS_DEBT_LTM_EBITDA</vt:lpstr>
      <vt:lpstr>ltg</vt:lpstr>
      <vt:lpstr>MAIN_CURRENCY</vt:lpstr>
      <vt:lpstr>'1'!OTHER_ADJUSTMENTS</vt:lpstr>
      <vt:lpstr>'2'!OTHER_ADJUSTMENTS</vt:lpstr>
      <vt:lpstr>'1'!P_BV</vt:lpstr>
      <vt:lpstr>'2'!P_BV</vt:lpstr>
      <vt:lpstr>'1'!PE_CY1</vt:lpstr>
      <vt:lpstr>'2'!PE_CY1</vt:lpstr>
      <vt:lpstr>'Factset codes'!PE_CY1</vt:lpstr>
      <vt:lpstr>'1'!PE_CY2</vt:lpstr>
      <vt:lpstr>'2'!PE_CY2</vt:lpstr>
      <vt:lpstr>'Factset codes'!PE_CY2</vt:lpstr>
      <vt:lpstr>'1'!PE_CY3</vt:lpstr>
      <vt:lpstr>'2'!PE_CY3</vt:lpstr>
      <vt:lpstr>'Factset codes'!PE_CY3</vt:lpstr>
      <vt:lpstr>'1'!PE_CY4</vt:lpstr>
      <vt:lpstr>'2'!PE_CY4</vt:lpstr>
      <vt:lpstr>'Factset codes'!PE_CY4</vt:lpstr>
      <vt:lpstr>'1'!Print_Area</vt:lpstr>
      <vt:lpstr>'2'!Print_Area</vt:lpstr>
      <vt:lpstr>Accounting!Print_Area</vt:lpstr>
      <vt:lpstr>'Accounting Qualitative'!Print_Area</vt:lpstr>
      <vt:lpstr>Checklist!Print_Area</vt:lpstr>
      <vt:lpstr>DCF!Print_Area</vt:lpstr>
      <vt:lpstr>ESG!Print_Area</vt:lpstr>
      <vt:lpstr>Info!Print_Area</vt:lpstr>
      <vt:lpstr>LBO!Print_Area</vt:lpstr>
      <vt:lpstr>'M&amp;A'!Print_Area</vt:lpstr>
      <vt:lpstr>'Red Bull Model'!Print_Area</vt:lpstr>
      <vt:lpstr>Scratchpad!Print_Area</vt:lpstr>
      <vt:lpstr>Synergies!Print_Area</vt:lpstr>
      <vt:lpstr>Trading_comps!Print_Area</vt:lpstr>
      <vt:lpstr>Trading_comps_scratch!Print_Area</vt:lpstr>
      <vt:lpstr>Transaction_comps!Print_Area</vt:lpstr>
      <vt:lpstr>Valuation_summary!Print_Area</vt:lpstr>
      <vt:lpstr>WACC!Print_Area</vt:lpstr>
      <vt:lpstr>Welcome!Print_Area</vt:lpstr>
      <vt:lpstr>Accounting!Print_Titles</vt:lpstr>
      <vt:lpstr>DCF!Print_Titles</vt:lpstr>
      <vt:lpstr>LBO!Print_Titles</vt:lpstr>
      <vt:lpstr>'Red Bull Model'!Print_Titles</vt:lpstr>
      <vt:lpstr>Transaction_comps!Print_Titles</vt:lpstr>
      <vt:lpstr>'1'!ROIC</vt:lpstr>
      <vt:lpstr>'2'!ROIC</vt:lpstr>
      <vt:lpstr>'1'!SALES_CY1</vt:lpstr>
      <vt:lpstr>'2'!SALES_CY1</vt:lpstr>
      <vt:lpstr>'1'!SALES_CY2</vt:lpstr>
      <vt:lpstr>'2'!SALES_CY2</vt:lpstr>
      <vt:lpstr>'1'!SALES_CY3</vt:lpstr>
      <vt:lpstr>'2'!SALES_CY3</vt:lpstr>
      <vt:lpstr>'1'!SALES_CY4</vt:lpstr>
      <vt:lpstr>'2'!SALES_CY4</vt:lpstr>
      <vt:lpstr>'1'!SALES_LTM</vt:lpstr>
      <vt:lpstr>'2'!SALES_LTM</vt:lpstr>
      <vt:lpstr>'Factset codes'!SALES_LTM</vt:lpstr>
      <vt:lpstr>'1'!SHAREPRICE_HIGH</vt:lpstr>
      <vt:lpstr>'2'!SHAREPRICE_HIGH</vt:lpstr>
      <vt:lpstr>'1'!SHAREPRICE_LOW</vt:lpstr>
      <vt:lpstr>'2'!SHAREPRICE_LOW</vt:lpstr>
      <vt:lpstr>'1'!TICKER</vt:lpstr>
      <vt:lpstr>'2'!TICKER</vt:lpstr>
      <vt:lpstr>'1'!TOTAL_DEBT</vt:lpstr>
      <vt:lpstr>'2'!TOTAL_DEBT</vt:lpstr>
      <vt:lpstr>WACC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Alastair Matchett</dc:creator>
  <cp:keywords/>
  <dc:description/>
  <cp:lastModifiedBy>Alastair Matchett</cp:lastModifiedBy>
  <cp:revision/>
  <dcterms:created xsi:type="dcterms:W3CDTF">2016-02-03T14:06:14Z</dcterms:created>
  <dcterms:modified xsi:type="dcterms:W3CDTF">2024-07-04T16:12:50Z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dsSearchOrder">
    <vt:i4>0</vt:i4>
  </property>
  <property fmtid="{D5CDD505-2E9C-101B-9397-08002B2CF9AE}" pid="3" name="ContentTypeId">
    <vt:lpwstr>0x0101004F002F8CDD7ACF40A6C36B1C9FA62C55</vt:lpwstr>
  </property>
  <property fmtid="{D5CDD505-2E9C-101B-9397-08002B2CF9AE}" pid="4" name="MediaServiceImageTags">
    <vt:lpwstr/>
  </property>
</Properties>
</file>