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5.xml" ContentType="application/vnd.openxmlformats-officedocument.drawing+xml"/>
  <Override PartName="/xl/comments8.xml" ContentType="application/vnd.openxmlformats-officedocument.spreadsheetml.comments+xml"/>
  <Override PartName="/xl/charts/chart2.xml" ContentType="application/vnd.openxmlformats-officedocument.drawingml.chart+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19"/>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9. M&amp;A - good to go (one issue but no time to correct)/8. Leverage Analysis - good to go/"/>
    </mc:Choice>
  </mc:AlternateContent>
  <xr:revisionPtr revIDLastSave="1" documentId="8_{CDBB3E6A-D0DB-42AE-906C-DF2F90D15935}" xr6:coauthVersionLast="47" xr6:coauthVersionMax="47" xr10:uidLastSave="{9D02D0E4-0918-4045-B37B-DE23C5FD936D}"/>
  <bookViews>
    <workbookView xWindow="-98" yWindow="-98" windowWidth="21795" windowHeight="13875" tabRatio="809" firstSheet="16" activeTab="16" xr2:uid="{00000000-000D-0000-FFFF-FFFF00000000}"/>
  </bookViews>
  <sheets>
    <sheet name="Welcome" sheetId="2" r:id="rId1"/>
    <sheet name="Info" sheetId="3" r:id="rId2"/>
    <sheet name="Accounting" sheetId="4" r:id="rId3"/>
    <sheet name="Accounting Qualitative" sheetId="27" r:id="rId4"/>
    <sheet name="Trading_comps_scratch" sheetId="24" r:id="rId5"/>
    <sheet name="2" sheetId="25" r:id="rId6"/>
    <sheet name="Trading_comps" sheetId="10" r:id="rId7"/>
    <sheet name="Checklist" sheetId="11" r:id="rId8"/>
    <sheet name="DCF" sheetId="13" r:id="rId9"/>
    <sheet name="WACC" sheetId="14" r:id="rId10"/>
    <sheet name="Transaction_comps" sheetId="15" r:id="rId11"/>
    <sheet name="Synergies" sheetId="16" r:id="rId12"/>
    <sheet name="Valuation_summary" sheetId="17" r:id="rId13"/>
    <sheet name="ESG" sheetId="29" r:id="rId14"/>
    <sheet name="Red Bull Model" sheetId="12" r:id="rId15"/>
    <sheet name="1" sheetId="5"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4" hidden="1">Trading_comps_scratch!#REF!</definedName>
    <definedName name="ANALYSIS_DATE" localSheetId="13">[1]Trading_comps!$D$16</definedName>
    <definedName name="ANALYSIS_DATE" localSheetId="18">[2]Trading_comps!$D$15</definedName>
    <definedName name="ANALYSIS_DATE">Trading_comps!$D$16</definedName>
    <definedName name="BETA" localSheetId="15">'1'!$C$20</definedName>
    <definedName name="BETA" localSheetId="5">'2'!$C$20</definedName>
    <definedName name="CASH_AND_ST_INVESTMENTS" localSheetId="15">'1'!$H$8</definedName>
    <definedName name="CASH_AND_ST_INVESTMENTS" localSheetId="5">'2'!$H$8</definedName>
    <definedName name="Circswitch" localSheetId="13">[1]Info!$N$10</definedName>
    <definedName name="Circswitch" localSheetId="18">[2]Info!$N$10</definedName>
    <definedName name="Circswitch">Info!$N$10</definedName>
    <definedName name="COMP_CALENDARIZE_PERCENTAGES" localSheetId="15">'1'!$I$79:$K$79</definedName>
    <definedName name="COMP_CALENDARIZE_PERCENTAGES" localSheetId="5">'2'!$I$79:$K$79</definedName>
    <definedName name="COMP_CALENDARIZE_PERCENTAGES" localSheetId="19">'Factset codes'!$R$64:$V$64</definedName>
    <definedName name="COMP_EQ_VALUE" localSheetId="15">'1'!$H$6</definedName>
    <definedName name="COMP_EQ_VALUE" localSheetId="5">'2'!$H$6</definedName>
    <definedName name="COMP_EQ_VALUE" localSheetId="19">'Factset codes'!$R$10</definedName>
    <definedName name="COMP_EV" localSheetId="15">'1'!$H$10</definedName>
    <definedName name="COMP_EV" localSheetId="5">'2'!$H$10</definedName>
    <definedName name="COMP_EV" localSheetId="19">'Factset codes'!$L$10</definedName>
    <definedName name="COMP_FX" localSheetId="15">'1'!$C$15</definedName>
    <definedName name="COMP_FX" localSheetId="5">'2'!$C$15</definedName>
    <definedName name="COMP_MTR" localSheetId="15">'1'!$C$10</definedName>
    <definedName name="COMP_MTR" localSheetId="5">'2'!$C$10</definedName>
    <definedName name="Comp_MTR" localSheetId="19">'Factset codes'!$D$19</definedName>
    <definedName name="COMP_SHAREPRICE" localSheetId="15">'1'!$C$16</definedName>
    <definedName name="COMP_SHAREPRICE" localSheetId="5">'2'!$C$16</definedName>
    <definedName name="COMP_SHAREPRICE" localSheetId="19">'Factset codes'!$D$13</definedName>
    <definedName name="COMPANY_NAME" localSheetId="15">'1'!$A$1</definedName>
    <definedName name="COMPANY_NAME" localSheetId="5">'2'!$A$1</definedName>
    <definedName name="CREDIT_RATING" localSheetId="15">'1'!$C$19</definedName>
    <definedName name="CREDIT_RATING" localSheetId="5">'2'!$C$19</definedName>
    <definedName name="DSO" localSheetId="15">'1'!$D$35</definedName>
    <definedName name="DSO" localSheetId="5">'2'!$D$35</definedName>
    <definedName name="EBIT_CY1" localSheetId="15">'1'!$H$16</definedName>
    <definedName name="EBIT_CY1" localSheetId="5">'2'!$H$16</definedName>
    <definedName name="EBIT_CY2" localSheetId="15">'1'!$I$16</definedName>
    <definedName name="EBIT_CY2" localSheetId="5">'2'!$I$16</definedName>
    <definedName name="EBIT_CY3" localSheetId="15">'1'!$J$16</definedName>
    <definedName name="EBIT_CY3" localSheetId="5">'2'!$J$16</definedName>
    <definedName name="EBIT_CY4" localSheetId="15">'1'!$K$16</definedName>
    <definedName name="EBIT_CY4" localSheetId="5">'2'!$K$16</definedName>
    <definedName name="EBIT_LTM" localSheetId="15">'1'!$G$16</definedName>
    <definedName name="EBIT_LTM" localSheetId="5">'2'!$G$16</definedName>
    <definedName name="EBIT_LTM" localSheetId="19">'Factset codes'!$J$14</definedName>
    <definedName name="EBITDA_CY1" localSheetId="15">'1'!$H$15</definedName>
    <definedName name="EBITDA_CY1" localSheetId="5">'2'!$H$15</definedName>
    <definedName name="EBITDA_CY2" localSheetId="15">'1'!$I$15</definedName>
    <definedName name="EBITDA_CY2" localSheetId="5">'2'!$I$15</definedName>
    <definedName name="EBITDA_CY3" localSheetId="15">'1'!$J$15</definedName>
    <definedName name="EBITDA_CY3" localSheetId="5">'2'!$J$15</definedName>
    <definedName name="EBITDA_CY4" localSheetId="15">'1'!$K$15</definedName>
    <definedName name="EBITDA_CY4" localSheetId="5">'2'!$K$15</definedName>
    <definedName name="EBITDA_LTM" localSheetId="15">'1'!$G$15</definedName>
    <definedName name="EBITDA_LTM" localSheetId="5">'2'!$G$15</definedName>
    <definedName name="EBITDA_LTM" localSheetId="19">'Factset codes'!$J$13</definedName>
    <definedName name="EBITDAR_CY1" localSheetId="15">'1'!$I$67</definedName>
    <definedName name="EBITDAR_CY1" localSheetId="5">'2'!$I$67</definedName>
    <definedName name="EBITDAR_CY2" localSheetId="15">'1'!$J$67</definedName>
    <definedName name="EBITDAR_CY2" localSheetId="5">'2'!$J$67</definedName>
    <definedName name="EBITDAR_CY3" localSheetId="15">'1'!$K$67</definedName>
    <definedName name="EBITDAR_CY3" localSheetId="5">'2'!$K$67</definedName>
    <definedName name="EBITDAR_LTM" localSheetId="15">'1'!$G$67</definedName>
    <definedName name="EBITDAR_LTM" localSheetId="5">'2'!$G$67</definedName>
    <definedName name="EBITR_CY1" localSheetId="15">'1'!$I$68</definedName>
    <definedName name="EBITR_CY1" localSheetId="5">'2'!$I$68</definedName>
    <definedName name="EBITR_CY2" localSheetId="15">'1'!$J$68</definedName>
    <definedName name="EBITR_CY2" localSheetId="5">'2'!$J$68</definedName>
    <definedName name="EBITR_CY3" localSheetId="15">'1'!$K$68</definedName>
    <definedName name="EBITR_CY3" localSheetId="5">'2'!$K$68</definedName>
    <definedName name="EBITR_LTM" localSheetId="15">'1'!$G$68</definedName>
    <definedName name="EBITR_LTM" localSheetId="5">'2'!$G$68</definedName>
    <definedName name="EPS_5YR_GROWTH" localSheetId="15">'1'!$C$21</definedName>
    <definedName name="EPS_5YR_GROWTH" localSheetId="5">'2'!$C$21</definedName>
    <definedName name="EPS_CY1" localSheetId="15">'1'!$H$17</definedName>
    <definedName name="EPS_CY1" localSheetId="5">'2'!$H$17</definedName>
    <definedName name="EPS_CY2" localSheetId="15">'1'!$I$17</definedName>
    <definedName name="EPS_CY2" localSheetId="5">'2'!$I$17</definedName>
    <definedName name="EPS_CY3" localSheetId="15">'1'!$J$17</definedName>
    <definedName name="EPS_CY3" localSheetId="5">'2'!$J$17</definedName>
    <definedName name="EPS_CY4" localSheetId="15">'1'!$K$17</definedName>
    <definedName name="EPS_CY4" localSheetId="5">'2'!$K$17</definedName>
    <definedName name="EV_EBIT_CY1" localSheetId="15">'1'!$H$23</definedName>
    <definedName name="EV_EBIT_CY1" localSheetId="5">'2'!$H$23</definedName>
    <definedName name="EV_EBIT_CY1" localSheetId="19">'Factset codes'!$L$21</definedName>
    <definedName name="EV_EBIT_CY2" localSheetId="15">'1'!$I$23</definedName>
    <definedName name="EV_EBIT_CY2" localSheetId="5">'2'!$I$23</definedName>
    <definedName name="EV_EBIT_CY2" localSheetId="19">'Factset codes'!$N$21</definedName>
    <definedName name="EV_EBIT_CY3" localSheetId="15">'1'!$J$23</definedName>
    <definedName name="EV_EBIT_CY3" localSheetId="5">'2'!$J$23</definedName>
    <definedName name="EV_EBIT_CY3" localSheetId="19">'Factset codes'!$P$21</definedName>
    <definedName name="EV_EBIT_CY4" localSheetId="15">'1'!$K$23</definedName>
    <definedName name="EV_EBIT_CY4" localSheetId="5">'2'!$K$23</definedName>
    <definedName name="EV_EBIT_CY4" localSheetId="19">'Factset codes'!$R$21</definedName>
    <definedName name="EV_EBIT_LTM" localSheetId="15">'1'!$G$23</definedName>
    <definedName name="EV_EBIT_LTM" localSheetId="5">'2'!$G$23</definedName>
    <definedName name="EV_EBIT_LTM" localSheetId="19">'Factset codes'!$J$21</definedName>
    <definedName name="EV_EBITDA_CY1" localSheetId="15">'1'!$H$22</definedName>
    <definedName name="EV_EBITDA_CY1" localSheetId="5">'2'!$H$22</definedName>
    <definedName name="EV_EBITDA_CY1" localSheetId="19">'Factset codes'!$L$20</definedName>
    <definedName name="EV_EBITDA_CY2" localSheetId="15">'1'!$I$22</definedName>
    <definedName name="EV_EBITDA_CY2" localSheetId="5">'2'!$I$22</definedName>
    <definedName name="EV_EBITDA_CY2" localSheetId="19">'Factset codes'!$N$20</definedName>
    <definedName name="EV_EBITDA_CY3" localSheetId="15">'1'!$J$22</definedName>
    <definedName name="EV_EBITDA_CY3" localSheetId="5">'2'!$J$22</definedName>
    <definedName name="EV_EBITDA_CY3" localSheetId="19">'Factset codes'!$P$20</definedName>
    <definedName name="EV_EBITDA_CY4" localSheetId="15">'1'!$K$22</definedName>
    <definedName name="EV_EBITDA_CY4" localSheetId="5">'2'!$K$22</definedName>
    <definedName name="EV_EBITDA_CY4" localSheetId="19">'Factset codes'!$R$20</definedName>
    <definedName name="EV_EBITDA_LMT" localSheetId="15">'1'!$G$22</definedName>
    <definedName name="EV_EBITDA_LMT" localSheetId="5">'2'!$G$22</definedName>
    <definedName name="EV_EBITDA_LMT" localSheetId="19">'Factset codes'!$J$20</definedName>
    <definedName name="EV_REVENUE_CY1" localSheetId="15">'1'!$H$21</definedName>
    <definedName name="EV_REVENUE_CY1" localSheetId="5">'2'!$H$21</definedName>
    <definedName name="EV_REVENUE_CY1" localSheetId="19">'Factset codes'!$L$19</definedName>
    <definedName name="EV_REVENUE_CY2" localSheetId="15">'1'!$I$21</definedName>
    <definedName name="EV_REVENUE_CY2" localSheetId="5">'2'!$I$21</definedName>
    <definedName name="EV_REVENUE_CY2" localSheetId="19">'Factset codes'!$N$19</definedName>
    <definedName name="EV_REVENUE_CY3" localSheetId="15">'1'!$J$21</definedName>
    <definedName name="EV_REVENUE_CY3" localSheetId="5">'2'!$J$21</definedName>
    <definedName name="EV_REVENUE_CY3" localSheetId="19">'Factset codes'!$P$19</definedName>
    <definedName name="EV_REVENUE_CY4" localSheetId="15">'1'!$K$21</definedName>
    <definedName name="EV_REVENUE_CY4" localSheetId="5">'2'!$K$21</definedName>
    <definedName name="EV_REVENUE_CY4" localSheetId="19">'Factset codes'!$R$19</definedName>
    <definedName name="EV_REVENUE_LTM" localSheetId="15">'1'!$G$21</definedName>
    <definedName name="EV_REVENUE_LTM" localSheetId="5">'2'!$G$21</definedName>
    <definedName name="EV_REVENUE_LTM" localSheetId="19">'Factset codes'!$J$19</definedName>
    <definedName name="EVR" localSheetId="15">'1'!$G$71</definedName>
    <definedName name="EVR" localSheetId="5">'2'!$G$71</definedName>
    <definedName name="FCF_LTM" localSheetId="15">'1'!$G$17</definedName>
    <definedName name="FCF_LTM" localSheetId="5">'2'!$G$17</definedName>
    <definedName name="FCF_LTM" localSheetId="19">'Factset codes'!$J$15</definedName>
    <definedName name="FX">'M&amp;A'!$C$8</definedName>
    <definedName name="GROSS_DEBT_LTM_EBITDA" localSheetId="15">'1'!$G$26</definedName>
    <definedName name="GROSS_DEBT_LTM_EBITDA" localSheetId="5">'2'!$G$26</definedName>
    <definedName name="GROSS_DEBT_LTM_EBITDA" localSheetId="19">#REF!</definedName>
    <definedName name="ltg" localSheetId="13">[1]DCF!$F$28</definedName>
    <definedName name="ltg" localSheetId="18">[2]DCF!$F$28</definedName>
    <definedName name="ltg">DCF!$F$28</definedName>
    <definedName name="MAIN_CURRENCY" localSheetId="13">[1]Trading_comps!$D$15</definedName>
    <definedName name="MAIN_CURRENCY" localSheetId="18">[2]Trading_comps!$D$14</definedName>
    <definedName name="MAIN_CURRENCY">Trading_comps!$D$15</definedName>
    <definedName name="OTHER_ADJUSTMENTS" localSheetId="15">'1'!$H$9</definedName>
    <definedName name="OTHER_ADJUSTMENTS" localSheetId="5">'2'!$H$9</definedName>
    <definedName name="P_BV" localSheetId="15">'1'!$G$25</definedName>
    <definedName name="P_BV" localSheetId="5">'2'!$G$25</definedName>
    <definedName name="P_BV" localSheetId="19">#REF!</definedName>
    <definedName name="PE_CY1" localSheetId="15">'1'!$H$24</definedName>
    <definedName name="PE_CY1" localSheetId="5">'2'!$H$24</definedName>
    <definedName name="PE_CY1" localSheetId="19">'Factset codes'!$L$22</definedName>
    <definedName name="PE_CY2" localSheetId="15">'1'!$I$24</definedName>
    <definedName name="PE_CY2" localSheetId="5">'2'!$I$24</definedName>
    <definedName name="PE_CY2" localSheetId="19">'Factset codes'!$N$22</definedName>
    <definedName name="PE_CY3" localSheetId="15">'1'!$J$24</definedName>
    <definedName name="PE_CY3" localSheetId="5">'2'!$J$24</definedName>
    <definedName name="PE_CY3" localSheetId="19">'Factset codes'!$P$22</definedName>
    <definedName name="PE_CY4" localSheetId="15">'1'!$K$24</definedName>
    <definedName name="PE_CY4" localSheetId="5">'2'!$K$24</definedName>
    <definedName name="PE_CY4" localSheetId="19">'Factset codes'!$R$22</definedName>
    <definedName name="_xlnm.Print_Area" localSheetId="15">'1'!$A$1:$V$83</definedName>
    <definedName name="_xlnm.Print_Area" localSheetId="5">'2'!$A$1:$V$83</definedName>
    <definedName name="_xlnm.Print_Area" localSheetId="2">Accounting!$A$1:$T$152</definedName>
    <definedName name="_xlnm.Print_Area" localSheetId="3">'Accounting Qualitative'!$A$1:$P$25</definedName>
    <definedName name="_xlnm.Print_Area" localSheetId="7">Checklist!$A$1:$Q$15</definedName>
    <definedName name="_xlnm.Print_Area" localSheetId="8">DCF!$A$1:$S$80</definedName>
    <definedName name="_xlnm.Print_Area" localSheetId="13">ESG!$A$1:$J$49</definedName>
    <definedName name="_xlnm.Print_Area" localSheetId="1">Info!$A$1:$R$29</definedName>
    <definedName name="_xlnm.Print_Area" localSheetId="17">LBO!$A$1:$P$109</definedName>
    <definedName name="_xlnm.Print_Area" localSheetId="16">'M&amp;A'!$A$1:$Q$150</definedName>
    <definedName name="_xlnm.Print_Area" localSheetId="14">'Red Bull Model'!$A$1:$P$141</definedName>
    <definedName name="_xlnm.Print_Area" localSheetId="18">Scratchpad!$A$1:$P$42</definedName>
    <definedName name="_xlnm.Print_Area" localSheetId="11">Synergies!$A$1:$M$32</definedName>
    <definedName name="_xlnm.Print_Area" localSheetId="6">Trading_comps!$A$1:$BH$66</definedName>
    <definedName name="_xlnm.Print_Area" localSheetId="4">Trading_comps_scratch!$A$1:$L$99</definedName>
    <definedName name="_xlnm.Print_Area" localSheetId="10">Transaction_comps!$A$1:$Q$50</definedName>
    <definedName name="_xlnm.Print_Area" localSheetId="12">Valuation_summary!$A$1:$K$78</definedName>
    <definedName name="_xlnm.Print_Area" localSheetId="9">WACC!$A$1:$O$33</definedName>
    <definedName name="_xlnm.Print_Area" localSheetId="0">Welcome!$A$1:$N$9</definedName>
    <definedName name="_xlnm.Print_Titles" localSheetId="2">Accounting!$1:$1</definedName>
    <definedName name="_xlnm.Print_Titles" localSheetId="8">DCF!$1:$3</definedName>
    <definedName name="_xlnm.Print_Titles" localSheetId="17">LBO!$1:$3</definedName>
    <definedName name="_xlnm.Print_Titles" localSheetId="14">'Red Bull Model'!$1:$3</definedName>
    <definedName name="_xlnm.Print_Titles" localSheetId="10">Transaction_comps!$1:$4</definedName>
    <definedName name="ROIC" localSheetId="15">'1'!$C$23</definedName>
    <definedName name="ROIC" localSheetId="5">'2'!$C$23</definedName>
    <definedName name="SALES_CY1" localSheetId="15">'1'!$H$14</definedName>
    <definedName name="SALES_CY1" localSheetId="5">'2'!$H$14</definedName>
    <definedName name="SALES_CY2" localSheetId="15">'1'!$I$14</definedName>
    <definedName name="SALES_CY2" localSheetId="5">'2'!$I$14</definedName>
    <definedName name="SALES_CY3" localSheetId="15">'1'!$J$14</definedName>
    <definedName name="SALES_CY3" localSheetId="5">'2'!$J$14</definedName>
    <definedName name="SALES_CY4" localSheetId="15">'1'!$K$14</definedName>
    <definedName name="SALES_CY4" localSheetId="5">'2'!$K$14</definedName>
    <definedName name="SALES_LTM" localSheetId="15">'1'!$G$14</definedName>
    <definedName name="SALES_LTM" localSheetId="5">'2'!$G$14</definedName>
    <definedName name="SALES_LTM" localSheetId="19">'Factset codes'!$J$12</definedName>
    <definedName name="SHAREPRICE_HIGH" localSheetId="15">'1'!$C$18</definedName>
    <definedName name="SHAREPRICE_HIGH" localSheetId="5">'2'!$C$18</definedName>
    <definedName name="SHAREPRICE_LOW" localSheetId="15">'1'!$C$17</definedName>
    <definedName name="SHAREPRICE_LOW" localSheetId="5">'2'!$C$17</definedName>
    <definedName name="TICKER" localSheetId="15">'1'!$C$5</definedName>
    <definedName name="TICKER" localSheetId="5">'2'!$C$5</definedName>
    <definedName name="TOTAL_DEBT" localSheetId="15">'1'!$H$7</definedName>
    <definedName name="TOTAL_DEBT" localSheetId="5">'2'!$H$7</definedName>
    <definedName name="WACC" localSheetId="13">[1]DCF!$F$29</definedName>
    <definedName name="WACC" localSheetId="18">[2]DCF!$F$29</definedName>
    <definedName name="WACC">DCF!$F$29</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2" i="13" l="1"/>
  <c r="F41" i="13"/>
  <c r="H34" i="13"/>
  <c r="I34" i="13" s="1"/>
  <c r="J34" i="13" s="1"/>
  <c r="K34" i="13" s="1"/>
  <c r="L34" i="13" s="1"/>
  <c r="M34" i="13" s="1"/>
  <c r="N34" i="13" s="1"/>
  <c r="O34" i="13" s="1"/>
  <c r="G22" i="13"/>
  <c r="H22" i="13"/>
  <c r="I23" i="13" s="1"/>
  <c r="I22" i="13"/>
  <c r="J22" i="13"/>
  <c r="J23" i="13" s="1"/>
  <c r="K22" i="13"/>
  <c r="K23" i="13" s="1"/>
  <c r="L22" i="13"/>
  <c r="L23" i="13" s="1"/>
  <c r="M22" i="13"/>
  <c r="N22" i="13"/>
  <c r="O22" i="13"/>
  <c r="O23" i="13" s="1"/>
  <c r="F22" i="13"/>
  <c r="D18" i="13"/>
  <c r="E18" i="13"/>
  <c r="F18" i="13"/>
  <c r="G18" i="13"/>
  <c r="H18" i="13"/>
  <c r="I18" i="13"/>
  <c r="J18" i="13"/>
  <c r="K18" i="13"/>
  <c r="L18" i="13"/>
  <c r="M18" i="13"/>
  <c r="N18" i="13"/>
  <c r="O18" i="13"/>
  <c r="C19" i="13"/>
  <c r="D19" i="13"/>
  <c r="E19" i="13"/>
  <c r="F19" i="13"/>
  <c r="G19" i="13"/>
  <c r="H19" i="13"/>
  <c r="I19" i="13"/>
  <c r="J19" i="13"/>
  <c r="K19" i="13"/>
  <c r="L19" i="13"/>
  <c r="M19" i="13"/>
  <c r="N19" i="13"/>
  <c r="O19" i="13"/>
  <c r="M64" i="18"/>
  <c r="K92" i="18"/>
  <c r="L92" i="18"/>
  <c r="K93" i="18"/>
  <c r="L93" i="18"/>
  <c r="J93" i="18"/>
  <c r="J92" i="18"/>
  <c r="E93" i="18"/>
  <c r="F93" i="18"/>
  <c r="D93" i="18"/>
  <c r="E92" i="18"/>
  <c r="F92" i="18"/>
  <c r="D92" i="18"/>
  <c r="E58" i="18"/>
  <c r="F58" i="18"/>
  <c r="D58" i="18"/>
  <c r="E54" i="18"/>
  <c r="F54" i="18"/>
  <c r="D54" i="18"/>
  <c r="E51" i="18"/>
  <c r="F51" i="18"/>
  <c r="D51" i="18"/>
  <c r="E50" i="18"/>
  <c r="F50" i="18"/>
  <c r="D50" i="18"/>
  <c r="E47" i="18"/>
  <c r="F47" i="18"/>
  <c r="D47" i="18"/>
  <c r="E46" i="18"/>
  <c r="F46" i="18"/>
  <c r="D46" i="18"/>
  <c r="E43" i="18"/>
  <c r="E48" i="18" s="1"/>
  <c r="F43" i="18"/>
  <c r="F48" i="18" s="1"/>
  <c r="D43" i="18"/>
  <c r="D41" i="18"/>
  <c r="E41" i="18"/>
  <c r="F41" i="18"/>
  <c r="D42" i="18"/>
  <c r="E42" i="18"/>
  <c r="F42" i="18"/>
  <c r="C42" i="18"/>
  <c r="C41" i="18"/>
  <c r="H36" i="18"/>
  <c r="C37" i="18"/>
  <c r="E32" i="18"/>
  <c r="F32" i="18"/>
  <c r="D32" i="18"/>
  <c r="E31" i="18"/>
  <c r="F31" i="18"/>
  <c r="D31" i="18"/>
  <c r="O24" i="18"/>
  <c r="P24" i="18"/>
  <c r="N24" i="18"/>
  <c r="N21" i="18"/>
  <c r="O21" i="18"/>
  <c r="P21" i="18"/>
  <c r="N22" i="18"/>
  <c r="O22" i="18"/>
  <c r="P22" i="18"/>
  <c r="N23" i="18"/>
  <c r="O23" i="18"/>
  <c r="P23" i="18"/>
  <c r="M22" i="18"/>
  <c r="M23" i="18"/>
  <c r="M21" i="18"/>
  <c r="D24" i="18"/>
  <c r="E24" i="18"/>
  <c r="F24" i="18"/>
  <c r="C24" i="18"/>
  <c r="D23" i="18"/>
  <c r="E23" i="18"/>
  <c r="F23" i="18"/>
  <c r="C23" i="18"/>
  <c r="D22" i="18"/>
  <c r="E22" i="18"/>
  <c r="F22" i="18"/>
  <c r="C22" i="18"/>
  <c r="D21" i="18"/>
  <c r="E21" i="18"/>
  <c r="F21" i="18"/>
  <c r="C21" i="18"/>
  <c r="M17" i="18"/>
  <c r="M16" i="18"/>
  <c r="M15" i="18"/>
  <c r="M14" i="18"/>
  <c r="M13" i="18"/>
  <c r="M12" i="18"/>
  <c r="M10" i="18"/>
  <c r="M9" i="18"/>
  <c r="M8" i="18"/>
  <c r="M7" i="18"/>
  <c r="C16" i="18"/>
  <c r="C15" i="18"/>
  <c r="C14" i="18"/>
  <c r="C13" i="18"/>
  <c r="C17" i="18" s="1"/>
  <c r="C36" i="18" s="1"/>
  <c r="C10" i="18"/>
  <c r="P84" i="4"/>
  <c r="O60" i="4"/>
  <c r="P60" i="4"/>
  <c r="O43" i="4"/>
  <c r="P43" i="4"/>
  <c r="P53" i="4" s="1"/>
  <c r="P40" i="4"/>
  <c r="O52" i="4"/>
  <c r="P98" i="4"/>
  <c r="P94" i="4"/>
  <c r="P79" i="4"/>
  <c r="P69" i="4"/>
  <c r="P81" i="4" s="1"/>
  <c r="P57" i="4"/>
  <c r="P50" i="4"/>
  <c r="P37" i="4"/>
  <c r="P34" i="4"/>
  <c r="S79" i="4"/>
  <c r="R79" i="4"/>
  <c r="R46" i="4"/>
  <c r="S46" i="4"/>
  <c r="P22" i="13"/>
  <c r="G24" i="18"/>
  <c r="D14" i="18"/>
  <c r="G46" i="18"/>
  <c r="Q23" i="18"/>
  <c r="G42" i="18"/>
  <c r="G21" i="18"/>
  <c r="G31" i="18"/>
  <c r="Q84" i="4"/>
  <c r="N15" i="18"/>
  <c r="N8" i="18"/>
  <c r="D16" i="18"/>
  <c r="D17" i="18"/>
  <c r="G92" i="18"/>
  <c r="Q22" i="18"/>
  <c r="G41" i="18"/>
  <c r="G50" i="18"/>
  <c r="G47" i="18"/>
  <c r="G32" i="18"/>
  <c r="D10" i="18"/>
  <c r="D36" i="18"/>
  <c r="G42" i="13"/>
  <c r="D37" i="18"/>
  <c r="G43" i="18"/>
  <c r="G48" i="18"/>
  <c r="G58" i="18"/>
  <c r="Q24" i="18"/>
  <c r="G41" i="13"/>
  <c r="G23" i="18"/>
  <c r="N7" i="18"/>
  <c r="G54" i="18"/>
  <c r="G22" i="18"/>
  <c r="N14" i="18"/>
  <c r="N16" i="18"/>
  <c r="P34" i="13"/>
  <c r="N17" i="18"/>
  <c r="I36" i="18"/>
  <c r="Q21" i="18"/>
  <c r="N10" i="18"/>
  <c r="D13" i="18"/>
  <c r="G51" i="18"/>
  <c r="P23" i="13"/>
  <c r="N9" i="18"/>
  <c r="N12" i="18"/>
  <c r="D15" i="18"/>
  <c r="G93" i="18"/>
  <c r="N13" i="18"/>
  <c r="G23" i="13" l="1"/>
  <c r="N23" i="13"/>
  <c r="M23" i="13"/>
  <c r="H23" i="13"/>
  <c r="D44" i="18"/>
  <c r="F44" i="18"/>
  <c r="D48" i="18"/>
  <c r="E44" i="18"/>
  <c r="C35" i="18"/>
  <c r="P99" i="4"/>
  <c r="P45" i="4"/>
  <c r="P47" i="4" s="1"/>
  <c r="P52" i="4"/>
  <c r="P54" i="4" s="1"/>
  <c r="D17" i="29"/>
  <c r="C17" i="29"/>
  <c r="G44" i="18"/>
  <c r="D35" i="18"/>
  <c r="E94" i="18" l="1"/>
  <c r="K94" i="18" s="1"/>
  <c r="F94" i="18"/>
  <c r="C38" i="18"/>
  <c r="D94" i="18"/>
  <c r="J94" i="18" s="1"/>
  <c r="H35" i="18"/>
  <c r="L71" i="18"/>
  <c r="L72" i="18"/>
  <c r="L73" i="18"/>
  <c r="L76" i="18"/>
  <c r="L68" i="18"/>
  <c r="L70" i="18"/>
  <c r="I35" i="18"/>
  <c r="G94" i="18"/>
  <c r="D38" i="18"/>
  <c r="E55" i="18" l="1"/>
  <c r="E56" i="18" s="1"/>
  <c r="F55" i="18"/>
  <c r="D55" i="18"/>
  <c r="H37" i="18"/>
  <c r="L94" i="18"/>
  <c r="L69" i="18"/>
  <c r="L75" i="18"/>
  <c r="L74" i="18"/>
  <c r="P67" i="18"/>
  <c r="Q67" i="18" s="1"/>
  <c r="N67" i="18"/>
  <c r="M67" i="18"/>
  <c r="I37" i="18"/>
  <c r="G55" i="18"/>
  <c r="D56" i="18" l="1"/>
  <c r="E49" i="18"/>
  <c r="E52" i="18" s="1"/>
  <c r="E59" i="18" s="1"/>
  <c r="F49" i="18"/>
  <c r="D49" i="18"/>
  <c r="D52" i="18" s="1"/>
  <c r="H38" i="18"/>
  <c r="F56" i="18"/>
  <c r="BC35" i="10"/>
  <c r="BC25" i="10"/>
  <c r="BC26" i="10"/>
  <c r="BC27" i="10"/>
  <c r="BC28" i="10"/>
  <c r="BC29" i="10"/>
  <c r="BC30" i="10"/>
  <c r="BC31" i="10"/>
  <c r="BC32" i="10"/>
  <c r="BC33" i="10"/>
  <c r="BD33" i="10"/>
  <c r="BB33" i="10"/>
  <c r="AY33" i="10"/>
  <c r="AE33" i="10"/>
  <c r="AF33" i="10"/>
  <c r="AG33" i="10"/>
  <c r="AI33" i="10"/>
  <c r="AJ33" i="10"/>
  <c r="AK33" i="10"/>
  <c r="AM33" i="10"/>
  <c r="AN33" i="10"/>
  <c r="AO33" i="10"/>
  <c r="F33" i="10"/>
  <c r="G49" i="18"/>
  <c r="I38" i="18"/>
  <c r="G56" i="18"/>
  <c r="D59" i="18" l="1"/>
  <c r="D60" i="18" s="1"/>
  <c r="E61" i="18"/>
  <c r="E60" i="18"/>
  <c r="F52" i="18"/>
  <c r="C27" i="17"/>
  <c r="D27" i="17"/>
  <c r="G52" i="18"/>
  <c r="D61" i="18" l="1"/>
  <c r="F59" i="18"/>
  <c r="F6" i="16"/>
  <c r="F10" i="16"/>
  <c r="D20" i="14"/>
  <c r="G59" i="18"/>
  <c r="F61" i="18" l="1"/>
  <c r="F60" i="18"/>
  <c r="L67" i="18" s="1"/>
  <c r="C10" i="5"/>
  <c r="J132" i="4"/>
  <c r="J71" i="4"/>
  <c r="I71" i="4"/>
  <c r="H95" i="24"/>
  <c r="I95" i="24"/>
  <c r="G95" i="24"/>
  <c r="I59" i="24"/>
  <c r="H59" i="24"/>
  <c r="G59" i="24"/>
  <c r="G61" i="18"/>
  <c r="G60" i="18"/>
  <c r="C67" i="18" l="1"/>
  <c r="S50" i="4"/>
  <c r="R50" i="4"/>
  <c r="S37" i="4"/>
  <c r="R37" i="4"/>
  <c r="S36" i="4"/>
  <c r="R36" i="4"/>
  <c r="C84" i="20" l="1"/>
  <c r="C85" i="20" s="1"/>
  <c r="C86" i="20" s="1"/>
  <c r="C87" i="20" s="1"/>
  <c r="C88" i="20" s="1"/>
  <c r="C89" i="20" s="1"/>
  <c r="C90" i="20" s="1"/>
  <c r="C91" i="20" s="1"/>
  <c r="C92" i="20" l="1"/>
  <c r="C93" i="20" s="1"/>
  <c r="C94" i="20" s="1"/>
  <c r="C95" i="20" s="1"/>
  <c r="C40" i="17"/>
  <c r="C96" i="20" l="1"/>
  <c r="C97" i="20" s="1"/>
  <c r="C98" i="20" s="1"/>
  <c r="C99" i="20" s="1"/>
  <c r="C100" i="20" s="1"/>
  <c r="C101" i="20" s="1"/>
  <c r="C102" i="20" s="1"/>
  <c r="C103" i="20" s="1"/>
  <c r="D40" i="17"/>
  <c r="D131" i="12" l="1"/>
  <c r="E131" i="12"/>
  <c r="F131" i="12"/>
  <c r="C131" i="12"/>
  <c r="F3" i="12" l="1"/>
  <c r="L29" i="15"/>
  <c r="H64" i="13" l="1"/>
  <c r="H11" i="14" l="1"/>
  <c r="F11" i="14"/>
  <c r="E11" i="14"/>
  <c r="J10" i="14"/>
  <c r="J9" i="14"/>
  <c r="I10" i="14"/>
  <c r="H10" i="14"/>
  <c r="H9" i="14"/>
  <c r="F10" i="14"/>
  <c r="F9" i="14"/>
  <c r="E10" i="14"/>
  <c r="E9" i="14"/>
  <c r="D10" i="14"/>
  <c r="D9" i="14"/>
  <c r="C10" i="14"/>
  <c r="C9" i="14"/>
  <c r="B31" i="15"/>
  <c r="C31" i="15"/>
  <c r="D31" i="15"/>
  <c r="E31" i="15"/>
  <c r="F31" i="15"/>
  <c r="G31" i="15"/>
  <c r="H31" i="15"/>
  <c r="L31" i="15"/>
  <c r="O31" i="15"/>
  <c r="K11" i="14" l="1"/>
  <c r="K9" i="14"/>
  <c r="K10" i="14"/>
  <c r="B32" i="15"/>
  <c r="C32" i="15"/>
  <c r="D32" i="15"/>
  <c r="E32" i="15"/>
  <c r="F32" i="15"/>
  <c r="G32" i="15"/>
  <c r="H32" i="15"/>
  <c r="I32" i="15"/>
  <c r="J32" i="15"/>
  <c r="O32" i="15"/>
  <c r="B29" i="15"/>
  <c r="C29" i="15"/>
  <c r="D29" i="15"/>
  <c r="E29" i="15"/>
  <c r="F29" i="15"/>
  <c r="G29" i="15"/>
  <c r="H29" i="15"/>
  <c r="O29" i="15"/>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5" i="12"/>
  <c r="D25" i="12"/>
  <c r="E15" i="12"/>
  <c r="E25" i="12"/>
  <c r="C25" i="12"/>
  <c r="C130" i="12"/>
  <c r="C15" i="12"/>
  <c r="D23" i="12"/>
  <c r="E26" i="12"/>
  <c r="E130" i="12"/>
  <c r="E12" i="12"/>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BF24" i="10"/>
  <c r="D24" i="10"/>
  <c r="AZ24" i="10"/>
  <c r="E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G24" i="10"/>
  <c r="K24" i="10"/>
  <c r="BH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A24" i="10"/>
  <c r="BD24" i="10"/>
  <c r="S24" i="10"/>
  <c r="K8" i="14" l="1"/>
  <c r="L8" i="14"/>
  <c r="G8" i="14"/>
  <c r="G21" i="25"/>
  <c r="G23" i="25"/>
  <c r="G73" i="25"/>
  <c r="G72" i="25"/>
  <c r="G22" i="25"/>
  <c r="G26" i="25"/>
  <c r="K62" i="25"/>
  <c r="J64" i="25"/>
  <c r="J63" i="25"/>
  <c r="J79" i="25"/>
  <c r="I80" i="25" s="1"/>
  <c r="AA24" i="10"/>
  <c r="O24" i="10"/>
  <c r="W24" i="10"/>
  <c r="H24" i="10"/>
  <c r="AY24" i="10" l="1"/>
  <c r="AI24" i="10"/>
  <c r="AM24" i="10"/>
  <c r="AE24" i="10"/>
  <c r="J80" i="25"/>
  <c r="K80" i="25"/>
  <c r="J17" i="25" s="1"/>
  <c r="J24" i="25" s="1"/>
  <c r="I67" i="25"/>
  <c r="H16" i="25"/>
  <c r="H14" i="25"/>
  <c r="I68" i="25"/>
  <c r="H15" i="25"/>
  <c r="H17" i="25"/>
  <c r="H24" i="25" s="1"/>
  <c r="L80" i="25"/>
  <c r="K64" i="25"/>
  <c r="K63" i="25"/>
  <c r="AB24" i="10"/>
  <c r="P24" i="10"/>
  <c r="L24" i="10"/>
  <c r="I24" i="10"/>
  <c r="AU24" i="10"/>
  <c r="AQ24" i="10"/>
  <c r="T24" i="10"/>
  <c r="X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AC24" i="10"/>
  <c r="J24" i="10"/>
  <c r="M24" i="10"/>
  <c r="Q24" i="10"/>
  <c r="U24" i="10"/>
  <c r="AV24" i="10"/>
  <c r="AR24" i="10"/>
  <c r="Y24" i="10"/>
  <c r="BC24" i="10" l="1"/>
  <c r="AO24" i="10"/>
  <c r="AG24" i="10"/>
  <c r="AK24" i="10"/>
  <c r="I22" i="25"/>
  <c r="I21" i="25"/>
  <c r="AW24" i="10"/>
  <c r="AS24" i="10"/>
  <c r="J8" i="14" l="1"/>
  <c r="M8" i="14" s="1"/>
  <c r="J7" i="14"/>
  <c r="F115" i="12" l="1"/>
  <c r="C136" i="12"/>
  <c r="C139" i="12" s="1"/>
  <c r="D136" i="12"/>
  <c r="D139" i="12" s="1"/>
  <c r="E136" i="12"/>
  <c r="E139" i="12" s="1"/>
  <c r="F136" i="12"/>
  <c r="F139" i="12" s="1"/>
  <c r="C123" i="12" l="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P20" i="18"/>
  <c r="O20" i="18"/>
  <c r="N20" i="18"/>
  <c r="M20" i="18"/>
  <c r="J10" i="18"/>
  <c r="A1" i="18"/>
  <c r="B51" i="17"/>
  <c r="B47" i="17"/>
  <c r="B46" i="17"/>
  <c r="C48" i="17"/>
  <c r="C6" i="17"/>
  <c r="C5" i="17"/>
  <c r="H21" i="16"/>
  <c r="I21" i="16" s="1"/>
  <c r="I2" i="16"/>
  <c r="H2" i="16"/>
  <c r="G2" i="16"/>
  <c r="F2" i="16"/>
  <c r="E2" i="16"/>
  <c r="D2" i="16"/>
  <c r="C2" i="16"/>
  <c r="A1" i="16"/>
  <c r="O30" i="15"/>
  <c r="I30" i="15"/>
  <c r="H30" i="15"/>
  <c r="G30" i="15"/>
  <c r="F30" i="15"/>
  <c r="E30" i="15"/>
  <c r="D30" i="15"/>
  <c r="C30" i="15"/>
  <c r="B30" i="15"/>
  <c r="K22" i="15"/>
  <c r="K32" i="15" s="1"/>
  <c r="K20" i="15"/>
  <c r="K19" i="15"/>
  <c r="K18" i="15"/>
  <c r="I18" i="15"/>
  <c r="J18" i="15" s="1"/>
  <c r="K16" i="15"/>
  <c r="K31" i="15" s="1"/>
  <c r="I16" i="15"/>
  <c r="I31" i="15" s="1"/>
  <c r="I15" i="15"/>
  <c r="I14" i="15"/>
  <c r="L13" i="15"/>
  <c r="L30" i="15" s="1"/>
  <c r="K13" i="15"/>
  <c r="K30" i="15" s="1"/>
  <c r="J13" i="15"/>
  <c r="J30" i="15" s="1"/>
  <c r="K12" i="15"/>
  <c r="I12" i="15"/>
  <c r="J12" i="15" s="1"/>
  <c r="N11" i="15"/>
  <c r="K11" i="15"/>
  <c r="K29" i="15" s="1"/>
  <c r="I11" i="15"/>
  <c r="I29" i="15" s="1"/>
  <c r="K10" i="15"/>
  <c r="I10" i="15"/>
  <c r="J10" i="15" s="1"/>
  <c r="K9" i="15"/>
  <c r="I9" i="15"/>
  <c r="J9" i="15" s="1"/>
  <c r="I8" i="15"/>
  <c r="N7" i="15"/>
  <c r="K7" i="15"/>
  <c r="I7" i="15"/>
  <c r="J7" i="15" s="1"/>
  <c r="D27" i="14"/>
  <c r="H73" i="13"/>
  <c r="I55" i="13"/>
  <c r="J55" i="13" s="1"/>
  <c r="G55" i="13"/>
  <c r="F55" i="13" s="1"/>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C43" i="5"/>
  <c r="H43" i="5" s="1"/>
  <c r="J39" i="5"/>
  <c r="G39" i="5"/>
  <c r="P37" i="5"/>
  <c r="P36" i="5"/>
  <c r="P35" i="5"/>
  <c r="P34" i="5"/>
  <c r="P33" i="5"/>
  <c r="P32" i="5"/>
  <c r="P31" i="5"/>
  <c r="P30" i="5"/>
  <c r="G20" i="5"/>
  <c r="E13" i="5"/>
  <c r="C13" i="5"/>
  <c r="G60" i="5" s="1"/>
  <c r="H9" i="5"/>
  <c r="C9" i="5"/>
  <c r="H8" i="5"/>
  <c r="C8" i="5"/>
  <c r="K13" i="5" s="1"/>
  <c r="K20" i="5" s="1"/>
  <c r="H7" i="5"/>
  <c r="C7" i="5"/>
  <c r="E5" i="5"/>
  <c r="A1" i="4"/>
  <c r="A1" i="3"/>
  <c r="A7" i="2"/>
  <c r="D123" i="12" l="1"/>
  <c r="E123" i="12"/>
  <c r="I64" i="13"/>
  <c r="J64" i="13" s="1"/>
  <c r="G64" i="13"/>
  <c r="F64" i="13" s="1"/>
  <c r="J11" i="15"/>
  <c r="J29" i="15" s="1"/>
  <c r="J16" i="15"/>
  <c r="J31" i="15" s="1"/>
  <c r="D28" i="14"/>
  <c r="I73" i="13"/>
  <c r="J73" i="13" s="1"/>
  <c r="G73" i="13"/>
  <c r="F73" i="13" s="1"/>
  <c r="I62" i="5"/>
  <c r="I63" i="5" s="1"/>
  <c r="C55" i="5"/>
  <c r="G53" i="5"/>
  <c r="C64" i="5"/>
  <c r="H81" i="5"/>
  <c r="D38" i="5"/>
  <c r="D39" i="5" s="1"/>
  <c r="C23" i="5" s="1"/>
  <c r="P38" i="5"/>
  <c r="D34" i="5" s="1"/>
  <c r="D35" i="5" s="1"/>
  <c r="G43" i="5"/>
  <c r="I43" i="5"/>
  <c r="J43" i="5" s="1"/>
  <c r="K43" i="5" s="1"/>
  <c r="L43" i="5" s="1"/>
  <c r="H60" i="5"/>
  <c r="L11" i="14"/>
  <c r="M11" i="14" s="1"/>
  <c r="U21" i="10"/>
  <c r="AO21" i="10" s="1"/>
  <c r="H13" i="5"/>
  <c r="H20" i="5" s="1"/>
  <c r="L10" i="14"/>
  <c r="J13" i="5"/>
  <c r="J20" i="5" s="1"/>
  <c r="AJ21" i="10"/>
  <c r="AJ38" i="10" s="1"/>
  <c r="E23" i="10"/>
  <c r="BG23" i="10"/>
  <c r="BA23" i="10"/>
  <c r="I64" i="5" l="1"/>
  <c r="J62" i="5"/>
  <c r="F7" i="14"/>
  <c r="AZ23" i="10"/>
  <c r="C23" i="10"/>
  <c r="AZ40" i="10" l="1"/>
  <c r="C7" i="14"/>
  <c r="G64" i="5"/>
  <c r="G68" i="5" s="1"/>
  <c r="H64" i="5"/>
  <c r="C22" i="5"/>
  <c r="G16" i="5"/>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E125" i="12"/>
  <c r="C125" i="12"/>
  <c r="G81" i="12"/>
  <c r="D8" i="13"/>
  <c r="E8" i="13"/>
  <c r="D3" i="12"/>
  <c r="G39" i="12"/>
  <c r="F3" i="20"/>
  <c r="C9" i="17"/>
  <c r="C8" i="13"/>
  <c r="G3" i="12"/>
  <c r="I88" i="12"/>
  <c r="I119" i="12" s="1"/>
  <c r="H110" i="12"/>
  <c r="G119" i="12"/>
  <c r="G110" i="12"/>
  <c r="H119" i="12"/>
  <c r="E48" i="17"/>
  <c r="C40" i="10"/>
  <c r="F23" i="10"/>
  <c r="K23" i="10"/>
  <c r="BF23" i="10"/>
  <c r="I7" i="14" l="1"/>
  <c r="BH23" i="10"/>
  <c r="D7" i="14" l="1"/>
  <c r="G26" i="5" l="1"/>
  <c r="BD23" i="10"/>
  <c r="S23" i="10"/>
  <c r="BE23" i="10"/>
  <c r="H7" i="14" l="1"/>
  <c r="D48" i="17"/>
  <c r="D29" i="17"/>
  <c r="C29" i="17"/>
  <c r="B49" i="17" s="1"/>
  <c r="G7" i="14"/>
  <c r="H63" i="5"/>
  <c r="G63" i="5"/>
  <c r="G67" i="5" s="1"/>
  <c r="K64" i="5"/>
  <c r="K63" i="5"/>
  <c r="K79" i="5"/>
  <c r="I79" i="5"/>
  <c r="H6" i="5"/>
  <c r="G25" i="5"/>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AA23" i="10"/>
  <c r="W23" i="10"/>
  <c r="O23" i="10"/>
  <c r="AY23" i="10" l="1"/>
  <c r="AY40" i="10" s="1"/>
  <c r="J80" i="5"/>
  <c r="I14" i="5" s="1"/>
  <c r="L80" i="5"/>
  <c r="K16" i="5" s="1"/>
  <c r="K23" i="5" s="1"/>
  <c r="I80" i="5"/>
  <c r="I68" i="5" s="1"/>
  <c r="K68" i="5"/>
  <c r="J17" i="5"/>
  <c r="J15" i="5"/>
  <c r="J14" i="5"/>
  <c r="K67" i="5"/>
  <c r="J16" i="5"/>
  <c r="G71" i="5"/>
  <c r="G21" i="5"/>
  <c r="G22" i="5"/>
  <c r="G23" i="5"/>
  <c r="K110" i="12"/>
  <c r="L88" i="12"/>
  <c r="I3" i="20"/>
  <c r="J3" i="12"/>
  <c r="K119" i="12"/>
  <c r="G3" i="13"/>
  <c r="B44" i="13"/>
  <c r="C62" i="13" s="1"/>
  <c r="G23" i="10"/>
  <c r="E7" i="14" l="1"/>
  <c r="K7" i="14" s="1"/>
  <c r="K13" i="14" s="1"/>
  <c r="D21" i="14" s="1"/>
  <c r="H23" i="10"/>
  <c r="L7" i="14" l="1"/>
  <c r="AI23" i="10"/>
  <c r="AI40" i="10" s="1"/>
  <c r="AM23" i="10"/>
  <c r="AE23" i="10"/>
  <c r="AE40" i="10" s="1"/>
  <c r="I21" i="5"/>
  <c r="I16" i="5"/>
  <c r="K14" i="5"/>
  <c r="K21" i="5" s="1"/>
  <c r="K15" i="5"/>
  <c r="K22" i="5" s="1"/>
  <c r="K17" i="5"/>
  <c r="K24" i="5" s="1"/>
  <c r="J68" i="5"/>
  <c r="J67" i="5"/>
  <c r="I15" i="5"/>
  <c r="I17" i="5"/>
  <c r="H16" i="5"/>
  <c r="I67" i="5"/>
  <c r="H17" i="5"/>
  <c r="H14" i="5"/>
  <c r="H15" i="5"/>
  <c r="J21" i="5"/>
  <c r="J23" i="5"/>
  <c r="AC23" i="10"/>
  <c r="P23" i="10"/>
  <c r="T23" i="10"/>
  <c r="L23" i="10"/>
  <c r="AU23" i="10"/>
  <c r="AM40" i="10" l="1"/>
  <c r="I22" i="5"/>
  <c r="H23" i="5"/>
  <c r="I23" i="5"/>
  <c r="H22" i="5"/>
  <c r="BB23" i="10"/>
  <c r="AF23" i="10"/>
  <c r="AF40" i="10" s="1"/>
  <c r="AN23" i="10"/>
  <c r="AJ23" i="10"/>
  <c r="J24" i="5"/>
  <c r="H21" i="5"/>
  <c r="J22" i="5"/>
  <c r="H24" i="5"/>
  <c r="I24" i="5"/>
  <c r="AU40" i="10"/>
  <c r="M7" i="14"/>
  <c r="K72" i="5"/>
  <c r="J72" i="5"/>
  <c r="J73" i="5"/>
  <c r="K73" i="5"/>
  <c r="G72" i="5"/>
  <c r="G73" i="5"/>
  <c r="I73" i="5"/>
  <c r="I72" i="5"/>
  <c r="M88" i="12"/>
  <c r="M119" i="12" s="1"/>
  <c r="L110" i="12"/>
  <c r="L119" i="12"/>
  <c r="J3" i="20"/>
  <c r="K3" i="12"/>
  <c r="J106" i="12"/>
  <c r="B45" i="13"/>
  <c r="H3" i="13"/>
  <c r="AQ23" i="10"/>
  <c r="Y23" i="10"/>
  <c r="AB23" i="10"/>
  <c r="Q23" i="10"/>
  <c r="M23" i="10"/>
  <c r="U23" i="10"/>
  <c r="X23" i="10"/>
  <c r="BC23" i="10" l="1"/>
  <c r="D29" i="14"/>
  <c r="AQ40" i="10"/>
  <c r="AO23" i="10"/>
  <c r="AG23" i="10"/>
  <c r="AG40" i="10" s="1"/>
  <c r="AK23" i="10"/>
  <c r="AV23" i="10"/>
  <c r="I23" i="10"/>
  <c r="AS23" i="10"/>
  <c r="D24" i="14" l="1"/>
  <c r="M13" i="14"/>
  <c r="C16" i="17"/>
  <c r="D16" i="17"/>
  <c r="AN40" i="10"/>
  <c r="AO40" i="10"/>
  <c r="AO43" i="10" s="1"/>
  <c r="AS40" i="10"/>
  <c r="AV40" i="10"/>
  <c r="AJ40" i="10"/>
  <c r="AK40" i="10"/>
  <c r="AK43" i="10" s="1"/>
  <c r="I40" i="10"/>
  <c r="K3" i="20"/>
  <c r="L3" i="12"/>
  <c r="B46" i="13"/>
  <c r="I3" i="13"/>
  <c r="J3" i="13" s="1"/>
  <c r="K3" i="13" s="1"/>
  <c r="L3" i="13" s="1"/>
  <c r="M3" i="13" s="1"/>
  <c r="N3" i="13" s="1"/>
  <c r="O3" i="13" s="1"/>
  <c r="K106" i="12"/>
  <c r="N88" i="12"/>
  <c r="N119" i="12" s="1"/>
  <c r="M110" i="12"/>
  <c r="AR23" i="10"/>
  <c r="AR40" i="10" l="1"/>
  <c r="J23" i="10"/>
  <c r="J40" i="10" l="1"/>
  <c r="J43" i="10" s="1"/>
  <c r="AW23" i="10"/>
  <c r="AW40" i="10" l="1"/>
  <c r="D21" i="17"/>
  <c r="D20" i="17" s="1"/>
  <c r="C21" i="17"/>
  <c r="C20" i="17" s="1"/>
  <c r="D19" i="14"/>
  <c r="D22" i="14" s="1"/>
  <c r="D15" i="17"/>
  <c r="C15" i="17"/>
  <c r="O88" i="12"/>
  <c r="N110" i="12"/>
  <c r="M106" i="12"/>
  <c r="L106" i="12"/>
  <c r="L3" i="20"/>
  <c r="M3" i="12"/>
  <c r="O110" i="12" l="1"/>
  <c r="N106" i="12"/>
  <c r="M3" i="20"/>
  <c r="N3" i="12"/>
  <c r="O119" i="12"/>
  <c r="D23" i="14" l="1"/>
  <c r="O106" i="12"/>
  <c r="N3" i="20"/>
  <c r="O3" i="12"/>
  <c r="O3" i="20" s="1"/>
  <c r="D31" i="14" l="1"/>
  <c r="F29" i="13" s="1"/>
  <c r="G29" i="13"/>
  <c r="I35" i="13" l="1"/>
  <c r="J35" i="13"/>
  <c r="K35" i="13"/>
  <c r="L35" i="13"/>
  <c r="H35" i="13"/>
  <c r="M35" i="13"/>
  <c r="N35" i="13"/>
  <c r="O35" i="13"/>
  <c r="G35" i="13"/>
  <c r="F51" i="13"/>
  <c r="E58" i="13" s="1"/>
  <c r="F7" i="16" l="1"/>
  <c r="E67" i="13"/>
  <c r="E76" i="13"/>
  <c r="E59" i="13"/>
  <c r="E57" i="13"/>
  <c r="P35" i="13"/>
  <c r="B48" i="17" l="1"/>
  <c r="F17" i="16"/>
  <c r="E77" i="13"/>
  <c r="E78" i="13" s="1"/>
  <c r="E75" i="13"/>
  <c r="E74" i="13" s="1"/>
  <c r="E66" i="13"/>
  <c r="E65" i="13" s="1"/>
  <c r="E68" i="13"/>
  <c r="E69" i="13" s="1"/>
  <c r="C26" i="17"/>
  <c r="E56" i="13"/>
  <c r="E60" i="13"/>
  <c r="D26" i="17"/>
  <c r="G22" i="16" l="1"/>
  <c r="H58" i="17"/>
  <c r="I22" i="16"/>
  <c r="H22" i="16"/>
  <c r="H55" i="17" l="1"/>
  <c r="G50" i="12" l="1"/>
  <c r="H50" i="12" s="1"/>
  <c r="I50" i="12" l="1"/>
  <c r="H54" i="12"/>
  <c r="F54" i="12"/>
  <c r="F16" i="12" s="1"/>
  <c r="G54" i="12"/>
  <c r="F8" i="12"/>
  <c r="H55" i="12" l="1"/>
  <c r="H75" i="12"/>
  <c r="H77" i="12"/>
  <c r="I54" i="12"/>
  <c r="J50" i="12"/>
  <c r="F9" i="16"/>
  <c r="H13" i="16" s="1"/>
  <c r="H15" i="16" s="1"/>
  <c r="H16" i="16" s="1"/>
  <c r="H23" i="16" s="1"/>
  <c r="F130" i="12"/>
  <c r="F23" i="12"/>
  <c r="F56" i="12"/>
  <c r="F60" i="12" s="1"/>
  <c r="D38" i="15" s="1"/>
  <c r="F12" i="12"/>
  <c r="D37" i="15"/>
  <c r="F25" i="12"/>
  <c r="F15" i="12"/>
  <c r="K35" i="10"/>
  <c r="F26" i="12"/>
  <c r="C10" i="17"/>
  <c r="F14" i="12"/>
  <c r="F127" i="12"/>
  <c r="G12" i="12"/>
  <c r="G38" i="12"/>
  <c r="G55" i="12"/>
  <c r="G56" i="12" s="1"/>
  <c r="G58" i="12"/>
  <c r="G75" i="12"/>
  <c r="G77" i="12"/>
  <c r="L35" i="10"/>
  <c r="D10" i="17"/>
  <c r="G59" i="12"/>
  <c r="K50" i="12" l="1"/>
  <c r="J54" i="12"/>
  <c r="I55" i="12"/>
  <c r="I75" i="12"/>
  <c r="I77" i="12"/>
  <c r="H76" i="12"/>
  <c r="H85" i="12"/>
  <c r="G13" i="16"/>
  <c r="G15" i="16" s="1"/>
  <c r="G16" i="16" s="1"/>
  <c r="G23" i="16" s="1"/>
  <c r="I13" i="16"/>
  <c r="F63" i="12"/>
  <c r="C11" i="17"/>
  <c r="C41" i="17" s="1"/>
  <c r="C51" i="17" s="1"/>
  <c r="D39" i="15"/>
  <c r="F137" i="12"/>
  <c r="F124" i="12"/>
  <c r="F7" i="13"/>
  <c r="F138" i="12"/>
  <c r="AY35" i="10"/>
  <c r="O35" i="10"/>
  <c r="G76" i="12"/>
  <c r="G85" i="12"/>
  <c r="G102" i="12" s="1"/>
  <c r="G40" i="12"/>
  <c r="G105" i="12"/>
  <c r="G101" i="12"/>
  <c r="BB35" i="10"/>
  <c r="G99" i="12"/>
  <c r="F8" i="13"/>
  <c r="F68" i="12"/>
  <c r="F123" i="12"/>
  <c r="S35" i="10"/>
  <c r="H101" i="12"/>
  <c r="H99" i="12"/>
  <c r="H58" i="12"/>
  <c r="H38" i="12"/>
  <c r="H105" i="12" s="1"/>
  <c r="E10" i="17"/>
  <c r="H12" i="12"/>
  <c r="M35" i="10"/>
  <c r="H59" i="12"/>
  <c r="G60" i="12"/>
  <c r="I85" i="12" l="1"/>
  <c r="I76" i="12"/>
  <c r="J55" i="12"/>
  <c r="J75" i="12"/>
  <c r="J77" i="12"/>
  <c r="L50" i="12"/>
  <c r="K54" i="12"/>
  <c r="D41" i="17"/>
  <c r="E51" i="17" s="1"/>
  <c r="I15" i="16"/>
  <c r="I16" i="16" s="1"/>
  <c r="I19" i="16" s="1"/>
  <c r="L20" i="15"/>
  <c r="L26" i="15"/>
  <c r="L24" i="15"/>
  <c r="L21" i="15"/>
  <c r="L19" i="15"/>
  <c r="L22" i="15"/>
  <c r="L32" i="15" s="1"/>
  <c r="G130" i="12"/>
  <c r="H100" i="12"/>
  <c r="H102" i="12"/>
  <c r="G63" i="12"/>
  <c r="G132" i="12" s="1"/>
  <c r="P35" i="10"/>
  <c r="G124" i="12"/>
  <c r="G7" i="13"/>
  <c r="D11" i="17"/>
  <c r="F19" i="12"/>
  <c r="F71" i="12"/>
  <c r="G107" i="12"/>
  <c r="G14" i="13"/>
  <c r="H37" i="12"/>
  <c r="G80" i="12"/>
  <c r="G131" i="12" s="1"/>
  <c r="H107" i="12"/>
  <c r="H14" i="13"/>
  <c r="G100" i="12"/>
  <c r="I101" i="12"/>
  <c r="I99" i="12"/>
  <c r="I58" i="12"/>
  <c r="I56" i="12"/>
  <c r="I38" i="12"/>
  <c r="I105" i="12" s="1"/>
  <c r="I12" i="12"/>
  <c r="I59" i="12"/>
  <c r="C17" i="17"/>
  <c r="D17" i="17"/>
  <c r="H56" i="12"/>
  <c r="H60" i="12" s="1"/>
  <c r="K55" i="12" l="1"/>
  <c r="K75" i="12"/>
  <c r="K77" i="12"/>
  <c r="M50" i="12"/>
  <c r="L54" i="12"/>
  <c r="J76" i="12"/>
  <c r="J85" i="12"/>
  <c r="F42" i="15"/>
  <c r="D42" i="15"/>
  <c r="E42" i="15"/>
  <c r="H130" i="12"/>
  <c r="I60" i="12"/>
  <c r="I7" i="13" s="1"/>
  <c r="AK48" i="10"/>
  <c r="AK49" i="10" s="1"/>
  <c r="AK51" i="10" s="1"/>
  <c r="E11" i="17"/>
  <c r="H124" i="12"/>
  <c r="Q35" i="10"/>
  <c r="H7" i="13"/>
  <c r="K12" i="12"/>
  <c r="I23" i="16"/>
  <c r="J38" i="12"/>
  <c r="J105" i="12" s="1"/>
  <c r="J99" i="12"/>
  <c r="J56" i="12"/>
  <c r="J58" i="12"/>
  <c r="J101" i="12"/>
  <c r="J12" i="12"/>
  <c r="J59" i="12"/>
  <c r="H39" i="12"/>
  <c r="F125" i="12"/>
  <c r="F21" i="12"/>
  <c r="E46" i="17"/>
  <c r="I102" i="12"/>
  <c r="D43" i="15"/>
  <c r="C35" i="17"/>
  <c r="C36" i="17" s="1"/>
  <c r="C50" i="17" s="1"/>
  <c r="F9" i="13"/>
  <c r="F11" i="13" s="1"/>
  <c r="F132" i="12"/>
  <c r="G8" i="13"/>
  <c r="G11" i="13" s="1"/>
  <c r="G123" i="12"/>
  <c r="T35" i="10"/>
  <c r="H13" i="13"/>
  <c r="D35" i="17"/>
  <c r="E43" i="15"/>
  <c r="G13" i="13"/>
  <c r="D51" i="17"/>
  <c r="I107" i="12"/>
  <c r="I14" i="13"/>
  <c r="C46" i="17"/>
  <c r="G25" i="13" l="1"/>
  <c r="G24" i="13"/>
  <c r="L55" i="12"/>
  <c r="L13" i="12"/>
  <c r="L75" i="12"/>
  <c r="L77" i="12"/>
  <c r="M54" i="12"/>
  <c r="N50" i="12"/>
  <c r="K76" i="12"/>
  <c r="K85" i="12"/>
  <c r="F43" i="15"/>
  <c r="I124" i="12"/>
  <c r="I130" i="12"/>
  <c r="I100" i="12"/>
  <c r="I13" i="13" s="1"/>
  <c r="J60" i="12"/>
  <c r="J7" i="13" s="1"/>
  <c r="F25" i="16"/>
  <c r="F24" i="16"/>
  <c r="D22" i="17"/>
  <c r="C22" i="17"/>
  <c r="D36" i="17"/>
  <c r="G15" i="13"/>
  <c r="H98" i="12"/>
  <c r="H62" i="12"/>
  <c r="H63" i="12" s="1"/>
  <c r="J102" i="12"/>
  <c r="H40" i="12"/>
  <c r="H80" i="12" s="1"/>
  <c r="H131" i="12" s="1"/>
  <c r="K38" i="12"/>
  <c r="K105" i="12" s="1"/>
  <c r="K56" i="12"/>
  <c r="K101" i="12"/>
  <c r="K58" i="12"/>
  <c r="K59" i="12"/>
  <c r="D46" i="17"/>
  <c r="J107" i="12"/>
  <c r="J14" i="13"/>
  <c r="G20" i="13" l="1"/>
  <c r="G36" i="13"/>
  <c r="O50" i="12"/>
  <c r="O54" i="12" s="1"/>
  <c r="N54" i="12"/>
  <c r="M55" i="12"/>
  <c r="M75" i="12"/>
  <c r="M77" i="12"/>
  <c r="L76" i="12"/>
  <c r="L85" i="12"/>
  <c r="C47" i="17"/>
  <c r="J124" i="12"/>
  <c r="K107" i="12"/>
  <c r="K14" i="13"/>
  <c r="H123" i="12"/>
  <c r="H8" i="13"/>
  <c r="H11" i="13" s="1"/>
  <c r="U35" i="10"/>
  <c r="I37" i="12"/>
  <c r="J100" i="12"/>
  <c r="E47" i="17"/>
  <c r="K60" i="12"/>
  <c r="K99" i="12"/>
  <c r="F26" i="16"/>
  <c r="K100" i="12"/>
  <c r="K102" i="12"/>
  <c r="E50" i="17"/>
  <c r="H12" i="13"/>
  <c r="J130" i="12"/>
  <c r="L99" i="12"/>
  <c r="L58" i="12"/>
  <c r="L101" i="12"/>
  <c r="L56" i="12"/>
  <c r="L38" i="12"/>
  <c r="L105" i="12" s="1"/>
  <c r="L59" i="12"/>
  <c r="L12" i="12"/>
  <c r="H25" i="13" l="1"/>
  <c r="H24" i="13"/>
  <c r="M76" i="12"/>
  <c r="M85" i="12"/>
  <c r="N55" i="12"/>
  <c r="N75" i="12"/>
  <c r="N77" i="12"/>
  <c r="O55" i="12"/>
  <c r="O77" i="12"/>
  <c r="O75" i="12"/>
  <c r="H15" i="13"/>
  <c r="L107" i="12"/>
  <c r="L14" i="13"/>
  <c r="M99" i="12"/>
  <c r="M58" i="12"/>
  <c r="M38" i="12"/>
  <c r="M105" i="12" s="1"/>
  <c r="M56" i="12"/>
  <c r="M59" i="12"/>
  <c r="M12" i="12"/>
  <c r="D30" i="17"/>
  <c r="C30" i="17"/>
  <c r="C31" i="17" s="1"/>
  <c r="C49" i="17" s="1"/>
  <c r="L102" i="12"/>
  <c r="K13" i="13"/>
  <c r="D47" i="17"/>
  <c r="I39" i="12"/>
  <c r="I40" i="12" s="1"/>
  <c r="I80" i="12" s="1"/>
  <c r="I131" i="12" s="1"/>
  <c r="K130" i="12"/>
  <c r="K124" i="12"/>
  <c r="K7" i="13"/>
  <c r="J13" i="13"/>
  <c r="D50" i="17"/>
  <c r="L60" i="12"/>
  <c r="H20" i="13" l="1"/>
  <c r="H36" i="13"/>
  <c r="O85" i="12"/>
  <c r="O76" i="12"/>
  <c r="N76" i="12"/>
  <c r="N85" i="12"/>
  <c r="L130" i="12"/>
  <c r="M14" i="13"/>
  <c r="M107" i="12"/>
  <c r="L100" i="12"/>
  <c r="M60" i="12"/>
  <c r="J37" i="12"/>
  <c r="I98" i="12"/>
  <c r="I62" i="12"/>
  <c r="I63" i="12" s="1"/>
  <c r="D31" i="17"/>
  <c r="L124" i="12"/>
  <c r="L7" i="13"/>
  <c r="M101" i="12"/>
  <c r="N101" i="12"/>
  <c r="N99" i="12"/>
  <c r="N58" i="12"/>
  <c r="N56" i="12"/>
  <c r="N38" i="12"/>
  <c r="N105" i="12" s="1"/>
  <c r="N12" i="12"/>
  <c r="N59" i="12"/>
  <c r="M100" i="12"/>
  <c r="M102" i="12"/>
  <c r="M13" i="13" l="1"/>
  <c r="N102" i="12"/>
  <c r="M130" i="12"/>
  <c r="E49" i="17"/>
  <c r="I8" i="13"/>
  <c r="I11" i="13" s="1"/>
  <c r="I123" i="12"/>
  <c r="L13" i="13"/>
  <c r="N60" i="12"/>
  <c r="I12" i="13"/>
  <c r="J39" i="12"/>
  <c r="J40" i="12" s="1"/>
  <c r="J80" i="12" s="1"/>
  <c r="J131" i="12" s="1"/>
  <c r="N14" i="13"/>
  <c r="N107" i="12"/>
  <c r="M124" i="12"/>
  <c r="M7" i="13"/>
  <c r="O58" i="12"/>
  <c r="O38" i="12"/>
  <c r="O56" i="12"/>
  <c r="O12" i="12"/>
  <c r="O59" i="12"/>
  <c r="I25" i="13" l="1"/>
  <c r="I24" i="13"/>
  <c r="N130" i="12"/>
  <c r="K37" i="12"/>
  <c r="O105" i="12"/>
  <c r="I15" i="13"/>
  <c r="O60" i="12"/>
  <c r="D49" i="17"/>
  <c r="N7" i="13"/>
  <c r="N124" i="12"/>
  <c r="O99" i="12"/>
  <c r="J98" i="12"/>
  <c r="J62" i="12"/>
  <c r="J63" i="12" s="1"/>
  <c r="O101" i="12"/>
  <c r="O100" i="12"/>
  <c r="N100" i="12"/>
  <c r="I20" i="13" l="1"/>
  <c r="I36" i="13"/>
  <c r="O130" i="12"/>
  <c r="O7" i="13"/>
  <c r="O124" i="12"/>
  <c r="N13" i="13"/>
  <c r="O14" i="13"/>
  <c r="O107" i="12"/>
  <c r="J8" i="13"/>
  <c r="J11" i="13" s="1"/>
  <c r="J123" i="12"/>
  <c r="K39" i="12"/>
  <c r="O102" i="12"/>
  <c r="J12" i="13"/>
  <c r="J24" i="13" l="1"/>
  <c r="J25" i="13"/>
  <c r="K98" i="12"/>
  <c r="K62" i="12"/>
  <c r="K63" i="12" s="1"/>
  <c r="K40" i="12"/>
  <c r="K80" i="12" s="1"/>
  <c r="K131" i="12" s="1"/>
  <c r="O13" i="13"/>
  <c r="J15" i="13"/>
  <c r="J20" i="13" l="1"/>
  <c r="J36" i="13"/>
  <c r="L37" i="12"/>
  <c r="K12" i="13"/>
  <c r="K8" i="13"/>
  <c r="K11" i="13" s="1"/>
  <c r="K123" i="12"/>
  <c r="K25" i="13" l="1"/>
  <c r="K24" i="13"/>
  <c r="K15" i="13"/>
  <c r="L39" i="12"/>
  <c r="L40" i="12" s="1"/>
  <c r="L80" i="12" s="1"/>
  <c r="L131" i="12" s="1"/>
  <c r="K20" i="13" l="1"/>
  <c r="K36" i="13"/>
  <c r="L98" i="12"/>
  <c r="L62" i="12"/>
  <c r="L63" i="12" s="1"/>
  <c r="M37" i="12"/>
  <c r="L12" i="13" l="1"/>
  <c r="M39" i="12"/>
  <c r="M40" i="12" s="1"/>
  <c r="M80" i="12" s="1"/>
  <c r="M131" i="12" s="1"/>
  <c r="L123" i="12"/>
  <c r="L8" i="13"/>
  <c r="L11" i="13" s="1"/>
  <c r="L24" i="13" l="1"/>
  <c r="L25" i="13"/>
  <c r="N37" i="12"/>
  <c r="M98" i="12"/>
  <c r="M62" i="12"/>
  <c r="M63" i="12" s="1"/>
  <c r="L15" i="13"/>
  <c r="L20" i="13" l="1"/>
  <c r="L36" i="13"/>
  <c r="M12" i="13"/>
  <c r="M8" i="13"/>
  <c r="M11" i="13" s="1"/>
  <c r="M123" i="12"/>
  <c r="N39" i="12"/>
  <c r="N40" i="12" s="1"/>
  <c r="N80" i="12" s="1"/>
  <c r="N131" i="12" s="1"/>
  <c r="M25" i="13" l="1"/>
  <c r="M24" i="13"/>
  <c r="M15" i="13"/>
  <c r="O37" i="12"/>
  <c r="N98" i="12"/>
  <c r="N62" i="12"/>
  <c r="N63" i="12" s="1"/>
  <c r="M20" i="13" l="1"/>
  <c r="M36" i="13"/>
  <c r="O39" i="12"/>
  <c r="O40" i="12" s="1"/>
  <c r="O80" i="12" s="1"/>
  <c r="O131" i="12" s="1"/>
  <c r="N8" i="13"/>
  <c r="N11" i="13" s="1"/>
  <c r="N123" i="12"/>
  <c r="N12" i="13"/>
  <c r="N25" i="13" l="1"/>
  <c r="N24" i="13"/>
  <c r="N15" i="13"/>
  <c r="O98" i="12"/>
  <c r="O62" i="12"/>
  <c r="N20" i="13" l="1"/>
  <c r="N36" i="13"/>
  <c r="O63" i="12"/>
  <c r="O12" i="13"/>
  <c r="O8" i="13" l="1"/>
  <c r="O123" i="12"/>
  <c r="O11" i="13" l="1"/>
  <c r="O25" i="13" l="1"/>
  <c r="O24" i="13"/>
  <c r="O15" i="13"/>
  <c r="P24" i="13"/>
  <c r="P25" i="13"/>
  <c r="O20" i="13" l="1"/>
  <c r="O30" i="13"/>
  <c r="O36" i="13"/>
  <c r="P36" i="13"/>
  <c r="P30" i="13"/>
  <c r="F37" i="13" l="1"/>
  <c r="F38" i="13"/>
  <c r="O31" i="13"/>
  <c r="G37" i="13"/>
  <c r="P31" i="13"/>
  <c r="G38" i="13"/>
  <c r="F39" i="13" l="1"/>
  <c r="E73" i="13"/>
  <c r="M66" i="12"/>
  <c r="M138" i="12" s="1"/>
  <c r="N66" i="12"/>
  <c r="N138" i="12" s="1"/>
  <c r="L66" i="12"/>
  <c r="L138" i="12" s="1"/>
  <c r="K66" i="12"/>
  <c r="K138" i="12" s="1"/>
  <c r="J66" i="12"/>
  <c r="J138" i="12" s="1"/>
  <c r="I66" i="12"/>
  <c r="I138" i="12" s="1"/>
  <c r="H66" i="12"/>
  <c r="H138" i="12" s="1"/>
  <c r="G66" i="12"/>
  <c r="G138" i="12" s="1"/>
  <c r="O66" i="12"/>
  <c r="O138" i="12" s="1"/>
  <c r="M65" i="12"/>
  <c r="N65" i="12"/>
  <c r="L65" i="12"/>
  <c r="K65" i="12"/>
  <c r="J65" i="12"/>
  <c r="J68" i="12" s="1"/>
  <c r="J70" i="12" s="1"/>
  <c r="J71" i="12" s="1"/>
  <c r="O65" i="12"/>
  <c r="O68" i="12"/>
  <c r="O70" i="12" s="1"/>
  <c r="G39" i="13"/>
  <c r="F45" i="13" l="1"/>
  <c r="F46" i="13"/>
  <c r="F43" i="13"/>
  <c r="F44" i="13"/>
  <c r="E55" i="13"/>
  <c r="M68" i="12"/>
  <c r="M70" i="12" s="1"/>
  <c r="M71" i="12" s="1"/>
  <c r="M125" i="12" s="1"/>
  <c r="L68" i="12"/>
  <c r="L70" i="12" s="1"/>
  <c r="L71" i="12" s="1"/>
  <c r="K68" i="12"/>
  <c r="K70" i="12" s="1"/>
  <c r="K71" i="12" s="1"/>
  <c r="K97" i="12" s="1"/>
  <c r="K103" i="12" s="1"/>
  <c r="N68" i="12"/>
  <c r="N70" i="12" s="1"/>
  <c r="N71" i="12" s="1"/>
  <c r="N97" i="12"/>
  <c r="N103" i="12" s="1"/>
  <c r="N44" i="12"/>
  <c r="N45" i="12" s="1"/>
  <c r="N109" i="12" s="1"/>
  <c r="N111" i="12" s="1"/>
  <c r="N125" i="12"/>
  <c r="O71" i="12"/>
  <c r="L97" i="12"/>
  <c r="L103" i="12" s="1"/>
  <c r="L44" i="12"/>
  <c r="L45" i="12" s="1"/>
  <c r="L109" i="12" s="1"/>
  <c r="L111" i="12" s="1"/>
  <c r="L125" i="12"/>
  <c r="J97" i="12"/>
  <c r="J103" i="12" s="1"/>
  <c r="J44" i="12"/>
  <c r="J45" i="12" s="1"/>
  <c r="J109" i="12" s="1"/>
  <c r="J111" i="12" s="1"/>
  <c r="J125" i="12"/>
  <c r="M97" i="12"/>
  <c r="M103" i="12" s="1"/>
  <c r="M44" i="12"/>
  <c r="M45" i="12" s="1"/>
  <c r="M109" i="12" s="1"/>
  <c r="M111" i="12" s="1"/>
  <c r="G46" i="13"/>
  <c r="G44" i="13"/>
  <c r="G43" i="13"/>
  <c r="G45" i="13"/>
  <c r="E64" i="13" l="1"/>
  <c r="J114" i="12"/>
  <c r="K125" i="12"/>
  <c r="K44" i="12"/>
  <c r="K45" i="12" s="1"/>
  <c r="K109" i="12" s="1"/>
  <c r="K111" i="12" s="1"/>
  <c r="L114" i="12"/>
  <c r="M114" i="12"/>
  <c r="K114" i="12"/>
  <c r="O125" i="12"/>
  <c r="O97" i="12"/>
  <c r="O44" i="12"/>
  <c r="N114" i="12"/>
  <c r="O45" i="12" l="1"/>
  <c r="O103" i="12"/>
  <c r="O109" i="12" l="1"/>
  <c r="O111" i="12" l="1"/>
  <c r="O114" i="12" l="1"/>
  <c r="I65" i="12"/>
  <c r="I68" i="12" s="1"/>
  <c r="I70" i="12" s="1"/>
  <c r="I71" i="12" s="1"/>
  <c r="H65" i="12"/>
  <c r="H68" i="12" s="1"/>
  <c r="H70" i="12" s="1"/>
  <c r="H71" i="12" s="1"/>
  <c r="J45" i="10" l="1"/>
  <c r="J46" i="10" s="1"/>
  <c r="H97" i="12"/>
  <c r="H103" i="12" s="1"/>
  <c r="H44" i="12"/>
  <c r="H45" i="12" s="1"/>
  <c r="H109" i="12" s="1"/>
  <c r="H111" i="12" s="1"/>
  <c r="H125" i="12"/>
  <c r="I97" i="12"/>
  <c r="I103" i="12" s="1"/>
  <c r="I44" i="12"/>
  <c r="I45" i="12" s="1"/>
  <c r="I109" i="12" s="1"/>
  <c r="I111" i="12" s="1"/>
  <c r="I125" i="12"/>
  <c r="H114" i="12" l="1"/>
  <c r="I114" i="12"/>
  <c r="G65" i="12" l="1"/>
  <c r="G68" i="12" s="1"/>
  <c r="G70" i="12" s="1"/>
  <c r="G71" i="12" s="1"/>
  <c r="G125" i="12" l="1"/>
  <c r="G97" i="12"/>
  <c r="G103" i="12" s="1"/>
  <c r="G44" i="12"/>
  <c r="G45" i="12" l="1"/>
  <c r="G109" i="12" s="1"/>
  <c r="G111" i="12" s="1"/>
  <c r="G46" i="12"/>
  <c r="G114" i="12"/>
  <c r="G115" i="12" s="1"/>
  <c r="G84" i="12" l="1"/>
  <c r="H113" i="12"/>
  <c r="H115" i="12" s="1"/>
  <c r="G74" i="12"/>
  <c r="G91" i="12"/>
  <c r="H43" i="12"/>
  <c r="H46" i="12" s="1"/>
  <c r="G118" i="12" l="1"/>
  <c r="G136" i="12"/>
  <c r="G86" i="12"/>
  <c r="G89" i="12" s="1"/>
  <c r="G92" i="12" s="1"/>
  <c r="G94" i="12" s="1"/>
  <c r="G133" i="12"/>
  <c r="H132" i="12"/>
  <c r="G78" i="12"/>
  <c r="G82" i="12" s="1"/>
  <c r="G120" i="12"/>
  <c r="H84" i="12"/>
  <c r="I113" i="12"/>
  <c r="I115" i="12" s="1"/>
  <c r="H74" i="12"/>
  <c r="H120" i="12" s="1"/>
  <c r="H91" i="12"/>
  <c r="I43" i="12"/>
  <c r="I46" i="12" s="1"/>
  <c r="H136" i="12" l="1"/>
  <c r="H86" i="12"/>
  <c r="H89" i="12" s="1"/>
  <c r="H92" i="12" s="1"/>
  <c r="H94" i="12" s="1"/>
  <c r="H133" i="12"/>
  <c r="I132" i="12"/>
  <c r="I84" i="12"/>
  <c r="J113" i="12"/>
  <c r="J115" i="12" s="1"/>
  <c r="I74" i="12"/>
  <c r="G137" i="12"/>
  <c r="G139" i="12"/>
  <c r="H118" i="12"/>
  <c r="I91" i="12"/>
  <c r="J43" i="12"/>
  <c r="J46" i="12" s="1"/>
  <c r="H78" i="12"/>
  <c r="H82" i="12" s="1"/>
  <c r="I78" i="12" l="1"/>
  <c r="I82" i="12" s="1"/>
  <c r="I136" i="12"/>
  <c r="I86" i="12"/>
  <c r="I89" i="12" s="1"/>
  <c r="I133" i="12"/>
  <c r="J132" i="12"/>
  <c r="J84" i="12"/>
  <c r="J118" i="12" s="1"/>
  <c r="J74" i="12"/>
  <c r="J120" i="12" s="1"/>
  <c r="K113" i="12"/>
  <c r="K115" i="12" s="1"/>
  <c r="I120" i="12"/>
  <c r="J91" i="12"/>
  <c r="K43" i="12"/>
  <c r="K46" i="12" s="1"/>
  <c r="H139" i="12"/>
  <c r="H137" i="12"/>
  <c r="I92" i="12"/>
  <c r="I118" i="12"/>
  <c r="I94" i="12" l="1"/>
  <c r="I139" i="12"/>
  <c r="I137" i="12"/>
  <c r="K84" i="12"/>
  <c r="K118" i="12" s="1"/>
  <c r="L113" i="12"/>
  <c r="L115" i="12" s="1"/>
  <c r="K74" i="12"/>
  <c r="K120" i="12" s="1"/>
  <c r="J136" i="12"/>
  <c r="J86" i="12"/>
  <c r="J89" i="12" s="1"/>
  <c r="J92" i="12" s="1"/>
  <c r="J133" i="12"/>
  <c r="K132" i="12"/>
  <c r="K91" i="12"/>
  <c r="L43" i="12"/>
  <c r="L46" i="12" s="1"/>
  <c r="J78" i="12"/>
  <c r="J82" i="12" s="1"/>
  <c r="J94" i="12" l="1"/>
  <c r="J139" i="12"/>
  <c r="J137" i="12"/>
  <c r="L91" i="12"/>
  <c r="M43" i="12"/>
  <c r="M46" i="12" s="1"/>
  <c r="K78" i="12"/>
  <c r="K82" i="12" s="1"/>
  <c r="L84" i="12"/>
  <c r="L118" i="12" s="1"/>
  <c r="L74" i="12"/>
  <c r="L120" i="12" s="1"/>
  <c r="M113" i="12"/>
  <c r="M115" i="12" s="1"/>
  <c r="K136" i="12"/>
  <c r="K86" i="12"/>
  <c r="K89" i="12" s="1"/>
  <c r="K92" i="12" s="1"/>
  <c r="K94" i="12" s="1"/>
  <c r="K133" i="12"/>
  <c r="L132" i="12"/>
  <c r="K137" i="12" l="1"/>
  <c r="K139" i="12"/>
  <c r="M84" i="12"/>
  <c r="M118" i="12" s="1"/>
  <c r="N113" i="12"/>
  <c r="N115" i="12" s="1"/>
  <c r="M74" i="12"/>
  <c r="M91" i="12"/>
  <c r="N43" i="12"/>
  <c r="N46" i="12" s="1"/>
  <c r="L78" i="12"/>
  <c r="L82" i="12" s="1"/>
  <c r="L136" i="12"/>
  <c r="L86" i="12"/>
  <c r="L89" i="12" s="1"/>
  <c r="L92" i="12" s="1"/>
  <c r="L133" i="12"/>
  <c r="M132" i="12"/>
  <c r="L94" i="12" l="1"/>
  <c r="M78" i="12"/>
  <c r="M82" i="12" s="1"/>
  <c r="M136" i="12"/>
  <c r="M86" i="12"/>
  <c r="M89" i="12" s="1"/>
  <c r="M92" i="12" s="1"/>
  <c r="M94" i="12" s="1"/>
  <c r="M133" i="12"/>
  <c r="N132" i="12"/>
  <c r="L137" i="12"/>
  <c r="L139" i="12"/>
  <c r="M120" i="12"/>
  <c r="N91" i="12"/>
  <c r="O43" i="12"/>
  <c r="O113" i="12"/>
  <c r="N84" i="12"/>
  <c r="N74" i="12"/>
  <c r="N120" i="12" s="1"/>
  <c r="O46" i="12" l="1"/>
  <c r="N78" i="12"/>
  <c r="N82" i="12" s="1"/>
  <c r="M139" i="12"/>
  <c r="M137" i="12"/>
  <c r="N136" i="12"/>
  <c r="O132" i="12"/>
  <c r="N86" i="12"/>
  <c r="N89" i="12" s="1"/>
  <c r="N92" i="12" s="1"/>
  <c r="N133" i="12"/>
  <c r="N118" i="12"/>
  <c r="O115" i="12"/>
  <c r="N94" i="12" l="1"/>
  <c r="O84" i="12"/>
  <c r="O74" i="12"/>
  <c r="O91" i="12"/>
  <c r="N139" i="12"/>
  <c r="N137" i="12"/>
  <c r="O136" i="12" l="1"/>
  <c r="O133" i="12"/>
  <c r="O86" i="12"/>
  <c r="O118" i="12"/>
  <c r="O78" i="12"/>
  <c r="O120" i="12"/>
  <c r="O139" i="12" l="1"/>
  <c r="O137" i="12"/>
  <c r="O89" i="12"/>
  <c r="O82" i="12"/>
  <c r="O92" i="12" l="1"/>
  <c r="O94"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<sst xmlns="http://schemas.openxmlformats.org/spreadsheetml/2006/main" count="1551" uniqueCount="905">
  <si>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</si>
  <si>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</si>
  <si>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</si>
  <si>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</si>
  <si>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</si>
  <si>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</si>
  <si>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</si>
  <si>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</si>
  <si>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</si>
  <si>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</si>
  <si>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</si>
  <si>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</si>
  <si>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</si>
  <si>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</si>
  <si>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</si>
  <si>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</si>
  <si>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</si>
  <si>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</si>
  <si>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</si>
  <si>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</si>
  <si>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</si>
  <si>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</si>
  <si>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</si>
  <si>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</si>
  <si>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</si>
  <si>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</si>
  <si>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</si>
  <si>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</si>
  <si>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</si>
  <si>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</si>
  <si>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</si>
  <si>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</si>
  <si>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</si>
  <si>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</si>
  <si>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</si>
  <si>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</si>
  <si>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</si>
  <si>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</si>
  <si>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</si>
  <si>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</si>
  <si>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</si>
  <si>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</si>
  <si>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</si>
  <si>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</si>
  <si>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</si>
  <si>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</si>
  <si>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</si>
  <si>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</si>
  <si>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</si>
  <si>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</si>
  <si>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</si>
  <si>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</si>
  <si>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</si>
  <si>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</si>
  <si>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</si>
  <si>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</si>
  <si>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</si>
  <si>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</si>
  <si>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</si>
  <si>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</si>
  <si>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</si>
  <si>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</si>
  <si>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</si>
  <si>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</si>
  <si>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</si>
  <si>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</si>
  <si>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</si>
  <si>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</si>
  <si>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</si>
  <si>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</si>
  <si>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</si>
  <si>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</si>
  <si>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</si>
  <si>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</si>
  <si>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</si>
  <si>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</si>
  <si>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</si>
  <si>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</si>
  <si>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</si>
  <si>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</si>
  <si>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</si>
  <si>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</si>
  <si>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</si>
  <si>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</si>
  <si>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</si>
  <si>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</si>
  <si>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</si>
  <si>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</si>
  <si>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</si>
  <si>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</si>
  <si>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</si>
  <si>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</si>
  <si>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</si>
  <si>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</si>
  <si>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</si>
  <si>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</si>
  <si>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</si>
  <si>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</si>
  <si>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</si>
  <si>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</si>
  <si>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</si>
  <si>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</si>
  <si>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</si>
  <si>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</si>
  <si>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</si>
  <si>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</si>
  <si>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</si>
  <si>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</si>
  <si>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</si>
  <si>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</si>
  <si>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</si>
  <si>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</si>
  <si>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</si>
  <si>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</si>
  <si>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</si>
  <si>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</si>
  <si>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</si>
  <si>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</si>
  <si>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</si>
  <si>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</si>
  <si>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</si>
  <si>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</si>
  <si>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</si>
  <si>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</si>
  <si>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</si>
  <si>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</si>
  <si>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</si>
  <si>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</si>
  <si>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</si>
  <si>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</si>
  <si>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</si>
  <si>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</si>
  <si>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</si>
  <si>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</si>
  <si>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</si>
  <si>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</si>
  <si>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</si>
  <si>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</si>
  <si>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</si>
  <si>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</si>
  <si>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</si>
  <si>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</si>
  <si>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</si>
  <si>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</si>
  <si>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</si>
  <si>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</si>
  <si>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</si>
  <si>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</si>
  <si>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</si>
  <si>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</si>
  <si>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</si>
  <si>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</si>
  <si>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</si>
  <si>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</si>
  <si>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</si>
  <si>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</si>
  <si>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</si>
  <si>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</si>
  <si>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</si>
  <si>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</si>
  <si>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</si>
  <si>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</si>
  <si>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</si>
  <si>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</si>
  <si>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</si>
  <si>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</si>
  <si>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</si>
  <si>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</si>
  <si>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</si>
  <si>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</si>
  <si>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</si>
  <si>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</si>
  <si>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</si>
  <si>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</si>
  <si>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</si>
  <si>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</si>
  <si>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</si>
  <si>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</si>
  <si>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</si>
  <si>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</si>
  <si>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</si>
  <si>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</si>
  <si>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</si>
  <si>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</si>
  <si>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</si>
  <si>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</si>
  <si>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</si>
  <si>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</si>
  <si>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</si>
  <si>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</si>
  <si>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</si>
  <si>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</si>
  <si>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</si>
  <si>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</si>
  <si>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</si>
  <si>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</si>
  <si>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</si>
  <si>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</si>
  <si>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</si>
  <si>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</si>
  <si>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</si>
  <si>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</si>
  <si>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</si>
  <si>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</si>
  <si>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</si>
  <si>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</si>
  <si>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</si>
  <si>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</si>
  <si>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</si>
  <si>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KDP-US</t>
  </si>
  <si>
    <t>Country</t>
  </si>
  <si>
    <t>United States</t>
  </si>
  <si>
    <t>+ Diluted equity value</t>
  </si>
  <si>
    <t>Analysis date</t>
  </si>
  <si>
    <t>+ Debt</t>
  </si>
  <si>
    <t>Calendarize to</t>
  </si>
  <si>
    <t>- Cash and ST investments</t>
  </si>
  <si>
    <t>Currency / FX</t>
  </si>
  <si>
    <t>- Other adjustments</t>
  </si>
  <si>
    <t>Marginal tax rate</t>
  </si>
  <si>
    <t>= Enterprise value</t>
  </si>
  <si>
    <t>Historical year end</t>
  </si>
  <si>
    <t>Last filing date US format</t>
  </si>
  <si>
    <t>12/31/2023</t>
  </si>
  <si>
    <t>Calendarized key numbers</t>
  </si>
  <si>
    <t>Last filing date Intl format</t>
  </si>
  <si>
    <t>Home currency</t>
  </si>
  <si>
    <t>USD</t>
  </si>
  <si>
    <t>Revenue</t>
  </si>
  <si>
    <t>FX rate</t>
  </si>
  <si>
    <t>Last closing price</t>
  </si>
  <si>
    <t>52 week low</t>
  </si>
  <si>
    <t>EPS</t>
  </si>
  <si>
    <t>52 week high</t>
  </si>
  <si>
    <t>Credit rating</t>
  </si>
  <si>
    <t>BBB+</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</si>
  <si>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</si>
  <si>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</si>
  <si>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</si>
  <si>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</si>
  <si>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</si>
  <si>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</si>
  <si>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</si>
  <si>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</si>
  <si>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</si>
  <si>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</si>
  <si>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</si>
  <si>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</si>
  <si>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</si>
  <si>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</si>
  <si>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</si>
  <si>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</si>
  <si>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</si>
  <si>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</si>
  <si>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</si>
  <si>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</si>
  <si>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</si>
  <si>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</si>
  <si>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</si>
  <si>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</si>
  <si>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</si>
  <si>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Time based RSUs</t>
  </si>
  <si>
    <t>Other adjustments</t>
  </si>
  <si>
    <t>Tranche 4</t>
  </si>
  <si>
    <t>Dilution from share options</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</si>
  <si>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</si>
  <si>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</si>
  <si>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</si>
  <si>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</si>
  <si>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</si>
  <si>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</si>
  <si>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</si>
  <si>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</si>
  <si>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</si>
  <si>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</si>
  <si>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</si>
  <si>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</si>
  <si>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</si>
  <si>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</si>
  <si>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</si>
  <si>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</si>
  <si>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</si>
  <si>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</si>
  <si>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</si>
  <si>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</si>
  <si>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</si>
  <si>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</si>
  <si>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</si>
  <si>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</si>
  <si>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Amortization of intangibles added back by management</t>
  </si>
  <si>
    <t>Stock compensation expense added back by management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</si>
  <si>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</si>
  <si>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</si>
  <si>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</si>
  <si>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</si>
  <si>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</si>
  <si>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</si>
  <si>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</si>
  <si>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</si>
  <si>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</si>
  <si>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</si>
  <si>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</si>
  <si>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</si>
  <si>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</si>
  <si>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</si>
  <si>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</si>
  <si>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</si>
  <si>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</si>
  <si>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</si>
  <si>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</si>
  <si>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</si>
  <si>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</si>
  <si>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</si>
  <si>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</si>
  <si>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</si>
  <si>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</si>
  <si>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</si>
  <si>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</si>
  <si>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</si>
  <si>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</si>
  <si>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</si>
  <si>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</si>
  <si>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</si>
  <si>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</si>
  <si>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</si>
  <si>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</si>
  <si>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</si>
  <si>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</si>
  <si>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</si>
  <si>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</si>
  <si>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</si>
  <si>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</si>
  <si>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</si>
  <si>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</si>
  <si>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</si>
  <si>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</si>
  <si>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</si>
  <si>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</si>
  <si>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</si>
  <si>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</si>
  <si>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</si>
  <si>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</si>
  <si>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</si>
  <si>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A+</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</si>
  <si>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</si>
  <si>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</si>
  <si>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</si>
  <si>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</si>
  <si>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</si>
  <si>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</si>
  <si>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</si>
  <si>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</si>
  <si>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</si>
  <si>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</si>
  <si>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</si>
  <si>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</si>
  <si>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</si>
  <si>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</si>
  <si>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</si>
  <si>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</si>
  <si>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</si>
  <si>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</si>
  <si>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</si>
  <si>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</si>
  <si>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</si>
  <si>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</si>
  <si>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</si>
  <si>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</si>
  <si>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</si>
  <si>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</si>
  <si>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</si>
  <si>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</si>
  <si>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</si>
  <si>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</si>
  <si>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</si>
  <si>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</si>
  <si>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</si>
  <si>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</si>
  <si>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</si>
  <si>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</si>
  <si>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</si>
  <si>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</si>
  <si>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</si>
  <si>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</si>
  <si>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</si>
  <si>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</si>
  <si>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</si>
  <si>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</si>
  <si>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</si>
  <si>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</si>
  <si>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</si>
  <si>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</si>
  <si>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</si>
  <si>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</si>
  <si>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</si>
  <si>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</si>
  <si>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</si>
  <si>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</si>
  <si>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</si>
  <si>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</si>
  <si>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</si>
  <si>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</si>
  <si>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</si>
  <si>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</si>
  <si>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</si>
  <si>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</si>
  <si>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</si>
  <si>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All numbers in EURm unless otherwise stated</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</si>
  <si>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</si>
  <si>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</si>
  <si>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</si>
  <si>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</si>
  <si>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</si>
  <si>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</si>
  <si>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</si>
  <si>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</si>
  <si>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</si>
  <si>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</si>
  <si>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</si>
  <si>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</si>
  <si>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</si>
  <si>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</si>
  <si>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</si>
  <si>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LTM multiple</t>
  </si>
  <si>
    <t>Discounting</t>
  </si>
  <si>
    <t>Year (power in the discounting)</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</si>
  <si>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</si>
  <si>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</si>
  <si>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</si>
  <si>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</si>
  <si>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</si>
  <si>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</si>
  <si>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</si>
  <si>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</si>
  <si>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</si>
  <si>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</si>
  <si>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</si>
  <si>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</si>
  <si>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Implied terminal EBITDA multiple</t>
  </si>
  <si>
    <t>All figures in USDm unless otherwise stated</t>
  </si>
  <si>
    <t>Debt %</t>
  </si>
  <si>
    <t>Unlevered</t>
  </si>
  <si>
    <t>MTR</t>
  </si>
  <si>
    <t>Capital</t>
  </si>
  <si>
    <t>Equity</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</si>
  <si>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</si>
  <si>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</si>
  <si>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</si>
  <si>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</si>
  <si>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</si>
  <si>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</si>
  <si>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</si>
  <si>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</si>
  <si>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</si>
  <si>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</si>
  <si>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</si>
  <si>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</si>
  <si>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</si>
  <si>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</si>
  <si>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</si>
  <si>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</si>
  <si>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</si>
  <si>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</si>
  <si>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</si>
  <si>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</si>
  <si>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</si>
  <si>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</si>
  <si>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</si>
  <si>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</si>
  <si>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</si>
  <si>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</si>
  <si>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</si>
  <si>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</si>
  <si>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</si>
  <si>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</si>
  <si>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</si>
  <si>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</si>
  <si>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</si>
  <si>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</si>
  <si>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</si>
  <si>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</si>
  <si>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</si>
  <si>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Old deal</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</si>
  <si>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</si>
  <si>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</si>
  <si>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</si>
  <si>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</si>
  <si>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</si>
  <si>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</si>
  <si>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</si>
  <si>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</si>
  <si>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</si>
  <si>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PE buyer</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</si>
  <si>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</si>
  <si>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</si>
  <si>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</si>
  <si>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</si>
  <si>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Different geography</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</si>
  <si>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</si>
  <si>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</si>
  <si>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</si>
  <si>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USA</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</si>
  <si>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</si>
  <si>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</si>
  <si>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</si>
  <si>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</si>
  <si>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</si>
  <si>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</si>
  <si>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</si>
  <si>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</si>
  <si>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</si>
  <si>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</si>
  <si>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Alcohol focus in acquirer and target</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</si>
  <si>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</si>
  <si>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</si>
  <si>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</si>
  <si>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</si>
  <si>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</si>
  <si>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</si>
  <si>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</si>
  <si>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</si>
  <si>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</si>
  <si>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Figures unavailable</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</si>
  <si>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</si>
  <si>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</si>
  <si>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</si>
  <si>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Bottlers, different business</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</si>
  <si>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</si>
  <si>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</si>
  <si>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</si>
  <si>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Target is alcohol</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</si>
  <si>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</si>
  <si>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</si>
  <si>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</si>
  <si>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</si>
  <si>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</si>
  <si>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</si>
  <si>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Small revenue</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</si>
  <si>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</si>
  <si>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</si>
  <si>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</si>
  <si>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</si>
  <si>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</si>
  <si>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</si>
  <si>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</si>
  <si>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</si>
  <si>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Insolvency and different product</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</si>
  <si>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</si>
  <si>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</si>
  <si>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</si>
  <si>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Small deal, low branding, low multiple</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</si>
  <si>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</si>
  <si>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</si>
  <si>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</si>
  <si>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</si>
  <si>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</si>
  <si>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Small deal, different geography</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</si>
  <si>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</si>
  <si>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</si>
  <si>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</si>
  <si>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</si>
  <si>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</si>
  <si>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</si>
  <si>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</si>
  <si>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</si>
  <si>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</si>
  <si>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</si>
  <si>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</si>
  <si>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</si>
  <si>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</si>
  <si>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</si>
  <si>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</si>
  <si>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</si>
  <si>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</si>
  <si>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</si>
  <si>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Year</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</si>
  <si>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</si>
  <si>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</si>
  <si>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</si>
  <si>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</si>
  <si>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</si>
  <si>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</si>
  <si>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</si>
  <si>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</si>
  <si>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</si>
  <si>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</si>
  <si>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</si>
  <si>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</si>
  <si>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</si>
  <si>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</si>
  <si>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</si>
  <si>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</si>
  <si>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</si>
  <si>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</si>
  <si>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</si>
  <si>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</si>
  <si>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</si>
  <si>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</si>
  <si>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</si>
  <si>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</si>
  <si>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</si>
  <si>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</si>
  <si>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</si>
  <si>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</si>
  <si>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</si>
  <si>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</si>
  <si>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</si>
  <si>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</si>
  <si>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</si>
  <si>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</si>
  <si>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</si>
  <si>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</si>
  <si>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</si>
  <si>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</si>
  <si>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</si>
  <si>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</si>
  <si>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 improvement in water use ratio by 2030 vs 2015</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</si>
  <si>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</si>
  <si>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</si>
  <si>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</si>
  <si>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</si>
  <si>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</si>
  <si>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</si>
  <si>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</si>
  <si>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</si>
  <si>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rate across all operations by 2030</t>
  </si>
  <si>
    <t>100.0% water replenishment in high risk locations by 2025</t>
  </si>
  <si>
    <t>Water replenishment rate</t>
  </si>
  <si>
    <t>Comments:</t>
  </si>
  <si>
    <t>Coca Cola's water usage is in line with peers and progress towards target has continued, though its percentage of water consumption in high risk areas has increased slightly in 2022.</t>
  </si>
  <si>
    <t>Coca Cola has the most ambitious water replenishment target and the highest water replenishment rate, although the water replenishment rate fell significantly in 2022.</t>
  </si>
  <si>
    <t>Coca Cola is proactively managing its exposure to water risk although recent trends in key metrics are deteriorating. Progress towards targets should be carefully monitored.</t>
  </si>
  <si>
    <t>Recycled content</t>
  </si>
  <si>
    <t>2025/2030 target - all packaging</t>
  </si>
  <si>
    <t>50.0% recycled content in packaging by 2030</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</si>
  <si>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</si>
  <si>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</si>
  <si>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</si>
  <si>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</si>
  <si>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</si>
  <si>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</si>
  <si>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</si>
  <si>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</si>
  <si>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</si>
  <si>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by 2025</t>
  </si>
  <si>
    <t>100.0% of packaging recyclable or compostable by 2025</t>
  </si>
  <si>
    <t>% recyclable packaging</t>
  </si>
  <si>
    <t>All companies have similar targets and performance for recyclability of packaging. However, Coca Cola has the most ambitious target on recycled content  (which is a major risk area for beverages) but is some way from its 2030 target and is no longer outperforming peers on recycled plastic content. Progress towards targets should be carefully monitored.</t>
  </si>
  <si>
    <t>60.0% portfolio provides serving of fruit/vegetables or is below 40 cal/serving by 2025</t>
  </si>
  <si>
    <t>67% portfolio below 100 cal/serving by 2025</t>
  </si>
  <si>
    <t>% portfolio below calorie target or low calorie</t>
  </si>
  <si>
    <t>% volume sold which is low- or no-calorie</t>
  </si>
  <si>
    <t>Coca Cola lacks firm commitments on sugar/calorie reduction and provides less data than competitors on this issue. Although it is has reduced sugar content in its products, there is a lack of transparency - likely as a result of its large (and growing) exposure to the energy drinks market. This therefore remains a material risk for Coca Cola.</t>
  </si>
  <si>
    <t>Actual</t>
  </si>
  <si>
    <t>Projected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</si>
  <si>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</si>
  <si>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</si>
  <si>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</si>
  <si>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</si>
  <si>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</si>
  <si>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</si>
  <si>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</si>
  <si>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</si>
  <si>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</si>
  <si>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</si>
  <si>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</si>
  <si>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</si>
  <si>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</si>
  <si>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</si>
  <si>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</si>
  <si>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</si>
  <si>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</si>
  <si>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</si>
  <si>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</si>
  <si>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</si>
  <si>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</si>
  <si>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</si>
  <si>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</si>
  <si>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</si>
  <si>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</si>
  <si>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</si>
  <si>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</si>
  <si>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</si>
  <si>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Net income</t>
  </si>
  <si>
    <t>Dividends</t>
  </si>
  <si>
    <t>Income statement</t>
  </si>
  <si>
    <t>Europe</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</si>
  <si>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</si>
  <si>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</si>
  <si>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</si>
  <si>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</si>
  <si>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</si>
  <si>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</si>
  <si>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</si>
  <si>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</si>
  <si>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</si>
  <si>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</si>
  <si>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</si>
  <si>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</si>
  <si>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</si>
  <si>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</si>
  <si>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</si>
  <si>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</si>
  <si>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</si>
  <si>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</si>
  <si>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</si>
  <si>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</si>
  <si>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</si>
  <si>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</si>
  <si>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</si>
  <si>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</si>
  <si>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</si>
  <si>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</si>
  <si>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</si>
  <si>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</si>
  <si>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</si>
  <si>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</si>
  <si>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</si>
  <si>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</si>
  <si>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</si>
  <si>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</si>
  <si>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</si>
  <si>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</si>
  <si>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</si>
  <si>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</si>
  <si>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</si>
  <si>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</si>
  <si>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</si>
  <si>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</si>
  <si>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</si>
  <si>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</si>
  <si>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</si>
  <si>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</si>
  <si>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</si>
  <si>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</si>
  <si>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</si>
  <si>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</si>
  <si>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</si>
  <si>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</si>
  <si>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</si>
  <si>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KO-US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</si>
  <si>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</si>
  <si>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Preferred equity</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</si>
  <si>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</si>
  <si>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</si>
  <si>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</si>
  <si>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</si>
  <si>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</si>
  <si>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</si>
  <si>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</si>
  <si>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</si>
  <si>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</si>
  <si>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</si>
  <si>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</si>
  <si>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</si>
  <si>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</si>
  <si>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</si>
  <si>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</si>
  <si>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</si>
  <si>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</si>
  <si>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</si>
  <si>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</si>
  <si>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</si>
  <si>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</si>
  <si>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</si>
  <si>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</si>
  <si>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</si>
  <si>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</si>
  <si>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</si>
  <si>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</si>
  <si>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</si>
  <si>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</si>
  <si>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</si>
  <si>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</si>
  <si>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</si>
  <si>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</si>
  <si>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</si>
  <si>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</si>
  <si>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</si>
  <si>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</si>
  <si>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</si>
  <si>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</si>
  <si>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</si>
  <si>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</si>
  <si>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</si>
  <si>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</si>
  <si>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</si>
  <si>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</si>
  <si>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</si>
  <si>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</si>
  <si>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</si>
  <si>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</si>
  <si>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</si>
  <si>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</si>
  <si>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</si>
  <si>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</si>
  <si>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</si>
  <si>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</si>
  <si>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</si>
  <si>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</si>
  <si>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Ke</t>
  </si>
  <si>
    <t>Debt P/E</t>
  </si>
  <si>
    <t>Kd after tax</t>
  </si>
  <si>
    <t>Acquisition P/E</t>
  </si>
  <si>
    <t>Roe</t>
  </si>
  <si>
    <t>Return on capital analysis</t>
  </si>
  <si>
    <t>NOPAT with synergies</t>
  </si>
  <si>
    <t>Analysis at various prices</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</si>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</sst>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1" formatCode="_(* #,##0_);_(* \(#,##0\);_(* &quot;-&quot;_);_(@_)"/>
    <numFmt numFmtId="43" formatCode="_(* #,##0.00_);_(* \(#,##0.00\);_(* &quot;-&quot;??_);_(@_)"/>
    <numFmt numFmtId="164" formatCode="_(&quot;£&quot;* #,##0_);_(&quot;£&quot;* \(#,##0\);_(&quot;£&quot;* &quot;-&quot;_);_(@_)"/>
    <numFmt numFmtId="165" formatCode="_(&quot;£&quot;* #,##0.00_);_(&quot;£&quot;* \(#,##0.00\);_(&quot;£&quot;* &quot;-&quot;??_);_(@_)"/>
    <numFmt numFmtId="166" formatCode="#,##0.0_);\(#,##0.0\);0.0_);@_)"/>
    <numFmt numFmtId="167" formatCode="#,##0.0_);\(#,##0.0\)\,0.0_);@_)"/>
    <numFmt numFmtId="168" formatCode="[$-409]d\-mmm\-yy"/>
    <numFmt numFmtId="169" formatCode="0.0%_);\(0.0%\)"/>
    <numFmt numFmtId="170" formatCode="#,##0.0\ \x_);\(#,##0.0\ \x\)"/>
    <numFmt numFmtId="171" formatCode="dd\-mmm\-yy_)"/>
    <numFmt numFmtId="172" formatCode="#,##0.00_);\(#,##0.00\);0.00_);@_)"/>
    <numFmt numFmtId="173" formatCode="#,##0.000_);\(#,##0.000\);0.000_);@_)"/>
    <numFmt numFmtId="174" formatCode="#,##0.00000_);\(#,##0.00000\);0.00000_);@_)"/>
    <numFmt numFmtId="175" formatCode="0.00%_);\(0.00%\)"/>
    <numFmt numFmtId="176" formatCode="###,###,##0.00"/>
    <numFmt numFmtId="177" formatCode="[$-409]d\-mmm\-yy;@"/>
    <numFmt numFmtId="178" formatCode="#,##0.0\ \x_);\(#,##0.0\ \x\);"/>
    <numFmt numFmtId="179" formatCode="#,##0.0%_);\(#,##0.0%\)"/>
    <numFmt numFmtId="180" formatCode="#,##0.000000_);\(#,##0.000000\);0.000000_);@_)"/>
    <numFmt numFmtId="181" formatCode="#,##0_);\(#,##0\);0_);@_)"/>
    <numFmt numFmtId="182" formatCode="#,##0.0\x"/>
  </numFmts>
  <fonts count="55">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6" fontId="0" fillId="0" borderId="1"/>
    <xf numFmtId="166" fontId="39" fillId="0" borderId="1" applyNumberFormat="0" applyFill="0" applyBorder="0" applyAlignment="0" applyProtection="0"/>
    <xf numFmtId="166" fontId="38" fillId="0" borderId="1" applyNumberFormat="0" applyFill="0" applyBorder="0" applyAlignment="0" applyProtection="0"/>
    <xf numFmtId="169"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78"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7" fontId="35" fillId="19" borderId="1" applyNumberFormat="0" applyBorder="0" applyProtection="0">
      <alignment horizontal="center"/>
    </xf>
    <xf numFmtId="171" fontId="36" fillId="0" borderId="1" applyFont="0" applyFill="0" applyBorder="0" applyAlignment="0" applyProtection="0"/>
    <xf numFmtId="177" fontId="37" fillId="20" borderId="1">
      <alignment horizontal="center"/>
    </xf>
    <xf numFmtId="167" fontId="22" fillId="19" borderId="1" applyNumberFormat="0" applyFill="0" applyBorder="0" applyAlignment="0" applyProtection="0"/>
    <xf numFmtId="167" fontId="35" fillId="20" borderId="1">
      <alignment horizontal="center"/>
    </xf>
    <xf numFmtId="170"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6" fontId="39" fillId="0" borderId="1" applyNumberFormat="0" applyFill="0" applyBorder="0" applyAlignment="0" applyProtection="0"/>
    <xf numFmtId="43" fontId="36" fillId="0" borderId="0" applyFont="0" applyFill="0" applyBorder="0" applyAlignment="0" applyProtection="0"/>
    <xf numFmtId="41" fontId="36" fillId="0" borderId="0" applyFon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0" fontId="36" fillId="41" borderId="31" applyNumberFormat="0" applyFont="0" applyAlignment="0" applyProtection="0"/>
  </cellStyleXfs>
  <cellXfs count="266">
    <xf numFmtId="166" fontId="0" fillId="0" borderId="1" xfId="0"/>
    <xf numFmtId="170" fontId="3" fillId="18" borderId="1" xfId="0" applyNumberFormat="1" applyFont="1" applyFill="1"/>
    <xf numFmtId="166" fontId="0" fillId="0" borderId="1" xfId="0" quotePrefix="1"/>
    <xf numFmtId="166" fontId="14" fillId="0" borderId="1" xfId="0" applyFont="1"/>
    <xf numFmtId="177" fontId="37" fillId="20" borderId="1" xfId="22">
      <alignment horizontal="center"/>
    </xf>
    <xf numFmtId="0" fontId="3" fillId="0" borderId="1" xfId="0" applyNumberFormat="1" applyFont="1"/>
    <xf numFmtId="166" fontId="6" fillId="0" borderId="1" xfId="0" applyFont="1"/>
    <xf numFmtId="166" fontId="7" fillId="0" borderId="1" xfId="0" applyFont="1" applyAlignment="1">
      <alignment vertical="top"/>
    </xf>
    <xf numFmtId="166" fontId="7" fillId="0" borderId="1" xfId="0" applyFont="1"/>
    <xf numFmtId="166" fontId="8" fillId="0" borderId="1" xfId="0" applyFont="1" applyAlignment="1">
      <alignment vertical="center"/>
    </xf>
    <xf numFmtId="166" fontId="9" fillId="0" borderId="1" xfId="0" applyFont="1" applyAlignment="1">
      <alignment vertical="center" wrapText="1"/>
    </xf>
    <xf numFmtId="166" fontId="7" fillId="4" borderId="2" xfId="0" applyFont="1" applyFill="1" applyBorder="1" applyAlignment="1">
      <alignment vertical="top"/>
    </xf>
    <xf numFmtId="166" fontId="10" fillId="4" borderId="2" xfId="0" applyFont="1" applyFill="1" applyBorder="1" applyAlignment="1">
      <alignment horizontal="center" vertical="top"/>
    </xf>
    <xf numFmtId="166" fontId="7" fillId="4" borderId="2" xfId="0" applyFont="1" applyFill="1" applyBorder="1"/>
    <xf numFmtId="166" fontId="9" fillId="4" borderId="2" xfId="0" applyFont="1" applyFill="1" applyBorder="1" applyAlignment="1">
      <alignment vertical="center" wrapText="1"/>
    </xf>
    <xf numFmtId="166" fontId="10" fillId="0" borderId="1" xfId="0" applyFont="1" applyAlignment="1">
      <alignment horizontal="center" vertical="top"/>
    </xf>
    <xf numFmtId="167" fontId="14" fillId="6" borderId="3" xfId="0" applyNumberFormat="1" applyFont="1" applyFill="1" applyBorder="1"/>
    <xf numFmtId="167" fontId="14" fillId="0" borderId="1" xfId="0" applyNumberFormat="1" applyFont="1" applyAlignment="1">
      <alignment vertical="top"/>
    </xf>
    <xf numFmtId="167" fontId="7" fillId="0" borderId="1" xfId="0" applyNumberFormat="1" applyFont="1"/>
    <xf numFmtId="167" fontId="8" fillId="0" borderId="1" xfId="0" applyNumberFormat="1" applyFont="1" applyAlignment="1">
      <alignment horizontal="left" vertical="center"/>
    </xf>
    <xf numFmtId="166" fontId="14" fillId="0" borderId="1" xfId="0" applyFont="1" applyAlignment="1">
      <alignment horizontal="center"/>
    </xf>
    <xf numFmtId="166" fontId="8" fillId="0" borderId="1" xfId="0" applyFont="1" applyAlignment="1">
      <alignment horizontal="left" vertical="center"/>
    </xf>
    <xf numFmtId="169" fontId="14" fillId="0" borderId="1" xfId="0" applyNumberFormat="1" applyFont="1"/>
    <xf numFmtId="166" fontId="6" fillId="0" borderId="1" xfId="0" applyFont="1" applyAlignment="1">
      <alignment vertical="center"/>
    </xf>
    <xf numFmtId="166" fontId="12" fillId="0" borderId="1" xfId="0" applyFont="1"/>
    <xf numFmtId="166" fontId="14" fillId="6" borderId="3" xfId="0" applyFont="1" applyFill="1" applyBorder="1"/>
    <xf numFmtId="167" fontId="12" fillId="3" borderId="4" xfId="0" applyNumberFormat="1" applyFont="1" applyFill="1" applyBorder="1" applyAlignment="1">
      <alignment horizontal="left" vertical="center"/>
    </xf>
    <xf numFmtId="167" fontId="12" fillId="3" borderId="5" xfId="0" applyNumberFormat="1" applyFont="1" applyFill="1" applyBorder="1" applyAlignment="1">
      <alignment horizontal="left" vertical="center"/>
    </xf>
    <xf numFmtId="167" fontId="12" fillId="3" borderId="6" xfId="0" applyNumberFormat="1" applyFont="1" applyFill="1" applyBorder="1" applyAlignment="1">
      <alignment horizontal="left" vertical="center"/>
    </xf>
    <xf numFmtId="166" fontId="16" fillId="0" borderId="1" xfId="0" applyFont="1"/>
    <xf numFmtId="167"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6" fontId="8" fillId="0" borderId="7" xfId="0" applyFont="1" applyBorder="1" applyAlignment="1">
      <alignment horizontal="left" vertical="center"/>
    </xf>
    <xf numFmtId="169" fontId="14" fillId="6" borderId="10" xfId="0" applyNumberFormat="1" applyFont="1" applyFill="1" applyBorder="1"/>
    <xf numFmtId="171" fontId="14" fillId="6" borderId="10" xfId="0" applyNumberFormat="1" applyFont="1" applyFill="1" applyBorder="1"/>
    <xf numFmtId="171" fontId="14" fillId="0" borderId="14" xfId="0" applyNumberFormat="1" applyFont="1" applyBorder="1" applyAlignment="1">
      <alignment horizontal="right"/>
    </xf>
    <xf numFmtId="166" fontId="14" fillId="6" borderId="10" xfId="0" applyFont="1" applyFill="1" applyBorder="1" applyAlignment="1">
      <alignment horizontal="right"/>
    </xf>
    <xf numFmtId="166" fontId="14" fillId="0" borderId="9" xfId="0" applyFont="1" applyBorder="1"/>
    <xf numFmtId="172" fontId="14" fillId="6" borderId="10" xfId="0" applyNumberFormat="1" applyFont="1" applyFill="1" applyBorder="1"/>
    <xf numFmtId="167" fontId="8" fillId="0" borderId="11" xfId="0" applyNumberFormat="1" applyFont="1" applyBorder="1" applyAlignment="1">
      <alignment horizontal="left" vertical="center"/>
    </xf>
    <xf numFmtId="167" fontId="12" fillId="3" borderId="5" xfId="0" applyNumberFormat="1" applyFont="1" applyFill="1" applyBorder="1" applyAlignment="1">
      <alignment vertical="top"/>
    </xf>
    <xf numFmtId="166" fontId="12" fillId="3" borderId="5" xfId="0" applyFont="1" applyFill="1" applyBorder="1"/>
    <xf numFmtId="166" fontId="12" fillId="0" borderId="1" xfId="0" applyFont="1" applyAlignment="1">
      <alignment horizontal="left" vertical="center"/>
    </xf>
    <xf numFmtId="166" fontId="14" fillId="6" borderId="15" xfId="0" applyFont="1" applyFill="1" applyBorder="1"/>
    <xf numFmtId="172" fontId="14" fillId="6" borderId="3" xfId="0" applyNumberFormat="1" applyFont="1" applyFill="1" applyBorder="1"/>
    <xf numFmtId="171" fontId="14" fillId="6" borderId="3" xfId="0" applyNumberFormat="1" applyFont="1" applyFill="1" applyBorder="1"/>
    <xf numFmtId="166" fontId="12" fillId="3" borderId="6" xfId="0" applyFont="1" applyFill="1" applyBorder="1"/>
    <xf numFmtId="168" fontId="14" fillId="6" borderId="3" xfId="0" applyNumberFormat="1" applyFont="1" applyFill="1" applyBorder="1"/>
    <xf numFmtId="166" fontId="14" fillId="0" borderId="9" xfId="0" applyFont="1" applyBorder="1" applyAlignment="1">
      <alignment horizontal="right"/>
    </xf>
    <xf numFmtId="166" fontId="17" fillId="0" borderId="1" xfId="0" applyFont="1"/>
    <xf numFmtId="166" fontId="14" fillId="0" borderId="13" xfId="0" applyFont="1" applyBorder="1" applyAlignment="1">
      <alignment horizontal="right"/>
    </xf>
    <xf numFmtId="166" fontId="18" fillId="0" borderId="1" xfId="0" applyFont="1"/>
    <xf numFmtId="166" fontId="14" fillId="0" borderId="1" xfId="0" applyFont="1" applyAlignment="1">
      <alignment horizontal="right"/>
    </xf>
    <xf numFmtId="166" fontId="14" fillId="6" borderId="3" xfId="0" applyFont="1" applyFill="1" applyBorder="1" applyAlignment="1">
      <alignment horizontal="right"/>
    </xf>
    <xf numFmtId="166" fontId="3" fillId="0" borderId="1" xfId="0" applyFont="1"/>
    <xf numFmtId="169" fontId="14" fillId="6" borderId="3" xfId="0" applyNumberFormat="1" applyFont="1" applyFill="1" applyBorder="1"/>
    <xf numFmtId="170" fontId="14" fillId="6" borderId="3" xfId="0" applyNumberFormat="1" applyFont="1" applyFill="1" applyBorder="1"/>
    <xf numFmtId="170" fontId="14" fillId="0" borderId="1" xfId="0" applyNumberFormat="1" applyFont="1"/>
    <xf numFmtId="171" fontId="14" fillId="0" borderId="1" xfId="0" applyNumberFormat="1" applyFont="1"/>
    <xf numFmtId="174" fontId="14" fillId="0" borderId="3" xfId="0" applyNumberFormat="1" applyFont="1" applyBorder="1"/>
    <xf numFmtId="173" fontId="14" fillId="0" borderId="1" xfId="0" applyNumberFormat="1" applyFont="1" applyAlignment="1">
      <alignment horizontal="right"/>
    </xf>
    <xf numFmtId="175" fontId="14" fillId="6" borderId="3" xfId="0" applyNumberFormat="1" applyFont="1" applyFill="1" applyBorder="1"/>
    <xf numFmtId="166" fontId="23" fillId="0" borderId="1" xfId="0" applyFont="1"/>
    <xf numFmtId="166" fontId="24" fillId="0" borderId="1" xfId="0" applyFont="1"/>
    <xf numFmtId="166" fontId="22" fillId="6" borderId="3" xfId="0" applyFont="1" applyFill="1" applyBorder="1"/>
    <xf numFmtId="172" fontId="14" fillId="6" borderId="17" xfId="0" applyNumberFormat="1" applyFont="1" applyFill="1" applyBorder="1"/>
    <xf numFmtId="166" fontId="22" fillId="0" borderId="1" xfId="23" applyNumberFormat="1" applyFill="1"/>
    <xf numFmtId="166" fontId="22" fillId="21" borderId="3" xfId="7" applyNumberFormat="1">
      <protection locked="0"/>
    </xf>
    <xf numFmtId="175" fontId="22" fillId="21" borderId="3" xfId="7" applyNumberFormat="1">
      <protection locked="0"/>
    </xf>
    <xf numFmtId="166" fontId="49" fillId="0" borderId="1" xfId="0" applyFont="1"/>
    <xf numFmtId="170" fontId="22" fillId="21" borderId="3" xfId="7" applyNumberFormat="1">
      <protection locked="0"/>
    </xf>
    <xf numFmtId="169" fontId="22" fillId="0" borderId="1" xfId="23" applyNumberFormat="1" applyFill="1"/>
    <xf numFmtId="166" fontId="50" fillId="0" borderId="1" xfId="0" applyFont="1"/>
    <xf numFmtId="166" fontId="3" fillId="0" borderId="1" xfId="0" applyFont="1" applyAlignment="1">
      <alignment horizontal="right"/>
    </xf>
    <xf numFmtId="169" fontId="0" fillId="0" borderId="1" xfId="3" applyFont="1" applyFill="1"/>
    <xf numFmtId="170" fontId="0" fillId="0" borderId="1" xfId="25" applyFont="1"/>
    <xf numFmtId="169" fontId="22" fillId="21" borderId="3" xfId="7" applyNumberFormat="1">
      <protection locked="0"/>
    </xf>
    <xf numFmtId="166" fontId="12" fillId="3" borderId="28" xfId="0" applyFont="1" applyFill="1" applyBorder="1"/>
    <xf numFmtId="166" fontId="18" fillId="0" borderId="29" xfId="0" applyFont="1" applyBorder="1"/>
    <xf numFmtId="167" fontId="4" fillId="2" borderId="1" xfId="0" applyNumberFormat="1" applyFont="1" applyFill="1" applyAlignment="1">
      <alignment horizontal="left"/>
    </xf>
    <xf numFmtId="167" fontId="19" fillId="3" borderId="1" xfId="0" applyNumberFormat="1" applyFont="1" applyFill="1" applyAlignment="1">
      <alignment horizontal="center"/>
    </xf>
    <xf numFmtId="166" fontId="22" fillId="21" borderId="30" xfId="7" applyNumberFormat="1" applyBorder="1">
      <protection locked="0"/>
    </xf>
    <xf numFmtId="172" fontId="22" fillId="0" borderId="1" xfId="23" applyNumberFormat="1" applyFill="1" applyAlignment="1">
      <alignment horizontal="right"/>
    </xf>
    <xf numFmtId="166" fontId="4" fillId="2" borderId="1" xfId="0" applyFont="1" applyFill="1" applyAlignment="1">
      <alignment horizontal="left"/>
    </xf>
    <xf numFmtId="167" fontId="15" fillId="2" borderId="1" xfId="0" applyNumberFormat="1" applyFont="1" applyFill="1" applyAlignment="1">
      <alignment horizontal="center"/>
    </xf>
    <xf numFmtId="166" fontId="42" fillId="0" borderId="1" xfId="28" applyNumberFormat="1">
      <alignment horizontal="left" vertical="center"/>
    </xf>
    <xf numFmtId="166" fontId="0" fillId="0" borderId="1" xfId="0" applyAlignment="1">
      <alignment horizontal="center"/>
    </xf>
    <xf numFmtId="172" fontId="22" fillId="21" borderId="3" xfId="7" applyNumberFormat="1">
      <protection locked="0"/>
    </xf>
    <xf numFmtId="172" fontId="0" fillId="0" borderId="1" xfId="0" applyNumberFormat="1"/>
    <xf numFmtId="169" fontId="0" fillId="0" borderId="1" xfId="3" applyFont="1" applyFill="1" applyAlignment="1"/>
    <xf numFmtId="166" fontId="0" fillId="0" borderId="1" xfId="0" applyAlignment="1">
      <alignment horizontal="left" wrapText="1"/>
    </xf>
    <xf numFmtId="166" fontId="42" fillId="0" borderId="1" xfId="28" applyNumberFormat="1" applyFill="1">
      <alignment horizontal="left" vertical="center"/>
    </xf>
    <xf numFmtId="169" fontId="22" fillId="21" borderId="3" xfId="3" applyFont="1" applyFill="1" applyBorder="1" applyProtection="1">
      <protection locked="0"/>
    </xf>
    <xf numFmtId="170" fontId="22" fillId="0" borderId="1" xfId="23" applyNumberFormat="1" applyFill="1"/>
    <xf numFmtId="169" fontId="14" fillId="6" borderId="1" xfId="0" applyNumberFormat="1" applyFont="1" applyFill="1"/>
    <xf numFmtId="167" fontId="15" fillId="3" borderId="1" xfId="0" applyNumberFormat="1" applyFont="1" applyFill="1" applyAlignment="1">
      <alignment horizontal="center"/>
    </xf>
    <xf numFmtId="171" fontId="0" fillId="0" borderId="1" xfId="21" applyFont="1" applyAlignment="1"/>
    <xf numFmtId="167" fontId="42" fillId="0" borderId="1" xfId="28" applyNumberFormat="1">
      <alignment horizontal="left" vertical="center"/>
    </xf>
    <xf numFmtId="166" fontId="0" fillId="0" borderId="1" xfId="0" applyAlignment="1">
      <alignment horizontal="right"/>
    </xf>
    <xf numFmtId="170" fontId="0" fillId="0" borderId="1" xfId="25" applyFont="1" applyAlignment="1"/>
    <xf numFmtId="0" fontId="0" fillId="0" borderId="1" xfId="0" applyNumberFormat="1" applyAlignment="1">
      <alignment wrapText="1"/>
    </xf>
    <xf numFmtId="169" fontId="0" fillId="0" borderId="1" xfId="3" applyFont="1" applyFill="1" applyAlignment="1">
      <alignment horizontal="right"/>
    </xf>
    <xf numFmtId="170" fontId="0" fillId="0" borderId="1" xfId="25" applyFont="1" applyFill="1"/>
    <xf numFmtId="166" fontId="0" fillId="0" borderId="1" xfId="0" applyAlignment="1">
      <alignment wrapText="1"/>
    </xf>
    <xf numFmtId="166" fontId="3" fillId="0" borderId="12" xfId="0" applyFont="1" applyBorder="1"/>
    <xf numFmtId="166" fontId="39" fillId="0" borderId="1" xfId="54"/>
    <xf numFmtId="172" fontId="39" fillId="0" borderId="1" xfId="54" applyNumberFormat="1"/>
    <xf numFmtId="166" fontId="22" fillId="0" borderId="1" xfId="0" applyFont="1"/>
    <xf numFmtId="167" fontId="7" fillId="4" borderId="1" xfId="0" applyNumberFormat="1" applyFont="1" applyFill="1" applyAlignment="1">
      <alignment horizontal="left" vertical="top"/>
    </xf>
    <xf numFmtId="167" fontId="10" fillId="4" borderId="1" xfId="0" applyNumberFormat="1" applyFont="1" applyFill="1" applyAlignment="1">
      <alignment horizontal="center" vertical="top"/>
    </xf>
    <xf numFmtId="167" fontId="7" fillId="4" borderId="1" xfId="0" applyNumberFormat="1" applyFont="1" applyFill="1"/>
    <xf numFmtId="167" fontId="9" fillId="4" borderId="1" xfId="0" applyNumberFormat="1" applyFont="1" applyFill="1" applyAlignment="1">
      <alignment vertical="center" wrapText="1"/>
    </xf>
    <xf numFmtId="167" fontId="4" fillId="2" borderId="1" xfId="0" applyNumberFormat="1" applyFont="1" applyFill="1"/>
    <xf numFmtId="166" fontId="6" fillId="2" borderId="1" xfId="0" applyFont="1" applyFill="1"/>
    <xf numFmtId="167" fontId="12" fillId="3" borderId="1" xfId="0" applyNumberFormat="1" applyFont="1" applyFill="1"/>
    <xf numFmtId="166" fontId="12" fillId="3" borderId="1" xfId="0" applyFont="1" applyFill="1"/>
    <xf numFmtId="166" fontId="7" fillId="5" borderId="1" xfId="0" applyFont="1" applyFill="1"/>
    <xf numFmtId="166" fontId="7" fillId="4" borderId="1" xfId="0" applyFont="1" applyFill="1"/>
    <xf numFmtId="166" fontId="7" fillId="4" borderId="1" xfId="0" applyFont="1" applyFill="1" applyAlignment="1">
      <alignment horizontal="left" vertical="top"/>
    </xf>
    <xf numFmtId="166" fontId="10" fillId="4" borderId="1" xfId="0" applyFont="1" applyFill="1" applyAlignment="1">
      <alignment horizontal="center" vertical="top"/>
    </xf>
    <xf numFmtId="166" fontId="3" fillId="4" borderId="1" xfId="0" applyFont="1" applyFill="1"/>
    <xf numFmtId="166" fontId="7" fillId="4" borderId="1" xfId="0" applyFont="1" applyFill="1" applyAlignment="1">
      <alignment vertical="top"/>
    </xf>
    <xf numFmtId="166" fontId="10" fillId="4" borderId="1" xfId="0" applyFont="1" applyFill="1" applyAlignment="1">
      <alignment vertical="top"/>
    </xf>
    <xf numFmtId="166" fontId="7" fillId="4" borderId="1" xfId="0" applyFont="1" applyFill="1" applyAlignment="1">
      <alignment vertical="top" wrapText="1"/>
    </xf>
    <xf numFmtId="167" fontId="7" fillId="4" borderId="1" xfId="0" applyNumberFormat="1" applyFont="1" applyFill="1" applyAlignment="1">
      <alignment vertical="top"/>
    </xf>
    <xf numFmtId="167" fontId="13" fillId="4" borderId="1" xfId="0" applyNumberFormat="1" applyFont="1" applyFill="1" applyAlignment="1">
      <alignment vertical="center" wrapText="1"/>
    </xf>
    <xf numFmtId="166" fontId="8" fillId="4" borderId="1" xfId="0" applyFont="1" applyFill="1" applyAlignment="1">
      <alignment vertical="center"/>
    </xf>
    <xf numFmtId="166" fontId="6" fillId="2" borderId="1" xfId="0" applyFont="1" applyFill="1" applyAlignment="1">
      <alignment vertical="center"/>
    </xf>
    <xf numFmtId="166" fontId="3" fillId="0" borderId="7" xfId="0" applyFont="1" applyBorder="1"/>
    <xf numFmtId="166" fontId="3" fillId="0" borderId="9" xfId="0" applyFont="1" applyBorder="1"/>
    <xf numFmtId="166" fontId="3" fillId="0" borderId="7" xfId="0" quotePrefix="1" applyFont="1" applyBorder="1"/>
    <xf numFmtId="171" fontId="3" fillId="0" borderId="9" xfId="0" applyNumberFormat="1" applyFont="1" applyBorder="1"/>
    <xf numFmtId="166" fontId="3" fillId="0" borderId="9" xfId="0" applyFont="1" applyBorder="1" applyAlignment="1">
      <alignment horizontal="right"/>
    </xf>
    <xf numFmtId="166" fontId="3" fillId="0" borderId="11" xfId="0" quotePrefix="1" applyFont="1" applyBorder="1"/>
    <xf numFmtId="166" fontId="3" fillId="0" borderId="13" xfId="0" applyFont="1" applyBorder="1"/>
    <xf numFmtId="171" fontId="3" fillId="0" borderId="1" xfId="0" applyNumberFormat="1" applyFont="1" applyAlignment="1">
      <alignment horizontal="right"/>
    </xf>
    <xf numFmtId="171" fontId="3" fillId="0" borderId="9" xfId="0" applyNumberFormat="1" applyFont="1" applyBorder="1" applyAlignment="1">
      <alignment horizontal="right"/>
    </xf>
    <xf numFmtId="166" fontId="3" fillId="0" borderId="11" xfId="0" applyFont="1" applyBorder="1"/>
    <xf numFmtId="172" fontId="3" fillId="0" borderId="12" xfId="0" applyNumberFormat="1" applyFont="1" applyBorder="1" applyAlignment="1">
      <alignment horizontal="right"/>
    </xf>
    <xf numFmtId="172" fontId="3" fillId="0" borderId="13" xfId="0" applyNumberFormat="1" applyFont="1" applyBorder="1" applyAlignment="1">
      <alignment horizontal="right"/>
    </xf>
    <xf numFmtId="170" fontId="3" fillId="0" borderId="1" xfId="0" applyNumberFormat="1" applyFont="1" applyAlignment="1">
      <alignment horizontal="right"/>
    </xf>
    <xf numFmtId="170" fontId="3" fillId="0" borderId="9" xfId="0" applyNumberFormat="1" applyFont="1" applyBorder="1" applyAlignment="1">
      <alignment horizontal="right"/>
    </xf>
    <xf numFmtId="169" fontId="3" fillId="0" borderId="9" xfId="0" applyNumberFormat="1" applyFont="1" applyBorder="1" applyAlignment="1">
      <alignment horizontal="right"/>
    </xf>
    <xf numFmtId="169" fontId="3" fillId="0" borderId="13" xfId="0" applyNumberFormat="1" applyFont="1" applyBorder="1"/>
    <xf numFmtId="170" fontId="3" fillId="0" borderId="12" xfId="0" applyNumberFormat="1" applyFont="1" applyBorder="1" applyAlignment="1">
      <alignment horizontal="right"/>
    </xf>
    <xf numFmtId="166" fontId="3" fillId="0" borderId="1" xfId="0" applyFont="1" applyAlignment="1">
      <alignment horizontal="left" wrapText="1"/>
    </xf>
    <xf numFmtId="166" fontId="3" fillId="0" borderId="1" xfId="0" applyFont="1" applyAlignment="1">
      <alignment horizontal="right" wrapText="1"/>
    </xf>
    <xf numFmtId="171" fontId="3" fillId="0" borderId="1" xfId="0" applyNumberFormat="1" applyFont="1"/>
    <xf numFmtId="166" fontId="3" fillId="0" borderId="12" xfId="0" applyFont="1" applyBorder="1" applyAlignment="1">
      <alignment horizontal="right"/>
    </xf>
    <xf numFmtId="166" fontId="3" fillId="0" borderId="26" xfId="0" applyFont="1" applyBorder="1"/>
    <xf numFmtId="171" fontId="3" fillId="0" borderId="1" xfId="21" applyFont="1" applyBorder="1"/>
    <xf numFmtId="171" fontId="3" fillId="0" borderId="26" xfId="21" applyFont="1" applyBorder="1"/>
    <xf numFmtId="170" fontId="3" fillId="0" borderId="1" xfId="25" applyFont="1" applyBorder="1"/>
    <xf numFmtId="166" fontId="3" fillId="0" borderId="29" xfId="0" applyFont="1" applyBorder="1"/>
    <xf numFmtId="166" fontId="3" fillId="0" borderId="27" xfId="0" applyFont="1" applyBorder="1"/>
    <xf numFmtId="169" fontId="3" fillId="0" borderId="1" xfId="0" applyNumberFormat="1" applyFont="1"/>
    <xf numFmtId="167" fontId="15" fillId="3" borderId="1" xfId="0" applyNumberFormat="1" applyFont="1" applyFill="1" applyAlignment="1">
      <alignment horizontal="left"/>
    </xf>
    <xf numFmtId="167" fontId="19" fillId="3" borderId="16" xfId="0" applyNumberFormat="1" applyFont="1" applyFill="1" applyBorder="1" applyAlignment="1">
      <alignment horizontal="center"/>
    </xf>
    <xf numFmtId="171" fontId="15" fillId="3" borderId="1" xfId="0" applyNumberFormat="1" applyFont="1" applyFill="1" applyAlignment="1">
      <alignment horizontal="center"/>
    </xf>
    <xf numFmtId="170" fontId="3" fillId="0" borderId="1" xfId="0" applyNumberFormat="1" applyFont="1"/>
    <xf numFmtId="166" fontId="3" fillId="0" borderId="1" xfId="0" applyFont="1" applyAlignment="1">
      <alignment horizontal="center"/>
    </xf>
    <xf numFmtId="169" fontId="15" fillId="3" borderId="1" xfId="0" applyNumberFormat="1" applyFont="1" applyFill="1" applyAlignment="1">
      <alignment horizontal="center"/>
    </xf>
    <xf numFmtId="170" fontId="15" fillId="3" borderId="1" xfId="0" applyNumberFormat="1" applyFont="1" applyFill="1" applyAlignment="1">
      <alignment horizontal="center"/>
    </xf>
    <xf numFmtId="176"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69" fontId="3" fillId="0" borderId="1" xfId="0" applyNumberFormat="1" applyFont="1" applyAlignment="1">
      <alignment horizontal="right"/>
    </xf>
    <xf numFmtId="0" fontId="3" fillId="0" borderId="1" xfId="0" applyNumberFormat="1" applyFont="1" applyAlignment="1">
      <alignment wrapText="1"/>
    </xf>
    <xf numFmtId="171" fontId="15" fillId="3" borderId="1" xfId="21" applyFont="1" applyFill="1" applyBorder="1" applyAlignment="1">
      <alignment horizontal="center"/>
    </xf>
    <xf numFmtId="175" fontId="3" fillId="0" borderId="1" xfId="0" applyNumberFormat="1" applyFont="1"/>
    <xf numFmtId="167" fontId="15" fillId="3" borderId="1" xfId="0" applyNumberFormat="1" applyFont="1" applyFill="1" applyAlignment="1">
      <alignment horizontal="right"/>
    </xf>
    <xf numFmtId="170" fontId="3" fillId="0" borderId="1" xfId="25" applyFont="1"/>
    <xf numFmtId="167" fontId="12" fillId="3" borderId="1" xfId="0" applyNumberFormat="1" applyFont="1" applyFill="1" applyAlignment="1">
      <alignment horizontal="left" vertical="center"/>
    </xf>
    <xf numFmtId="168" fontId="14" fillId="6" borderId="1" xfId="0" applyNumberFormat="1" applyFont="1" applyFill="1"/>
    <xf numFmtId="166" fontId="3" fillId="7" borderId="1" xfId="0" applyFont="1" applyFill="1"/>
    <xf numFmtId="166" fontId="14" fillId="7" borderId="1" xfId="0" applyFont="1" applyFill="1"/>
    <xf numFmtId="166" fontId="3" fillId="6" borderId="1" xfId="0" applyFont="1" applyFill="1"/>
    <xf numFmtId="166" fontId="14" fillId="6" borderId="1" xfId="0" applyFont="1" applyFill="1"/>
    <xf numFmtId="167" fontId="3" fillId="0" borderId="1" xfId="0" applyNumberFormat="1" applyFont="1" applyAlignment="1">
      <alignment horizontal="right"/>
    </xf>
    <xf numFmtId="166" fontId="3" fillId="0" borderId="1" xfId="0" applyFont="1" applyAlignment="1">
      <alignment horizontal="right" vertical="top" wrapText="1"/>
    </xf>
    <xf numFmtId="168" fontId="3" fillId="0" borderId="1" xfId="0" applyNumberFormat="1" applyFont="1"/>
    <xf numFmtId="171" fontId="14" fillId="7" borderId="1" xfId="0" applyNumberFormat="1" applyFont="1" applyFill="1"/>
    <xf numFmtId="0" fontId="0" fillId="0" borderId="1" xfId="0" applyNumberFormat="1"/>
    <xf numFmtId="169" fontId="39" fillId="0" borderId="1" xfId="54" applyNumberFormat="1" applyFill="1"/>
    <xf numFmtId="166" fontId="39" fillId="0" borderId="1" xfId="54" applyNumberFormat="1" applyFill="1"/>
    <xf numFmtId="166" fontId="39" fillId="0" borderId="1" xfId="54" applyFill="1"/>
    <xf numFmtId="166" fontId="39" fillId="0" borderId="1" xfId="54" applyNumberFormat="1"/>
    <xf numFmtId="169" fontId="22" fillId="0" borderId="1" xfId="3" applyFont="1" applyFill="1" applyAlignment="1">
      <alignment horizontal="right"/>
    </xf>
    <xf numFmtId="167" fontId="42" fillId="0" borderId="1" xfId="28" applyNumberFormat="1" applyFill="1">
      <alignment horizontal="left" vertical="center"/>
    </xf>
    <xf numFmtId="172" fontId="22" fillId="0" borderId="1" xfId="0" applyNumberFormat="1" applyFont="1"/>
    <xf numFmtId="169" fontId="39" fillId="6" borderId="10" xfId="54" applyNumberFormat="1" applyFill="1" applyBorder="1"/>
    <xf numFmtId="166" fontId="39" fillId="6" borderId="3" xfId="54" applyFill="1" applyBorder="1"/>
    <xf numFmtId="166" fontId="39" fillId="21" borderId="3" xfId="54" applyNumberFormat="1" applyFill="1" applyBorder="1" applyProtection="1">
      <protection locked="0"/>
    </xf>
    <xf numFmtId="166" fontId="39" fillId="21" borderId="30" xfId="54" applyNumberFormat="1" applyFill="1" applyBorder="1" applyProtection="1">
      <protection locked="0"/>
    </xf>
    <xf numFmtId="172" fontId="39" fillId="6" borderId="3" xfId="54" applyNumberFormat="1" applyFill="1" applyBorder="1"/>
    <xf numFmtId="172" fontId="14" fillId="0" borderId="1" xfId="0" applyNumberFormat="1" applyFont="1"/>
    <xf numFmtId="170" fontId="14" fillId="0" borderId="1" xfId="25" applyFont="1" applyFill="1"/>
    <xf numFmtId="170" fontId="0" fillId="0" borderId="1" xfId="25" applyFont="1" applyFill="1" applyAlignment="1">
      <alignment horizontal="right"/>
    </xf>
    <xf numFmtId="169" fontId="22" fillId="21" borderId="17" xfId="7" applyNumberFormat="1" applyBorder="1">
      <protection locked="0"/>
    </xf>
    <xf numFmtId="166" fontId="35" fillId="19" borderId="1" xfId="20" applyNumberFormat="1">
      <alignment horizontal="center"/>
    </xf>
    <xf numFmtId="171" fontId="35" fillId="19" borderId="1" xfId="20" applyNumberFormat="1">
      <alignment horizontal="center"/>
    </xf>
    <xf numFmtId="166" fontId="35" fillId="19" borderId="1" xfId="20" applyNumberFormat="1" applyAlignment="1">
      <alignment horizontal="centerContinuous"/>
    </xf>
    <xf numFmtId="166" fontId="0" fillId="0" borderId="1" xfId="0" applyAlignment="1">
      <alignment horizontal="left" indent="1"/>
    </xf>
    <xf numFmtId="175" fontId="14" fillId="0" borderId="1" xfId="0" applyNumberFormat="1" applyFont="1"/>
    <xf numFmtId="166" fontId="52" fillId="0" borderId="1" xfId="0" applyFont="1"/>
    <xf numFmtId="169" fontId="53" fillId="0" borderId="1" xfId="3" applyFont="1" applyFill="1"/>
    <xf numFmtId="166" fontId="54" fillId="0" borderId="1" xfId="0" applyFont="1"/>
    <xf numFmtId="169" fontId="39" fillId="0" borderId="1" xfId="3" applyFont="1" applyFill="1"/>
    <xf numFmtId="169" fontId="22" fillId="0" borderId="1" xfId="3" applyFont="1" applyFill="1"/>
    <xf numFmtId="172" fontId="22" fillId="0" borderId="1" xfId="23" applyNumberFormat="1" applyFill="1"/>
    <xf numFmtId="179" fontId="0" fillId="0" borderId="1" xfId="0" applyNumberFormat="1"/>
    <xf numFmtId="169" fontId="0" fillId="0" borderId="1" xfId="3" quotePrefix="1" applyFont="1" applyFill="1"/>
    <xf numFmtId="166" fontId="39" fillId="6" borderId="3" xfId="54" applyNumberFormat="1" applyFill="1" applyBorder="1"/>
    <xf numFmtId="172" fontId="14" fillId="0" borderId="12" xfId="0" applyNumberFormat="1" applyFont="1" applyBorder="1"/>
    <xf numFmtId="173" fontId="39" fillId="0" borderId="1" xfId="54" applyNumberFormat="1"/>
    <xf numFmtId="169" fontId="22" fillId="21" borderId="32" xfId="7" applyNumberFormat="1" applyBorder="1">
      <protection locked="0"/>
    </xf>
    <xf numFmtId="166" fontId="3" fillId="0" borderId="35" xfId="0" applyFont="1" applyBorder="1"/>
    <xf numFmtId="170" fontId="14" fillId="0" borderId="1" xfId="25" applyFont="1"/>
    <xf numFmtId="49" fontId="0" fillId="0" borderId="1" xfId="0" applyNumberFormat="1"/>
    <xf numFmtId="0" fontId="0" fillId="0" borderId="1" xfId="0" applyNumberFormat="1" applyAlignment="1">
      <alignment horizontal="left" vertical="distributed" wrapText="1"/>
    </xf>
    <xf numFmtId="174" fontId="39" fillId="0" borderId="1" xfId="54" applyNumberFormat="1"/>
    <xf numFmtId="180" fontId="39" fillId="0" borderId="1" xfId="54" applyNumberFormat="1"/>
    <xf numFmtId="179" fontId="16" fillId="0" borderId="1" xfId="0" applyNumberFormat="1" applyFont="1"/>
    <xf numFmtId="166" fontId="0" fillId="18" borderId="1" xfId="0" applyFill="1"/>
    <xf numFmtId="181" fontId="0" fillId="0" borderId="1" xfId="0" applyNumberFormat="1"/>
    <xf numFmtId="167" fontId="35" fillId="20" borderId="1" xfId="24">
      <alignment horizontal="center"/>
    </xf>
    <xf numFmtId="169" fontId="0" fillId="0" borderId="1" xfId="3" applyFont="1" applyFill="1" applyAlignment="1">
      <alignment horizontal="center"/>
    </xf>
    <xf numFmtId="166" fontId="22" fillId="0" borderId="1" xfId="0" applyFont="1" applyAlignment="1">
      <alignment horizontal="right"/>
    </xf>
    <xf numFmtId="170" fontId="22" fillId="0" borderId="1" xfId="25" applyFont="1"/>
    <xf numFmtId="182" fontId="0" fillId="0" borderId="1" xfId="0" applyNumberFormat="1"/>
    <xf numFmtId="167" fontId="11" fillId="4" borderId="1" xfId="0" applyNumberFormat="1" applyFont="1" applyFill="1" applyAlignment="1">
      <alignment horizontal="center" vertical="center" wrapText="1"/>
    </xf>
    <xf numFmtId="167" fontId="4" fillId="2" borderId="1" xfId="0" applyNumberFormat="1" applyFont="1" applyFill="1" applyAlignment="1">
      <alignment horizontal="center"/>
    </xf>
    <xf numFmtId="167" fontId="4" fillId="3" borderId="1" xfId="0" applyNumberFormat="1" applyFont="1" applyFill="1" applyAlignment="1">
      <alignment horizontal="center" vertical="center"/>
    </xf>
    <xf numFmtId="167" fontId="7" fillId="4" borderId="1" xfId="0" applyNumberFormat="1" applyFont="1" applyFill="1" applyAlignment="1">
      <alignment horizontal="left" vertical="top"/>
    </xf>
    <xf numFmtId="167" fontId="3" fillId="4" borderId="1" xfId="0" applyNumberFormat="1" applyFont="1" applyFill="1" applyAlignment="1">
      <alignment horizontal="center" vertical="center" wrapText="1"/>
    </xf>
    <xf numFmtId="166" fontId="8" fillId="4" borderId="1" xfId="0" applyFont="1" applyFill="1" applyAlignment="1">
      <alignment horizontal="left" vertical="center"/>
    </xf>
    <xf numFmtId="168" fontId="3" fillId="4" borderId="1" xfId="0" applyNumberFormat="1" applyFont="1" applyFill="1" applyAlignment="1">
      <alignment horizontal="left"/>
    </xf>
    <xf numFmtId="166" fontId="3" fillId="4" borderId="1" xfId="0" applyFont="1" applyFill="1" applyAlignment="1">
      <alignment horizontal="left"/>
    </xf>
    <xf numFmtId="166" fontId="0" fillId="0" borderId="1" xfId="0" applyAlignment="1">
      <alignment wrapText="1"/>
    </xf>
    <xf numFmtId="0" fontId="0" fillId="0" borderId="1" xfId="0" applyNumberFormat="1" applyAlignment="1">
      <alignment wrapText="1"/>
    </xf>
    <xf numFmtId="167" fontId="19" fillId="3" borderId="16" xfId="0" applyNumberFormat="1" applyFont="1" applyFill="1" applyBorder="1" applyAlignment="1">
      <alignment horizontal="center"/>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166" fontId="22" fillId="21" borderId="3" xfId="7" applyNumberFormat="1" applyAlignment="1">
      <alignment horizontal="center"/>
      <protection locked="0"/>
    </xf>
    <xf numFmtId="166" fontId="0" fillId="0" borderId="1" xfId="0" applyAlignment="1">
      <alignment horizontal="center"/>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6" fontId="0" fillId="0" borderId="1" xfId="0" applyAlignment="1">
      <alignment horizontal="left" wrapText="1"/>
    </xf>
    <xf numFmtId="166" fontId="0" fillId="0" borderId="1" xfId="0" applyAlignment="1">
      <alignment horizontal="center" vertical="top"/>
    </xf>
    <xf numFmtId="166" fontId="22" fillId="21" borderId="32" xfId="7" applyNumberFormat="1" applyBorder="1" applyAlignment="1">
      <alignment horizontal="left" vertical="top" wrapText="1"/>
      <protection locked="0"/>
    </xf>
    <xf numFmtId="166" fontId="22" fillId="21" borderId="33" xfId="7" applyNumberFormat="1" applyBorder="1" applyAlignment="1">
      <alignment horizontal="left" vertical="top" wrapText="1"/>
      <protection locked="0"/>
    </xf>
    <xf numFmtId="166" fontId="22" fillId="21" borderId="34" xfId="7" applyNumberFormat="1" applyBorder="1" applyAlignment="1">
      <alignment horizontal="left" vertical="top" wrapText="1"/>
      <protection locked="0"/>
    </xf>
    <xf numFmtId="49" fontId="0" fillId="0" borderId="1" xfId="0" applyNumberFormat="1" applyAlignment="1">
      <alignment horizontal="left" vertical="center" wrapText="1"/>
    </xf>
    <xf numFmtId="167" fontId="15" fillId="2" borderId="1" xfId="0" applyNumberFormat="1" applyFont="1" applyFill="1" applyAlignment="1">
      <alignment horizontal="center"/>
    </xf>
    <xf numFmtId="166" fontId="22" fillId="21" borderId="32" xfId="7" applyNumberFormat="1" applyBorder="1" applyAlignment="1">
      <alignment vertical="top" wrapText="1"/>
      <protection locked="0"/>
    </xf>
    <xf numFmtId="166" fontId="22" fillId="21" borderId="33" xfId="7" applyNumberFormat="1" applyBorder="1" applyAlignment="1">
      <alignment vertical="top" wrapText="1"/>
      <protection locked="0"/>
    </xf>
    <xf numFmtId="166" fontId="22" fillId="21" borderId="34" xfId="7" applyNumberFormat="1" applyBorder="1" applyAlignment="1">
      <alignment vertical="top" wrapText="1"/>
      <protection locked="0"/>
    </xf>
    <xf numFmtId="166" fontId="50" fillId="0" borderId="1" xfId="0" applyFont="1" applyAlignment="1">
      <alignment horizontal="left"/>
    </xf>
    <xf numFmtId="0" fontId="5" fillId="0" borderId="1" xfId="0" applyNumberFormat="1" applyFont="1" applyAlignment="1"/>
    <xf numFmtId="166" fontId="3" fillId="4" borderId="1" xfId="0" applyFont="1" applyFill="1" applyAlignment="1"/>
    <xf numFmtId="166" fontId="35" fillId="19" borderId="1" xfId="20" applyNumberFormat="1" applyAlignment="1">
      <alignment horizontal="center"/>
    </xf>
    <xf numFmtId="0" fontId="5" fillId="0" borderId="16" xfId="0" applyNumberFormat="1" applyFont="1" applyBorder="1" applyAlignment="1"/>
    <xf numFmtId="0" fontId="51" fillId="0" borderId="1" xfId="0" applyNumberFormat="1" applyFont="1" applyAlignment="1"/>
    <xf numFmtId="166" fontId="22" fillId="21" borderId="3" xfId="7" applyNumberFormat="1" applyAlignment="1">
      <protection locked="0"/>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Valuation_summary!$C$46:$C$51</c:f>
              <c:numCache>
                <c:formatCode>#,##0.0_);\(#,##0.0\);0.0_);@_)</c:formatCode>
                <c:ptCount val="6"/>
                <c:pt idx="0">
                  <c:v>67980.974932276134</c:v>
                </c:pt>
                <c:pt idx="1">
                  <c:v>60680.132133813437</c:v>
                </c:pt>
                <c:pt idx="2">
                  <c:v>75413.272111044571</c:v>
                </c:pt>
                <c:pt idx="3">
                  <c:v>90097.874867279563</c:v>
                </c:pt>
                <c:pt idx="4">
                  <c:v>49754.515894285709</c:v>
                </c:pt>
                <c:pt idx="5">
                  <c:v>#N/A</c:v>
                </c:pt>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Valuation_summary!$D$46:$D$51</c:f>
              <c:numCache>
                <c:formatCode>#,##0.0_);\(#,##0.0\);0.0_);@_)</c:formatCode>
                <c:ptCount val="6"/>
                <c:pt idx="0">
                  <c:v>14384.202227347399</c:v>
                </c:pt>
                <c:pt idx="1">
                  <c:v>17454.679371404236</c:v>
                </c:pt>
                <c:pt idx="2">
                  <c:v>7383.7536451963388</c:v>
                </c:pt>
                <c:pt idx="3">
                  <c:v>7383.7536451963388</c:v>
                </c:pt>
                <c:pt idx="4">
                  <c:v>27798.593322592904</c:v>
                </c:pt>
                <c:pt idx="5">
                  <c:v>#N/A</c:v>
                </c:pt>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pt idx="0">
                  <c:v>75000</c:v>
                </c:pt>
                <c:pt idx="1">
                  <c:v>75000</c:v>
                </c:pt>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pt idx="0">
                  <c:v>80000</c:v>
                </c:pt>
                <c:pt idx="1">
                  <c:v>80000</c:v>
                </c:pt>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15981" y="1819833"/>
          <a:ext cx="6530789" cy="3881719"/>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5.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2.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2.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3.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3.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6.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5.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11.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16.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11.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703125" defaultRowHeight="15" customHeight="1"/>
  <cols>
    <col min="1" max="1" width="8.5703125" customWidth="1"/>
    <col min="2" max="13" width="8" customWidth="1"/>
    <col min="14" max="14" width="8.5703125" customWidth="1"/>
    <col min="15" max="26" width="8" customWidth="1"/>
  </cols>
  <sheetData>
    <row r="1" spans="1:26" ht="189.75" customHeight="1">
      <c r="A1" s="231"/>
      <c r="B1" s="260"/>
      <c r="C1" s="260"/>
      <c r="D1" s="260"/>
      <c r="E1" s="260"/>
      <c r="F1" s="260"/>
      <c r="G1" s="260"/>
      <c r="H1" s="260"/>
      <c r="I1" s="260"/>
      <c r="J1" s="260"/>
      <c r="K1" s="260"/>
      <c r="L1" s="260"/>
      <c r="M1" s="260"/>
      <c r="N1" s="260"/>
      <c r="V1" s="6"/>
      <c r="W1" s="6"/>
      <c r="X1" s="6"/>
      <c r="Y1" s="6"/>
      <c r="Z1" s="6"/>
    </row>
    <row r="2" spans="1:26" ht="75" customHeight="1">
      <c r="A2" s="232" t="s">
        <v>0</v>
      </c>
      <c r="B2" s="260"/>
      <c r="C2" s="260"/>
      <c r="D2" s="260"/>
      <c r="E2" s="260"/>
      <c r="F2" s="260"/>
      <c r="G2" s="260"/>
      <c r="H2" s="260"/>
      <c r="I2" s="260"/>
      <c r="J2" s="260"/>
      <c r="K2" s="260"/>
      <c r="L2" s="260"/>
      <c r="M2" s="260"/>
      <c r="N2" s="260"/>
      <c r="V2" s="7"/>
      <c r="W2" s="7"/>
      <c r="X2" s="7"/>
      <c r="Y2" s="7"/>
      <c r="Z2" s="7"/>
    </row>
    <row r="3" spans="1:26" ht="7.5" customHeight="1">
      <c r="A3" s="8"/>
      <c r="B3" s="9"/>
      <c r="C3" s="9"/>
      <c r="D3" s="8"/>
      <c r="E3" s="8"/>
      <c r="F3" s="10"/>
      <c r="G3" s="10"/>
      <c r="H3" s="10"/>
      <c r="I3" s="10"/>
      <c r="J3" s="10"/>
      <c r="K3" s="10"/>
      <c r="L3" s="8"/>
      <c r="M3" s="8"/>
      <c r="N3" s="8"/>
      <c r="V3" s="8"/>
      <c r="W3" s="8"/>
      <c r="X3" s="8"/>
      <c r="Y3" s="8"/>
      <c r="Z3" s="8"/>
    </row>
    <row r="4" spans="1:26" ht="15" customHeight="1">
      <c r="A4" s="108"/>
      <c r="B4" s="109"/>
      <c r="C4" s="233"/>
      <c r="D4" s="260"/>
      <c r="E4" s="110"/>
      <c r="F4" s="111"/>
      <c r="G4" s="111"/>
      <c r="H4" s="111"/>
      <c r="I4" s="111"/>
      <c r="J4" s="111"/>
      <c r="K4" s="111"/>
      <c r="L4" s="110"/>
      <c r="M4" s="110"/>
      <c r="N4" s="110"/>
      <c r="V4" s="8"/>
      <c r="W4" s="8"/>
      <c r="X4" s="8"/>
      <c r="Y4" s="8"/>
      <c r="Z4" s="8"/>
    </row>
    <row r="5" spans="1:26" ht="15" customHeight="1">
      <c r="A5" s="234" t="s">
        <v>1</v>
      </c>
      <c r="B5" s="260"/>
      <c r="C5" s="260"/>
      <c r="D5" s="260"/>
      <c r="E5" s="260"/>
      <c r="F5" s="260"/>
      <c r="G5" s="260"/>
      <c r="H5" s="260"/>
      <c r="I5" s="260"/>
      <c r="J5" s="260"/>
      <c r="K5" s="260"/>
      <c r="L5" s="260"/>
      <c r="M5" s="260"/>
      <c r="N5" s="260"/>
      <c r="V5" s="8"/>
      <c r="W5" s="8"/>
      <c r="X5" s="8"/>
      <c r="Y5" s="8"/>
      <c r="Z5" s="8"/>
    </row>
    <row r="6" spans="1:26" ht="15" customHeight="1">
      <c r="A6" s="260"/>
      <c r="B6" s="260"/>
      <c r="C6" s="260"/>
      <c r="D6" s="260"/>
      <c r="E6" s="260"/>
      <c r="F6" s="260"/>
      <c r="G6" s="260"/>
      <c r="H6" s="260"/>
      <c r="I6" s="260"/>
      <c r="J6" s="260"/>
      <c r="K6" s="260"/>
      <c r="L6" s="260"/>
      <c r="M6" s="260"/>
      <c r="N6" s="260"/>
      <c r="V6" s="8"/>
      <c r="W6" s="8"/>
      <c r="X6" s="8"/>
      <c r="Y6" s="8"/>
      <c r="Z6" s="8"/>
    </row>
    <row r="7" spans="1:26" ht="15" customHeight="1">
      <c r="A7" s="234" t="str">
        <f ca="1">"© "&amp;YEAR(TODAY())&amp;" Financial Edge Training"</f>
        <v>© 2024 Financial Edge Training</v>
      </c>
      <c r="B7" s="260"/>
      <c r="C7" s="260"/>
      <c r="D7" s="260"/>
      <c r="E7" s="260"/>
      <c r="F7" s="260"/>
      <c r="G7" s="260"/>
      <c r="H7" s="260"/>
      <c r="I7" s="260"/>
      <c r="J7" s="260"/>
      <c r="K7" s="260"/>
      <c r="L7" s="260"/>
      <c r="M7" s="260"/>
      <c r="N7" s="260"/>
      <c r="V7" s="8"/>
      <c r="W7" s="8"/>
      <c r="X7" s="8"/>
      <c r="Y7" s="8"/>
      <c r="Z7" s="8"/>
    </row>
    <row r="8" spans="1:26" ht="15" customHeight="1">
      <c r="A8" s="230" t="s">
        <v>2</v>
      </c>
      <c r="B8" s="260"/>
      <c r="C8" s="260"/>
      <c r="D8" s="260"/>
      <c r="E8" s="260"/>
      <c r="F8" s="260"/>
      <c r="G8" s="260"/>
      <c r="H8" s="260"/>
      <c r="I8" s="260"/>
      <c r="J8" s="260"/>
      <c r="K8" s="260"/>
      <c r="L8" s="260"/>
      <c r="M8" s="260"/>
      <c r="N8" s="260"/>
      <c r="V8" s="8"/>
      <c r="W8" s="8"/>
      <c r="X8" s="8"/>
      <c r="Y8" s="8"/>
      <c r="Z8" s="8"/>
    </row>
    <row r="9" spans="1:26" ht="15" customHeight="1">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heetViews>
  <sheetFormatPr defaultColWidth="12.5703125" defaultRowHeight="15" customHeight="1"/>
  <cols>
    <col min="1" max="1" width="1.140625" customWidth="1"/>
    <col min="2" max="2" width="2.5703125" customWidth="1"/>
    <col min="3" max="3" width="11.5703125" customWidth="1"/>
    <col min="4" max="4" width="2.5703125" customWidth="1"/>
    <col min="5" max="7" width="1.140625" customWidth="1"/>
    <col min="8" max="8" width="2.5703125" customWidth="1"/>
    <col min="9" max="9" width="37.5703125" customWidth="1"/>
    <col min="10" max="11" width="1.140625" customWidth="1"/>
    <col min="12" max="12" width="13.5703125" customWidth="1"/>
    <col min="13" max="14" width="1.140625" customWidth="1"/>
    <col min="15" max="15" width="2.5703125" customWidth="1"/>
    <col min="16" max="16" width="28.5703125" customWidth="1"/>
    <col min="17" max="17" width="2.5703125" customWidth="1"/>
    <col min="18" max="18" width="1.140625" customWidth="1"/>
    <col min="19" max="36" width="8" customWidth="1"/>
  </cols>
  <sheetData>
    <row r="1" spans="1:36" ht="45" customHeight="1">
      <c r="A1" s="112" t="str">
        <f>Welcome!A2</f>
        <v>Case Study</v>
      </c>
      <c r="B1" s="112"/>
      <c r="C1" s="112"/>
      <c r="D1" s="112"/>
      <c r="E1" s="112"/>
      <c r="F1" s="112"/>
      <c r="G1" s="112"/>
      <c r="H1" s="112"/>
      <c r="I1" s="112"/>
      <c r="J1" s="113"/>
      <c r="K1" s="113"/>
      <c r="L1" s="113"/>
      <c r="M1" s="113"/>
      <c r="N1" s="113"/>
      <c r="O1" s="113"/>
      <c r="P1" s="113"/>
      <c r="Q1" s="113"/>
      <c r="R1" s="113"/>
    </row>
    <row r="2" spans="1:36" ht="30" customHeight="1">
      <c r="A2" s="114" t="s">
        <v>3</v>
      </c>
      <c r="B2" s="114"/>
      <c r="C2" s="114"/>
      <c r="D2" s="114"/>
      <c r="E2" s="114"/>
      <c r="F2" s="114"/>
      <c r="G2" s="114"/>
      <c r="H2" s="114"/>
      <c r="I2" s="114"/>
      <c r="J2" s="115"/>
      <c r="K2" s="115"/>
      <c r="L2" s="115"/>
      <c r="M2" s="115"/>
      <c r="N2" s="115"/>
      <c r="O2" s="115"/>
      <c r="P2" s="115"/>
      <c r="Q2" s="115"/>
      <c r="R2" s="115"/>
    </row>
    <row r="3" spans="1:36" ht="7.5" customHeight="1">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c r="A4" s="117"/>
      <c r="B4" s="235" t="s">
        <v>4</v>
      </c>
      <c r="C4" s="260"/>
      <c r="D4" s="260"/>
      <c r="E4" s="260"/>
      <c r="F4" s="260"/>
      <c r="G4" s="260"/>
      <c r="H4" s="260"/>
      <c r="I4" s="260"/>
      <c r="J4" s="116"/>
      <c r="K4" s="117"/>
      <c r="L4" s="235" t="s">
        <v>5</v>
      </c>
      <c r="M4" s="260"/>
      <c r="N4" s="260"/>
      <c r="O4" s="260"/>
      <c r="P4" s="260"/>
      <c r="Q4" s="111"/>
      <c r="R4" s="111"/>
      <c r="Y4" s="116"/>
      <c r="Z4" s="116"/>
      <c r="AA4" s="116"/>
      <c r="AB4" s="116"/>
      <c r="AC4" s="116"/>
      <c r="AD4" s="116"/>
      <c r="AE4" s="116"/>
      <c r="AF4" s="116"/>
      <c r="AG4" s="116"/>
      <c r="AH4" s="116"/>
      <c r="AI4" s="116"/>
      <c r="AJ4" s="116"/>
    </row>
    <row r="5" spans="1:36" ht="15" customHeight="1">
      <c r="A5" s="118"/>
      <c r="B5" s="119" t="s">
        <v>6</v>
      </c>
      <c r="C5" s="120" t="s">
        <v>7</v>
      </c>
      <c r="D5" s="121"/>
      <c r="E5" s="121"/>
      <c r="F5" s="121"/>
      <c r="G5" s="121"/>
      <c r="H5" s="121"/>
      <c r="I5" s="121"/>
      <c r="J5" s="116"/>
      <c r="K5" s="117"/>
      <c r="L5" s="122" t="s">
        <v>8</v>
      </c>
      <c r="M5" s="122"/>
      <c r="N5" s="261" t="s">
        <v>9</v>
      </c>
      <c r="O5" s="260"/>
      <c r="P5" s="260"/>
      <c r="Q5" s="260"/>
      <c r="R5" s="111"/>
      <c r="Y5" s="116"/>
      <c r="Z5" s="116"/>
      <c r="AA5" s="116"/>
      <c r="AB5" s="116"/>
      <c r="AC5" s="116"/>
      <c r="AD5" s="116"/>
      <c r="AE5" s="116"/>
      <c r="AF5" s="116"/>
      <c r="AG5" s="116"/>
      <c r="AH5" s="116"/>
      <c r="AI5" s="116"/>
      <c r="AJ5" s="116"/>
    </row>
    <row r="6" spans="1:36" ht="15" customHeight="1">
      <c r="A6" s="123"/>
      <c r="B6" s="119" t="s">
        <v>6</v>
      </c>
      <c r="C6" s="120" t="s">
        <v>10</v>
      </c>
      <c r="D6" s="121"/>
      <c r="E6" s="121"/>
      <c r="F6" s="121"/>
      <c r="G6" s="121"/>
      <c r="H6" s="121"/>
      <c r="I6" s="121"/>
      <c r="J6" s="116"/>
      <c r="K6" s="118"/>
      <c r="L6" s="122" t="s">
        <v>11</v>
      </c>
      <c r="M6" s="122"/>
      <c r="N6" s="236">
        <v>45291</v>
      </c>
      <c r="O6" s="260"/>
      <c r="P6" s="260"/>
      <c r="Q6" s="260"/>
      <c r="R6" s="111"/>
      <c r="Y6" s="116"/>
      <c r="Z6" s="116"/>
      <c r="AA6" s="116"/>
      <c r="AB6" s="116"/>
      <c r="AC6" s="116"/>
      <c r="AD6" s="116"/>
      <c r="AE6" s="116"/>
      <c r="AF6" s="116"/>
      <c r="AG6" s="116"/>
      <c r="AH6" s="116"/>
      <c r="AI6" s="116"/>
      <c r="AJ6" s="116"/>
    </row>
    <row r="7" spans="1:36" ht="15" customHeight="1">
      <c r="A7" s="121"/>
      <c r="B7" s="119" t="s">
        <v>6</v>
      </c>
      <c r="C7" s="120" t="s">
        <v>12</v>
      </c>
      <c r="D7" s="121"/>
      <c r="E7" s="121"/>
      <c r="F7" s="121"/>
      <c r="G7" s="121"/>
      <c r="H7" s="121"/>
      <c r="I7" s="121"/>
      <c r="J7" s="116"/>
      <c r="K7" s="123"/>
      <c r="L7" s="122" t="s">
        <v>13</v>
      </c>
      <c r="M7" s="122"/>
      <c r="N7" s="261" t="s">
        <v>14</v>
      </c>
      <c r="O7" s="260"/>
      <c r="P7" s="260"/>
      <c r="Q7" s="260"/>
      <c r="R7" s="111"/>
      <c r="Y7" s="116"/>
      <c r="Z7" s="116"/>
      <c r="AA7" s="116"/>
      <c r="AB7" s="116"/>
      <c r="AC7" s="116"/>
      <c r="AD7" s="116"/>
      <c r="AE7" s="116"/>
      <c r="AF7" s="116"/>
      <c r="AG7" s="116"/>
      <c r="AH7" s="116"/>
      <c r="AI7" s="116"/>
      <c r="AJ7" s="116"/>
    </row>
    <row r="8" spans="1:36" ht="15" customHeight="1">
      <c r="A8" s="121"/>
      <c r="B8" s="119" t="s">
        <v>6</v>
      </c>
      <c r="C8" s="120" t="s">
        <v>15</v>
      </c>
      <c r="D8" s="121"/>
      <c r="E8" s="121"/>
      <c r="F8" s="121"/>
      <c r="G8" s="121"/>
      <c r="H8" s="121"/>
      <c r="I8" s="121"/>
      <c r="J8" s="116"/>
      <c r="K8" s="121"/>
      <c r="L8" s="122" t="s">
        <v>16</v>
      </c>
      <c r="M8" s="122"/>
      <c r="N8" s="261" t="s">
        <v>17</v>
      </c>
      <c r="O8" s="260"/>
      <c r="P8" s="260"/>
      <c r="Q8" s="260"/>
      <c r="R8" s="111"/>
      <c r="Y8" s="116"/>
      <c r="Z8" s="116"/>
      <c r="AA8" s="116"/>
      <c r="AB8" s="116"/>
      <c r="AC8" s="116"/>
      <c r="AD8" s="116"/>
      <c r="AE8" s="116"/>
      <c r="AF8" s="116"/>
      <c r="AG8" s="116"/>
      <c r="AH8" s="116"/>
      <c r="AI8" s="116"/>
      <c r="AJ8" s="116"/>
    </row>
    <row r="9" spans="1:36" ht="15" customHeight="1">
      <c r="A9" s="124"/>
      <c r="B9" s="119" t="s">
        <v>6</v>
      </c>
      <c r="C9" s="120" t="s">
        <v>18</v>
      </c>
      <c r="D9" s="124"/>
      <c r="E9" s="124"/>
      <c r="F9" s="124"/>
      <c r="G9" s="124"/>
      <c r="H9" s="124"/>
      <c r="I9" s="124"/>
      <c r="J9" s="116"/>
      <c r="K9" s="121"/>
      <c r="L9" s="122" t="s">
        <v>19</v>
      </c>
      <c r="M9" s="122"/>
      <c r="N9" s="261" t="s">
        <v>20</v>
      </c>
      <c r="O9" s="260"/>
      <c r="P9" s="260"/>
      <c r="Q9" s="260"/>
      <c r="R9" s="111"/>
      <c r="Y9" s="116"/>
      <c r="Z9" s="116"/>
      <c r="AA9" s="116"/>
      <c r="AB9" s="116"/>
      <c r="AC9" s="116"/>
      <c r="AD9" s="116"/>
      <c r="AE9" s="116"/>
      <c r="AF9" s="116"/>
      <c r="AG9" s="116"/>
      <c r="AH9" s="116"/>
      <c r="AI9" s="116"/>
      <c r="AJ9" s="116"/>
    </row>
    <row r="10" spans="1:36" ht="15" customHeight="1">
      <c r="A10" s="110"/>
      <c r="B10" s="110"/>
      <c r="C10" s="110"/>
      <c r="D10" s="110"/>
      <c r="E10" s="110"/>
      <c r="F10" s="110"/>
      <c r="G10" s="110"/>
      <c r="H10" s="110"/>
      <c r="I10" s="110"/>
      <c r="J10" s="116"/>
      <c r="K10" s="121"/>
      <c r="L10" s="122" t="s">
        <v>21</v>
      </c>
      <c r="M10" s="122"/>
      <c r="N10" s="237">
        <v>0</v>
      </c>
      <c r="O10" s="260"/>
      <c r="P10" s="260"/>
      <c r="Q10" s="260"/>
      <c r="R10" s="125"/>
      <c r="Y10" s="116"/>
      <c r="Z10" s="116"/>
      <c r="AA10" s="116"/>
      <c r="AB10" s="116"/>
      <c r="AC10" s="116"/>
      <c r="AD10" s="116"/>
      <c r="AE10" s="116"/>
      <c r="AF10" s="116"/>
      <c r="AG10" s="116"/>
      <c r="AH10" s="116"/>
      <c r="AI10" s="116"/>
      <c r="AJ10" s="116"/>
    </row>
    <row r="11" spans="1:36" ht="15" customHeight="1">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c r="A13" s="120"/>
      <c r="B13" s="235" t="s">
        <v>22</v>
      </c>
      <c r="C13" s="260"/>
      <c r="D13" s="260"/>
      <c r="E13" s="260"/>
      <c r="F13" s="260"/>
      <c r="G13" s="260"/>
      <c r="H13" s="260"/>
      <c r="I13" s="260"/>
      <c r="J13" s="260"/>
      <c r="K13" s="260"/>
      <c r="L13" s="260"/>
      <c r="M13" s="116"/>
      <c r="N13" s="117"/>
      <c r="O13" s="235" t="s">
        <v>23</v>
      </c>
      <c r="P13" s="260"/>
      <c r="Q13" s="260"/>
      <c r="R13" s="126"/>
      <c r="Y13" s="116"/>
      <c r="Z13" s="116"/>
      <c r="AA13" s="116"/>
      <c r="AB13" s="116"/>
      <c r="AC13" s="116"/>
      <c r="AD13" s="116"/>
      <c r="AE13" s="116"/>
      <c r="AF13" s="116"/>
      <c r="AG13" s="116"/>
      <c r="AH13" s="116"/>
      <c r="AI13" s="116"/>
      <c r="AJ13" s="116"/>
    </row>
    <row r="14" spans="1:36" ht="15" customHeight="1">
      <c r="A14" s="121"/>
      <c r="B14" s="237"/>
      <c r="C14" s="260"/>
      <c r="D14" s="237"/>
      <c r="E14" s="260"/>
      <c r="F14" s="260"/>
      <c r="G14" s="260"/>
      <c r="H14" s="260"/>
      <c r="I14" s="260"/>
      <c r="J14" s="260"/>
      <c r="K14" s="260"/>
      <c r="L14" s="260"/>
      <c r="M14" s="116"/>
      <c r="N14" s="118"/>
      <c r="O14" s="15"/>
      <c r="P14" s="7"/>
      <c r="Q14" s="7"/>
      <c r="R14" s="121"/>
      <c r="Y14" s="116"/>
      <c r="Z14" s="116"/>
      <c r="AA14" s="116"/>
      <c r="AB14" s="116"/>
      <c r="AC14" s="116"/>
      <c r="AD14" s="116"/>
      <c r="AE14" s="116"/>
      <c r="AF14" s="116"/>
      <c r="AG14" s="116"/>
      <c r="AH14" s="116"/>
      <c r="AI14" s="116"/>
      <c r="AJ14" s="116"/>
    </row>
    <row r="15" spans="1:36" ht="15" customHeight="1">
      <c r="A15" s="121"/>
      <c r="B15" s="237"/>
      <c r="C15" s="260"/>
      <c r="D15" s="237"/>
      <c r="E15" s="260"/>
      <c r="F15" s="260"/>
      <c r="G15" s="260"/>
      <c r="H15" s="260"/>
      <c r="I15" s="260"/>
      <c r="J15" s="260"/>
      <c r="K15" s="260"/>
      <c r="L15" s="260"/>
      <c r="M15" s="116"/>
      <c r="N15" s="123"/>
      <c r="O15" s="15"/>
      <c r="P15" s="16" t="s">
        <v>24</v>
      </c>
      <c r="Q15" s="7"/>
      <c r="R15" s="121"/>
      <c r="Y15" s="116"/>
      <c r="Z15" s="116"/>
      <c r="AA15" s="116"/>
      <c r="AB15" s="116"/>
      <c r="AC15" s="116"/>
      <c r="AD15" s="116"/>
      <c r="AE15" s="116"/>
      <c r="AF15" s="116"/>
      <c r="AG15" s="116"/>
      <c r="AH15" s="116"/>
      <c r="AI15" s="116"/>
      <c r="AJ15" s="116"/>
    </row>
    <row r="16" spans="1:36" ht="15" customHeight="1">
      <c r="A16" s="121"/>
      <c r="B16" s="237"/>
      <c r="C16" s="260"/>
      <c r="D16" s="237"/>
      <c r="E16" s="260"/>
      <c r="F16" s="260"/>
      <c r="G16" s="260"/>
      <c r="H16" s="260"/>
      <c r="I16" s="260"/>
      <c r="J16" s="260"/>
      <c r="K16" s="260"/>
      <c r="L16" s="260"/>
      <c r="M16" s="116"/>
      <c r="N16" s="121"/>
      <c r="O16" s="15"/>
      <c r="P16" s="17" t="s">
        <v>25</v>
      </c>
      <c r="Q16" s="7"/>
      <c r="R16" s="121"/>
      <c r="Y16" s="116"/>
      <c r="Z16" s="116"/>
      <c r="AA16" s="116"/>
      <c r="AB16" s="116"/>
      <c r="AC16" s="116"/>
      <c r="AD16" s="116"/>
      <c r="AE16" s="116"/>
      <c r="AF16" s="116"/>
      <c r="AG16" s="116"/>
      <c r="AH16" s="116"/>
      <c r="AI16" s="116"/>
      <c r="AJ16" s="116"/>
    </row>
    <row r="17" spans="1:36" ht="15" customHeight="1">
      <c r="A17" s="121"/>
      <c r="B17" s="237"/>
      <c r="C17" s="260"/>
      <c r="D17" s="237"/>
      <c r="E17" s="260"/>
      <c r="F17" s="260"/>
      <c r="G17" s="260"/>
      <c r="H17" s="260"/>
      <c r="I17" s="260"/>
      <c r="J17" s="260"/>
      <c r="K17" s="260"/>
      <c r="L17" s="260"/>
      <c r="M17" s="116"/>
      <c r="N17" s="121"/>
      <c r="O17" s="15"/>
      <c r="P17" s="5" t="s">
        <v>26</v>
      </c>
      <c r="Q17" s="7"/>
      <c r="R17" s="121"/>
      <c r="Y17" s="116"/>
      <c r="Z17" s="116"/>
      <c r="AA17" s="116"/>
      <c r="AB17" s="116"/>
      <c r="AC17" s="116"/>
      <c r="AD17" s="116"/>
      <c r="AE17" s="116"/>
      <c r="AF17" s="116"/>
      <c r="AG17" s="116"/>
      <c r="AH17" s="116"/>
      <c r="AI17" s="116"/>
      <c r="AJ17" s="116"/>
    </row>
    <row r="18" spans="1:36" ht="15" customHeight="1">
      <c r="A18" s="110"/>
      <c r="B18" s="237"/>
      <c r="C18" s="260"/>
      <c r="D18" s="237"/>
      <c r="E18" s="260"/>
      <c r="F18" s="260"/>
      <c r="G18" s="260"/>
      <c r="H18" s="260"/>
      <c r="I18" s="260"/>
      <c r="J18" s="260"/>
      <c r="K18" s="260"/>
      <c r="L18" s="260"/>
      <c r="M18" s="116"/>
      <c r="N18" s="110"/>
      <c r="O18" s="18"/>
      <c r="P18" s="18"/>
      <c r="Q18" s="18"/>
      <c r="R18" s="110"/>
      <c r="Y18" s="116"/>
      <c r="Z18" s="116"/>
      <c r="AA18" s="116"/>
      <c r="AB18" s="116"/>
      <c r="AC18" s="116"/>
      <c r="AD18" s="116"/>
      <c r="AE18" s="116"/>
      <c r="AF18" s="116"/>
      <c r="AG18" s="116"/>
      <c r="AH18" s="116"/>
      <c r="AI18" s="116"/>
      <c r="AJ18" s="116"/>
    </row>
    <row r="19" spans="1:36" ht="14.25" customHeight="1">
      <c r="A19" s="11"/>
      <c r="B19" s="11"/>
      <c r="C19" s="11"/>
      <c r="D19" s="11"/>
      <c r="E19" s="11"/>
      <c r="F19" s="11"/>
      <c r="G19" s="11"/>
      <c r="H19" s="11"/>
      <c r="I19" s="11"/>
      <c r="J19" s="11"/>
      <c r="K19" s="11"/>
      <c r="L19" s="11"/>
      <c r="N19" s="11"/>
      <c r="O19" s="11"/>
      <c r="P19" s="11"/>
      <c r="Q19" s="11"/>
      <c r="R19" s="11"/>
    </row>
    <row r="20" spans="1:36" ht="14.25" customHeight="1">
      <c r="Q20" s="8"/>
    </row>
    <row r="21" spans="1:36" ht="14.25" customHeight="1"/>
    <row r="22" spans="1:36" ht="14.25" customHeight="1"/>
    <row r="23" spans="1:36" ht="14.25" customHeight="1"/>
    <row r="24" spans="1:36" ht="14.25" customHeight="1"/>
    <row r="25" spans="1:36" ht="14.25" customHeight="1"/>
    <row r="26" spans="1:36" ht="14.25" customHeight="1"/>
    <row r="27" spans="1:36" ht="14.25" customHeight="1"/>
    <row r="28" spans="1:36" ht="14.25" customHeight="1"/>
    <row r="29" spans="1:36" ht="14.25" customHeight="1"/>
    <row r="30" spans="1:36" ht="14.25" customHeight="1"/>
    <row r="31" spans="1:36" ht="14.25" customHeight="1"/>
    <row r="32" spans="1:3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0">
    <mergeCell ref="B18:C18"/>
    <mergeCell ref="D18:L18"/>
    <mergeCell ref="N10:Q10"/>
    <mergeCell ref="B13:L13"/>
    <mergeCell ref="O13:Q13"/>
    <mergeCell ref="B14:C14"/>
    <mergeCell ref="D14:L14"/>
    <mergeCell ref="B15:C15"/>
    <mergeCell ref="D15:L15"/>
    <mergeCell ref="N8:Q8"/>
    <mergeCell ref="N9:Q9"/>
    <mergeCell ref="B16:C16"/>
    <mergeCell ref="D16:L16"/>
    <mergeCell ref="B17:C17"/>
    <mergeCell ref="D17:L17"/>
    <mergeCell ref="B4:I4"/>
    <mergeCell ref="L4:P4"/>
    <mergeCell ref="N5:Q5"/>
    <mergeCell ref="N6:Q6"/>
    <mergeCell ref="N7:Q7"/>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bottomRight" activeCell="C2" sqref="C2"/>
      <selection pane="bottomLeft" sqref="A1:N1"/>
      <selection pane="topRight" sqref="A1:N1"/>
    </sheetView>
  </sheetViews>
  <sheetFormatPr defaultColWidth="12.5703125" defaultRowHeight="15" customHeight="1" outlineLevelRow="1"/>
  <cols>
    <col min="1" max="1" width="1.5703125" customWidth="1"/>
    <col min="2" max="2" width="40.5703125" customWidth="1"/>
    <col min="3" max="4" width="11" customWidth="1"/>
    <col min="5" max="5" width="2.5703125" customWidth="1"/>
    <col min="6" max="7" width="11" customWidth="1"/>
    <col min="8" max="8" width="2.5703125" customWidth="1"/>
    <col min="9" max="10" width="11" customWidth="1"/>
    <col min="11" max="11" width="2.5703125" customWidth="1"/>
    <col min="12" max="13" width="11" customWidth="1"/>
    <col min="14" max="14" width="2.5703125" customWidth="1"/>
    <col min="15" max="16" width="11" customWidth="1"/>
    <col min="17" max="17" width="2.5703125" customWidth="1"/>
    <col min="18" max="19" width="11" customWidth="1"/>
    <col min="20" max="20" width="25" bestFit="1" customWidth="1"/>
    <col min="21" max="21" width="12.5703125" customWidth="1"/>
  </cols>
  <sheetData>
    <row r="1" spans="1:19" ht="45" customHeight="1">
      <c r="A1" s="79" t="str">
        <f>Welcome!A2</f>
        <v>Case Study</v>
      </c>
      <c r="B1" s="127"/>
      <c r="C1" s="201" t="s">
        <v>27</v>
      </c>
      <c r="D1" s="201"/>
      <c r="E1" s="199"/>
      <c r="F1" s="201" t="s">
        <v>28</v>
      </c>
      <c r="G1" s="201"/>
      <c r="H1" s="199"/>
      <c r="I1" s="201" t="s">
        <v>29</v>
      </c>
      <c r="J1" s="201"/>
      <c r="K1" s="199"/>
      <c r="L1" s="262" t="s">
        <v>30</v>
      </c>
      <c r="M1" s="262"/>
      <c r="N1" s="201"/>
      <c r="O1" s="262" t="s">
        <v>31</v>
      </c>
      <c r="P1" s="262"/>
      <c r="Q1" s="199"/>
      <c r="R1" s="201" t="s">
        <v>32</v>
      </c>
      <c r="S1" s="201"/>
    </row>
    <row r="2" spans="1:19" ht="15" customHeight="1">
      <c r="B2" s="206" t="s">
        <v>33</v>
      </c>
      <c r="C2" s="105" t="s">
        <v>34</v>
      </c>
    </row>
    <row r="3" spans="1:19" ht="15" customHeight="1">
      <c r="A3" s="85" t="s">
        <v>35</v>
      </c>
    </row>
    <row r="4" spans="1:19" ht="15" customHeight="1">
      <c r="A4" s="85"/>
      <c r="B4" t="s">
        <v>36</v>
      </c>
    </row>
    <row r="5" spans="1:19" ht="15" customHeight="1">
      <c r="A5" s="85"/>
      <c r="B5" t="s">
        <v>37</v>
      </c>
    </row>
    <row r="6" spans="1:19" ht="15" customHeight="1">
      <c r="A6" s="85"/>
      <c r="B6" t="s">
        <v>38</v>
      </c>
    </row>
    <row r="7" spans="1:19" ht="15" customHeight="1">
      <c r="A7" s="85"/>
      <c r="B7" t="s">
        <v>39</v>
      </c>
    </row>
    <row r="8" spans="1:19" ht="15" customHeight="1">
      <c r="A8" s="85"/>
      <c r="B8" t="s">
        <v>40</v>
      </c>
    </row>
    <row r="9" spans="1:19" ht="15" customHeight="1">
      <c r="A9" s="85"/>
      <c r="B9" t="s">
        <v>41</v>
      </c>
    </row>
    <row r="10" spans="1:19" ht="15" customHeight="1">
      <c r="A10" s="85"/>
    </row>
    <row r="11" spans="1:19" ht="15" customHeight="1">
      <c r="A11" s="85"/>
      <c r="B11" t="s">
        <v>42</v>
      </c>
      <c r="C11" s="238" t="s">
        <v>43</v>
      </c>
      <c r="D11" s="238" t="s">
        <v>44</v>
      </c>
      <c r="F11" s="238" t="s">
        <v>45</v>
      </c>
    </row>
    <row r="12" spans="1:19" ht="15" customHeight="1">
      <c r="A12" s="85"/>
      <c r="C12" s="238"/>
      <c r="D12" s="238"/>
      <c r="F12" s="238"/>
    </row>
    <row r="13" spans="1:19" ht="15" customHeight="1">
      <c r="A13" s="85"/>
      <c r="B13" t="s">
        <v>46</v>
      </c>
      <c r="C13" s="74">
        <f>D104</f>
        <v>6.3606374576034908E-2</v>
      </c>
      <c r="D13" s="74">
        <f>C107</f>
        <v>0.31605724109092598</v>
      </c>
      <c r="F13" s="74">
        <f>D107</f>
        <v>0.31591822470732134</v>
      </c>
    </row>
    <row r="14" spans="1:19" ht="15" customHeight="1">
      <c r="A14" s="85"/>
      <c r="B14" t="s">
        <v>28</v>
      </c>
      <c r="C14" s="74">
        <f>G104</f>
        <v>5.3852173294444139E-2</v>
      </c>
      <c r="D14" s="74">
        <f>F107</f>
        <v>0.27971828982001851</v>
      </c>
      <c r="F14" s="74">
        <f>G107</f>
        <v>0.27285000675037124</v>
      </c>
    </row>
    <row r="15" spans="1:19" ht="15" customHeight="1">
      <c r="A15" s="85"/>
      <c r="B15" t="s">
        <v>29</v>
      </c>
      <c r="C15" s="74">
        <f>J104</f>
        <v>5.879016575608853E-2</v>
      </c>
      <c r="D15" s="74">
        <f>I107</f>
        <v>0.17464580053708675</v>
      </c>
      <c r="F15" s="74">
        <f>J107</f>
        <v>0.18391621388199539</v>
      </c>
    </row>
    <row r="16" spans="1:19" ht="15" customHeight="1">
      <c r="A16" s="85"/>
      <c r="B16" t="s">
        <v>30</v>
      </c>
      <c r="C16" s="74">
        <f>M104</f>
        <v>0.13219110037394044</v>
      </c>
      <c r="D16" s="74">
        <f>L107</f>
        <v>0.25644222259430238</v>
      </c>
      <c r="F16" s="74">
        <f>M107</f>
        <v>0.28751848408463798</v>
      </c>
    </row>
    <row r="17" spans="1:19" ht="15" customHeight="1">
      <c r="A17" s="85"/>
      <c r="B17" t="s">
        <v>31</v>
      </c>
      <c r="C17" s="74">
        <f>P104</f>
        <v>0.16323617170587612</v>
      </c>
      <c r="D17" s="74">
        <f>O107</f>
        <v>0.1636513661603832</v>
      </c>
      <c r="F17" s="74">
        <f>P107</f>
        <v>0.14914504052797128</v>
      </c>
    </row>
    <row r="18" spans="1:19" ht="15" customHeight="1">
      <c r="A18" s="85"/>
      <c r="B18" t="s">
        <v>32</v>
      </c>
      <c r="C18" s="74">
        <f>S104</f>
        <v>-1.5183832833230992E-3</v>
      </c>
      <c r="D18" s="74">
        <f>R107</f>
        <v>0.161418603810419</v>
      </c>
      <c r="F18" s="74">
        <f>S107</f>
        <v>0.17831927296426373</v>
      </c>
    </row>
    <row r="19" spans="1:19" ht="15" customHeight="1">
      <c r="A19" s="19"/>
    </row>
    <row r="20" spans="1:19" ht="15" customHeight="1">
      <c r="A20" s="19"/>
      <c r="B20" t="s">
        <v>47</v>
      </c>
    </row>
    <row r="21" spans="1:19" ht="15" customHeight="1">
      <c r="A21" s="19"/>
      <c r="B21" t="s">
        <v>48</v>
      </c>
    </row>
    <row r="22" spans="1:19" ht="15" customHeight="1">
      <c r="A22" s="19"/>
      <c r="B22" t="s">
        <v>49</v>
      </c>
    </row>
    <row r="23" spans="1:19" ht="15" customHeight="1">
      <c r="A23" s="19"/>
      <c r="B23" t="s">
        <v>50</v>
      </c>
    </row>
    <row r="24" spans="1:19" ht="15" customHeight="1">
      <c r="A24" s="19"/>
    </row>
    <row r="25" spans="1:19" ht="15.75">
      <c r="A25" s="19"/>
    </row>
    <row r="26" spans="1:19" ht="15" customHeight="1">
      <c r="A26" s="19"/>
    </row>
    <row r="27" spans="1:19" ht="15" customHeight="1">
      <c r="A27" s="19"/>
      <c r="C27" s="201" t="str">
        <f>C1</f>
        <v>Coca-Cola Company</v>
      </c>
      <c r="D27" s="201"/>
      <c r="E27" s="199"/>
      <c r="F27" s="201" t="str">
        <f>F1</f>
        <v>Keurig Dr Pepper</v>
      </c>
      <c r="G27" s="201"/>
      <c r="H27" s="199"/>
      <c r="I27" s="201" t="str">
        <f>I1</f>
        <v>PepsiCo</v>
      </c>
      <c r="J27" s="201"/>
      <c r="K27" s="199"/>
      <c r="L27" s="262" t="str">
        <f>L1</f>
        <v>Monster</v>
      </c>
      <c r="M27" s="262"/>
      <c r="N27" s="201"/>
      <c r="O27" s="262" t="s">
        <v>31</v>
      </c>
      <c r="P27" s="262"/>
      <c r="Q27" s="199"/>
      <c r="R27" s="201" t="str">
        <f>R1</f>
        <v>Danone</v>
      </c>
      <c r="S27" s="201"/>
    </row>
    <row r="28" spans="1:19" ht="15" customHeight="1">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c r="A30" s="19"/>
      <c r="B30" t="s">
        <v>54</v>
      </c>
    </row>
    <row r="31" spans="1:19" ht="15" customHeight="1">
      <c r="A31" s="19"/>
    </row>
    <row r="32" spans="1:19" ht="15" customHeight="1">
      <c r="A32" s="21" t="s">
        <v>55</v>
      </c>
    </row>
    <row r="33" spans="1:19" ht="15" customHeight="1">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c r="A35" s="21"/>
    </row>
    <row r="36" spans="1:19" ht="15" customHeight="1">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c r="A38" s="21"/>
    </row>
    <row r="39" spans="1:19" ht="15" customHeight="1">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c r="A44" s="21"/>
      <c r="B44" t="s">
        <v>62</v>
      </c>
      <c r="C44" s="66">
        <v>0</v>
      </c>
      <c r="D44" s="66">
        <v>0</v>
      </c>
      <c r="F44" s="66">
        <v>0</v>
      </c>
      <c r="G44" s="66">
        <v>0</v>
      </c>
      <c r="I44" s="66">
        <v>0</v>
      </c>
      <c r="J44" s="66">
        <v>0</v>
      </c>
      <c r="L44" s="105">
        <v>-40</v>
      </c>
      <c r="M44" s="105">
        <v>-40</v>
      </c>
      <c r="O44" s="66">
        <v>0</v>
      </c>
      <c r="P44" s="66">
        <v>0</v>
      </c>
      <c r="R44" s="66">
        <v>0</v>
      </c>
      <c r="S44" s="66">
        <v>0</v>
      </c>
    </row>
    <row r="45" spans="1:19" ht="15" customHeight="1">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c r="A48" s="21"/>
    </row>
    <row r="49" spans="1:19" ht="15" customHeight="1">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c r="A51" s="21"/>
    </row>
    <row r="52" spans="1:19" ht="15" customHeight="1">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c r="A58" s="21"/>
    </row>
    <row r="59" spans="1:19" ht="15" customHeight="1">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c r="A61" s="21"/>
    </row>
    <row r="62" spans="1:19" ht="15" customHeight="1">
      <c r="A62" s="21" t="s">
        <v>77</v>
      </c>
    </row>
    <row r="63" spans="1:19" ht="15" customHeight="1">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c r="A67" s="21"/>
      <c r="B67" t="s">
        <v>82</v>
      </c>
      <c r="C67" s="3">
        <v>0</v>
      </c>
      <c r="D67" s="3">
        <v>0</v>
      </c>
      <c r="F67" s="3">
        <v>0</v>
      </c>
      <c r="G67" s="3">
        <v>0</v>
      </c>
      <c r="I67" s="3">
        <v>0</v>
      </c>
      <c r="J67" s="3">
        <v>0</v>
      </c>
      <c r="L67" s="3">
        <v>0</v>
      </c>
      <c r="M67" s="3">
        <v>0</v>
      </c>
      <c r="O67" s="66">
        <v>60263</v>
      </c>
      <c r="P67" s="66">
        <v>52864</v>
      </c>
      <c r="R67" s="66">
        <v>1315</v>
      </c>
      <c r="S67" s="66">
        <v>1259</v>
      </c>
    </row>
    <row r="68" spans="1:19" ht="15" customHeight="1">
      <c r="A68" s="21"/>
      <c r="B68" t="s">
        <v>83</v>
      </c>
      <c r="C68" s="3">
        <v>0</v>
      </c>
      <c r="D68" s="3">
        <v>0</v>
      </c>
      <c r="F68" s="3">
        <v>0</v>
      </c>
      <c r="G68" s="3">
        <v>0</v>
      </c>
      <c r="I68" s="3">
        <v>0</v>
      </c>
      <c r="J68" s="3">
        <v>0</v>
      </c>
      <c r="L68" s="3">
        <v>0</v>
      </c>
      <c r="M68" s="3">
        <v>0</v>
      </c>
      <c r="O68" s="66">
        <v>0</v>
      </c>
      <c r="P68" s="66">
        <v>0</v>
      </c>
      <c r="R68" s="66">
        <v>0</v>
      </c>
      <c r="S68" s="66">
        <v>0</v>
      </c>
    </row>
    <row r="69" spans="1:19" ht="15" customHeight="1">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c r="A70" s="21"/>
    </row>
    <row r="71" spans="1:19" ht="15" customHeight="1">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c r="A78" s="21"/>
      <c r="B78" t="s">
        <v>92</v>
      </c>
      <c r="C78" s="66">
        <v>0</v>
      </c>
      <c r="D78" s="66">
        <v>0</v>
      </c>
      <c r="F78" s="66">
        <v>0</v>
      </c>
      <c r="G78" s="66">
        <v>0</v>
      </c>
      <c r="I78" s="66">
        <v>0</v>
      </c>
      <c r="J78" s="66">
        <v>0</v>
      </c>
      <c r="L78" s="66">
        <v>0</v>
      </c>
      <c r="M78" s="66">
        <v>0</v>
      </c>
      <c r="O78" s="66">
        <v>9020</v>
      </c>
      <c r="P78" s="66">
        <v>9291</v>
      </c>
      <c r="R78" s="66">
        <v>0</v>
      </c>
      <c r="S78" s="66">
        <v>0</v>
      </c>
    </row>
    <row r="79" spans="1:19" ht="15" customHeight="1">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c r="A80" s="21"/>
    </row>
    <row r="81" spans="1:19" ht="15" customHeight="1">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c r="A82" s="21"/>
    </row>
    <row r="83" spans="1:19" ht="15" customHeight="1">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c r="A86" s="21"/>
    </row>
    <row r="87" spans="1:19" ht="15" customHeight="1">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c r="A90" s="21"/>
      <c r="B90" t="s">
        <v>101</v>
      </c>
      <c r="C90" s="3">
        <v>0</v>
      </c>
      <c r="D90" s="3">
        <v>0</v>
      </c>
      <c r="F90" s="105">
        <v>95</v>
      </c>
      <c r="G90" s="105">
        <v>106</v>
      </c>
      <c r="I90" s="3">
        <v>0</v>
      </c>
      <c r="J90" s="3">
        <v>0</v>
      </c>
      <c r="L90" s="66">
        <v>0</v>
      </c>
      <c r="M90" s="3">
        <v>0</v>
      </c>
      <c r="O90" s="66">
        <v>0</v>
      </c>
      <c r="P90" s="66">
        <v>0</v>
      </c>
      <c r="R90" s="66">
        <v>0</v>
      </c>
      <c r="S90" s="66">
        <v>0</v>
      </c>
    </row>
    <row r="91" spans="1:19" ht="15" customHeight="1">
      <c r="A91" s="21"/>
      <c r="B91" t="s">
        <v>102</v>
      </c>
      <c r="C91" s="3">
        <v>0</v>
      </c>
      <c r="D91" s="3">
        <v>0</v>
      </c>
      <c r="F91" s="105">
        <v>618</v>
      </c>
      <c r="G91" s="105">
        <v>620</v>
      </c>
      <c r="I91" s="3">
        <v>0</v>
      </c>
      <c r="J91" s="3">
        <v>0</v>
      </c>
      <c r="L91" s="66">
        <v>0</v>
      </c>
      <c r="M91" s="3">
        <v>0</v>
      </c>
      <c r="O91" s="66">
        <v>0</v>
      </c>
      <c r="P91" s="66">
        <v>0</v>
      </c>
      <c r="R91" s="66">
        <v>0</v>
      </c>
      <c r="S91" s="66">
        <v>0</v>
      </c>
    </row>
    <row r="92" spans="1:19" ht="15" customHeight="1">
      <c r="A92" s="21"/>
      <c r="B92" t="s">
        <v>103</v>
      </c>
      <c r="C92" s="3">
        <v>0</v>
      </c>
      <c r="D92" s="3">
        <v>0</v>
      </c>
      <c r="F92" s="105">
        <v>137</v>
      </c>
      <c r="G92" s="105">
        <v>117</v>
      </c>
      <c r="I92" s="3">
        <v>0</v>
      </c>
      <c r="J92" s="3">
        <v>0</v>
      </c>
      <c r="L92" s="66">
        <v>0</v>
      </c>
      <c r="M92" s="3">
        <v>0</v>
      </c>
      <c r="O92" s="66">
        <v>0</v>
      </c>
      <c r="P92" s="66">
        <v>0</v>
      </c>
      <c r="R92" s="66">
        <v>0</v>
      </c>
      <c r="S92" s="66">
        <v>0</v>
      </c>
    </row>
    <row r="93" spans="1:19" ht="15" customHeight="1">
      <c r="A93" s="21"/>
      <c r="B93" t="s">
        <v>104</v>
      </c>
      <c r="C93" s="3">
        <v>0</v>
      </c>
      <c r="D93" s="3">
        <v>0</v>
      </c>
      <c r="F93" s="3">
        <v>0</v>
      </c>
      <c r="G93" s="3">
        <v>0</v>
      </c>
      <c r="I93" s="3">
        <v>0</v>
      </c>
      <c r="J93" s="3">
        <v>0</v>
      </c>
      <c r="L93" s="3">
        <v>0</v>
      </c>
      <c r="M93" s="3">
        <v>0</v>
      </c>
      <c r="O93" s="66">
        <v>125111</v>
      </c>
      <c r="P93" s="66">
        <v>118696</v>
      </c>
      <c r="R93" s="3">
        <v>0</v>
      </c>
      <c r="S93" s="3">
        <v>0</v>
      </c>
    </row>
    <row r="94" spans="1:19" ht="15" customHeight="1">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c r="A95" s="21"/>
    </row>
    <row r="96" spans="1:19" ht="15" customHeight="1">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c r="A100" s="21"/>
    </row>
    <row r="101" spans="1:19" ht="15" customHeight="1">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c r="A102" s="21"/>
    </row>
    <row r="103" spans="1:19" ht="15" customHeight="1">
      <c r="A103" s="21" t="s">
        <v>111</v>
      </c>
    </row>
    <row r="104" spans="1:19" ht="15" customHeight="1">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c r="A111" s="21"/>
    </row>
    <row r="112" spans="1:19" ht="15" customHeight="1">
      <c r="A112" s="21" t="s">
        <v>119</v>
      </c>
    </row>
    <row r="113" spans="1:19" ht="15" customHeight="1">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c r="A121" s="21"/>
    </row>
    <row r="122" spans="1:19" ht="15" customHeight="1">
      <c r="A122" s="21" t="s">
        <v>128</v>
      </c>
    </row>
    <row r="123" spans="1:19" ht="15" customHeight="1">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c r="A129" s="19"/>
    </row>
    <row r="130" spans="1:19" ht="15" customHeight="1" outlineLevel="1">
      <c r="A130" s="21" t="s">
        <v>135</v>
      </c>
    </row>
    <row r="131" spans="1:19" ht="15" customHeight="1" outlineLevel="1">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c r="A134" s="21"/>
    </row>
    <row r="135" spans="1:19" ht="15" customHeight="1" outlineLevel="1">
      <c r="A135" s="21" t="s">
        <v>139</v>
      </c>
    </row>
    <row r="136" spans="1:19" ht="15" customHeight="1" outlineLevel="1">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c r="A140" s="21"/>
    </row>
    <row r="141" spans="1:19" ht="15" customHeight="1" outlineLevel="1">
      <c r="A141" s="21"/>
      <c r="B141" t="s">
        <v>144</v>
      </c>
      <c r="C141">
        <f>C101+C138</f>
        <v>53077</v>
      </c>
      <c r="F141">
        <f>F101+F138</f>
        <v>38311</v>
      </c>
      <c r="I141">
        <f>I101+I138</f>
        <v>53288</v>
      </c>
      <c r="L141">
        <f>L101+L138</f>
        <v>4392.9189999999999</v>
      </c>
      <c r="O141">
        <f>O101+O138</f>
        <v>2901154</v>
      </c>
      <c r="R141">
        <f>R101+R138</f>
        <v>27404</v>
      </c>
    </row>
    <row r="142" spans="1:19" ht="15" customHeight="1" outlineLevel="1">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c r="A144" s="21"/>
    </row>
    <row r="145" spans="1:1" ht="15" customHeight="1">
      <c r="A145" s="85"/>
    </row>
    <row r="146" spans="1:1" ht="15" customHeight="1">
      <c r="A146" s="85" t="s">
        <v>147</v>
      </c>
    </row>
    <row r="147" spans="1:1" ht="15" customHeight="1">
      <c r="A147" s="85"/>
    </row>
    <row r="148" spans="1:1" ht="15.75" customHeight="1">
      <c r="A148" s="85"/>
    </row>
    <row r="149" spans="1:1" ht="15.75" customHeight="1">
      <c r="A149" s="85"/>
    </row>
    <row r="150" spans="1:1" ht="15.75" customHeight="1">
      <c r="A150" s="85"/>
    </row>
    <row r="151" spans="1:1" ht="15.75" customHeight="1">
      <c r="A151" s="85"/>
    </row>
    <row r="152" spans="1:1" ht="15.75" customHeight="1">
      <c r="A152" s="85"/>
    </row>
    <row r="153" spans="1:1" ht="15.75" customHeight="1">
      <c r="A153" s="85"/>
    </row>
    <row r="154" spans="1:1" ht="15" customHeight="1">
      <c r="A154" s="85"/>
    </row>
    <row r="155" spans="1:1" ht="15" customHeight="1">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703125" defaultRowHeight="15" customHeight="1"/>
  <cols>
    <col min="1" max="1" width="1.5703125" style="85" customWidth="1"/>
    <col min="2" max="2" width="40.5703125" customWidth="1"/>
    <col min="3" max="16" width="10.28515625" customWidth="1"/>
  </cols>
  <sheetData>
    <row r="1" spans="1:16" ht="45" customHeight="1">
      <c r="A1" s="83" t="s">
        <v>148</v>
      </c>
      <c r="B1" s="83"/>
      <c r="C1" s="83"/>
      <c r="D1" s="83"/>
      <c r="E1" s="83"/>
      <c r="F1" s="83"/>
      <c r="G1" s="83"/>
      <c r="H1" s="83"/>
      <c r="I1" s="83"/>
      <c r="J1" s="83"/>
      <c r="K1" s="83"/>
      <c r="L1" s="83"/>
      <c r="M1" s="83"/>
      <c r="N1" s="83"/>
      <c r="O1" s="83"/>
      <c r="P1" s="83"/>
    </row>
    <row r="2" spans="1:16" ht="15" customHeight="1">
      <c r="A2" s="91"/>
      <c r="B2" s="54"/>
      <c r="C2" s="54"/>
      <c r="D2" s="54"/>
      <c r="E2" s="54"/>
      <c r="F2" s="54"/>
      <c r="G2" s="54"/>
      <c r="H2" s="54"/>
      <c r="I2" s="54"/>
      <c r="J2" s="54"/>
      <c r="K2" s="54"/>
      <c r="L2" s="54"/>
      <c r="M2" s="54"/>
      <c r="N2" s="54"/>
    </row>
    <row r="3" spans="1:16" ht="15" customHeight="1">
      <c r="A3" s="91" t="s">
        <v>35</v>
      </c>
      <c r="B3" s="54"/>
      <c r="C3" s="54"/>
      <c r="D3" s="54"/>
      <c r="E3" s="54"/>
      <c r="F3" s="54"/>
      <c r="G3" s="54"/>
      <c r="H3" s="54"/>
      <c r="I3" s="54"/>
      <c r="J3" s="54"/>
      <c r="K3" s="54"/>
      <c r="L3" s="54"/>
      <c r="M3" s="54"/>
      <c r="N3" s="54"/>
    </row>
    <row r="4" spans="1:16" ht="15" customHeight="1">
      <c r="A4" s="91"/>
      <c r="B4" t="s">
        <v>149</v>
      </c>
      <c r="C4" s="54"/>
      <c r="D4" s="54"/>
      <c r="E4" s="54"/>
      <c r="F4" s="54"/>
      <c r="G4" s="54"/>
      <c r="H4" s="54"/>
      <c r="I4" s="54"/>
      <c r="J4" s="54"/>
      <c r="K4" s="54"/>
      <c r="L4" s="54"/>
      <c r="M4" s="54"/>
      <c r="N4" s="54"/>
    </row>
    <row r="5" spans="1:16" ht="15" customHeight="1">
      <c r="A5"/>
      <c r="B5" s="54"/>
      <c r="C5" s="54"/>
      <c r="D5" s="54"/>
      <c r="E5" s="54"/>
      <c r="F5" s="54"/>
      <c r="G5" s="54"/>
      <c r="H5" s="54"/>
      <c r="I5" s="54"/>
      <c r="J5" s="54"/>
      <c r="K5" s="54"/>
      <c r="L5" s="54"/>
      <c r="M5" s="54"/>
      <c r="N5" s="54"/>
    </row>
    <row r="6" spans="1:16" ht="15" customHeight="1">
      <c r="A6" s="85" t="s">
        <v>46</v>
      </c>
    </row>
    <row r="7" spans="1:16" ht="15" customHeight="1">
      <c r="B7" s="105" t="s">
        <v>150</v>
      </c>
    </row>
    <row r="8" spans="1:16" ht="15" customHeight="1">
      <c r="B8" s="105" t="s">
        <v>151</v>
      </c>
    </row>
    <row r="9" spans="1:16" ht="15" customHeight="1">
      <c r="B9" s="105" t="s">
        <v>152</v>
      </c>
    </row>
    <row r="10" spans="1:16" ht="15" customHeight="1">
      <c r="B10" s="105" t="s">
        <v>153</v>
      </c>
    </row>
    <row r="11" spans="1:16" ht="15" customHeight="1">
      <c r="B11" s="204"/>
    </row>
    <row r="12" spans="1:16" ht="15" customHeight="1">
      <c r="B12" t="s">
        <v>154</v>
      </c>
    </row>
    <row r="14" spans="1:16" ht="15" customHeight="1">
      <c r="A14" s="85" t="s">
        <v>30</v>
      </c>
    </row>
    <row r="15" spans="1:16" ht="15" customHeight="1">
      <c r="B15" s="105" t="s">
        <v>155</v>
      </c>
    </row>
    <row r="16" spans="1:16" ht="15" customHeight="1">
      <c r="B16" s="105" t="s">
        <v>156</v>
      </c>
    </row>
    <row r="17" spans="1:2" ht="15" customHeight="1">
      <c r="B17" s="105" t="s">
        <v>157</v>
      </c>
    </row>
    <row r="18" spans="1:2" ht="15" customHeight="1">
      <c r="B18" s="105" t="s">
        <v>158</v>
      </c>
    </row>
    <row r="19" spans="1:2" ht="15" customHeight="1">
      <c r="B19" s="105" t="s">
        <v>159</v>
      </c>
    </row>
    <row r="20" spans="1:2" ht="15" customHeight="1">
      <c r="B20" s="105" t="s">
        <v>160</v>
      </c>
    </row>
    <row r="21" spans="1:2" ht="15" customHeight="1">
      <c r="B21" s="105" t="s">
        <v>161</v>
      </c>
    </row>
    <row r="22" spans="1:2" ht="15" customHeight="1">
      <c r="B22" s="105"/>
    </row>
    <row r="23" spans="1:2" ht="15" customHeight="1">
      <c r="B23" t="s">
        <v>154</v>
      </c>
    </row>
    <row r="25" spans="1:2" ht="15" customHeight="1">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25"/>
  <cols>
    <col min="1" max="1" width="1.5703125" customWidth="1"/>
    <col min="2" max="2" width="50.5703125" customWidth="1"/>
    <col min="3" max="7" width="12.5703125" customWidth="1"/>
  </cols>
  <sheetData>
    <row r="1" spans="1:12" ht="45" customHeight="1">
      <c r="A1" s="83" t="s">
        <v>162</v>
      </c>
      <c r="B1" s="127"/>
      <c r="C1" s="79"/>
      <c r="D1" s="79"/>
      <c r="E1" s="79"/>
      <c r="F1" s="79"/>
      <c r="G1" s="79"/>
      <c r="H1" s="79"/>
      <c r="I1" s="79"/>
      <c r="J1" s="79"/>
      <c r="K1" s="79"/>
      <c r="L1" s="79"/>
    </row>
    <row r="2" spans="1:12">
      <c r="A2" t="s">
        <v>54</v>
      </c>
    </row>
    <row r="3" spans="1:12" ht="15.75">
      <c r="A3" s="85"/>
    </row>
    <row r="4" spans="1:12" ht="15.75">
      <c r="A4" s="85" t="s">
        <v>35</v>
      </c>
    </row>
    <row r="5" spans="1:12" ht="15.75">
      <c r="A5" s="85"/>
      <c r="B5" t="s">
        <v>163</v>
      </c>
    </row>
    <row r="6" spans="1:12" ht="15.75">
      <c r="A6" s="85"/>
      <c r="B6" t="s">
        <v>164</v>
      </c>
    </row>
    <row r="7" spans="1:12" ht="15.75">
      <c r="A7" s="85"/>
      <c r="B7" t="s">
        <v>165</v>
      </c>
    </row>
    <row r="8" spans="1:12" ht="15.75">
      <c r="A8" s="85"/>
    </row>
    <row r="9" spans="1:12" ht="15.75">
      <c r="A9" s="85"/>
    </row>
    <row r="10" spans="1:12" ht="15.75">
      <c r="A10" s="85"/>
    </row>
    <row r="11" spans="1:12" ht="15.75">
      <c r="A11" s="85"/>
    </row>
    <row r="12" spans="1:12" ht="15.75">
      <c r="A12" s="85"/>
    </row>
    <row r="13" spans="1:12" ht="15.75">
      <c r="A13" s="85"/>
    </row>
    <row r="14" spans="1:12" ht="15.75">
      <c r="A14" s="85"/>
    </row>
    <row r="15" spans="1:12" ht="15.75">
      <c r="A15" s="85"/>
    </row>
    <row r="16" spans="1:12" ht="15.75">
      <c r="A16" s="85"/>
    </row>
    <row r="17" spans="1:3" ht="15.75">
      <c r="A17" s="85"/>
    </row>
    <row r="18" spans="1:3" ht="15.75">
      <c r="A18" s="85"/>
    </row>
    <row r="19" spans="1:3" ht="15.75">
      <c r="A19" s="85"/>
    </row>
    <row r="20" spans="1:3" ht="15.75">
      <c r="A20" s="85"/>
    </row>
    <row r="21" spans="1:3" ht="15.75">
      <c r="A21" s="85"/>
    </row>
    <row r="22" spans="1:3" ht="15.75">
      <c r="A22" s="85"/>
    </row>
    <row r="23" spans="1:3" ht="15.75">
      <c r="A23" s="85"/>
    </row>
    <row r="24" spans="1:3" ht="15.75">
      <c r="A24" s="85"/>
    </row>
    <row r="25" spans="1:3" ht="15.75">
      <c r="A25" s="85"/>
    </row>
    <row r="26" spans="1:3" ht="15.75">
      <c r="A26" s="85"/>
    </row>
    <row r="27" spans="1:3" ht="15.75">
      <c r="A27" s="85"/>
    </row>
    <row r="28" spans="1:3" ht="15.75">
      <c r="A28" s="85"/>
    </row>
    <row r="29" spans="1:3" ht="15.75">
      <c r="A29" s="85" t="s">
        <v>166</v>
      </c>
    </row>
    <row r="30" spans="1:3" ht="15.75">
      <c r="A30" s="85"/>
    </row>
    <row r="31" spans="1:3" ht="15.75">
      <c r="A31" s="85"/>
      <c r="B31" t="s">
        <v>8</v>
      </c>
      <c r="C31" t="s">
        <v>167</v>
      </c>
    </row>
    <row r="32" spans="1:3" ht="15.75">
      <c r="A32" s="85"/>
      <c r="B32" t="s">
        <v>168</v>
      </c>
      <c r="C32" s="221">
        <v>4312.4561679999997</v>
      </c>
    </row>
    <row r="33" spans="1:3" ht="15.75">
      <c r="A33" s="85"/>
      <c r="B33" t="s">
        <v>169</v>
      </c>
      <c r="C33" s="186">
        <v>47</v>
      </c>
    </row>
    <row r="34" spans="1:3" ht="15.75">
      <c r="A34" s="85"/>
      <c r="B34" t="s">
        <v>170</v>
      </c>
      <c r="C34" s="106">
        <v>48.52</v>
      </c>
    </row>
    <row r="35" spans="1:3" ht="15.75">
      <c r="A35" s="85"/>
      <c r="B35" t="s">
        <v>171</v>
      </c>
      <c r="C35" s="189">
        <v>59.55</v>
      </c>
    </row>
    <row r="36" spans="1:3" ht="15.75">
      <c r="A36" s="85"/>
      <c r="B36" t="s">
        <v>172</v>
      </c>
      <c r="C36">
        <f>C33*MAX(0,(C35-C34)/C35)</f>
        <v>8.7054575986565865</v>
      </c>
    </row>
    <row r="37" spans="1:3" ht="15.75">
      <c r="A37" s="85"/>
      <c r="B37" t="s">
        <v>173</v>
      </c>
      <c r="C37" s="214">
        <v>2.8540000000000001</v>
      </c>
    </row>
    <row r="38" spans="1:3" ht="15.75">
      <c r="A38" s="85"/>
      <c r="B38" t="s">
        <v>174</v>
      </c>
      <c r="C38" s="214">
        <v>3.4929999999999999</v>
      </c>
    </row>
    <row r="39" spans="1:3" ht="15.75">
      <c r="A39" s="85"/>
      <c r="B39" t="s">
        <v>175</v>
      </c>
      <c r="C39">
        <f>SUM(C36:C38,C32)</f>
        <v>4327.5086255986562</v>
      </c>
    </row>
    <row r="40" spans="1:3" ht="15.75">
      <c r="A40" s="85"/>
      <c r="B40" t="s">
        <v>176</v>
      </c>
      <c r="C40">
        <f>C39*C35</f>
        <v>257703.13865439995</v>
      </c>
    </row>
    <row r="41" spans="1:3" ht="15.75">
      <c r="A41" s="85"/>
    </row>
    <row r="42" spans="1:3" ht="15.75">
      <c r="A42" s="85"/>
      <c r="B42" t="s">
        <v>177</v>
      </c>
      <c r="C42" s="105">
        <v>4557</v>
      </c>
    </row>
    <row r="43" spans="1:3" ht="15.75">
      <c r="A43" s="85"/>
      <c r="B43" t="s">
        <v>178</v>
      </c>
      <c r="C43" s="105">
        <v>1960</v>
      </c>
    </row>
    <row r="44" spans="1:3" ht="15.75">
      <c r="A44" s="85"/>
      <c r="B44" t="s">
        <v>179</v>
      </c>
      <c r="C44" s="105">
        <v>35547</v>
      </c>
    </row>
    <row r="45" spans="1:3" ht="15.75">
      <c r="A45" s="85"/>
      <c r="B45" t="s">
        <v>180</v>
      </c>
      <c r="C45" s="105">
        <v>1539</v>
      </c>
    </row>
    <row r="46" spans="1:3" ht="15.75">
      <c r="A46" s="85"/>
    </row>
    <row r="47" spans="1:3" ht="15.75">
      <c r="A47" s="85"/>
      <c r="B47" t="s">
        <v>181</v>
      </c>
      <c r="C47" s="105">
        <v>12363</v>
      </c>
    </row>
    <row r="48" spans="1:3" ht="15.75">
      <c r="A48" s="85"/>
      <c r="B48" t="s">
        <v>182</v>
      </c>
      <c r="C48" s="105">
        <v>1300</v>
      </c>
    </row>
    <row r="49" spans="1:9" ht="15.75">
      <c r="A49" s="85"/>
      <c r="B49" t="s">
        <v>183</v>
      </c>
      <c r="C49" s="105">
        <v>19671</v>
      </c>
    </row>
    <row r="50" spans="1:9" ht="15.75">
      <c r="A50" s="85"/>
      <c r="B50" t="s">
        <v>184</v>
      </c>
      <c r="C50" s="105">
        <v>118</v>
      </c>
    </row>
    <row r="51" spans="1:9" ht="15.75">
      <c r="A51" s="85"/>
    </row>
    <row r="52" spans="1:9" ht="15.75">
      <c r="A52" s="85"/>
      <c r="B52" t="s">
        <v>185</v>
      </c>
      <c r="C52">
        <f>SUM(C40,C42:C45)-SUM(C47:C50)</f>
        <v>267854.13865439995</v>
      </c>
    </row>
    <row r="53" spans="1:9" ht="15.75">
      <c r="A53" s="85"/>
      <c r="G53" t="s">
        <v>186</v>
      </c>
    </row>
    <row r="54" spans="1:9" ht="15.75">
      <c r="A54" s="85"/>
      <c r="B54" t="s">
        <v>187</v>
      </c>
      <c r="C54" s="98" t="s">
        <v>188</v>
      </c>
      <c r="D54" t="s">
        <v>189</v>
      </c>
      <c r="E54" t="s">
        <v>190</v>
      </c>
      <c r="F54" t="s">
        <v>191</v>
      </c>
      <c r="G54" s="98" t="s">
        <v>192</v>
      </c>
      <c r="H54" s="98" t="s">
        <v>193</v>
      </c>
      <c r="I54" s="98" t="s">
        <v>194</v>
      </c>
    </row>
    <row r="55" spans="1:9" ht="15.75">
      <c r="A55" s="85"/>
      <c r="B55" t="s">
        <v>61</v>
      </c>
      <c r="C55" s="105">
        <v>13336</v>
      </c>
      <c r="D55" s="107">
        <v>0</v>
      </c>
      <c r="E55" s="107">
        <v>0</v>
      </c>
    </row>
    <row r="56" spans="1:9" ht="15.75">
      <c r="A56" s="85"/>
      <c r="B56" t="s">
        <v>62</v>
      </c>
      <c r="C56" s="107">
        <v>0</v>
      </c>
      <c r="D56" s="107">
        <v>0</v>
      </c>
      <c r="E56" s="107">
        <v>0</v>
      </c>
    </row>
    <row r="57" spans="1:9" ht="15.75">
      <c r="A57" s="85"/>
      <c r="B57" t="s">
        <v>63</v>
      </c>
      <c r="C57">
        <f>SUM(C55:C56)</f>
        <v>13336</v>
      </c>
      <c r="D57">
        <f>SUM(D55:D56)</f>
        <v>0</v>
      </c>
      <c r="E57">
        <f>SUM(E55:E56)</f>
        <v>0</v>
      </c>
      <c r="F57">
        <f>C57-D57+E57</f>
        <v>13336</v>
      </c>
    </row>
    <row r="58" spans="1:9" ht="15.75">
      <c r="A58" s="85"/>
      <c r="B58" t="s">
        <v>195</v>
      </c>
      <c r="C58" s="105">
        <v>1128</v>
      </c>
      <c r="D58" s="107">
        <v>0</v>
      </c>
      <c r="E58" s="107">
        <v>0</v>
      </c>
    </row>
    <row r="59" spans="1:9" ht="15.75">
      <c r="A59" s="85"/>
      <c r="B59" t="s">
        <v>65</v>
      </c>
      <c r="C59">
        <f>SUM(C57:C58)</f>
        <v>14464</v>
      </c>
      <c r="D59">
        <f t="shared" ref="D59:E59" si="0">SUM(D57:D58)</f>
        <v>0</v>
      </c>
      <c r="E59">
        <f t="shared" si="0"/>
        <v>0</v>
      </c>
      <c r="F59">
        <f>C59-D59+E59</f>
        <v>14464</v>
      </c>
      <c r="G59" s="66">
        <f>'1'!I55</f>
        <v>15566</v>
      </c>
      <c r="H59" s="66">
        <f>'1'!J55</f>
        <v>16632</v>
      </c>
      <c r="I59" s="66">
        <f>'1'!K55</f>
        <v>17632</v>
      </c>
    </row>
    <row r="60" spans="1:9" ht="15.75">
      <c r="A60" s="85"/>
    </row>
    <row r="61" spans="1:9" ht="15.75">
      <c r="A61" s="85"/>
      <c r="B61" t="s">
        <v>196</v>
      </c>
      <c r="F61" s="75">
        <f>$C$52/F59</f>
        <v>18.518676621570794</v>
      </c>
      <c r="G61" s="75">
        <f>$C$52/G59</f>
        <v>17.207640926018243</v>
      </c>
      <c r="H61" s="75">
        <f>$C$52/H59</f>
        <v>16.104746191341988</v>
      </c>
      <c r="I61" s="75">
        <f>$C$52/I59</f>
        <v>15.191364488112519</v>
      </c>
    </row>
    <row r="62" spans="1:9" ht="15.75">
      <c r="A62" s="85"/>
    </row>
    <row r="63" spans="1:9" ht="15.75">
      <c r="A63" s="85" t="s">
        <v>197</v>
      </c>
    </row>
    <row r="64" spans="1:9" ht="15.75">
      <c r="A64" s="85"/>
    </row>
    <row r="65" spans="1:3" ht="15.75">
      <c r="A65" s="85"/>
      <c r="B65" t="s">
        <v>8</v>
      </c>
      <c r="C65" t="s">
        <v>28</v>
      </c>
    </row>
    <row r="66" spans="1:3" ht="15.75">
      <c r="A66" s="85"/>
      <c r="B66" t="s">
        <v>168</v>
      </c>
      <c r="C66" s="221">
        <v>1387.5910100000001</v>
      </c>
    </row>
    <row r="67" spans="1:3" ht="15.75">
      <c r="A67" s="85"/>
      <c r="B67" t="s">
        <v>169</v>
      </c>
      <c r="C67" s="221">
        <v>3.7451999999999999E-2</v>
      </c>
    </row>
    <row r="68" spans="1:3" ht="15.75">
      <c r="A68" s="85"/>
      <c r="B68" t="s">
        <v>170</v>
      </c>
      <c r="C68" s="106">
        <v>14.76</v>
      </c>
    </row>
    <row r="69" spans="1:3" ht="15.75">
      <c r="A69" s="85"/>
      <c r="B69" t="s">
        <v>171</v>
      </c>
      <c r="C69" s="66">
        <v>29.2</v>
      </c>
    </row>
    <row r="70" spans="1:3" ht="15.75">
      <c r="A70" s="85"/>
      <c r="B70" t="s">
        <v>172</v>
      </c>
      <c r="C70">
        <f>C67*MAX(0,(C69-C68)/C69)</f>
        <v>1.8520783561643835E-2</v>
      </c>
    </row>
    <row r="71" spans="1:3" ht="15.75">
      <c r="A71" s="85"/>
      <c r="B71" t="s">
        <v>198</v>
      </c>
      <c r="C71" s="221">
        <v>0.32877600000000001</v>
      </c>
    </row>
    <row r="72" spans="1:3" ht="15.75">
      <c r="A72" s="85"/>
      <c r="B72" t="s">
        <v>199</v>
      </c>
      <c r="C72" s="220">
        <v>15.74882</v>
      </c>
    </row>
    <row r="73" spans="1:3" ht="15.75">
      <c r="A73" s="85"/>
      <c r="B73" t="s">
        <v>175</v>
      </c>
      <c r="C73">
        <f>SUM(C70:C72,C66)</f>
        <v>1403.6871267835618</v>
      </c>
    </row>
    <row r="74" spans="1:3" ht="15.75">
      <c r="A74" s="85"/>
      <c r="B74" t="s">
        <v>176</v>
      </c>
      <c r="C74">
        <f>C73*C69</f>
        <v>40987.664102080002</v>
      </c>
    </row>
    <row r="75" spans="1:3" ht="15.75">
      <c r="A75" s="85"/>
    </row>
    <row r="76" spans="1:3" ht="15.75">
      <c r="A76" s="85"/>
      <c r="B76" t="s">
        <v>98</v>
      </c>
      <c r="C76" s="105">
        <v>3246</v>
      </c>
    </row>
    <row r="77" spans="1:3" ht="15.75">
      <c r="A77" s="85"/>
      <c r="B77" t="s">
        <v>100</v>
      </c>
      <c r="C77" s="105">
        <v>9945</v>
      </c>
    </row>
    <row r="78" spans="1:3" ht="15.75">
      <c r="A78" s="85"/>
      <c r="B78" t="s">
        <v>101</v>
      </c>
      <c r="C78" s="105">
        <v>106</v>
      </c>
    </row>
    <row r="79" spans="1:3" ht="15.75">
      <c r="A79" s="85"/>
      <c r="B79" t="s">
        <v>102</v>
      </c>
      <c r="C79" s="105">
        <v>620</v>
      </c>
    </row>
    <row r="80" spans="1:3" ht="15.75">
      <c r="A80" s="85"/>
      <c r="B80" t="s">
        <v>103</v>
      </c>
      <c r="C80" s="105">
        <v>117</v>
      </c>
    </row>
    <row r="81" spans="1:9" ht="15.75">
      <c r="A81" s="85"/>
      <c r="B81" t="s">
        <v>200</v>
      </c>
      <c r="C81" s="105">
        <v>148</v>
      </c>
    </row>
    <row r="82" spans="1:9" ht="15.75">
      <c r="A82" s="85"/>
      <c r="B82" t="s">
        <v>180</v>
      </c>
      <c r="C82" s="105">
        <v>0</v>
      </c>
    </row>
    <row r="83" spans="1:9" ht="15.75">
      <c r="A83" s="85"/>
      <c r="C83" s="105"/>
    </row>
    <row r="84" spans="1:9" ht="15.75">
      <c r="A84" s="85"/>
      <c r="B84" t="s">
        <v>181</v>
      </c>
      <c r="C84" s="105">
        <v>267</v>
      </c>
    </row>
    <row r="85" spans="1:9" ht="15.75">
      <c r="A85" s="85"/>
      <c r="B85" t="s">
        <v>201</v>
      </c>
      <c r="C85" s="105">
        <v>1387</v>
      </c>
    </row>
    <row r="86" spans="1:9" ht="15.75">
      <c r="A86" s="85"/>
    </row>
    <row r="87" spans="1:9" ht="15.75">
      <c r="A87" s="85"/>
      <c r="B87" t="s">
        <v>185</v>
      </c>
      <c r="C87">
        <f>SUM(C74,C76:C82)-SUM(C84:C85)</f>
        <v>53515.664102080002</v>
      </c>
    </row>
    <row r="88" spans="1:9" ht="15.75">
      <c r="A88" s="85"/>
      <c r="G88" t="s">
        <v>186</v>
      </c>
    </row>
    <row r="89" spans="1:9" ht="15.75">
      <c r="A89" s="85"/>
      <c r="B89" t="s">
        <v>187</v>
      </c>
      <c r="C89" s="98" t="s">
        <v>188</v>
      </c>
      <c r="D89" t="s">
        <v>189</v>
      </c>
      <c r="E89" t="s">
        <v>190</v>
      </c>
      <c r="F89" t="s">
        <v>191</v>
      </c>
      <c r="G89" s="98" t="s">
        <v>192</v>
      </c>
      <c r="H89" s="98" t="s">
        <v>193</v>
      </c>
      <c r="I89" s="98" t="s">
        <v>194</v>
      </c>
    </row>
    <row r="90" spans="1:9" ht="15.75">
      <c r="A90" s="85"/>
      <c r="B90" t="s">
        <v>61</v>
      </c>
      <c r="C90" s="105">
        <v>3657</v>
      </c>
      <c r="D90" s="66">
        <v>0</v>
      </c>
      <c r="E90" s="66">
        <v>0</v>
      </c>
    </row>
    <row r="91" spans="1:9" ht="15.75">
      <c r="A91" s="85"/>
      <c r="B91" t="s">
        <v>202</v>
      </c>
      <c r="C91" s="105">
        <v>-137</v>
      </c>
      <c r="D91" s="107">
        <v>0</v>
      </c>
      <c r="E91" s="107">
        <v>0</v>
      </c>
    </row>
    <row r="92" spans="1:9" ht="15.75">
      <c r="A92" s="85"/>
      <c r="B92" t="s">
        <v>203</v>
      </c>
      <c r="C92" s="105">
        <v>-17</v>
      </c>
      <c r="D92" s="107">
        <v>0</v>
      </c>
      <c r="E92" s="107">
        <v>0</v>
      </c>
    </row>
    <row r="93" spans="1:9" ht="15.75">
      <c r="A93" s="85"/>
      <c r="B93" t="s">
        <v>63</v>
      </c>
      <c r="C93">
        <f>SUM(C90:C92)</f>
        <v>3503</v>
      </c>
      <c r="D93">
        <f t="shared" ref="D93:E93" si="1">SUM(D90:D92)</f>
        <v>0</v>
      </c>
      <c r="E93">
        <f t="shared" si="1"/>
        <v>0</v>
      </c>
      <c r="F93">
        <f>C93-D93+E93</f>
        <v>3503</v>
      </c>
    </row>
    <row r="94" spans="1:9" ht="15.75">
      <c r="A94" s="85"/>
      <c r="B94" t="s">
        <v>195</v>
      </c>
      <c r="C94" s="185">
        <f>402+137</f>
        <v>539</v>
      </c>
      <c r="D94" s="66">
        <v>0</v>
      </c>
      <c r="E94" s="66">
        <v>0</v>
      </c>
    </row>
    <row r="95" spans="1:9" ht="15.75">
      <c r="A95" s="85"/>
      <c r="B95" t="s">
        <v>65</v>
      </c>
      <c r="C95">
        <f>SUM(C93:C94)</f>
        <v>4042</v>
      </c>
      <c r="D95">
        <f t="shared" ref="D95:E95" si="2">SUM(D93:D94)</f>
        <v>0</v>
      </c>
      <c r="E95">
        <f t="shared" si="2"/>
        <v>0</v>
      </c>
      <c r="F95">
        <f>C95-D95+E95</f>
        <v>4042</v>
      </c>
      <c r="G95" s="66">
        <f>'2'!I55</f>
        <v>4525</v>
      </c>
      <c r="H95" s="66">
        <f>'2'!J55</f>
        <v>4737</v>
      </c>
      <c r="I95" s="66">
        <f>'2'!K55</f>
        <v>4938</v>
      </c>
    </row>
    <row r="96" spans="1:9" ht="15.75">
      <c r="A96" s="85"/>
    </row>
    <row r="97" spans="1:9" ht="15.75">
      <c r="A97" s="85"/>
      <c r="B97" t="s">
        <v>196</v>
      </c>
      <c r="F97" s="102">
        <f>$C$87/F95</f>
        <v>13.239897105907966</v>
      </c>
      <c r="G97" s="102">
        <f t="shared" ref="G97:I97" si="3">$C$87/G95</f>
        <v>11.826666099907182</v>
      </c>
      <c r="H97" s="102">
        <f t="shared" si="3"/>
        <v>11.297374731281401</v>
      </c>
      <c r="I97" s="102">
        <f t="shared" si="3"/>
        <v>10.837518044163629</v>
      </c>
    </row>
    <row r="98" spans="1:9" ht="15.75">
      <c r="A98" s="85"/>
    </row>
    <row r="99" spans="1:9" ht="15.75">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204</v>
      </c>
      <c r="F2" s="24"/>
      <c r="G2" s="25" t="s">
        <v>205</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206</v>
      </c>
      <c r="B4" s="27"/>
      <c r="C4" s="28"/>
      <c r="D4" s="54"/>
      <c r="E4" s="26" t="s">
        <v>207</v>
      </c>
      <c r="F4" s="27"/>
      <c r="G4" s="27"/>
      <c r="H4" s="28"/>
      <c r="I4" s="54"/>
      <c r="J4" s="54"/>
      <c r="K4" s="54"/>
      <c r="L4" s="54"/>
      <c r="M4" s="29"/>
      <c r="N4" s="54"/>
      <c r="O4" s="54"/>
      <c r="P4" s="54"/>
      <c r="Q4" s="54"/>
      <c r="R4" s="54"/>
      <c r="S4" s="54"/>
      <c r="T4" s="54"/>
      <c r="U4" s="54"/>
      <c r="V4" s="54"/>
      <c r="W4" s="54"/>
      <c r="X4" s="54"/>
    </row>
    <row r="5" spans="1:26" ht="15" customHeight="1">
      <c r="A5" s="30"/>
      <c r="B5" s="54" t="s">
        <v>208</v>
      </c>
      <c r="C5" s="31" t="s">
        <v>209</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210</v>
      </c>
      <c r="C6" s="31" t="s">
        <v>211</v>
      </c>
      <c r="D6" s="54"/>
      <c r="E6" s="130" t="s">
        <v>212</v>
      </c>
      <c r="F6" s="54"/>
      <c r="G6" s="54"/>
      <c r="H6" s="129">
        <f>D36*'2'!COMP_FX</f>
        <v>40987.664102080002</v>
      </c>
      <c r="I6" s="54"/>
      <c r="J6" s="54"/>
      <c r="K6" s="54"/>
      <c r="L6" s="54"/>
      <c r="M6" s="29"/>
      <c r="N6" s="54"/>
      <c r="O6" s="54"/>
      <c r="P6" s="54"/>
      <c r="Q6" s="54"/>
      <c r="R6" s="54"/>
      <c r="S6" s="54"/>
      <c r="T6" s="54"/>
      <c r="U6" s="54"/>
      <c r="V6" s="54"/>
      <c r="W6" s="54"/>
      <c r="X6" s="54"/>
    </row>
    <row r="7" spans="1:26" ht="15" customHeight="1">
      <c r="A7" s="30"/>
      <c r="B7" s="54" t="s">
        <v>213</v>
      </c>
      <c r="C7" s="131">
        <f>ANALYSIS_DATE</f>
        <v>45358</v>
      </c>
      <c r="D7" s="54"/>
      <c r="E7" s="130" t="s">
        <v>214</v>
      </c>
      <c r="F7" s="54"/>
      <c r="G7" s="54"/>
      <c r="H7" s="129">
        <f>SUM(G31:G36)*'2'!COMP_FX</f>
        <v>14182</v>
      </c>
      <c r="I7" s="54"/>
      <c r="J7" s="54"/>
      <c r="K7" s="54"/>
      <c r="L7" s="54"/>
      <c r="M7" s="29"/>
      <c r="N7" s="54"/>
      <c r="O7" s="54"/>
      <c r="P7" s="54"/>
      <c r="Q7" s="54"/>
      <c r="R7" s="54"/>
      <c r="S7" s="54"/>
      <c r="T7" s="54"/>
      <c r="U7" s="54"/>
      <c r="V7" s="54"/>
      <c r="W7" s="54"/>
      <c r="X7" s="54"/>
    </row>
    <row r="8" spans="1:26" ht="15" customHeight="1">
      <c r="A8" s="30"/>
      <c r="B8" s="54" t="s">
        <v>215</v>
      </c>
      <c r="C8" s="131">
        <f>Trading_comps!D17</f>
        <v>45291</v>
      </c>
      <c r="D8" s="54"/>
      <c r="E8" s="130" t="s">
        <v>216</v>
      </c>
      <c r="F8" s="54"/>
      <c r="G8" s="54"/>
      <c r="H8" s="129">
        <f>SUM(J31:J32)*'2'!COMP_FX</f>
        <v>267</v>
      </c>
      <c r="I8" s="54"/>
      <c r="J8" s="54"/>
      <c r="K8" s="54"/>
      <c r="L8" s="54"/>
      <c r="M8" s="54"/>
      <c r="N8" s="54"/>
      <c r="O8" s="54"/>
      <c r="P8" s="54"/>
      <c r="Q8" s="54"/>
      <c r="R8" s="54"/>
      <c r="S8" s="54"/>
      <c r="T8" s="54"/>
      <c r="U8" s="54"/>
      <c r="V8" s="54"/>
      <c r="W8" s="54"/>
      <c r="X8" s="54"/>
    </row>
    <row r="9" spans="1:26" ht="15" customHeight="1">
      <c r="A9" s="32"/>
      <c r="B9" s="54" t="s">
        <v>217</v>
      </c>
      <c r="C9" s="132" t="str">
        <f>MAIN_CURRENCY</f>
        <v>USD</v>
      </c>
      <c r="D9" s="54"/>
      <c r="E9" s="130" t="s">
        <v>218</v>
      </c>
      <c r="F9" s="54"/>
      <c r="G9" s="54"/>
      <c r="H9" s="129">
        <f>(SUM(J33:J37)-SUM(G37))*'2'!COMP_FX</f>
        <v>1387</v>
      </c>
      <c r="I9" s="54"/>
      <c r="J9" s="54"/>
      <c r="K9" s="54"/>
      <c r="L9" s="54"/>
      <c r="M9" s="54"/>
      <c r="N9" s="54"/>
      <c r="O9" s="54"/>
      <c r="P9" s="54"/>
      <c r="Q9" s="54"/>
      <c r="R9" s="54"/>
      <c r="S9" s="54"/>
      <c r="T9" s="54"/>
      <c r="U9" s="54"/>
      <c r="V9" s="54"/>
      <c r="W9" s="54"/>
      <c r="X9" s="54"/>
    </row>
    <row r="10" spans="1:26" ht="15" customHeight="1">
      <c r="A10" s="30"/>
      <c r="B10" s="54" t="s">
        <v>219</v>
      </c>
      <c r="C10" s="215">
        <f>21%+3.2%</f>
        <v>0.24199999999999999</v>
      </c>
      <c r="D10" s="216"/>
      <c r="E10" s="133" t="s">
        <v>220</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c r="A11" s="30"/>
      <c r="B11" s="54" t="s">
        <v>221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222</v>
      </c>
      <c r="C12" s="35" t="s">
        <v>223</v>
      </c>
      <c r="D12" s="54"/>
      <c r="E12" s="26" t="s">
        <v>224</v>
      </c>
      <c r="F12" s="27"/>
      <c r="G12" s="27"/>
      <c r="H12" s="27"/>
      <c r="I12" s="27"/>
      <c r="J12" s="27"/>
      <c r="K12" s="28"/>
      <c r="L12" s="54"/>
      <c r="M12" s="54"/>
      <c r="N12" s="54"/>
      <c r="O12" s="54"/>
      <c r="P12" s="54"/>
      <c r="Q12" s="54"/>
      <c r="R12" s="54"/>
      <c r="S12" s="54"/>
      <c r="T12" s="54"/>
      <c r="U12" s="54"/>
      <c r="V12" s="54"/>
      <c r="W12" s="54"/>
      <c r="X12" s="54"/>
    </row>
    <row r="13" spans="1:26" ht="15" customHeight="1">
      <c r="A13" s="30"/>
      <c r="B13" s="54" t="s">
        <v>225</v>
      </c>
      <c r="C13" s="131">
        <f>DATE(RIGHT(C12,4),LEFT(C12,2),MID(C12,4,2))</f>
        <v>45291</v>
      </c>
      <c r="D13" s="54"/>
      <c r="E13" s="128" t="str">
        <f>"Numbers in "&amp;MAIN_CURRENCY&amp;" MM"</f>
        <v>Numbers in USD MM</v>
      </c>
      <c r="F13" s="54"/>
      <c r="G13" s="73" t="s">
        <v>191</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226</v>
      </c>
      <c r="C14" s="36" t="s">
        <v>227</v>
      </c>
      <c r="D14" s="54"/>
      <c r="E14" s="128" t="s">
        <v>228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c r="A15" s="30"/>
      <c r="B15" s="54" t="s">
        <v>229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c r="A16" s="30"/>
      <c r="B16" s="54" t="s">
        <v>230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c r="A17" s="30"/>
      <c r="B17" s="54" t="s">
        <v>231</v>
      </c>
      <c r="C17" s="38">
        <v>27.66</v>
      </c>
      <c r="D17" s="54"/>
      <c r="E17" s="137" t="s">
        <v>232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c r="A18" s="30"/>
      <c r="B18" s="54" t="s">
        <v>233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234</v>
      </c>
      <c r="C19" s="36" t="s">
        <v>235</v>
      </c>
      <c r="D19" s="54"/>
      <c r="E19" s="26" t="s">
        <v>236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237</v>
      </c>
      <c r="C20" s="65">
        <v>0.51</v>
      </c>
      <c r="D20" s="54"/>
      <c r="E20" s="128" t="s">
        <v>238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239</v>
      </c>
      <c r="C21" s="33">
        <v>6.9000000000000006E-2</v>
      </c>
      <c r="D21" s="54"/>
      <c r="E21" s="128" t="s">
        <v>240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c r="A22" s="30"/>
      <c r="B22" s="54" t="s">
        <v>241</v>
      </c>
      <c r="C22" s="142">
        <f>G53/G44</f>
        <v>0.23646550560280816</v>
      </c>
      <c r="D22" s="54"/>
      <c r="E22" s="128" t="s">
        <v>196</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G53*(1-'2'!COMP_MTR)/D39</f>
        <v>6.9502512825882101E-2</v>
      </c>
      <c r="D23" s="54"/>
      <c r="E23" s="128" t="s">
        <v>242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243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c r="A25" s="30"/>
      <c r="B25" s="54"/>
      <c r="C25" s="54"/>
      <c r="D25" s="54"/>
      <c r="E25" s="128" t="s">
        <v>244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245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246</v>
      </c>
      <c r="B28" s="40"/>
      <c r="C28" s="41"/>
      <c r="D28" s="41"/>
      <c r="E28" s="41"/>
      <c r="F28" s="41"/>
      <c r="G28" s="41"/>
      <c r="H28" s="41"/>
      <c r="I28" s="41"/>
      <c r="J28" s="41"/>
      <c r="K28" s="41"/>
      <c r="L28" s="54"/>
      <c r="M28" s="26" t="s">
        <v>247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248</v>
      </c>
      <c r="N29" s="73" t="s">
        <v>249</v>
      </c>
      <c r="O29" s="73" t="s">
        <v>250</v>
      </c>
      <c r="P29" s="132" t="s">
        <v>251</v>
      </c>
      <c r="Q29" s="54"/>
      <c r="R29" s="54"/>
      <c r="S29" s="54"/>
      <c r="T29" s="54"/>
      <c r="U29" s="54"/>
      <c r="V29" s="54"/>
      <c r="W29" s="54"/>
      <c r="X29" s="54"/>
    </row>
    <row r="30" spans="1:24" ht="15" customHeight="1">
      <c r="A30" s="30"/>
      <c r="B30" s="21" t="s">
        <v>252</v>
      </c>
      <c r="C30" s="54"/>
      <c r="D30" s="21"/>
      <c r="E30" s="21" t="s">
        <v>253</v>
      </c>
      <c r="F30" s="42"/>
      <c r="G30" s="42"/>
      <c r="H30" s="21" t="s">
        <v>254</v>
      </c>
      <c r="I30" s="42"/>
      <c r="J30" s="42"/>
      <c r="K30" s="129"/>
      <c r="L30" s="54"/>
      <c r="M30" s="43" t="s">
        <v>255</v>
      </c>
      <c r="N30" s="191">
        <v>3.7451999999999999E-2</v>
      </c>
      <c r="O30" s="194">
        <v>14.76</v>
      </c>
      <c r="P30" s="129">
        <f>MAX(('2'!COMP_SHAREPRICE-O30)/'2'!COMP_SHAREPRICE*N30,0)</f>
        <v>1.8520783561643835E-2</v>
      </c>
      <c r="Q30" s="54"/>
      <c r="S30" s="54"/>
      <c r="T30" s="54"/>
      <c r="U30" s="54"/>
      <c r="V30" s="54"/>
      <c r="W30" s="54"/>
      <c r="X30" s="54"/>
    </row>
    <row r="31" spans="1:24" ht="15" customHeight="1">
      <c r="A31" s="30"/>
      <c r="B31" s="54" t="s">
        <v>256</v>
      </c>
      <c r="C31" s="54"/>
      <c r="D31" s="45">
        <v>45342</v>
      </c>
      <c r="E31" s="54" t="s">
        <v>177</v>
      </c>
      <c r="F31" s="54"/>
      <c r="G31" s="191">
        <v>3246</v>
      </c>
      <c r="H31" s="54" t="s">
        <v>257</v>
      </c>
      <c r="I31" s="54"/>
      <c r="J31" s="192">
        <v>267</v>
      </c>
      <c r="K31" s="129"/>
      <c r="M31" s="43" t="s">
        <v>258</v>
      </c>
      <c r="N31" s="191">
        <v>0.32877600000000001</v>
      </c>
      <c r="O31" s="44">
        <v>0</v>
      </c>
      <c r="P31" s="129">
        <f>MAX(('2'!COMP_SHAREPRICE-O31)/'2'!COMP_SHAREPRICE*N31,0)</f>
        <v>0.32877600000000001</v>
      </c>
      <c r="Q31" s="54"/>
      <c r="R31" s="239" t="s">
        <v>259</v>
      </c>
      <c r="S31" s="239"/>
      <c r="T31" s="239"/>
      <c r="U31" s="239"/>
      <c r="V31" s="239"/>
    </row>
    <row r="32" spans="1:24" ht="15" customHeight="1">
      <c r="A32" s="30"/>
      <c r="B32" s="54" t="s">
        <v>168</v>
      </c>
      <c r="D32" s="192">
        <v>1387.5910100000001</v>
      </c>
      <c r="E32" s="16" t="s">
        <v>260</v>
      </c>
      <c r="F32" s="54"/>
      <c r="G32" s="191">
        <v>106</v>
      </c>
      <c r="H32" s="16" t="s">
        <v>182</v>
      </c>
      <c r="I32" s="54"/>
      <c r="J32" s="25">
        <v>0</v>
      </c>
      <c r="K32" s="129"/>
      <c r="M32" s="43" t="s">
        <v>261</v>
      </c>
      <c r="N32" s="191">
        <v>15.74882</v>
      </c>
      <c r="O32" s="44">
        <v>0</v>
      </c>
      <c r="P32" s="129">
        <f>MAX(('2'!COMP_SHAREPRICE-O32)/'2'!COMP_SHAREPRICE*N32,0)</f>
        <v>15.74882</v>
      </c>
      <c r="Q32" s="54"/>
      <c r="R32" s="239"/>
      <c r="S32" s="239"/>
      <c r="T32" s="239"/>
      <c r="U32" s="239"/>
      <c r="V32" s="239"/>
    </row>
    <row r="33" spans="1:26" ht="15" customHeight="1">
      <c r="A33" s="30"/>
      <c r="B33" s="54" t="s">
        <v>262</v>
      </c>
      <c r="D33" s="25">
        <v>0</v>
      </c>
      <c r="E33" s="16" t="s">
        <v>260</v>
      </c>
      <c r="F33" s="54"/>
      <c r="G33" s="191">
        <v>620</v>
      </c>
      <c r="H33" s="16" t="s">
        <v>183</v>
      </c>
      <c r="I33" s="54"/>
      <c r="J33" s="192">
        <v>1387</v>
      </c>
      <c r="K33" s="129"/>
      <c r="M33" s="43" t="s">
        <v>263</v>
      </c>
      <c r="N33" s="25">
        <v>0</v>
      </c>
      <c r="O33" s="44">
        <v>0</v>
      </c>
      <c r="P33" s="129">
        <f>MAX(('2'!COMP_SHAREPRICE-O33)/'2'!COMP_SHAREPRICE*N33,0)</f>
        <v>0</v>
      </c>
      <c r="Q33" s="54"/>
      <c r="R33" s="239"/>
      <c r="S33" s="239"/>
      <c r="T33" s="239"/>
      <c r="U33" s="239"/>
      <c r="V33" s="239"/>
    </row>
    <row r="34" spans="1:26" ht="15" customHeight="1">
      <c r="A34" s="30"/>
      <c r="B34" s="54" t="s">
        <v>264</v>
      </c>
      <c r="D34" s="54">
        <f>P38</f>
        <v>16.096116783561644</v>
      </c>
      <c r="E34" s="16" t="s">
        <v>179</v>
      </c>
      <c r="F34" s="54"/>
      <c r="G34" s="191">
        <v>9945</v>
      </c>
      <c r="H34" s="16" t="s">
        <v>104</v>
      </c>
      <c r="I34" s="54"/>
      <c r="J34" s="25">
        <v>0</v>
      </c>
      <c r="K34" s="129"/>
      <c r="M34" s="43" t="s">
        <v>265</v>
      </c>
      <c r="N34" s="25">
        <v>0</v>
      </c>
      <c r="O34" s="44">
        <v>0</v>
      </c>
      <c r="P34" s="129">
        <f>MAX(('2'!COMP_SHAREPRICE-O34)/'2'!COMP_SHAREPRICE*N34,0)</f>
        <v>0</v>
      </c>
      <c r="Q34" s="54"/>
      <c r="R34" s="239"/>
      <c r="S34" s="239"/>
      <c r="T34" s="239"/>
      <c r="U34" s="239"/>
      <c r="V34" s="239"/>
    </row>
    <row r="35" spans="1:26" ht="15" customHeight="1">
      <c r="A35" s="30"/>
      <c r="B35" s="54" t="s">
        <v>175</v>
      </c>
      <c r="D35" s="54">
        <f>SUM(D32:D34)</f>
        <v>1403.6871267835618</v>
      </c>
      <c r="E35" s="16" t="s">
        <v>103</v>
      </c>
      <c r="G35" s="191">
        <v>117</v>
      </c>
      <c r="H35" s="16" t="s">
        <v>104</v>
      </c>
      <c r="I35" s="54"/>
      <c r="J35" s="25">
        <v>0</v>
      </c>
      <c r="K35" s="129"/>
      <c r="L35" s="54"/>
      <c r="M35" s="43" t="s">
        <v>266</v>
      </c>
      <c r="N35" s="25">
        <v>0</v>
      </c>
      <c r="O35" s="44">
        <v>0</v>
      </c>
      <c r="P35" s="129">
        <f>MAX(('2'!COMP_SHAREPRICE-O35)/'2'!COMP_SHAREPRICE*N35,0)</f>
        <v>0</v>
      </c>
      <c r="Q35" s="54"/>
      <c r="R35" s="239"/>
      <c r="S35" s="239"/>
      <c r="T35" s="239"/>
      <c r="U35" s="239"/>
      <c r="V35" s="239"/>
    </row>
    <row r="36" spans="1:26" ht="15" customHeight="1">
      <c r="A36" s="30"/>
      <c r="B36" s="54" t="s">
        <v>267</v>
      </c>
      <c r="D36" s="54">
        <f>D35*'2'!COMP_SHAREPRICE</f>
        <v>40987.664102080002</v>
      </c>
      <c r="E36" s="16" t="s">
        <v>200</v>
      </c>
      <c r="F36" s="54"/>
      <c r="G36" s="191">
        <v>148</v>
      </c>
      <c r="H36" s="16" t="s">
        <v>104</v>
      </c>
      <c r="I36" s="54"/>
      <c r="J36" s="25">
        <v>0</v>
      </c>
      <c r="K36" s="129"/>
      <c r="L36" s="54"/>
      <c r="M36" s="43" t="s">
        <v>268</v>
      </c>
      <c r="N36" s="25">
        <v>0</v>
      </c>
      <c r="O36" s="44">
        <v>0</v>
      </c>
      <c r="P36" s="129">
        <f>MAX(('2'!COMP_SHAREPRICE-O36)/'2'!COMP_SHAREPRICE*N36,0)</f>
        <v>0</v>
      </c>
      <c r="Q36" s="54"/>
      <c r="R36" s="54"/>
      <c r="S36" s="145"/>
      <c r="T36" s="100"/>
      <c r="U36" s="100"/>
      <c r="V36" s="100"/>
      <c r="W36" s="100"/>
      <c r="X36" s="100"/>
    </row>
    <row r="37" spans="1:26" ht="15" customHeight="1">
      <c r="A37" s="30"/>
      <c r="B37" s="54" t="s">
        <v>269</v>
      </c>
      <c r="D37" s="192">
        <v>25676</v>
      </c>
      <c r="E37" s="54" t="s">
        <v>180</v>
      </c>
      <c r="F37" s="54"/>
      <c r="G37" s="191">
        <v>0</v>
      </c>
      <c r="H37" s="16" t="s">
        <v>104</v>
      </c>
      <c r="I37" s="54"/>
      <c r="J37" s="25">
        <v>0</v>
      </c>
      <c r="K37" s="129"/>
      <c r="L37" s="54"/>
      <c r="M37" s="43" t="s">
        <v>270</v>
      </c>
      <c r="N37" s="25">
        <v>0</v>
      </c>
      <c r="O37" s="44">
        <v>0</v>
      </c>
      <c r="P37" s="129">
        <f>MAX(('2'!COMP_SHAREPRICE-O37)/'2'!COMP_SHAREPRICE*N37,0)</f>
        <v>0</v>
      </c>
      <c r="Q37" s="54"/>
      <c r="R37" s="54"/>
      <c r="S37" s="145"/>
      <c r="T37" s="100"/>
      <c r="U37" s="100"/>
      <c r="V37" s="100"/>
      <c r="W37" s="100"/>
      <c r="X37" s="100"/>
    </row>
    <row r="38" spans="1:26" ht="15" customHeight="1">
      <c r="A38" s="30"/>
      <c r="B38" s="54" t="s">
        <v>271</v>
      </c>
      <c r="C38" s="54"/>
      <c r="D38" s="54">
        <f>G39-J39</f>
        <v>12528</v>
      </c>
      <c r="F38" s="54"/>
      <c r="G38" s="54"/>
      <c r="H38" s="54"/>
      <c r="I38" s="54"/>
      <c r="J38" s="54"/>
      <c r="K38" s="129"/>
      <c r="L38" s="54"/>
      <c r="M38" s="137" t="s">
        <v>272</v>
      </c>
      <c r="N38" s="104"/>
      <c r="O38" s="104"/>
      <c r="P38" s="134">
        <f>SUM(P30:P37)</f>
        <v>16.096116783561644</v>
      </c>
      <c r="Q38" s="54"/>
      <c r="R38" s="54"/>
      <c r="S38" s="145"/>
      <c r="T38" s="100"/>
      <c r="U38" s="100"/>
      <c r="V38" s="100"/>
      <c r="W38" s="100"/>
      <c r="X38" s="100"/>
    </row>
    <row r="39" spans="1:26" ht="15" customHeight="1">
      <c r="A39" s="104"/>
      <c r="B39" s="104" t="s">
        <v>117</v>
      </c>
      <c r="C39" s="104"/>
      <c r="D39" s="104">
        <f>D37+D38</f>
        <v>38204</v>
      </c>
      <c r="E39" s="104" t="s">
        <v>273</v>
      </c>
      <c r="F39" s="104"/>
      <c r="G39" s="104">
        <f>SUM(G31:G37)</f>
        <v>14182</v>
      </c>
      <c r="H39" s="104" t="s">
        <v>274</v>
      </c>
      <c r="I39" s="104"/>
      <c r="J39" s="104">
        <f>SUM(J31:J37)</f>
        <v>1654</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275</v>
      </c>
      <c r="B41" s="40"/>
      <c r="C41" s="41"/>
      <c r="D41" s="41"/>
      <c r="E41" s="41"/>
      <c r="F41" s="41"/>
      <c r="G41" s="41"/>
      <c r="H41" s="41"/>
      <c r="I41" s="27" t="s">
        <v>276</v>
      </c>
      <c r="J41" s="41"/>
      <c r="K41" s="41"/>
      <c r="L41" s="46"/>
      <c r="M41" s="54"/>
      <c r="N41" s="54"/>
      <c r="O41" s="54"/>
      <c r="P41" s="54"/>
      <c r="Q41" s="54"/>
      <c r="R41" s="54"/>
      <c r="S41" s="54"/>
      <c r="T41" s="54"/>
      <c r="U41" s="54"/>
      <c r="V41" s="54"/>
      <c r="W41" s="54"/>
      <c r="X41" s="54"/>
    </row>
    <row r="42" spans="1:26" ht="15.75" customHeight="1">
      <c r="A42" s="30"/>
      <c r="B42" s="54"/>
      <c r="C42" s="73" t="s">
        <v>277</v>
      </c>
      <c r="D42" s="146" t="s">
        <v>278</v>
      </c>
      <c r="E42" s="146" t="s">
        <v>279</v>
      </c>
      <c r="F42" s="54" t="s">
        <v>262</v>
      </c>
      <c r="G42" s="73" t="s">
        <v>280</v>
      </c>
      <c r="H42" s="73" t="s">
        <v>281</v>
      </c>
      <c r="I42" s="73" t="s">
        <v>282</v>
      </c>
      <c r="J42" s="73" t="s">
        <v>283</v>
      </c>
      <c r="K42" s="73" t="s">
        <v>284</v>
      </c>
      <c r="L42" s="132" t="s">
        <v>285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228</v>
      </c>
      <c r="C44" s="192">
        <v>14814</v>
      </c>
      <c r="D44" s="25">
        <v>0</v>
      </c>
      <c r="E44" s="25">
        <v>0</v>
      </c>
      <c r="F44" s="25">
        <v>0</v>
      </c>
      <c r="G44" s="54">
        <f>C44-D44+E44+F44</f>
        <v>14814</v>
      </c>
      <c r="H44" s="54">
        <f>C44</f>
        <v>14814</v>
      </c>
      <c r="I44" s="25">
        <v>15533</v>
      </c>
      <c r="J44" s="64">
        <v>16115</v>
      </c>
      <c r="K44" s="64">
        <v>16676</v>
      </c>
      <c r="L44" s="48" t="s">
        <v>286</v>
      </c>
      <c r="M44" s="54"/>
      <c r="N44" s="54" t="s">
        <v>287</v>
      </c>
      <c r="O44" s="54"/>
      <c r="P44" s="54"/>
      <c r="Q44" s="54"/>
      <c r="R44" s="54"/>
      <c r="S44" s="54"/>
      <c r="T44" s="54"/>
      <c r="U44" s="54"/>
      <c r="V44" s="54"/>
      <c r="W44" s="54"/>
      <c r="X44" s="54"/>
      <c r="Y44" s="54"/>
      <c r="Z44" s="54"/>
    </row>
    <row r="45" spans="1:26" ht="15" customHeight="1">
      <c r="A45" s="30"/>
      <c r="B45" s="54" t="s">
        <v>288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289</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290</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286</v>
      </c>
      <c r="M53" s="54"/>
      <c r="N53" s="54" t="s">
        <v>291</v>
      </c>
      <c r="O53" s="54"/>
      <c r="P53" s="54"/>
      <c r="Q53" s="54"/>
      <c r="R53" s="54"/>
      <c r="S53" s="54"/>
      <c r="T53" s="54"/>
      <c r="U53" s="54"/>
      <c r="V53" s="54"/>
      <c r="W53" s="54"/>
      <c r="X53" s="54"/>
      <c r="Y53" s="54"/>
      <c r="Z53" s="54"/>
    </row>
    <row r="54" spans="1:26" ht="15" customHeight="1">
      <c r="A54" s="30"/>
      <c r="B54" s="54" t="s">
        <v>195</v>
      </c>
      <c r="C54" s="191">
        <f>402+137</f>
        <v>539</v>
      </c>
      <c r="D54" s="25">
        <v>0</v>
      </c>
      <c r="E54" s="25">
        <v>0</v>
      </c>
      <c r="F54" s="25">
        <v>0</v>
      </c>
      <c r="G54" s="54">
        <f>C54-D54+E54+F54</f>
        <v>539</v>
      </c>
      <c r="H54" s="54">
        <f>C54</f>
        <v>539</v>
      </c>
      <c r="I54" s="54">
        <f>I55-I53</f>
        <v>592</v>
      </c>
      <c r="J54" s="62">
        <f>J55-J53</f>
        <v>609</v>
      </c>
      <c r="K54" s="62">
        <f>K55-K53</f>
        <v>656</v>
      </c>
      <c r="L54" s="48" t="s">
        <v>286</v>
      </c>
      <c r="M54" s="54"/>
      <c r="N54" s="54"/>
      <c r="O54" s="54"/>
      <c r="P54" s="54"/>
      <c r="Q54" s="54"/>
      <c r="R54" s="54"/>
      <c r="S54" s="54"/>
      <c r="T54" s="54"/>
      <c r="U54" s="54"/>
      <c r="V54" s="54"/>
      <c r="W54" s="54"/>
      <c r="X54" s="54"/>
      <c r="Y54" s="54"/>
      <c r="Z54" s="54"/>
    </row>
    <row r="55" spans="1:26" ht="15" customHeight="1">
      <c r="A55" s="30"/>
      <c r="B55" s="54" t="s">
        <v>292</v>
      </c>
      <c r="C55" s="54">
        <f>C53+C54</f>
        <v>4042</v>
      </c>
      <c r="D55" s="54">
        <f>D53+D54</f>
        <v>0</v>
      </c>
      <c r="E55" s="54">
        <f>E53+E54</f>
        <v>0</v>
      </c>
      <c r="F55" s="54"/>
      <c r="G55" s="54">
        <f>C55-D55+E55+F55</f>
        <v>4042</v>
      </c>
      <c r="H55" s="54">
        <f>C55</f>
        <v>4042</v>
      </c>
      <c r="I55" s="25">
        <v>4525</v>
      </c>
      <c r="J55" s="64">
        <v>4737</v>
      </c>
      <c r="K55" s="64">
        <v>4938</v>
      </c>
      <c r="L55" s="48" t="s">
        <v>286</v>
      </c>
      <c r="M55" s="54"/>
      <c r="N55" s="54" t="s">
        <v>287</v>
      </c>
      <c r="O55" s="54"/>
      <c r="P55" s="54"/>
      <c r="Q55" s="54"/>
      <c r="R55" s="54"/>
      <c r="S55" s="54"/>
      <c r="T55" s="54"/>
      <c r="U55" s="54"/>
      <c r="V55" s="54"/>
      <c r="W55" s="54"/>
      <c r="X55" s="54"/>
      <c r="Y55" s="54"/>
      <c r="Z55" s="54"/>
    </row>
    <row r="56" spans="1:26" ht="15" customHeight="1">
      <c r="A56" s="39"/>
      <c r="B56" s="104" t="s">
        <v>232</v>
      </c>
      <c r="C56" s="104"/>
      <c r="D56" s="148"/>
      <c r="E56" s="148"/>
      <c r="F56" s="148"/>
      <c r="G56" s="104"/>
      <c r="H56" s="213">
        <v>1.79</v>
      </c>
      <c r="I56" s="213">
        <v>1.93</v>
      </c>
      <c r="J56" s="213">
        <v>2.0699999999999998</v>
      </c>
      <c r="K56" s="213">
        <v>2.21</v>
      </c>
      <c r="L56" s="50" t="s">
        <v>286</v>
      </c>
      <c r="M56" s="54"/>
      <c r="N56" s="54" t="s">
        <v>287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293</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294</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295</v>
      </c>
      <c r="C62" s="191">
        <v>159</v>
      </c>
      <c r="D62" s="81">
        <v>0</v>
      </c>
      <c r="E62" s="81">
        <v>0</v>
      </c>
      <c r="F62" s="54"/>
      <c r="G62" s="54">
        <f>C62-D62+E62+F62</f>
        <v>159</v>
      </c>
      <c r="H62" s="54">
        <f>C62</f>
        <v>159</v>
      </c>
      <c r="I62" s="54">
        <f>H62/H44*I44</f>
        <v>166.71709194005669</v>
      </c>
      <c r="J62" s="54">
        <f>I62/I44*J44</f>
        <v>172.96375050627785</v>
      </c>
      <c r="K62" s="54">
        <f>J62/J44*K44</f>
        <v>178.98501417577967</v>
      </c>
      <c r="L62" s="48" t="s">
        <v>286</v>
      </c>
      <c r="M62" s="54"/>
      <c r="N62" s="54"/>
      <c r="O62" s="54"/>
      <c r="P62" s="54"/>
      <c r="Q62" s="54"/>
      <c r="R62" s="54"/>
      <c r="S62" s="54"/>
      <c r="T62" s="54"/>
      <c r="U62" s="54"/>
      <c r="V62" s="54"/>
      <c r="W62" s="54"/>
      <c r="X62" s="54"/>
      <c r="Y62" s="54"/>
      <c r="Z62" s="54"/>
    </row>
    <row r="63" spans="1:26" ht="15" customHeight="1">
      <c r="A63" s="51"/>
      <c r="B63" s="54" t="s">
        <v>296</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286</v>
      </c>
      <c r="M63" s="54"/>
      <c r="N63" s="54"/>
      <c r="O63" s="54"/>
      <c r="P63" s="54"/>
      <c r="Q63" s="54"/>
      <c r="R63" s="54"/>
      <c r="S63" s="54"/>
      <c r="T63" s="54"/>
      <c r="U63" s="54"/>
      <c r="V63" s="54"/>
      <c r="W63" s="54"/>
      <c r="X63" s="54"/>
      <c r="Y63" s="54"/>
      <c r="Z63" s="54"/>
    </row>
    <row r="64" spans="1:26" ht="15" customHeight="1">
      <c r="A64" s="51"/>
      <c r="B64" s="54" t="s">
        <v>297</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286</v>
      </c>
      <c r="M64" s="54"/>
      <c r="N64" s="54"/>
      <c r="O64" s="54"/>
      <c r="P64" s="54"/>
      <c r="Q64" s="54"/>
      <c r="R64" s="54"/>
      <c r="S64" s="54"/>
      <c r="T64" s="54"/>
      <c r="U64" s="54"/>
      <c r="V64" s="54"/>
      <c r="W64" s="54"/>
      <c r="X64" s="54"/>
      <c r="Y64" s="54"/>
      <c r="Z64" s="54"/>
    </row>
    <row r="65" spans="1:26" ht="15" customHeight="1">
      <c r="A65" s="51"/>
      <c r="B65" s="54" t="s">
        <v>298</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299</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286</v>
      </c>
      <c r="M72" s="54"/>
      <c r="N72" s="54"/>
      <c r="O72" s="54"/>
      <c r="P72" s="54"/>
      <c r="Q72" s="54"/>
      <c r="R72" s="54"/>
      <c r="S72" s="54"/>
      <c r="T72" s="54"/>
      <c r="U72" s="54"/>
      <c r="V72" s="54"/>
      <c r="W72" s="54"/>
      <c r="X72" s="54"/>
      <c r="Y72" s="54"/>
      <c r="Z72" s="54"/>
    </row>
    <row r="73" spans="1:26" ht="15" customHeight="1">
      <c r="A73" s="51"/>
      <c r="B73" s="54" t="s">
        <v>300</v>
      </c>
      <c r="C73" s="54"/>
      <c r="D73" s="54"/>
      <c r="E73" s="54"/>
      <c r="F73" s="54"/>
      <c r="G73" s="152">
        <f>IF(ISNUMBER(G68),EVR/G68,"N/A")</f>
        <v>15.304689328069287</v>
      </c>
      <c r="H73" s="152"/>
      <c r="I73" s="152">
        <f t="shared" si="2"/>
        <v>13.644837654056714</v>
      </c>
      <c r="J73" s="152">
        <f t="shared" si="2"/>
        <v>13.002366215932044</v>
      </c>
      <c r="K73" s="152">
        <f t="shared" si="2"/>
        <v>12.535157294526668</v>
      </c>
      <c r="L73" s="48" t="s">
        <v>286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301</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302</v>
      </c>
      <c r="F78" s="54"/>
      <c r="G78" s="147">
        <f>C11</f>
        <v>45291</v>
      </c>
      <c r="H78" s="54"/>
      <c r="I78" s="73" t="s">
        <v>303</v>
      </c>
      <c r="J78" s="73" t="s">
        <v>304</v>
      </c>
      <c r="K78" s="73" t="s">
        <v>305</v>
      </c>
      <c r="L78" s="129"/>
      <c r="M78" s="54"/>
      <c r="N78" s="54"/>
      <c r="O78" s="54"/>
      <c r="P78" s="54"/>
      <c r="Q78" s="54"/>
      <c r="R78" s="54"/>
      <c r="S78" s="54"/>
      <c r="T78" s="54"/>
      <c r="U78" s="54"/>
      <c r="V78" s="54"/>
      <c r="W78" s="54"/>
      <c r="X78" s="54"/>
      <c r="Y78" s="54"/>
      <c r="Z78" s="54"/>
    </row>
    <row r="79" spans="1:26" ht="15" customHeight="1">
      <c r="A79" s="19"/>
      <c r="E79" s="128" t="s">
        <v>215</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306</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c r="A81" s="19"/>
      <c r="E81" s="137" t="s">
        <v>307</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topLeftCell="A26" zoomScaleNormal="100" zoomScaleSheetLayoutView="85" workbookViewId="0">
      <pane xSplit="3" topLeftCell="D1" activePane="topRight" state="frozen"/>
      <selection pane="topRight" activeCell="D1" sqref="D1"/>
      <selection sqref="A1:N1"/>
    </sheetView>
  </sheetViews>
  <sheetFormatPr defaultColWidth="12.5703125" defaultRowHeight="15" customHeight="1" outlineLevelCol="2"/>
  <cols>
    <col min="1" max="1" width="1.5703125" customWidth="1"/>
    <col min="2" max="2" width="9.5703125" customWidth="1"/>
    <col min="3" max="3" width="22.42578125" bestFit="1" customWidth="1"/>
    <col min="4" max="4" width="10.5703125" customWidth="1"/>
    <col min="5" max="5" width="12.140625" bestFit="1" customWidth="1"/>
    <col min="6" max="7" width="9.5703125" customWidth="1"/>
    <col min="8" max="10" width="9.7109375" customWidth="1"/>
    <col min="11" max="13" width="9.5703125" hidden="1" customWidth="1" outlineLevel="1"/>
    <col min="14" max="14" width="2.5703125" hidden="1" customWidth="1" outlineLevel="1"/>
    <col min="15" max="17" width="9.5703125" hidden="1" customWidth="1" outlineLevel="1"/>
    <col min="18" max="18" width="2.5703125" hidden="1" customWidth="1" outlineLevel="1"/>
    <col min="19" max="21" width="9.5703125" hidden="1" customWidth="1" outlineLevel="1"/>
    <col min="22" max="22" width="2.5703125" hidden="1" customWidth="1" outlineLevel="1"/>
    <col min="23" max="25" width="9.5703125" hidden="1" customWidth="1" outlineLevel="1"/>
    <col min="26" max="26" width="2.5703125" hidden="1" customWidth="1" outlineLevel="1"/>
    <col min="27" max="29" width="9.5703125" hidden="1" customWidth="1" outlineLevel="1"/>
    <col min="30" max="30" width="1.5703125" customWidth="1" collapsed="1"/>
    <col min="31" max="33" width="9.5703125" customWidth="1"/>
    <col min="34" max="34" width="1.5703125" customWidth="1"/>
    <col min="35" max="37" width="9.5703125" customWidth="1"/>
    <col min="38" max="38" width="1.5703125" customWidth="1"/>
    <col min="39" max="41" width="9.5703125" customWidth="1"/>
    <col min="42" max="42" width="1.5703125" customWidth="1"/>
    <col min="43" max="45" width="9.5703125" hidden="1" customWidth="1" outlineLevel="2"/>
    <col min="46" max="46" width="1.5703125" hidden="1" customWidth="1" outlineLevel="2"/>
    <col min="47" max="49" width="9.5703125" hidden="1" customWidth="1" outlineLevel="2"/>
    <col min="50" max="50" width="1.5703125" hidden="1" customWidth="1" outlineLevel="2"/>
    <col min="51" max="51" width="11.28515625" customWidth="1" collapsed="1"/>
    <col min="52" max="53" width="9.5703125" customWidth="1"/>
    <col min="54" max="54" width="10.7109375" bestFit="1" customWidth="1"/>
    <col min="55" max="55" width="10.7109375" customWidth="1"/>
    <col min="56" max="56" width="11" bestFit="1" customWidth="1"/>
    <col min="57" max="60" width="9.5703125" customWidth="1"/>
  </cols>
  <sheetData>
    <row r="1" spans="1:60" ht="45" customHeight="1">
      <c r="A1" s="83" t="s">
        <v>162</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c r="A2" s="85"/>
      <c r="B2" s="54"/>
      <c r="E2" s="54"/>
      <c r="F2" s="54"/>
      <c r="G2" s="54"/>
      <c r="H2" s="54"/>
      <c r="I2" s="54"/>
      <c r="J2" s="54"/>
    </row>
    <row r="3" spans="1:60" ht="15.75" customHeight="1">
      <c r="A3" s="85" t="s">
        <v>35</v>
      </c>
      <c r="B3" s="54"/>
      <c r="E3" s="54"/>
      <c r="F3" s="54"/>
      <c r="G3" s="54"/>
      <c r="H3" s="54"/>
      <c r="I3" s="54"/>
      <c r="J3" s="54"/>
    </row>
    <row r="4" spans="1:60" ht="15.75" customHeight="1">
      <c r="A4" s="85"/>
      <c r="B4">
        <v>1</v>
      </c>
      <c r="C4" t="s">
        <v>308</v>
      </c>
      <c r="E4" s="54"/>
      <c r="F4" s="54"/>
      <c r="G4" s="54"/>
      <c r="H4" s="54"/>
      <c r="I4" s="54"/>
      <c r="J4" s="54"/>
    </row>
    <row r="5" spans="1:60" ht="15.75" customHeight="1">
      <c r="A5" s="85"/>
      <c r="B5">
        <v>2</v>
      </c>
      <c r="C5" t="s">
        <v>309</v>
      </c>
      <c r="E5" s="54"/>
      <c r="F5" s="54"/>
      <c r="G5" s="54"/>
      <c r="H5" s="54"/>
      <c r="I5" s="54"/>
      <c r="J5" s="54"/>
    </row>
    <row r="6" spans="1:60" ht="15.75" customHeight="1">
      <c r="A6" s="85"/>
      <c r="B6">
        <v>3</v>
      </c>
      <c r="C6" s="182" t="s">
        <v>310</v>
      </c>
      <c r="E6" s="54"/>
      <c r="F6" s="54"/>
      <c r="G6" s="54"/>
      <c r="H6" s="54"/>
      <c r="I6" s="54"/>
      <c r="J6" s="54"/>
    </row>
    <row r="7" spans="1:60" ht="15.75" customHeight="1">
      <c r="A7" s="85"/>
      <c r="B7">
        <v>4</v>
      </c>
      <c r="C7" t="s">
        <v>311</v>
      </c>
      <c r="E7" s="54"/>
      <c r="F7" s="54"/>
      <c r="G7" s="54"/>
      <c r="H7" s="54"/>
      <c r="I7" s="54"/>
      <c r="J7" s="54"/>
    </row>
    <row r="8" spans="1:60" ht="15.75" customHeight="1">
      <c r="A8" s="85"/>
      <c r="E8" s="54"/>
      <c r="F8" s="54"/>
      <c r="G8" s="54"/>
      <c r="H8" s="54"/>
      <c r="I8" s="54"/>
      <c r="J8" s="54"/>
    </row>
    <row r="9" spans="1:60" ht="15.75" customHeight="1">
      <c r="A9" s="85" t="s">
        <v>312</v>
      </c>
      <c r="E9" s="54"/>
      <c r="F9" s="54"/>
      <c r="G9" s="54"/>
      <c r="H9" s="54"/>
      <c r="I9" s="54"/>
      <c r="J9" s="54"/>
    </row>
    <row r="10" spans="1:60" ht="15.75" customHeight="1">
      <c r="A10" s="85"/>
      <c r="B10">
        <v>1</v>
      </c>
      <c r="C10" t="s">
        <v>313</v>
      </c>
      <c r="E10" s="54"/>
      <c r="F10" s="54"/>
      <c r="G10" s="54"/>
      <c r="H10" s="54"/>
      <c r="I10" s="54"/>
      <c r="J10" s="54"/>
    </row>
    <row r="11" spans="1:60" ht="15.75" customHeight="1">
      <c r="A11" s="85"/>
      <c r="B11">
        <v>2</v>
      </c>
      <c r="C11" t="s">
        <v>314</v>
      </c>
      <c r="E11" s="54"/>
      <c r="F11" s="54"/>
      <c r="G11" s="54"/>
      <c r="H11" s="54"/>
      <c r="I11" s="54"/>
      <c r="J11" s="54"/>
    </row>
    <row r="12" spans="1:60" ht="15.75" customHeight="1">
      <c r="A12" s="85"/>
      <c r="B12">
        <v>3</v>
      </c>
      <c r="C12" t="s">
        <v>315</v>
      </c>
      <c r="E12" s="54"/>
      <c r="F12" s="54"/>
      <c r="G12" s="54"/>
      <c r="H12" s="54"/>
      <c r="I12" s="54"/>
      <c r="J12" s="54"/>
    </row>
    <row r="13" spans="1:60" ht="15.75" customHeight="1">
      <c r="A13" s="85"/>
      <c r="B13">
        <v>4</v>
      </c>
      <c r="C13" t="s">
        <v>316</v>
      </c>
      <c r="E13" s="54"/>
      <c r="F13" s="54"/>
      <c r="G13" s="54"/>
      <c r="H13" s="54"/>
      <c r="I13" s="54"/>
      <c r="J13" s="54"/>
    </row>
    <row r="14" spans="1:60" ht="15.75" customHeight="1">
      <c r="A14" s="85"/>
      <c r="E14" s="54"/>
      <c r="F14" s="54"/>
      <c r="G14" s="54"/>
      <c r="H14" s="54"/>
      <c r="I14" s="54"/>
      <c r="J14" s="54"/>
    </row>
    <row r="15" spans="1:60" ht="15.75" customHeight="1">
      <c r="A15" s="97"/>
      <c r="C15" t="s">
        <v>317</v>
      </c>
      <c r="D15" s="53" t="s">
        <v>227</v>
      </c>
    </row>
    <row r="16" spans="1:60" ht="15.75" customHeight="1">
      <c r="A16" s="97"/>
      <c r="C16" t="s">
        <v>213</v>
      </c>
      <c r="D16" s="45">
        <v>45358</v>
      </c>
    </row>
    <row r="17" spans="1:60" ht="15.75" customHeight="1">
      <c r="A17" s="97"/>
      <c r="C17" t="s">
        <v>318</v>
      </c>
      <c r="D17" s="45">
        <v>45291</v>
      </c>
    </row>
    <row r="18" spans="1:60" ht="15.75" customHeight="1">
      <c r="A18" s="97"/>
      <c r="AY18" s="74"/>
    </row>
    <row r="19" spans="1:60" ht="15.75" customHeight="1">
      <c r="A19" s="97"/>
      <c r="C19" t="str">
        <f>"All data in "&amp;D15&amp;"m unless otherwise stated, as of "&amp;TEXT(D16,"dd-mmm-yy")</f>
        <v>All data in USDm unless otherwise stated, as of 07-Mar-24</v>
      </c>
    </row>
    <row r="20" spans="1:60" ht="15.75" customHeight="1" thickBot="1">
      <c r="A20" s="156"/>
      <c r="B20" s="156"/>
      <c r="C20" s="156"/>
      <c r="D20" s="80"/>
      <c r="E20" s="80" t="s">
        <v>171</v>
      </c>
      <c r="F20" s="80" t="s">
        <v>171</v>
      </c>
      <c r="G20" s="80"/>
      <c r="H20" s="80"/>
      <c r="I20" s="240" t="s">
        <v>319</v>
      </c>
      <c r="J20" s="263"/>
      <c r="K20" s="157"/>
      <c r="L20" s="157" t="s">
        <v>228</v>
      </c>
      <c r="M20" s="157"/>
      <c r="N20" s="95"/>
      <c r="O20" s="157"/>
      <c r="P20" s="157" t="s">
        <v>65</v>
      </c>
      <c r="Q20" s="157"/>
      <c r="R20" s="80"/>
      <c r="S20" s="157"/>
      <c r="T20" s="157" t="s">
        <v>63</v>
      </c>
      <c r="U20" s="157"/>
      <c r="V20" s="80"/>
      <c r="W20" s="157"/>
      <c r="X20" s="157" t="s">
        <v>140</v>
      </c>
      <c r="Y20" s="157"/>
      <c r="Z20" s="80"/>
      <c r="AA20" s="157"/>
      <c r="AB20" s="157" t="s">
        <v>320</v>
      </c>
      <c r="AC20" s="157"/>
      <c r="AD20" s="80"/>
      <c r="AE20" s="157"/>
      <c r="AF20" s="157" t="s">
        <v>240</v>
      </c>
      <c r="AG20" s="157"/>
      <c r="AH20" s="95"/>
      <c r="AI20" s="157"/>
      <c r="AJ20" s="157" t="s">
        <v>196</v>
      </c>
      <c r="AK20" s="157"/>
      <c r="AL20" s="80"/>
      <c r="AM20" s="157"/>
      <c r="AN20" s="157" t="s">
        <v>242</v>
      </c>
      <c r="AO20" s="157"/>
      <c r="AP20" s="80"/>
      <c r="AQ20" s="157"/>
      <c r="AR20" s="157" t="s">
        <v>299</v>
      </c>
      <c r="AS20" s="157"/>
      <c r="AT20" s="80"/>
      <c r="AU20" s="157"/>
      <c r="AV20" s="157" t="s">
        <v>300</v>
      </c>
      <c r="AW20" s="157"/>
      <c r="AX20" s="80"/>
      <c r="AY20" s="80" t="s">
        <v>321</v>
      </c>
      <c r="AZ20" s="80" t="s">
        <v>322</v>
      </c>
      <c r="BA20" s="80" t="s">
        <v>323</v>
      </c>
      <c r="BB20" s="80" t="s">
        <v>324</v>
      </c>
      <c r="BC20" s="80" t="s">
        <v>325</v>
      </c>
      <c r="BD20" s="95" t="s">
        <v>326</v>
      </c>
      <c r="BE20" s="95" t="s">
        <v>327</v>
      </c>
      <c r="BF20" s="95" t="s">
        <v>328</v>
      </c>
      <c r="BG20" s="95" t="s">
        <v>272</v>
      </c>
      <c r="BH20" s="95"/>
    </row>
    <row r="21" spans="1:60" ht="15.75" customHeight="1">
      <c r="A21" s="156"/>
      <c r="B21" s="156"/>
      <c r="C21" s="80" t="s">
        <v>329</v>
      </c>
      <c r="D21" s="80" t="s">
        <v>330</v>
      </c>
      <c r="E21" s="80" t="s">
        <v>331</v>
      </c>
      <c r="F21" s="80" t="s">
        <v>332</v>
      </c>
      <c r="G21" s="80" t="s">
        <v>333</v>
      </c>
      <c r="H21" s="80" t="s">
        <v>185</v>
      </c>
      <c r="I21" s="80" t="s">
        <v>192</v>
      </c>
      <c r="J21" s="80" t="s">
        <v>193</v>
      </c>
      <c r="K21" s="80" t="s">
        <v>191</v>
      </c>
      <c r="L21" s="80" t="str">
        <f>+I21</f>
        <v>2024e</v>
      </c>
      <c r="M21" s="80" t="str">
        <f>+J21</f>
        <v>2025e</v>
      </c>
      <c r="N21" s="95"/>
      <c r="O21" s="80" t="s">
        <v>191</v>
      </c>
      <c r="P21" s="80" t="str">
        <f>+L21</f>
        <v>2024e</v>
      </c>
      <c r="Q21" s="80" t="str">
        <f>+M21</f>
        <v>2025e</v>
      </c>
      <c r="R21" s="80"/>
      <c r="S21" s="80" t="s">
        <v>191</v>
      </c>
      <c r="T21" s="80" t="str">
        <f>+P21</f>
        <v>2024e</v>
      </c>
      <c r="U21" s="80" t="str">
        <f>+Q21</f>
        <v>2025e</v>
      </c>
      <c r="V21" s="80"/>
      <c r="W21" s="80" t="s">
        <v>191</v>
      </c>
      <c r="X21" s="80" t="str">
        <f>+L21</f>
        <v>2024e</v>
      </c>
      <c r="Y21" s="80" t="str">
        <f>+M21</f>
        <v>2025e</v>
      </c>
      <c r="Z21" s="80"/>
      <c r="AA21" s="80" t="s">
        <v>191</v>
      </c>
      <c r="AB21" s="80" t="str">
        <f>+X21</f>
        <v>2024e</v>
      </c>
      <c r="AC21" s="80" t="str">
        <f>+Y21</f>
        <v>2025e</v>
      </c>
      <c r="AD21" s="80"/>
      <c r="AE21" s="80" t="s">
        <v>191</v>
      </c>
      <c r="AF21" s="80" t="str">
        <f>+L21</f>
        <v>2024e</v>
      </c>
      <c r="AG21" s="80" t="str">
        <f>+M21</f>
        <v>2025e</v>
      </c>
      <c r="AH21" s="95"/>
      <c r="AI21" s="80" t="s">
        <v>191</v>
      </c>
      <c r="AJ21" s="80" t="str">
        <f>+P21</f>
        <v>2024e</v>
      </c>
      <c r="AK21" s="80" t="str">
        <f>+Q21</f>
        <v>2025e</v>
      </c>
      <c r="AL21" s="80"/>
      <c r="AM21" s="80" t="s">
        <v>191</v>
      </c>
      <c r="AN21" s="80" t="str">
        <f>+T21</f>
        <v>2024e</v>
      </c>
      <c r="AO21" s="80" t="str">
        <f>+U21</f>
        <v>2025e</v>
      </c>
      <c r="AP21" s="80"/>
      <c r="AQ21" s="80" t="s">
        <v>191</v>
      </c>
      <c r="AR21" s="80" t="str">
        <f>AJ21</f>
        <v>2024e</v>
      </c>
      <c r="AS21" s="80" t="str">
        <f>AK21</f>
        <v>2025e</v>
      </c>
      <c r="AT21" s="80"/>
      <c r="AU21" s="80" t="s">
        <v>191</v>
      </c>
      <c r="AV21" s="80" t="str">
        <f>AN21</f>
        <v>2024e</v>
      </c>
      <c r="AW21" s="80" t="str">
        <f>AO21</f>
        <v>2025e</v>
      </c>
      <c r="AX21" s="80"/>
      <c r="AY21" s="80" t="s">
        <v>334</v>
      </c>
      <c r="AZ21" s="80" t="s">
        <v>335</v>
      </c>
      <c r="BA21" s="80" t="s">
        <v>336</v>
      </c>
      <c r="BB21" s="80" t="s">
        <v>337</v>
      </c>
      <c r="BC21" s="80" t="s">
        <v>337</v>
      </c>
      <c r="BD21" s="95" t="s">
        <v>321</v>
      </c>
      <c r="BE21" s="95" t="s">
        <v>237</v>
      </c>
      <c r="BF21" s="95" t="s">
        <v>338</v>
      </c>
      <c r="BG21" s="95" t="s">
        <v>339</v>
      </c>
      <c r="BH21" s="95" t="s">
        <v>208</v>
      </c>
    </row>
    <row r="22" spans="1:60" ht="15.75" customHeight="1">
      <c r="A22" s="85" t="s">
        <v>340</v>
      </c>
    </row>
    <row r="23" spans="1:60" ht="15.75" customHeight="1">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c r="A25" s="188"/>
      <c r="B25" s="17">
        <v>3</v>
      </c>
      <c r="C25" t="s">
        <v>341</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342</v>
      </c>
    </row>
    <row r="26" spans="1:60" ht="15.75" customHeight="1">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343</v>
      </c>
      <c r="BG26" s="66">
        <v>44105</v>
      </c>
      <c r="BH26" t="s">
        <v>344</v>
      </c>
    </row>
    <row r="27" spans="1:60" ht="15.75" customHeight="1">
      <c r="A27" s="97"/>
      <c r="B27" s="17">
        <v>5</v>
      </c>
      <c r="C27" t="s">
        <v>345</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346</v>
      </c>
    </row>
    <row r="28" spans="1:60" ht="15.75" customHeight="1">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235</v>
      </c>
      <c r="BG28" s="66">
        <v>15601</v>
      </c>
      <c r="BH28" t="s">
        <v>347</v>
      </c>
    </row>
    <row r="29" spans="1:60" ht="15.75" customHeight="1">
      <c r="A29" s="97"/>
      <c r="B29" s="17">
        <v>7</v>
      </c>
      <c r="C29" t="s">
        <v>348</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349</v>
      </c>
    </row>
    <row r="30" spans="1:60" ht="15.75" customHeight="1">
      <c r="A30" s="188"/>
      <c r="B30" s="17">
        <v>8</v>
      </c>
      <c r="C30" t="s">
        <v>350</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351</v>
      </c>
    </row>
    <row r="31" spans="1:60" ht="15.75" customHeight="1">
      <c r="A31" s="97"/>
      <c r="B31" s="17">
        <v>9</v>
      </c>
      <c r="C31" t="s">
        <v>352</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353</v>
      </c>
    </row>
    <row r="32" spans="1:60" ht="15.75" customHeight="1">
      <c r="A32" s="85"/>
      <c r="B32" s="66">
        <v>10</v>
      </c>
      <c r="C32" t="s">
        <v>354</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355</v>
      </c>
    </row>
    <row r="33" spans="1:60" ht="15.75" customHeight="1">
      <c r="A33" s="91"/>
      <c r="B33" s="66">
        <v>11</v>
      </c>
      <c r="C33" t="s">
        <v>356</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357</v>
      </c>
    </row>
    <row r="34" spans="1:60" ht="15.75" customHeight="1">
      <c r="A34" s="85"/>
      <c r="F34" s="74"/>
    </row>
    <row r="35" spans="1:60" ht="15.75" customHeight="1">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c r="A36" s="85"/>
    </row>
    <row r="37" spans="1:60" ht="15.75" customHeight="1" thickBot="1">
      <c r="A37" s="156"/>
      <c r="B37" s="156"/>
      <c r="C37" s="156"/>
      <c r="D37" s="80"/>
      <c r="E37" s="80"/>
      <c r="F37" s="80"/>
      <c r="G37" s="80"/>
      <c r="H37" s="80"/>
      <c r="I37" s="240" t="s">
        <v>319</v>
      </c>
      <c r="J37" s="263"/>
      <c r="K37" s="80"/>
      <c r="L37" s="80"/>
      <c r="M37" s="80"/>
      <c r="N37" s="80"/>
      <c r="O37" s="80"/>
      <c r="P37" s="80"/>
      <c r="Q37" s="80"/>
      <c r="R37" s="80"/>
      <c r="S37" s="80"/>
      <c r="T37" s="80"/>
      <c r="U37" s="80"/>
      <c r="V37" s="80"/>
      <c r="W37" s="80"/>
      <c r="X37" s="80"/>
      <c r="Y37" s="80"/>
      <c r="Z37" s="80"/>
      <c r="AA37" s="80"/>
      <c r="AB37" s="80"/>
      <c r="AC37" s="80"/>
      <c r="AD37" s="80"/>
      <c r="AE37" s="157"/>
      <c r="AF37" s="157" t="s">
        <v>240</v>
      </c>
      <c r="AG37" s="157"/>
      <c r="AH37" s="95"/>
      <c r="AI37" s="157"/>
      <c r="AJ37" s="157" t="s">
        <v>196</v>
      </c>
      <c r="AK37" s="157"/>
      <c r="AL37" s="80"/>
      <c r="AM37" s="157"/>
      <c r="AN37" s="157" t="s">
        <v>242</v>
      </c>
      <c r="AO37" s="157"/>
      <c r="AP37" s="80"/>
      <c r="AQ37" s="157"/>
      <c r="AR37" s="157" t="s">
        <v>299</v>
      </c>
      <c r="AS37" s="157"/>
      <c r="AT37" s="80"/>
      <c r="AU37" s="157"/>
      <c r="AV37" s="157" t="s">
        <v>300</v>
      </c>
      <c r="AW37" s="157"/>
      <c r="AY37" s="80" t="s">
        <v>358</v>
      </c>
      <c r="AZ37" s="80" t="s">
        <v>322</v>
      </c>
    </row>
    <row r="38" spans="1:60" ht="15.75" customHeight="1">
      <c r="A38" s="156"/>
      <c r="B38" s="156"/>
      <c r="C38" s="80" t="s">
        <v>329</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228</v>
      </c>
      <c r="AZ38" s="80" t="s">
        <v>335</v>
      </c>
    </row>
    <row r="39" spans="1:60" ht="15.75" customHeight="1">
      <c r="A39" s="85" t="s">
        <v>359</v>
      </c>
    </row>
    <row r="40" spans="1:60" ht="15.75" customHeight="1">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c r="A42" s="85"/>
    </row>
    <row r="43" spans="1:60" ht="15.75" customHeight="1">
      <c r="A43" s="85"/>
      <c r="C43" t="s">
        <v>360</v>
      </c>
      <c r="I43" s="75"/>
      <c r="J43" s="75">
        <f ca="1">MEDIAN(J40:J41)</f>
        <v>23.74020833009709</v>
      </c>
      <c r="AI43" s="75"/>
      <c r="AJ43" s="75"/>
      <c r="AK43" s="75">
        <f ca="1">MEDIAN(AK40:AK41)</f>
        <v>18.421016535874379</v>
      </c>
      <c r="AM43" s="75"/>
      <c r="AN43" s="75"/>
      <c r="AO43" s="75">
        <f ca="1">MEDIAN(AO40:AO41)</f>
        <v>19.79668695495269</v>
      </c>
    </row>
    <row r="44" spans="1:60" ht="15.75" customHeight="1">
      <c r="A44" s="85"/>
    </row>
    <row r="45" spans="1:60" ht="15.75" customHeight="1">
      <c r="A45" s="85"/>
      <c r="C45" t="s">
        <v>361</v>
      </c>
      <c r="J45">
        <f>'Red Bull Model'!H71</f>
        <v>2439.8756446721163</v>
      </c>
    </row>
    <row r="46" spans="1:60" ht="15.75" customHeight="1">
      <c r="A46" s="85"/>
      <c r="C46" t="s">
        <v>362</v>
      </c>
      <c r="J46">
        <f ca="1">J43*J45</f>
        <v>57923.156104045986</v>
      </c>
    </row>
    <row r="47" spans="1:60" ht="15.75" customHeight="1">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c r="A48" s="85"/>
      <c r="C48" t="s">
        <v>363</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c r="A49" s="85"/>
      <c r="C49" t="s">
        <v>364</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c r="A50" s="85"/>
      <c r="C50" t="s">
        <v>365</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c r="A51" s="85"/>
      <c r="C51" t="s">
        <v>362</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c r="A53" s="85" t="s">
        <v>147</v>
      </c>
      <c r="AK53" s="54"/>
    </row>
    <row r="54" spans="1:60" ht="15.75" customHeight="1">
      <c r="A54" s="85"/>
      <c r="AK54" s="54"/>
    </row>
    <row r="55" spans="1:60" ht="15.75" customHeight="1">
      <c r="A55" s="85"/>
      <c r="AK55" s="54"/>
    </row>
    <row r="56" spans="1:60" ht="15.75" customHeight="1">
      <c r="A56" s="85"/>
      <c r="E56" s="182"/>
      <c r="AK56" s="54"/>
    </row>
    <row r="57" spans="1:60" ht="15.75" customHeight="1">
      <c r="A57" s="85"/>
      <c r="E57" s="182"/>
      <c r="AK57" s="54"/>
    </row>
    <row r="58" spans="1:60" ht="15.75" customHeight="1">
      <c r="A58" s="85"/>
      <c r="E58" s="182"/>
    </row>
    <row r="59" spans="1:60" ht="15.75" customHeight="1">
      <c r="A59" s="85"/>
      <c r="E59" s="182"/>
    </row>
    <row r="60" spans="1:60" ht="15.75" customHeight="1">
      <c r="A60" s="85"/>
      <c r="E60" s="182"/>
    </row>
    <row r="61" spans="1:60" ht="15.75" customHeight="1">
      <c r="A61" s="85"/>
      <c r="E61" s="182"/>
    </row>
    <row r="62" spans="1:60" ht="15.75" customHeight="1">
      <c r="A62" s="85"/>
      <c r="E62" s="182"/>
    </row>
    <row r="63" spans="1:60" ht="15.75" customHeight="1">
      <c r="A63" s="85"/>
      <c r="E63" s="182"/>
    </row>
    <row r="64" spans="1:60" ht="15.75" customHeight="1">
      <c r="A64" s="85"/>
      <c r="E64" s="182"/>
    </row>
    <row r="65" spans="1:5" ht="15.75" customHeight="1">
      <c r="A65" s="85"/>
      <c r="E65" s="182"/>
    </row>
    <row r="66" spans="1:5" ht="15.75" customHeight="1">
      <c r="A66" s="85"/>
    </row>
    <row r="67" spans="1:5" ht="15" customHeight="1">
      <c r="A67" s="85"/>
    </row>
    <row r="68" spans="1:5" ht="15" customHeight="1">
      <c r="A68" s="85"/>
    </row>
    <row r="69" spans="1:5" ht="15" customHeight="1">
      <c r="A69" s="85"/>
    </row>
    <row r="72" spans="1:5" ht="15.75" customHeight="1">
      <c r="A72" s="21"/>
    </row>
    <row r="73" spans="1:5" ht="15.75" customHeight="1">
      <c r="A73" s="21"/>
    </row>
    <row r="74" spans="1:5" ht="15.75" customHeight="1">
      <c r="A74" s="21"/>
    </row>
    <row r="75" spans="1:5" ht="15.75" customHeight="1">
      <c r="A75" s="21"/>
    </row>
    <row r="76" spans="1:5" ht="15.75" customHeight="1">
      <c r="A76" s="21"/>
    </row>
    <row r="77" spans="1:5" ht="15.75" customHeight="1">
      <c r="A77" s="21"/>
    </row>
    <row r="78" spans="1:5" ht="15.75" customHeight="1">
      <c r="A78" s="21"/>
    </row>
    <row r="79" spans="1:5" ht="15.75" customHeight="1">
      <c r="A79" s="21"/>
    </row>
    <row r="80" spans="1:5" ht="15.75" customHeight="1">
      <c r="A80" s="21" t="s">
        <v>366</v>
      </c>
    </row>
    <row r="81" spans="1:60" ht="15.75" customHeight="1">
      <c r="A81" s="21"/>
      <c r="C81" t="s">
        <v>367</v>
      </c>
      <c r="D81" t="s">
        <v>368</v>
      </c>
      <c r="E81" t="s">
        <v>369</v>
      </c>
      <c r="G81" t="s">
        <v>370</v>
      </c>
      <c r="H81" t="s">
        <v>371</v>
      </c>
      <c r="I81" t="s">
        <v>372</v>
      </c>
      <c r="J81" t="s">
        <v>373</v>
      </c>
      <c r="K81" t="s">
        <v>374</v>
      </c>
      <c r="L81" t="s">
        <v>375</v>
      </c>
      <c r="M81" t="s">
        <v>376</v>
      </c>
      <c r="O81" t="s">
        <v>377</v>
      </c>
      <c r="P81" t="s">
        <v>378</v>
      </c>
      <c r="Q81" t="s">
        <v>379</v>
      </c>
      <c r="S81" t="s">
        <v>380</v>
      </c>
      <c r="T81" t="s">
        <v>381</v>
      </c>
      <c r="U81" t="s">
        <v>382</v>
      </c>
      <c r="W81" t="s">
        <v>383</v>
      </c>
      <c r="X81" t="s">
        <v>384</v>
      </c>
      <c r="Y81" t="s">
        <v>385</v>
      </c>
      <c r="AA81" t="s">
        <v>386</v>
      </c>
      <c r="AB81" t="s">
        <v>387</v>
      </c>
      <c r="AC81" t="s">
        <v>388</v>
      </c>
      <c r="AQ81" t="s">
        <v>389</v>
      </c>
      <c r="AR81" t="s">
        <v>389</v>
      </c>
      <c r="AS81" t="s">
        <v>389</v>
      </c>
      <c r="AU81" t="s">
        <v>389</v>
      </c>
      <c r="AV81" t="s">
        <v>389</v>
      </c>
      <c r="AW81" t="s">
        <v>389</v>
      </c>
      <c r="AZ81" t="s">
        <v>390</v>
      </c>
      <c r="BA81" t="s">
        <v>336</v>
      </c>
      <c r="BD81" t="s">
        <v>391</v>
      </c>
      <c r="BE81" t="s">
        <v>392</v>
      </c>
      <c r="BF81" t="s">
        <v>393</v>
      </c>
      <c r="BG81" t="s">
        <v>391</v>
      </c>
      <c r="BH81" t="s">
        <v>208</v>
      </c>
    </row>
    <row r="82" spans="1:60" ht="15.75" customHeight="1">
      <c r="A82" s="21"/>
      <c r="D82" t="s">
        <v>394</v>
      </c>
      <c r="E82" t="s">
        <v>394</v>
      </c>
      <c r="G82" t="s">
        <v>372</v>
      </c>
      <c r="H82" t="s">
        <v>373</v>
      </c>
      <c r="BD82" t="s">
        <v>377</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703125" defaultRowHeight="15" customHeight="1"/>
  <cols>
    <col min="1" max="1" width="4.85546875" bestFit="1" customWidth="1"/>
    <col min="2" max="2" width="24.28515625" customWidth="1"/>
    <col min="3" max="16" width="10.28515625" customWidth="1"/>
  </cols>
  <sheetData>
    <row r="1" spans="1:16" ht="45" customHeight="1">
      <c r="A1" s="83" t="s">
        <v>395</v>
      </c>
      <c r="B1" s="83"/>
      <c r="C1" s="83"/>
      <c r="D1" s="83"/>
      <c r="E1" s="83"/>
      <c r="F1" s="83"/>
      <c r="G1" s="83"/>
      <c r="H1" s="83"/>
      <c r="I1" s="83"/>
      <c r="J1" s="83"/>
      <c r="K1" s="83"/>
      <c r="L1" s="83"/>
      <c r="M1" s="83"/>
      <c r="N1" s="83"/>
      <c r="O1" s="83"/>
      <c r="P1" s="83"/>
    </row>
    <row r="2" spans="1:16" ht="15" customHeight="1">
      <c r="A2" s="54"/>
      <c r="B2" s="54"/>
      <c r="C2" s="54"/>
      <c r="D2" s="54"/>
      <c r="E2" s="54"/>
      <c r="F2" s="54"/>
      <c r="G2" s="54"/>
      <c r="H2" s="54"/>
      <c r="I2" s="54"/>
      <c r="J2" s="54"/>
      <c r="K2" s="54"/>
      <c r="L2" s="54"/>
      <c r="M2" s="54"/>
      <c r="N2" s="54"/>
    </row>
    <row r="3" spans="1:16" ht="15" customHeight="1">
      <c r="A3">
        <v>1</v>
      </c>
      <c r="B3" t="s">
        <v>396</v>
      </c>
    </row>
    <row r="4" spans="1:16" ht="15" customHeight="1">
      <c r="A4">
        <v>2</v>
      </c>
      <c r="B4" t="s">
        <v>397</v>
      </c>
    </row>
    <row r="5" spans="1:16" ht="15" customHeight="1">
      <c r="A5">
        <v>3</v>
      </c>
      <c r="B5" t="s">
        <v>398</v>
      </c>
    </row>
    <row r="6" spans="1:16" ht="15" customHeight="1">
      <c r="A6">
        <v>4</v>
      </c>
      <c r="B6" t="s">
        <v>399</v>
      </c>
    </row>
    <row r="7" spans="1:16" ht="15" customHeight="1">
      <c r="A7">
        <v>5</v>
      </c>
      <c r="B7" t="s">
        <v>400</v>
      </c>
    </row>
    <row r="8" spans="1:16" ht="15" customHeight="1">
      <c r="A8">
        <v>6</v>
      </c>
      <c r="B8" t="s">
        <v>401</v>
      </c>
    </row>
    <row r="9" spans="1:16" ht="15" customHeight="1">
      <c r="A9">
        <v>7</v>
      </c>
      <c r="B9" t="s">
        <v>402</v>
      </c>
    </row>
    <row r="10" spans="1:16" ht="15" customHeight="1">
      <c r="A10">
        <v>8</v>
      </c>
      <c r="B10" t="s">
        <v>403</v>
      </c>
    </row>
    <row r="11" spans="1:16" ht="15" customHeight="1">
      <c r="A11">
        <v>9</v>
      </c>
      <c r="B11" t="s">
        <v>404</v>
      </c>
    </row>
    <row r="12" spans="1:16" ht="15" customHeight="1">
      <c r="A12">
        <v>10</v>
      </c>
      <c r="B12" t="s">
        <v>405</v>
      </c>
    </row>
    <row r="13" spans="1:16" ht="15" customHeight="1">
      <c r="A13">
        <v>11</v>
      </c>
      <c r="B13" t="s">
        <v>406</v>
      </c>
    </row>
    <row r="14" spans="1:16" ht="15" customHeight="1">
      <c r="A14" s="54"/>
      <c r="B14" s="54"/>
      <c r="C14" s="54"/>
      <c r="D14" s="54"/>
      <c r="E14" s="54"/>
      <c r="F14" s="54"/>
      <c r="G14" s="54"/>
      <c r="H14" s="54"/>
      <c r="I14" s="54"/>
      <c r="J14" s="54"/>
      <c r="K14" s="54"/>
      <c r="L14" s="54"/>
      <c r="M14" s="54"/>
      <c r="N14" s="54"/>
    </row>
    <row r="15" spans="1:16" ht="15" customHeight="1">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150" zoomScaleNormal="150" zoomScaleSheetLayoutView="85" workbookViewId="0">
      <pane xSplit="2" ySplit="3" topLeftCell="E57" activePane="bottomRight" state="frozen"/>
      <selection pane="bottomRight" activeCell="F73" sqref="F73"/>
      <selection pane="bottomLeft" sqref="A1:N1"/>
      <selection pane="topRight" sqref="A1:N1"/>
    </sheetView>
  </sheetViews>
  <sheetFormatPr defaultColWidth="12.5703125" defaultRowHeight="15" customHeight="1"/>
  <cols>
    <col min="1" max="1" width="1.5703125" customWidth="1"/>
    <col min="2" max="2" width="40.5703125" customWidth="1"/>
    <col min="3" max="14" width="10.28515625" customWidth="1"/>
    <col min="15" max="15" width="11.140625" bestFit="1" customWidth="1"/>
    <col min="16" max="18" width="10.28515625" customWidth="1"/>
    <col min="19" max="19" width="8" customWidth="1"/>
  </cols>
  <sheetData>
    <row r="1" spans="1:19" ht="45" customHeight="1">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c r="A4" t="s">
        <v>407</v>
      </c>
    </row>
    <row r="5" spans="1:19" ht="15" customHeight="1">
      <c r="A5" s="21"/>
    </row>
    <row r="6" spans="1:19" ht="15" customHeight="1">
      <c r="A6" s="21" t="s">
        <v>408</v>
      </c>
    </row>
    <row r="7" spans="1:19" ht="15" customHeight="1">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c r="A9" s="21"/>
      <c r="B9" t="s">
        <v>409</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c r="A10" s="21"/>
    </row>
    <row r="11" spans="1:19" ht="15" customHeight="1">
      <c r="A11" s="21"/>
      <c r="B11" t="s">
        <v>410</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c r="A12" s="21"/>
      <c r="B12" t="s">
        <v>411</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c r="A13" s="21"/>
      <c r="B13" t="s">
        <v>412</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c r="A15" s="21"/>
      <c r="B15" t="s">
        <v>413</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c r="A16" s="21"/>
    </row>
    <row r="17" spans="1:16" ht="15" customHeight="1">
      <c r="A17" s="21" t="s">
        <v>414</v>
      </c>
    </row>
    <row r="18" spans="1:16" ht="15" customHeight="1">
      <c r="A18" s="21"/>
      <c r="B18" t="s">
        <v>112</v>
      </c>
      <c r="D18" s="74">
        <f>'Red Bull Model'!D12</f>
        <v>0.23914094359411786</v>
      </c>
      <c r="E18" s="74">
        <f>'Red Bull Model'!E12</f>
        <v>0.23908278458899002</v>
      </c>
      <c r="F18" s="74">
        <f>'Red Bull Model'!F12</f>
        <v>8.9813769866666782E-2</v>
      </c>
      <c r="G18" s="74">
        <f>'Red Bull Model'!G12</f>
        <v>9.2679491862271535E-2</v>
      </c>
      <c r="H18" s="74">
        <f>'Red Bull Model'!H12</f>
        <v>8.908551320778435E-2</v>
      </c>
      <c r="I18" s="74">
        <f>'Red Bull Model'!I12</f>
        <v>8.519659876820973E-2</v>
      </c>
      <c r="J18" s="74">
        <f>'Red Bull Model'!J12</f>
        <v>8.0991962794580541E-2</v>
      </c>
      <c r="K18" s="74">
        <f>'Red Bull Model'!K12</f>
        <v>7.6461269649378272E-2</v>
      </c>
      <c r="L18" s="74">
        <f>'Red Bull Model'!L12</f>
        <v>7.1605915305543721E-2</v>
      </c>
      <c r="M18" s="74">
        <f>'Red Bull Model'!M12</f>
        <v>5.6839381456481597E-2</v>
      </c>
      <c r="N18" s="74">
        <f>'Red Bull Model'!N12</f>
        <v>4.15675653310974E-2</v>
      </c>
      <c r="O18" s="74">
        <f>'Red Bull Model'!O12</f>
        <v>2.6000000000000023E-2</v>
      </c>
    </row>
    <row r="19" spans="1:16" ht="15" customHeight="1">
      <c r="A19" s="21"/>
      <c r="B19" t="s">
        <v>114</v>
      </c>
      <c r="C19" s="74">
        <f>'Red Bull Model'!C123</f>
        <v>0.25719757428300577</v>
      </c>
      <c r="D19" s="74">
        <f>'Red Bull Model'!D123</f>
        <v>0.28954656283225277</v>
      </c>
      <c r="E19" s="74">
        <f>'Red Bull Model'!E123</f>
        <v>0.23662790413466936</v>
      </c>
      <c r="F19" s="74">
        <f>'Red Bull Model'!F123</f>
        <v>0.25905365116278278</v>
      </c>
      <c r="G19" s="74">
        <f>'Red Bull Model'!G123</f>
        <v>0.25665460025418901</v>
      </c>
      <c r="H19" s="74">
        <f>'Red Bull Model'!H123</f>
        <v>0.2601622817833355</v>
      </c>
      <c r="I19" s="74">
        <f>'Red Bull Model'!I123</f>
        <v>0.27387813676297462</v>
      </c>
      <c r="J19" s="74">
        <f>'Red Bull Model'!J123</f>
        <v>0.2827322051788338</v>
      </c>
      <c r="K19" s="74">
        <f>'Red Bull Model'!K123</f>
        <v>0.28261828967945318</v>
      </c>
      <c r="L19" s="74">
        <f>'Red Bull Model'!L123</f>
        <v>0.28484755751051505</v>
      </c>
      <c r="M19" s="74">
        <f>'Red Bull Model'!M123</f>
        <v>0.28369944623844939</v>
      </c>
      <c r="N19" s="74">
        <f>'Red Bull Model'!N123</f>
        <v>0.28324326082400902</v>
      </c>
      <c r="O19" s="74">
        <f>'Red Bull Model'!O123</f>
        <v>0.28223619794558252</v>
      </c>
    </row>
    <row r="20" spans="1:16" ht="15" customHeight="1">
      <c r="A20" s="21"/>
      <c r="B20" t="s">
        <v>415</v>
      </c>
      <c r="G20" s="74">
        <f t="shared" ref="G20:O20" si="3">G15/G11</f>
        <v>0.82729363844187354</v>
      </c>
      <c r="H20" s="74">
        <f t="shared" si="3"/>
        <v>0.8347133716975883</v>
      </c>
      <c r="I20" s="74">
        <f t="shared" si="3"/>
        <v>0.85964446160649732</v>
      </c>
      <c r="J20" s="74">
        <f t="shared" si="3"/>
        <v>0.87287123743453532</v>
      </c>
      <c r="K20" s="74">
        <f t="shared" si="3"/>
        <v>0.9025017326450534</v>
      </c>
      <c r="L20" s="74">
        <f t="shared" si="3"/>
        <v>0.88889578700238492</v>
      </c>
      <c r="M20" s="74">
        <f t="shared" si="3"/>
        <v>0.92859493461893228</v>
      </c>
      <c r="N20" s="74">
        <f t="shared" si="3"/>
        <v>0.93234400753818236</v>
      </c>
      <c r="O20" s="74">
        <f t="shared" si="3"/>
        <v>0.95770932244476326</v>
      </c>
    </row>
    <row r="21" spans="1:16" ht="15" customHeight="1">
      <c r="A21" s="21"/>
    </row>
    <row r="22" spans="1:16" ht="15" customHeight="1">
      <c r="A22" s="21"/>
      <c r="B22" t="s">
        <v>117</v>
      </c>
      <c r="E22" s="54"/>
      <c r="F22" s="54">
        <f>'Red Bull Model'!F84+'Red Bull Model'!F88-'Red Bull Model'!F74-'Red Bull Model'!F81+'Red Bull Model'!F91</f>
        <v>2782.0999999999995</v>
      </c>
      <c r="G22" s="54">
        <f>'Red Bull Model'!G84+'Red Bull Model'!G88-'Red Bull Model'!G74-'Red Bull Model'!G81+'Red Bull Model'!G91</f>
        <v>3162.9229015671121</v>
      </c>
      <c r="H22" s="54">
        <f>'Red Bull Model'!H84+'Red Bull Model'!H88-'Red Bull Model'!H74-'Red Bull Model'!H81+'Red Bull Model'!H91</f>
        <v>3565.2781813165002</v>
      </c>
      <c r="I22" s="54">
        <f>'Red Bull Model'!I84+'Red Bull Model'!I88-'Red Bull Model'!I74-'Red Bull Model'!I81+'Red Bull Model'!I91</f>
        <v>3955.6001486384562</v>
      </c>
      <c r="J22" s="54">
        <f>'Red Bull Model'!J84+'Red Bull Model'!J88-'Red Bull Model'!J74-'Red Bull Model'!J81+'Red Bull Model'!J91</f>
        <v>4350.1279753588278</v>
      </c>
      <c r="K22" s="54">
        <f>'Red Bull Model'!K84+'Red Bull Model'!K88-'Red Bull Model'!K74-'Red Bull Model'!K81+'Red Bull Model'!K91</f>
        <v>4675.7052703056634</v>
      </c>
      <c r="L22" s="54">
        <f>'Red Bull Model'!L84+'Red Bull Model'!L88-'Red Bull Model'!L74-'Red Bull Model'!L81+'Red Bull Model'!L91</f>
        <v>5076.4197891980475</v>
      </c>
      <c r="M22" s="54">
        <f>'Red Bull Model'!M84+'Red Bull Model'!M88-'Red Bull Model'!M74-'Red Bull Model'!M81+'Red Bull Model'!M91</f>
        <v>5347.4942162243005</v>
      </c>
      <c r="N22" s="54">
        <f>'Red Bull Model'!N84+'Red Bull Model'!N88-'Red Bull Model'!N74-'Red Bull Model'!N81+'Red Bull Model'!N91</f>
        <v>5614.5821949050496</v>
      </c>
      <c r="O22" s="54">
        <f>'Red Bull Model'!O84+'Red Bull Model'!O88-'Red Bull Model'!O74-'Red Bull Model'!O81+'Red Bull Model'!O91</f>
        <v>5785.2663488097169</v>
      </c>
      <c r="P22" t="str">
        <f ca="1">IF(ISBLANK(O22),"",_xlfn.FORMULATEXT(O22))</f>
        <v>='Red Bull Model'!O84+'Red Bull Model'!O88-'Red Bull Model'!O74-'Red Bull Model'!O81+'Red Bull Model'!O91</v>
      </c>
    </row>
    <row r="23" spans="1:16" ht="15" customHeight="1">
      <c r="B23" t="s">
        <v>416</v>
      </c>
      <c r="F23" s="74"/>
      <c r="G23" s="74">
        <f>G22/F22-1</f>
        <v>0.13688325422059333</v>
      </c>
      <c r="H23" s="74">
        <f t="shared" ref="H23:O23" si="4">H22/G22-1</f>
        <v>0.12720995492809384</v>
      </c>
      <c r="I23" s="74">
        <f t="shared" si="4"/>
        <v>0.10947868510440539</v>
      </c>
      <c r="J23" s="74">
        <f t="shared" si="4"/>
        <v>9.9739056500989021E-2</v>
      </c>
      <c r="K23" s="74">
        <f t="shared" si="4"/>
        <v>7.4843153302858845E-2</v>
      </c>
      <c r="L23" s="74">
        <f t="shared" si="4"/>
        <v>8.5701406681304437E-2</v>
      </c>
      <c r="M23" s="74">
        <f t="shared" si="4"/>
        <v>5.3398741294615526E-2</v>
      </c>
      <c r="N23" s="74">
        <f t="shared" si="4"/>
        <v>4.9946380095261089E-2</v>
      </c>
      <c r="O23" s="74">
        <f t="shared" si="4"/>
        <v>3.0400152314014495E-2</v>
      </c>
      <c r="P23" t="str">
        <f t="shared" ref="P23:P25" ca="1" si="5">IF(ISBLANK(O23),"",_xlfn.FORMULATEXT(O23))</f>
        <v>=O22/N22-1</v>
      </c>
    </row>
    <row r="24" spans="1:16" ht="15" customHeight="1">
      <c r="A24" s="21"/>
      <c r="B24" t="s">
        <v>417</v>
      </c>
      <c r="F24" s="74"/>
      <c r="G24" s="74">
        <f>G11/AVERAGE(F22:G22)</f>
        <v>0.74180744290709077</v>
      </c>
      <c r="H24" s="74">
        <f t="shared" ref="H24:O24" si="6">H11/AVERAGE(G22:H22)</f>
        <v>0.72360742929187694</v>
      </c>
      <c r="I24" s="74">
        <f t="shared" si="6"/>
        <v>0.73952842655565165</v>
      </c>
      <c r="J24" s="74">
        <f t="shared" si="6"/>
        <v>0.74728472504168253</v>
      </c>
      <c r="K24" s="74">
        <f t="shared" si="6"/>
        <v>0.73994578855173909</v>
      </c>
      <c r="L24" s="74">
        <f t="shared" si="6"/>
        <v>0.73966536729971089</v>
      </c>
      <c r="M24" s="74">
        <f t="shared" si="6"/>
        <v>0.72838115848556872</v>
      </c>
      <c r="N24" s="74">
        <f t="shared" si="6"/>
        <v>0.72025327690205454</v>
      </c>
      <c r="O24" s="74">
        <f t="shared" si="6"/>
        <v>0.70807534836713704</v>
      </c>
      <c r="P24" t="str">
        <f t="shared" ca="1" si="5"/>
        <v>=O11/AVERAGE(N22:O22)</v>
      </c>
    </row>
    <row r="25" spans="1:16" ht="15" customHeight="1">
      <c r="A25" s="21"/>
      <c r="B25" t="s">
        <v>418</v>
      </c>
      <c r="F25" s="74"/>
      <c r="G25" s="74">
        <f>(G11-F11)/(G22-F22)</f>
        <v>0.20198551135547566</v>
      </c>
      <c r="H25" s="74">
        <f t="shared" ref="H25:O25" si="7">(H11-G11)/(H22-G22)</f>
        <v>0.56978754323073832</v>
      </c>
      <c r="I25" s="74">
        <f t="shared" si="7"/>
        <v>0.88814758887496037</v>
      </c>
      <c r="J25" s="74">
        <f t="shared" si="7"/>
        <v>0.8172306185657664</v>
      </c>
      <c r="K25" s="74">
        <f t="shared" si="7"/>
        <v>0.72468742171423528</v>
      </c>
      <c r="L25" s="74">
        <f t="shared" si="7"/>
        <v>0.66716058513268828</v>
      </c>
      <c r="M25" s="74">
        <f t="shared" si="7"/>
        <v>0.6995742816717555</v>
      </c>
      <c r="N25" s="74">
        <f t="shared" si="7"/>
        <v>0.56702083530535197</v>
      </c>
      <c r="O25" s="74">
        <f t="shared" si="7"/>
        <v>0.51697907544298416</v>
      </c>
      <c r="P25" t="str">
        <f t="shared" ca="1" si="5"/>
        <v>=(O11-N11)/(O22-N22)</v>
      </c>
    </row>
    <row r="26" spans="1:16" ht="15" customHeight="1">
      <c r="A26" s="21"/>
    </row>
    <row r="27" spans="1:16" ht="15" customHeight="1">
      <c r="A27" s="21" t="s">
        <v>419</v>
      </c>
    </row>
    <row r="28" spans="1:16" ht="15" customHeight="1">
      <c r="A28" s="21"/>
      <c r="B28" t="s">
        <v>420</v>
      </c>
      <c r="F28" s="55">
        <v>2.5999999999999999E-2</v>
      </c>
    </row>
    <row r="29" spans="1:16" ht="15" customHeight="1">
      <c r="A29" s="21"/>
      <c r="B29" t="s">
        <v>421</v>
      </c>
      <c r="F29" s="74">
        <f ca="1">WACC!D31</f>
        <v>6.4947077642137488E-2</v>
      </c>
      <c r="G29" t="str">
        <f ca="1">IF(ISBLANK(F29),"",_xlfn.FORMULATEXT(F29))</f>
        <v>=WACC!D31</v>
      </c>
    </row>
    <row r="30" spans="1:16" ht="15" customHeight="1">
      <c r="A30" s="21"/>
      <c r="B30" t="s">
        <v>422</v>
      </c>
      <c r="O30" s="54">
        <f ca="1">O15*(1+ltg)/(WACC-ltg)</f>
        <v>101825.07995775474</v>
      </c>
      <c r="P30" t="str">
        <f ca="1">IF(ISBLANK(O30),"",_xlfn.FORMULATEXT(O30))</f>
        <v>=O15*(1+ltg)/(WACC-ltg)</v>
      </c>
    </row>
    <row r="31" spans="1:16" ht="15" customHeight="1">
      <c r="A31" s="21"/>
      <c r="B31" t="s">
        <v>423</v>
      </c>
      <c r="O31" s="159">
        <f ca="1">O30*(1+WACC)^0.5/O7</f>
        <v>16.844411296007568</v>
      </c>
      <c r="P31" t="str">
        <f ca="1">IF(ISBLANK(O31),"",_xlfn.FORMULATEXT(O31))</f>
        <v>=O30*(1+WACC)^0.5/O7</v>
      </c>
    </row>
    <row r="32" spans="1:16" ht="15" customHeight="1">
      <c r="A32" s="21"/>
    </row>
    <row r="33" spans="1:20" ht="15" customHeight="1">
      <c r="A33" s="21" t="s">
        <v>424</v>
      </c>
    </row>
    <row r="34" spans="1:20" ht="15" customHeight="1">
      <c r="A34" s="21"/>
      <c r="B34" t="s">
        <v>425</v>
      </c>
      <c r="G34" s="3">
        <v>0.5</v>
      </c>
      <c r="H34">
        <f>G34+1</f>
        <v>1.5</v>
      </c>
      <c r="I34">
        <f>H34+1</f>
        <v>2.5</v>
      </c>
      <c r="J34">
        <f t="shared" ref="J34:O34" si="8">I34+1</f>
        <v>3.5</v>
      </c>
      <c r="K34">
        <f t="shared" si="8"/>
        <v>4.5</v>
      </c>
      <c r="L34">
        <f t="shared" si="8"/>
        <v>5.5</v>
      </c>
      <c r="M34">
        <f t="shared" si="8"/>
        <v>6.5</v>
      </c>
      <c r="N34">
        <f t="shared" si="8"/>
        <v>7.5</v>
      </c>
      <c r="O34">
        <f t="shared" si="8"/>
        <v>8.5</v>
      </c>
      <c r="P34" t="str">
        <f ca="1">IF(ISBLANK(O34),"",_xlfn.FORMULATEXT(O34))</f>
        <v>=N34+1</v>
      </c>
    </row>
    <row r="35" spans="1:20" ht="15" customHeight="1">
      <c r="A35" s="21"/>
      <c r="B35" t="s">
        <v>426</v>
      </c>
      <c r="E35" s="2"/>
      <c r="G35" s="74">
        <f t="shared" ref="G35:O35" ca="1" si="9">1/(1+WACC)^G34</f>
        <v>0.96902724314492084</v>
      </c>
      <c r="H35" s="74">
        <f t="shared" ca="1" si="9"/>
        <v>0.90992995190935733</v>
      </c>
      <c r="I35" s="74">
        <f t="shared" ca="1" si="9"/>
        <v>0.85443678001727719</v>
      </c>
      <c r="J35" s="74">
        <f t="shared" ca="1" si="9"/>
        <v>0.802327925918212</v>
      </c>
      <c r="K35" s="74">
        <f t="shared" ca="1" si="9"/>
        <v>0.75339699292345919</v>
      </c>
      <c r="L35" s="74">
        <f t="shared" ca="1" si="9"/>
        <v>0.70745017169447466</v>
      </c>
      <c r="M35" s="74">
        <f t="shared" ca="1" si="9"/>
        <v>0.6643054725881925</v>
      </c>
      <c r="N35" s="74">
        <f t="shared" ca="1" si="9"/>
        <v>0.62379200481868846</v>
      </c>
      <c r="O35" s="74">
        <f t="shared" ca="1" si="9"/>
        <v>0.58574929958003619</v>
      </c>
      <c r="P35" t="str">
        <f t="shared" ref="P35:P36" ca="1" si="10">IF(ISBLANK(O35),"",_xlfn.FORMULATEXT(O35))</f>
        <v>=1/(1+WACC)^O34</v>
      </c>
    </row>
    <row r="36" spans="1:20" ht="15" customHeight="1">
      <c r="A36" s="21"/>
      <c r="B36" t="s">
        <v>427</v>
      </c>
      <c r="G36">
        <f ca="1">G15*G35</f>
        <v>1767.7074592002266</v>
      </c>
      <c r="H36">
        <f t="shared" ref="H36:O36" ca="1" si="11">H15*H35</f>
        <v>1848.9165740621816</v>
      </c>
      <c r="I36">
        <f t="shared" ca="1" si="11"/>
        <v>2042.641935829284</v>
      </c>
      <c r="J36">
        <f t="shared" ca="1" si="11"/>
        <v>2173.3812298656253</v>
      </c>
      <c r="K36">
        <f t="shared" ca="1" si="11"/>
        <v>2270.5399067206658</v>
      </c>
      <c r="L36">
        <f t="shared" ca="1" si="11"/>
        <v>2268.0428481197018</v>
      </c>
      <c r="M36">
        <f t="shared" ca="1" si="11"/>
        <v>2341.8208472326605</v>
      </c>
      <c r="N36">
        <f t="shared" ca="1" si="11"/>
        <v>2295.958638818357</v>
      </c>
      <c r="O36">
        <f t="shared" ca="1" si="11"/>
        <v>2264.0919121313113</v>
      </c>
      <c r="P36" t="str">
        <f t="shared" ca="1" si="10"/>
        <v>=O15*O35</v>
      </c>
    </row>
    <row r="37" spans="1:20" ht="15" customHeight="1">
      <c r="A37" s="21"/>
      <c r="B37" t="s">
        <v>428</v>
      </c>
      <c r="F37">
        <f ca="1">SUM(G36:O36)</f>
        <v>19273.101351980014</v>
      </c>
      <c r="G37" t="str">
        <f ca="1">IF(ISBLANK(F37),"",_xlfn.FORMULATEXT(F37))</f>
        <v>=SUM(G36:O36)</v>
      </c>
      <c r="T37" s="54"/>
    </row>
    <row r="38" spans="1:20" ht="15" customHeight="1">
      <c r="A38" s="21"/>
      <c r="B38" t="s">
        <v>429</v>
      </c>
      <c r="F38">
        <f ca="1">O30*O35</f>
        <v>59643.969264936022</v>
      </c>
      <c r="G38" t="str">
        <f t="shared" ref="G38:G39" ca="1" si="12">IF(ISBLANK(F38),"",_xlfn.FORMULATEXT(F38))</f>
        <v>=O30*O35</v>
      </c>
      <c r="T38" s="54"/>
    </row>
    <row r="39" spans="1:20" ht="15" customHeight="1">
      <c r="A39" s="21"/>
      <c r="B39" t="s">
        <v>430</v>
      </c>
      <c r="F39">
        <f ca="1">F37+F38</f>
        <v>78917.07061691604</v>
      </c>
      <c r="G39" t="str">
        <f t="shared" ca="1" si="12"/>
        <v>=F37+F38</v>
      </c>
      <c r="T39" s="54"/>
    </row>
    <row r="40" spans="1:20" ht="15" customHeight="1">
      <c r="A40" s="21"/>
      <c r="T40" s="54"/>
    </row>
    <row r="41" spans="1:20" ht="15" customHeight="1">
      <c r="A41" s="21"/>
      <c r="B41" t="s">
        <v>431</v>
      </c>
      <c r="F41">
        <f>'Red Bull Model'!F74+'Red Bull Model'!F81</f>
        <v>1803.9</v>
      </c>
      <c r="G41" t="str">
        <f ca="1">IF(ISBLANK(F41),"",_xlfn.FORMULATEXT(F41))</f>
        <v>='Red Bull Model'!F74+'Red Bull Model'!F81</v>
      </c>
      <c r="T41" s="54"/>
    </row>
    <row r="42" spans="1:20" ht="15" customHeight="1">
      <c r="A42" s="21"/>
      <c r="B42" t="s">
        <v>432</v>
      </c>
      <c r="F42">
        <f>-'Red Bull Model'!F84-'Red Bull Model'!F88</f>
        <v>-473.6</v>
      </c>
      <c r="G42" t="str">
        <f ca="1">IF(ISBLANK(F42),"",_xlfn.FORMULATEXT(F42))</f>
        <v>=-'Red Bull Model'!F84-'Red Bull Model'!F88</v>
      </c>
      <c r="T42" s="54"/>
    </row>
    <row r="43" spans="1:20" ht="15" customHeight="1">
      <c r="A43" s="21"/>
      <c r="B43" t="s">
        <v>362</v>
      </c>
      <c r="F43">
        <f ca="1">SUM(F39,F41:F42)</f>
        <v>80247.370616916029</v>
      </c>
      <c r="G43" t="str">
        <f ca="1">IF(ISBLANK(F43),"",_xlfn.FORMULATEXT(F43))</f>
        <v>=SUM(F39,F41:F42)</v>
      </c>
      <c r="T43" s="54"/>
    </row>
    <row r="44" spans="1:20" ht="15" customHeight="1">
      <c r="A44" s="21"/>
      <c r="B44" t="str">
        <f>"Implied "&amp;YEAR(F3)&amp;" EBITDA multiple"</f>
        <v>Implied 2023 EBITDA multiple</v>
      </c>
      <c r="F44" s="75">
        <f ca="1">F39/F7</f>
        <v>25.180546320726528</v>
      </c>
      <c r="G44" t="str">
        <f ca="1">IF(ISBLANK(F44),"",_xlfn.FORMULATEXT(F44))</f>
        <v>=F39/F7</v>
      </c>
      <c r="T44" s="54"/>
    </row>
    <row r="45" spans="1:20" ht="15" customHeight="1">
      <c r="A45" s="21"/>
      <c r="B45" t="str">
        <f>"Implied forward "&amp;YEAR(G3)&amp;" EBITDA multiple"</f>
        <v>Implied forward 2024 EBITDA multiple</v>
      </c>
      <c r="F45" s="75">
        <f ca="1">F39/G7</f>
        <v>23.197412372861727</v>
      </c>
      <c r="G45" t="str">
        <f t="shared" ref="G45:G46" ca="1" si="13">IF(ISBLANK(F45),"",_xlfn.FORMULATEXT(F45))</f>
        <v>=F39/G7</v>
      </c>
      <c r="T45" s="54"/>
    </row>
    <row r="46" spans="1:20" ht="15" customHeight="1">
      <c r="A46" s="21"/>
      <c r="B46" t="str">
        <f>"Implied forward "&amp;YEAR(H3)&amp;" EBITDA multiple"</f>
        <v>Implied forward 2025 EBITDA multiple</v>
      </c>
      <c r="F46" s="75">
        <f ca="1">F39/H7</f>
        <v>20.944901531310713</v>
      </c>
      <c r="G46" t="str">
        <f t="shared" ca="1" si="13"/>
        <v>=F39/H7</v>
      </c>
      <c r="T46" s="54"/>
    </row>
    <row r="47" spans="1:20" ht="15" customHeight="1">
      <c r="A47" s="21"/>
    </row>
    <row r="48" spans="1:20" ht="15" customHeight="1">
      <c r="A48" s="21" t="s">
        <v>433</v>
      </c>
    </row>
    <row r="49" spans="1:10" ht="15" customHeight="1">
      <c r="A49" s="21"/>
      <c r="B49" t="s">
        <v>434</v>
      </c>
      <c r="F49" s="76">
        <v>1E-3</v>
      </c>
    </row>
    <row r="50" spans="1:10" ht="15" customHeight="1">
      <c r="A50" s="21"/>
      <c r="B50" t="s">
        <v>435</v>
      </c>
      <c r="F50" s="76">
        <v>1E-3</v>
      </c>
    </row>
    <row r="51" spans="1:10" ht="15" customHeight="1">
      <c r="A51" s="21"/>
      <c r="B51" t="s">
        <v>436</v>
      </c>
      <c r="F51" s="74">
        <f ca="1">WACC!D31</f>
        <v>6.4947077642137488E-2</v>
      </c>
    </row>
    <row r="52" spans="1:10" ht="15" customHeight="1">
      <c r="A52" s="21"/>
    </row>
    <row r="53" spans="1:10" ht="15" customHeight="1">
      <c r="A53" s="21"/>
      <c r="C53" t="s">
        <v>364</v>
      </c>
    </row>
    <row r="54" spans="1:10" ht="15" customHeight="1">
      <c r="A54" s="21"/>
      <c r="E54" s="54"/>
      <c r="H54" s="160" t="s">
        <v>437</v>
      </c>
    </row>
    <row r="55" spans="1:10" ht="15" customHeight="1">
      <c r="A55" s="21"/>
      <c r="E55">
        <f ca="1">+F39</f>
        <v>78917.07061691604</v>
      </c>
      <c r="F55" s="161">
        <f>G55-$F$50</f>
        <v>2.3999999999999997E-2</v>
      </c>
      <c r="G55" s="161">
        <f>H55-$F$50</f>
        <v>2.4999999999999998E-2</v>
      </c>
      <c r="H55" s="161">
        <v>2.5999999999999999E-2</v>
      </c>
      <c r="I55" s="161">
        <f>H55+$F$50</f>
        <v>2.7E-2</v>
      </c>
      <c r="J55" s="161">
        <f>I55+$F$50</f>
        <v>2.8000000000000001E-2</v>
      </c>
    </row>
    <row r="56" spans="1:10" ht="15" customHeight="1">
      <c r="A56" s="21"/>
      <c r="E56" s="161">
        <f ca="1">E57+$F$49</f>
        <v>6.694707764213749E-2</v>
      </c>
      <c r="F56">
        <f t="dataTable" ref="F56:J60" dt2D="1" dtr="1" r1="F28" r2="F29" ca="1"/>
        <v>72233.104022299507</v>
      </c>
      <c r="G56">
        <v>73552.804461979773</v>
      </c>
      <c r="H56">
        <v>74936.963735631754</v>
      </c>
      <c r="I56">
        <v>76390.422660489858</v>
      </c>
      <c r="J56">
        <v>77918.519222513598</v>
      </c>
    </row>
    <row r="57" spans="1:10" ht="15" customHeight="1">
      <c r="A57" s="21"/>
      <c r="E57" s="161">
        <f ca="1">E58+$F$49</f>
        <v>6.5947077642137489E-2</v>
      </c>
      <c r="F57">
        <v>74019.344152979596</v>
      </c>
      <c r="G57" s="223">
        <v>75413.272111044571</v>
      </c>
      <c r="H57" s="223">
        <v>76876.988801619751</v>
      </c>
      <c r="I57" s="223">
        <v>78415.869883424704</v>
      </c>
      <c r="J57">
        <v>80035.857663158662</v>
      </c>
    </row>
    <row r="58" spans="1:10" ht="15" customHeight="1">
      <c r="A58" s="21"/>
      <c r="D58" s="5" t="s">
        <v>421</v>
      </c>
      <c r="E58" s="161">
        <f ca="1">F51</f>
        <v>6.4947077642137488E-2</v>
      </c>
      <c r="F58">
        <v>75893.262094211619</v>
      </c>
      <c r="G58" s="223">
        <v>77367.318674316732</v>
      </c>
      <c r="H58" s="223">
        <v>78917.07061691604</v>
      </c>
      <c r="I58" s="223">
        <v>80548.50220595421</v>
      </c>
      <c r="J58">
        <v>82268.245601671108</v>
      </c>
    </row>
    <row r="59" spans="1:10" ht="15" customHeight="1">
      <c r="A59" s="21"/>
      <c r="E59" s="161">
        <f ca="1">E58-$F$49</f>
        <v>6.3947077642137487E-2</v>
      </c>
      <c r="F59">
        <v>77861.445389332672</v>
      </c>
      <c r="G59" s="223">
        <v>79422.155307037974</v>
      </c>
      <c r="H59" s="223">
        <v>81065.122411050179</v>
      </c>
      <c r="I59" s="223">
        <v>82797.02575624091</v>
      </c>
      <c r="J59">
        <v>84625.287607256949</v>
      </c>
    </row>
    <row r="60" spans="1:10" ht="15" customHeight="1">
      <c r="A60" s="21"/>
      <c r="E60" s="161">
        <f ca="1">E59-$F$49</f>
        <v>6.2947077642137486E-2</v>
      </c>
      <c r="F60">
        <v>79931.158169980277</v>
      </c>
      <c r="G60">
        <v>81585.753316757487</v>
      </c>
      <c r="H60">
        <v>83329.914147879419</v>
      </c>
      <c r="I60">
        <v>85171.115458813656</v>
      </c>
      <c r="J60">
        <v>87117.687601025333</v>
      </c>
    </row>
    <row r="61" spans="1:10" ht="15" customHeight="1">
      <c r="A61" s="21"/>
    </row>
    <row r="62" spans="1:10" ht="15" customHeight="1">
      <c r="A62" s="21"/>
      <c r="C62" t="str">
        <f>B44</f>
        <v>Implied 2023 EBITDA multiple</v>
      </c>
    </row>
    <row r="63" spans="1:10" ht="15" customHeight="1">
      <c r="A63" s="21"/>
      <c r="E63" s="54"/>
      <c r="H63" s="160" t="s">
        <v>437</v>
      </c>
    </row>
    <row r="64" spans="1:10" ht="15" customHeight="1">
      <c r="A64" s="21"/>
      <c r="E64" s="159">
        <f ca="1">+F44</f>
        <v>25.180546320726528</v>
      </c>
      <c r="F64" s="161">
        <f>G64-$F$50</f>
        <v>2.3999999999999997E-2</v>
      </c>
      <c r="G64" s="161">
        <f>H64-$F$50</f>
        <v>2.4999999999999998E-2</v>
      </c>
      <c r="H64" s="161">
        <f>H55</f>
        <v>2.5999999999999999E-2</v>
      </c>
      <c r="I64" s="161">
        <f>H64+$F$50</f>
        <v>2.7E-2</v>
      </c>
      <c r="J64" s="161">
        <f>I64+$F$50</f>
        <v>2.8000000000000001E-2</v>
      </c>
    </row>
    <row r="65" spans="1:18" ht="15" customHeight="1">
      <c r="A65" s="21"/>
      <c r="E65" s="161">
        <f ca="1">E66+$F$49</f>
        <v>6.694707764213749E-2</v>
      </c>
      <c r="F65" s="159">
        <f t="dataTable" ref="F65:J69" dt2D="1" dtr="1" r1="F28" r2="F29" ca="1"/>
        <v>23.047852733315878</v>
      </c>
      <c r="G65" s="159">
        <v>23.468937522589961</v>
      </c>
      <c r="H65" s="159">
        <v>23.910589581301654</v>
      </c>
      <c r="I65" s="159">
        <v>24.374353498240783</v>
      </c>
      <c r="J65" s="159">
        <v>24.861932496824821</v>
      </c>
    </row>
    <row r="66" spans="1:18" ht="15" customHeight="1">
      <c r="A66" s="21"/>
      <c r="E66" s="161">
        <f ca="1">E67+$F$49</f>
        <v>6.5947077642137489E-2</v>
      </c>
      <c r="F66" s="159">
        <v>23.617799159341597</v>
      </c>
      <c r="G66" s="1">
        <v>24.062568171184353</v>
      </c>
      <c r="H66" s="1">
        <v>24.529605095379921</v>
      </c>
      <c r="I66" s="1">
        <v>25.020625175820836</v>
      </c>
      <c r="J66" s="159">
        <v>25.537524460192625</v>
      </c>
    </row>
    <row r="67" spans="1:18" ht="15" customHeight="1">
      <c r="A67" s="21"/>
      <c r="D67" s="5" t="s">
        <v>421</v>
      </c>
      <c r="E67" s="161">
        <f ca="1">$E$58</f>
        <v>6.4947077642137488E-2</v>
      </c>
      <c r="F67" s="159">
        <v>24.215721473887303</v>
      </c>
      <c r="G67" s="1">
        <v>24.68605760908024</v>
      </c>
      <c r="H67" s="1">
        <v>25.180546320726528</v>
      </c>
      <c r="I67" s="1">
        <v>25.701097050444901</v>
      </c>
      <c r="J67" s="159">
        <v>26.249825961656295</v>
      </c>
    </row>
    <row r="68" spans="1:18" ht="15" customHeight="1">
      <c r="A68" s="21"/>
      <c r="E68" s="161">
        <f ca="1">E67-$F$49</f>
        <v>6.3947077642137487E-2</v>
      </c>
      <c r="F68" s="159">
        <v>24.843721604189309</v>
      </c>
      <c r="G68" s="1">
        <v>25.341706743130487</v>
      </c>
      <c r="H68" s="1">
        <v>25.865938179277347</v>
      </c>
      <c r="I68" s="1">
        <v>26.418547039004189</v>
      </c>
      <c r="J68" s="159">
        <v>27.001901589116677</v>
      </c>
    </row>
    <row r="69" spans="1:18" ht="15" customHeight="1">
      <c r="A69" s="21"/>
      <c r="E69" s="161">
        <f ca="1">E68-$F$49</f>
        <v>6.2947077642137486E-2</v>
      </c>
      <c r="F69" s="159">
        <v>25.504117360599018</v>
      </c>
      <c r="G69" s="159">
        <v>26.032059026575432</v>
      </c>
      <c r="H69" s="159">
        <v>26.588578956364216</v>
      </c>
      <c r="I69" s="159">
        <v>27.176062178097283</v>
      </c>
      <c r="J69" s="159">
        <v>27.797166707325594</v>
      </c>
    </row>
    <row r="70" spans="1:18" ht="15" customHeight="1">
      <c r="A70" s="21"/>
    </row>
    <row r="71" spans="1:18" ht="15" customHeight="1">
      <c r="A71" s="21"/>
      <c r="C71" t="s">
        <v>438</v>
      </c>
    </row>
    <row r="72" spans="1:18" ht="15" customHeight="1">
      <c r="A72" s="21"/>
      <c r="E72" s="54"/>
      <c r="H72" s="160" t="s">
        <v>437</v>
      </c>
    </row>
    <row r="73" spans="1:18" ht="15" customHeight="1">
      <c r="A73" s="21"/>
      <c r="E73" s="159">
        <f ca="1">O31</f>
        <v>16.844411296007568</v>
      </c>
      <c r="F73" s="161">
        <f>G73-$F$50</f>
        <v>2.3999999999999997E-2</v>
      </c>
      <c r="G73" s="161">
        <f>H73-$F$50</f>
        <v>2.4999999999999998E-2</v>
      </c>
      <c r="H73" s="161">
        <f>H64</f>
        <v>2.5999999999999999E-2</v>
      </c>
      <c r="I73" s="161">
        <f>H73+$F$50</f>
        <v>2.7E-2</v>
      </c>
      <c r="J73" s="161">
        <f>I73+$F$50</f>
        <v>2.8000000000000001E-2</v>
      </c>
    </row>
    <row r="74" spans="1:18" ht="15" customHeight="1">
      <c r="A74" s="21"/>
      <c r="E74" s="161">
        <f ca="1">E75+$F$49</f>
        <v>6.694707764213749E-2</v>
      </c>
      <c r="F74" s="159">
        <f t="dataTable" ref="F74:J78" dt2D="1" dtr="1" r1="F28" r2="F29" ca="1"/>
        <v>15.26009081241431</v>
      </c>
      <c r="G74" s="159">
        <v>15.639142408591336</v>
      </c>
      <c r="H74" s="159">
        <v>16.036708224488262</v>
      </c>
      <c r="I74" s="159">
        <v>16.454178666173256</v>
      </c>
      <c r="J74" s="159">
        <v>16.893086939241691</v>
      </c>
    </row>
    <row r="75" spans="1:18" ht="15" customHeight="1">
      <c r="A75" s="21"/>
      <c r="E75" s="161">
        <f ca="1">E76+$F$49</f>
        <v>6.5947077642137489E-2</v>
      </c>
      <c r="F75" s="159">
        <v>15.616561221115703</v>
      </c>
      <c r="G75" s="1">
        <v>16.013568238003742</v>
      </c>
      <c r="H75" s="1">
        <v>16.430451903714246</v>
      </c>
      <c r="I75" s="1">
        <v>16.868743268843986</v>
      </c>
      <c r="J75" s="159">
        <v>17.330134771974507</v>
      </c>
    </row>
    <row r="76" spans="1:18" ht="15" customHeight="1">
      <c r="A76" s="21"/>
      <c r="D76" s="5" t="s">
        <v>421</v>
      </c>
      <c r="E76" s="161">
        <f ca="1">$E$58</f>
        <v>6.4947077642137488E-2</v>
      </c>
      <c r="F76" s="159">
        <v>15.99043938460512</v>
      </c>
      <c r="G76" s="1">
        <v>16.406736549513521</v>
      </c>
      <c r="H76" s="1">
        <v>16.844411296007568</v>
      </c>
      <c r="I76" s="1">
        <v>17.305153681629001</v>
      </c>
      <c r="J76" s="159">
        <v>17.790836734552144</v>
      </c>
    </row>
    <row r="77" spans="1:18" ht="15" customHeight="1">
      <c r="A77" s="21"/>
      <c r="E77" s="161">
        <f ca="1">E76-$F$49</f>
        <v>6.3947077642137487E-2</v>
      </c>
      <c r="F77" s="159">
        <v>16.383032609058343</v>
      </c>
      <c r="G77" s="1">
        <v>16.820091026355456</v>
      </c>
      <c r="H77" s="1">
        <v>17.280184599161462</v>
      </c>
      <c r="I77" s="1">
        <v>17.765183718071125</v>
      </c>
      <c r="J77" s="159">
        <v>18.277166900816965</v>
      </c>
    </row>
    <row r="78" spans="1:18" ht="15" customHeight="1">
      <c r="A78" s="21"/>
      <c r="E78" s="161">
        <f ca="1">E77-$F$49</f>
        <v>6.2947077642137486E-2</v>
      </c>
      <c r="F78" s="159">
        <v>16.795782465518808</v>
      </c>
      <c r="G78" s="159">
        <v>17.255227530346172</v>
      </c>
      <c r="H78" s="159">
        <v>17.739543036580439</v>
      </c>
      <c r="I78" s="159">
        <v>18.250804572255856</v>
      </c>
      <c r="J78" s="159">
        <v>18.791325294688505</v>
      </c>
    </row>
    <row r="79" spans="1:18" ht="15" customHeight="1">
      <c r="A79" s="21"/>
      <c r="B79" s="54"/>
      <c r="C79" s="54"/>
      <c r="D79" s="54"/>
      <c r="E79" s="54"/>
      <c r="F79" s="54"/>
      <c r="G79" s="54"/>
      <c r="H79" s="54"/>
      <c r="I79" s="54"/>
      <c r="J79" s="54"/>
      <c r="K79" s="54"/>
      <c r="L79" s="54"/>
      <c r="M79" s="54"/>
      <c r="N79" s="54"/>
      <c r="O79" s="54"/>
      <c r="P79" s="54"/>
      <c r="Q79" s="54"/>
      <c r="R79" s="54"/>
    </row>
    <row r="80" spans="1:18" ht="15" customHeight="1">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topLeftCell="A27" zoomScaleNormal="100" zoomScaleSheetLayoutView="85" workbookViewId="0"/>
  </sheetViews>
  <sheetFormatPr defaultColWidth="12.5703125" defaultRowHeight="15" customHeight="1"/>
  <cols>
    <col min="1" max="1" width="1.5703125" customWidth="1"/>
    <col min="2" max="2" width="9.5703125" customWidth="1"/>
    <col min="3" max="3" width="38.28515625" bestFit="1" customWidth="1"/>
    <col min="4" max="15" width="10.5703125" customWidth="1"/>
  </cols>
  <sheetData>
    <row r="1" spans="1:15" ht="45" customHeight="1">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c r="A2" t="s">
        <v>439</v>
      </c>
    </row>
    <row r="3" spans="1:15" ht="15.75" customHeight="1">
      <c r="A3" s="21"/>
    </row>
    <row r="4" spans="1:15" ht="15.75" customHeight="1">
      <c r="A4" s="19"/>
      <c r="C4" s="156"/>
      <c r="D4" s="95"/>
      <c r="E4" s="80"/>
      <c r="F4" s="95" t="s">
        <v>272</v>
      </c>
      <c r="G4" s="95" t="s">
        <v>326</v>
      </c>
      <c r="H4" s="95" t="s">
        <v>327</v>
      </c>
      <c r="I4" s="95" t="s">
        <v>328</v>
      </c>
      <c r="J4" s="95"/>
      <c r="K4" s="95" t="s">
        <v>440</v>
      </c>
      <c r="L4" s="95" t="s">
        <v>440</v>
      </c>
      <c r="M4" s="95" t="s">
        <v>441</v>
      </c>
    </row>
    <row r="5" spans="1:15" ht="15.75" customHeight="1">
      <c r="A5" s="19"/>
      <c r="C5" s="80" t="s">
        <v>329</v>
      </c>
      <c r="D5" s="95" t="s">
        <v>208</v>
      </c>
      <c r="E5" s="80" t="s">
        <v>333</v>
      </c>
      <c r="F5" s="95" t="s">
        <v>339</v>
      </c>
      <c r="G5" s="95" t="s">
        <v>321</v>
      </c>
      <c r="H5" s="95" t="s">
        <v>237</v>
      </c>
      <c r="I5" s="95" t="s">
        <v>338</v>
      </c>
      <c r="J5" s="95" t="s">
        <v>442</v>
      </c>
      <c r="K5" s="95" t="s">
        <v>443</v>
      </c>
      <c r="L5" s="95" t="s">
        <v>444</v>
      </c>
      <c r="M5" s="95" t="s">
        <v>237</v>
      </c>
    </row>
    <row r="6" spans="1:15" ht="15.75" customHeight="1">
      <c r="K6" s="2"/>
      <c r="L6" s="2"/>
    </row>
    <row r="7" spans="1:15" ht="15.75" customHeight="1">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c r="A12" s="19"/>
    </row>
    <row r="13" spans="1:15" ht="15.75" customHeight="1">
      <c r="A13" s="19"/>
      <c r="C13" t="s">
        <v>445</v>
      </c>
      <c r="K13" s="74">
        <f ca="1">AVERAGE(K7:K11)</f>
        <v>0.11224478159597465</v>
      </c>
      <c r="M13" s="88">
        <f ca="1">AVERAGE(M7:M11)</f>
        <v>0.7229081496036075</v>
      </c>
    </row>
    <row r="14" spans="1:15" ht="15.75" customHeight="1">
      <c r="A14" s="19"/>
    </row>
    <row r="15" spans="1:15" ht="15.75" customHeight="1">
      <c r="A15" s="19"/>
    </row>
    <row r="16" spans="1:15" ht="15.75" customHeight="1">
      <c r="A16" s="21"/>
      <c r="D16" s="95" t="s">
        <v>446</v>
      </c>
    </row>
    <row r="17" spans="1:4" ht="15.75" customHeight="1">
      <c r="A17" s="21"/>
      <c r="C17" t="s">
        <v>447</v>
      </c>
      <c r="D17" s="203">
        <v>2.4199999999999999E-2</v>
      </c>
    </row>
    <row r="18" spans="1:4" ht="15.75" customHeight="1">
      <c r="A18" s="21"/>
      <c r="C18" t="s">
        <v>448</v>
      </c>
      <c r="D18" s="203">
        <v>5.7200000000000001E-2</v>
      </c>
    </row>
    <row r="19" spans="1:4" ht="15.75" customHeight="1">
      <c r="A19" s="21"/>
      <c r="C19" t="s">
        <v>449</v>
      </c>
      <c r="D19" s="88">
        <f ca="1">M13</f>
        <v>0.7229081496036075</v>
      </c>
    </row>
    <row r="20" spans="1:4" ht="15.75" customHeight="1">
      <c r="A20" s="21"/>
      <c r="C20" t="s">
        <v>450</v>
      </c>
      <c r="D20" s="74">
        <f>'Red Bull Model'!G20</f>
        <v>0.23</v>
      </c>
    </row>
    <row r="21" spans="1:4" ht="15.75" customHeight="1">
      <c r="A21" s="21"/>
      <c r="C21" t="s">
        <v>451</v>
      </c>
      <c r="D21" s="74">
        <f ca="1">K13/(1-K13)</f>
        <v>0.12643663396061394</v>
      </c>
    </row>
    <row r="22" spans="1:4" ht="15.75" customHeight="1">
      <c r="A22" s="21"/>
      <c r="C22" t="s">
        <v>452</v>
      </c>
      <c r="D22" s="88">
        <f ca="1">D19*(1+(1-D20)*D21)</f>
        <v>0.79328774588951112</v>
      </c>
    </row>
    <row r="23" spans="1:4" ht="15.75" customHeight="1">
      <c r="A23" s="21"/>
      <c r="C23" t="s">
        <v>453</v>
      </c>
      <c r="D23" s="74">
        <f ca="1">D17+D18*D22</f>
        <v>6.9576059064880041E-2</v>
      </c>
    </row>
    <row r="24" spans="1:4" ht="15.75" customHeight="1">
      <c r="A24" s="21"/>
      <c r="C24" t="s">
        <v>454</v>
      </c>
      <c r="D24" s="74">
        <f ca="1">1-K13</f>
        <v>0.88775521840402538</v>
      </c>
    </row>
    <row r="25" spans="1:4" ht="15.75" customHeight="1">
      <c r="A25" s="21"/>
    </row>
    <row r="26" spans="1:4" ht="15.75" customHeight="1">
      <c r="A26" s="21"/>
      <c r="C26" t="s">
        <v>455</v>
      </c>
      <c r="D26" s="203">
        <v>1.26E-2</v>
      </c>
    </row>
    <row r="27" spans="1:4" ht="15.75" customHeight="1">
      <c r="A27" s="21"/>
      <c r="C27" t="s">
        <v>456</v>
      </c>
      <c r="D27" s="74">
        <f>D17+D26</f>
        <v>3.6799999999999999E-2</v>
      </c>
    </row>
    <row r="28" spans="1:4" ht="15.75" customHeight="1">
      <c r="A28" s="21"/>
      <c r="C28" t="s">
        <v>457</v>
      </c>
      <c r="D28" s="74">
        <f>D27*(1-D20)</f>
        <v>2.8336E-2</v>
      </c>
    </row>
    <row r="29" spans="1:4" ht="15.75" customHeight="1">
      <c r="A29" s="21"/>
      <c r="C29" t="s">
        <v>458</v>
      </c>
      <c r="D29" s="74">
        <f ca="1">K13</f>
        <v>0.11224478159597465</v>
      </c>
    </row>
    <row r="30" spans="1:4" ht="15.75" customHeight="1">
      <c r="A30" s="21"/>
    </row>
    <row r="31" spans="1:4" ht="15.75" customHeight="1">
      <c r="A31" s="21"/>
      <c r="C31" t="s">
        <v>421</v>
      </c>
      <c r="D31" s="74">
        <f ca="1">D28*D29+D23*D24</f>
        <v>6.4947077642137488E-2</v>
      </c>
    </row>
    <row r="32" spans="1:4" ht="15.75" customHeight="1">
      <c r="A32" s="21"/>
    </row>
    <row r="33" spans="1:1" ht="15.75" customHeight="1">
      <c r="A33" s="21" t="s">
        <v>147</v>
      </c>
    </row>
  </sheetData>
  <printOptions gridLines="1"/>
  <pageMargins left="0.7" right="0.7" top="0.75" bottom="0.75" header="0" footer="0"/>
  <pageSetup paperSize="9" scale="74" fitToHeight="0" orientation="landscape"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85" zoomScaleNormal="85" zoomScaleSheetLayoutView="85" workbookViewId="0">
      <pane xSplit="3" ySplit="4" topLeftCell="D25" activePane="bottomRight" state="frozen"/>
      <selection pane="bottomRight" activeCell="D5" sqref="D5"/>
      <selection pane="bottomLeft" sqref="A1:N1"/>
      <selection pane="topRight" sqref="A1:N1"/>
    </sheetView>
  </sheetViews>
  <sheetFormatPr defaultColWidth="12.5703125" defaultRowHeight="14.25"/>
  <cols>
    <col min="1" max="1" width="1.5703125" customWidth="1"/>
    <col min="2" max="3" width="26.7109375" customWidth="1"/>
    <col min="4" max="4" width="11.7109375" customWidth="1"/>
    <col min="5" max="9" width="10.28515625" customWidth="1"/>
    <col min="10" max="10" width="13" bestFit="1" customWidth="1"/>
    <col min="11" max="16" width="10.28515625" customWidth="1"/>
    <col min="17" max="17" width="123.42578125" customWidth="1"/>
    <col min="18" max="18" width="27.140625" customWidth="1"/>
  </cols>
  <sheetData>
    <row r="1" spans="1:18" ht="28.5">
      <c r="A1" s="83" t="s">
        <v>459</v>
      </c>
      <c r="B1" s="83"/>
      <c r="C1" s="83"/>
      <c r="D1" s="83"/>
      <c r="E1" s="83"/>
      <c r="F1" s="83"/>
      <c r="G1" s="83"/>
      <c r="H1" s="83"/>
      <c r="I1" s="83"/>
      <c r="J1" s="83"/>
      <c r="K1" s="83"/>
      <c r="L1" s="83"/>
      <c r="M1" s="83"/>
      <c r="N1" s="83"/>
      <c r="O1" s="83"/>
      <c r="P1" s="83"/>
      <c r="Q1" s="83"/>
      <c r="R1" s="83"/>
    </row>
    <row r="2" spans="1:18">
      <c r="A2" s="54" t="s">
        <v>460</v>
      </c>
    </row>
    <row r="3" spans="1:18" ht="15.75">
      <c r="A3" s="21"/>
      <c r="B3" s="95"/>
      <c r="C3" s="95" t="s">
        <v>461</v>
      </c>
      <c r="D3" s="95" t="s">
        <v>462</v>
      </c>
      <c r="E3" s="95" t="s">
        <v>463</v>
      </c>
      <c r="F3" s="95" t="s">
        <v>463</v>
      </c>
      <c r="G3" s="95" t="s">
        <v>464</v>
      </c>
      <c r="H3" s="95" t="s">
        <v>191</v>
      </c>
      <c r="I3" s="95" t="s">
        <v>191</v>
      </c>
      <c r="J3" s="95" t="s">
        <v>321</v>
      </c>
      <c r="K3" s="95"/>
      <c r="L3" s="95"/>
      <c r="M3" s="95"/>
      <c r="N3" s="95" t="s">
        <v>465</v>
      </c>
      <c r="O3" s="95" t="s">
        <v>466</v>
      </c>
      <c r="P3" s="95" t="s">
        <v>467</v>
      </c>
      <c r="Q3" s="95"/>
    </row>
    <row r="4" spans="1:18" ht="15.75">
      <c r="A4" s="21"/>
      <c r="B4" s="95" t="s">
        <v>466</v>
      </c>
      <c r="C4" s="95" t="s">
        <v>461</v>
      </c>
      <c r="D4" s="95" t="s">
        <v>11</v>
      </c>
      <c r="E4" s="95" t="s">
        <v>468</v>
      </c>
      <c r="F4" s="95" t="s">
        <v>469</v>
      </c>
      <c r="G4" s="95" t="s">
        <v>470</v>
      </c>
      <c r="H4" s="95" t="s">
        <v>228</v>
      </c>
      <c r="I4" s="95" t="s">
        <v>65</v>
      </c>
      <c r="J4" s="95" t="s">
        <v>334</v>
      </c>
      <c r="K4" s="95" t="s">
        <v>471</v>
      </c>
      <c r="L4" s="95" t="s">
        <v>472</v>
      </c>
      <c r="M4" s="95" t="s">
        <v>473</v>
      </c>
      <c r="N4" s="95" t="s">
        <v>474</v>
      </c>
      <c r="O4" s="95" t="s">
        <v>210</v>
      </c>
      <c r="P4" s="95" t="s">
        <v>475</v>
      </c>
      <c r="Q4" s="95" t="s">
        <v>476</v>
      </c>
    </row>
    <row r="5" spans="1:18" ht="15.75">
      <c r="A5" s="85"/>
    </row>
    <row r="6" spans="1:18" ht="15.75">
      <c r="A6" s="85" t="s">
        <v>477</v>
      </c>
    </row>
    <row r="7" spans="1:18" ht="99.75">
      <c r="A7" s="85"/>
      <c r="B7" t="s">
        <v>478</v>
      </c>
      <c r="C7" t="s">
        <v>479</v>
      </c>
      <c r="D7" s="58">
        <v>42263</v>
      </c>
      <c r="E7" t="s">
        <v>480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481</v>
      </c>
      <c r="P7" s="103" t="s">
        <v>482</v>
      </c>
      <c r="Q7" s="100" t="s">
        <v>483</v>
      </c>
    </row>
    <row r="8" spans="1:18" ht="71.25">
      <c r="A8" s="85"/>
      <c r="B8" t="s">
        <v>484</v>
      </c>
      <c r="C8" t="s">
        <v>485</v>
      </c>
      <c r="D8" s="58">
        <v>42717</v>
      </c>
      <c r="E8" t="s">
        <v>480</v>
      </c>
      <c r="F8" s="3">
        <v>7744.2049310000002</v>
      </c>
      <c r="G8" s="3">
        <v>7744.2049310000002</v>
      </c>
      <c r="H8" s="52" t="s">
        <v>486</v>
      </c>
      <c r="I8">
        <f t="shared" ref="I8:I18" si="1">G8/L8</f>
        <v>523.84772824602987</v>
      </c>
      <c r="J8" s="98" t="s">
        <v>69</v>
      </c>
      <c r="K8" s="98" t="s">
        <v>69</v>
      </c>
      <c r="L8" s="57">
        <v>14.783313</v>
      </c>
      <c r="M8" s="54"/>
      <c r="N8" s="74"/>
      <c r="O8" t="s">
        <v>487</v>
      </c>
      <c r="P8" s="103" t="s">
        <v>482</v>
      </c>
      <c r="Q8" s="100" t="s">
        <v>488</v>
      </c>
      <c r="R8" s="54"/>
    </row>
    <row r="9" spans="1:18" ht="85.5">
      <c r="A9" s="85"/>
      <c r="B9" t="s">
        <v>489</v>
      </c>
      <c r="C9" t="s">
        <v>490</v>
      </c>
      <c r="D9" s="58">
        <v>42837</v>
      </c>
      <c r="E9" t="s">
        <v>480</v>
      </c>
      <c r="F9" s="3">
        <v>2409.749593</v>
      </c>
      <c r="G9" s="3">
        <v>2409.749593</v>
      </c>
      <c r="H9" s="3">
        <v>2395.8741759999998</v>
      </c>
      <c r="I9">
        <f>G9/L9</f>
        <v>244.31699591887389</v>
      </c>
      <c r="J9" s="74">
        <f>I9/H9</f>
        <v>0.10197405121114086</v>
      </c>
      <c r="K9" s="75">
        <f>G9/H9</f>
        <v>1.0057913796721853</v>
      </c>
      <c r="L9" s="57">
        <v>9.8632089999999994</v>
      </c>
      <c r="M9" s="54"/>
      <c r="N9" s="74"/>
      <c r="O9" t="s">
        <v>491</v>
      </c>
      <c r="P9" s="103" t="s">
        <v>492</v>
      </c>
      <c r="Q9" s="100" t="s">
        <v>493</v>
      </c>
    </row>
    <row r="10" spans="1:18" ht="71.25">
      <c r="A10" s="85"/>
      <c r="B10" t="s">
        <v>494</v>
      </c>
      <c r="C10" t="s">
        <v>495</v>
      </c>
      <c r="D10" s="58">
        <v>43086</v>
      </c>
      <c r="E10" t="s">
        <v>480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496</v>
      </c>
      <c r="P10" s="103" t="s">
        <v>497</v>
      </c>
      <c r="Q10" s="100" t="s">
        <v>498</v>
      </c>
    </row>
    <row r="11" spans="1:18" ht="85.5">
      <c r="A11" s="85"/>
      <c r="B11" t="s">
        <v>499</v>
      </c>
      <c r="C11" t="s">
        <v>500</v>
      </c>
      <c r="D11" s="58">
        <v>43129</v>
      </c>
      <c r="E11" t="s">
        <v>480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501</v>
      </c>
      <c r="P11" s="103"/>
      <c r="Q11" s="100" t="s">
        <v>502</v>
      </c>
      <c r="R11" s="54"/>
    </row>
    <row r="12" spans="1:18" ht="71.25">
      <c r="A12" s="85"/>
      <c r="B12" t="s">
        <v>503</v>
      </c>
      <c r="C12" t="s">
        <v>504</v>
      </c>
      <c r="D12" s="58">
        <v>43276</v>
      </c>
      <c r="E12" t="s">
        <v>480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505</v>
      </c>
      <c r="P12" s="103" t="s">
        <v>497</v>
      </c>
      <c r="Q12" s="100" t="s">
        <v>506</v>
      </c>
    </row>
    <row r="13" spans="1:18" ht="57">
      <c r="A13" s="54"/>
      <c r="B13" t="s">
        <v>507</v>
      </c>
      <c r="C13" t="s">
        <v>29</v>
      </c>
      <c r="D13" s="58">
        <v>43332</v>
      </c>
      <c r="E13" t="s">
        <v>480</v>
      </c>
      <c r="F13" s="3">
        <v>3307.95</v>
      </c>
      <c r="G13" s="3">
        <v>3136.2489999999998</v>
      </c>
      <c r="H13" s="3">
        <v>612.572</v>
      </c>
      <c r="I13" s="66">
        <v>126.741</v>
      </c>
      <c r="J13" s="74">
        <f>I13/H13</f>
        <v>0.20689976035470117</v>
      </c>
      <c r="K13" s="75">
        <f t="shared" si="0"/>
        <v>5.1198046923463689</v>
      </c>
      <c r="L13" s="75">
        <f>G13/I13</f>
        <v>24.745338919528802</v>
      </c>
      <c r="M13" s="3"/>
      <c r="N13" s="74"/>
      <c r="O13" t="s">
        <v>508</v>
      </c>
      <c r="P13" s="103"/>
      <c r="Q13" s="100" t="s">
        <v>509</v>
      </c>
      <c r="R13" s="54"/>
    </row>
    <row r="14" spans="1:18" ht="57">
      <c r="A14" s="85"/>
      <c r="B14" t="s">
        <v>510</v>
      </c>
      <c r="C14" t="s">
        <v>511</v>
      </c>
      <c r="D14" s="58">
        <v>43490</v>
      </c>
      <c r="E14" t="s">
        <v>480</v>
      </c>
      <c r="F14" s="3">
        <v>326.10000100000002</v>
      </c>
      <c r="G14" s="3">
        <v>326.10000100000002</v>
      </c>
      <c r="H14" s="52" t="s">
        <v>486</v>
      </c>
      <c r="I14">
        <f t="shared" si="1"/>
        <v>13.826640429545934</v>
      </c>
      <c r="J14" s="98" t="s">
        <v>69</v>
      </c>
      <c r="K14" s="98" t="s">
        <v>69</v>
      </c>
      <c r="L14" s="57">
        <v>23.584904999999999</v>
      </c>
      <c r="M14" s="54"/>
      <c r="N14" s="74"/>
      <c r="O14" t="s">
        <v>481</v>
      </c>
      <c r="P14" s="103" t="s">
        <v>512</v>
      </c>
      <c r="Q14" s="100" t="s">
        <v>513</v>
      </c>
      <c r="R14" s="54"/>
    </row>
    <row r="15" spans="1:18" ht="57">
      <c r="A15" s="85"/>
      <c r="B15" t="s">
        <v>514</v>
      </c>
      <c r="C15" t="s">
        <v>485</v>
      </c>
      <c r="D15" s="58">
        <v>43665</v>
      </c>
      <c r="E15" t="s">
        <v>480</v>
      </c>
      <c r="F15" s="3">
        <v>11264.800009000001</v>
      </c>
      <c r="G15" s="3">
        <v>11264.800009000001</v>
      </c>
      <c r="H15" s="163" t="s">
        <v>486</v>
      </c>
      <c r="I15">
        <f t="shared" si="1"/>
        <v>756.85379790804984</v>
      </c>
      <c r="J15" s="98" t="s">
        <v>69</v>
      </c>
      <c r="K15" s="98" t="s">
        <v>69</v>
      </c>
      <c r="L15" s="57">
        <v>14.88372</v>
      </c>
      <c r="M15" s="54"/>
      <c r="N15" s="74">
        <v>0.06</v>
      </c>
      <c r="O15" t="s">
        <v>515</v>
      </c>
      <c r="P15" s="103" t="s">
        <v>512</v>
      </c>
      <c r="Q15" s="100" t="s">
        <v>516</v>
      </c>
      <c r="R15" s="164"/>
    </row>
    <row r="16" spans="1:18" ht="42.75">
      <c r="A16" s="85"/>
      <c r="B16" t="s">
        <v>517</v>
      </c>
      <c r="C16" t="s">
        <v>518</v>
      </c>
      <c r="D16" s="58">
        <v>43843</v>
      </c>
      <c r="E16" t="s">
        <v>480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501</v>
      </c>
      <c r="P16" s="103"/>
      <c r="Q16" s="100" t="s">
        <v>519</v>
      </c>
      <c r="R16" s="54"/>
    </row>
    <row r="17" spans="1:18" ht="42.75">
      <c r="A17" s="97"/>
      <c r="B17" t="s">
        <v>520</v>
      </c>
      <c r="C17" t="s">
        <v>521</v>
      </c>
      <c r="D17" s="58">
        <v>43901</v>
      </c>
      <c r="E17" t="s">
        <v>480</v>
      </c>
      <c r="F17" s="3">
        <v>3850</v>
      </c>
      <c r="G17" s="3">
        <v>3850</v>
      </c>
      <c r="H17" s="52" t="s">
        <v>486</v>
      </c>
      <c r="I17" s="98" t="s">
        <v>69</v>
      </c>
      <c r="J17" s="98" t="s">
        <v>69</v>
      </c>
      <c r="K17" s="98" t="s">
        <v>69</v>
      </c>
      <c r="L17" s="98" t="s">
        <v>69</v>
      </c>
      <c r="N17" s="74"/>
      <c r="O17" t="s">
        <v>501</v>
      </c>
      <c r="P17" s="103" t="s">
        <v>522</v>
      </c>
      <c r="Q17" s="100" t="s">
        <v>523</v>
      </c>
      <c r="R17" s="54"/>
    </row>
    <row r="18" spans="1:18" ht="42.75">
      <c r="A18" s="97"/>
      <c r="B18" t="s">
        <v>524</v>
      </c>
      <c r="C18" t="s">
        <v>525</v>
      </c>
      <c r="D18" s="58">
        <v>44129</v>
      </c>
      <c r="E18" t="s">
        <v>480</v>
      </c>
      <c r="F18" s="3">
        <v>5946.8854780000001</v>
      </c>
      <c r="G18" s="3">
        <v>8056.9583899999998</v>
      </c>
      <c r="H18" s="3">
        <v>3269.3144520000001</v>
      </c>
      <c r="I18">
        <f t="shared" si="1"/>
        <v>576.13114248389525</v>
      </c>
      <c r="J18" s="74">
        <f>I18/H18</f>
        <v>0.1762238386495516</v>
      </c>
      <c r="K18" s="75">
        <f t="shared" si="0"/>
        <v>2.4644183079639719</v>
      </c>
      <c r="L18" s="57">
        <v>13.984591</v>
      </c>
      <c r="N18" s="74"/>
      <c r="O18" t="s">
        <v>515</v>
      </c>
      <c r="P18" s="103" t="s">
        <v>526</v>
      </c>
      <c r="Q18" s="100" t="s">
        <v>527</v>
      </c>
      <c r="R18" s="54"/>
    </row>
    <row r="19" spans="1:18" ht="42.75">
      <c r="A19" s="97"/>
      <c r="B19" t="s">
        <v>528</v>
      </c>
      <c r="C19" t="s">
        <v>529</v>
      </c>
      <c r="D19" s="58">
        <v>44213</v>
      </c>
      <c r="E19" t="s">
        <v>480</v>
      </c>
      <c r="F19" s="3">
        <v>330</v>
      </c>
      <c r="G19" s="3">
        <v>330</v>
      </c>
      <c r="H19" s="3">
        <v>129.12</v>
      </c>
      <c r="I19" s="98" t="s">
        <v>69</v>
      </c>
      <c r="J19" s="98" t="s">
        <v>69</v>
      </c>
      <c r="K19" s="75">
        <f>G19/H19</f>
        <v>2.5557620817843865</v>
      </c>
      <c r="L19" s="102">
        <f>K19/$D$39</f>
        <v>8.6065920895552672</v>
      </c>
      <c r="M19" s="54"/>
      <c r="N19" s="74"/>
      <c r="O19" t="s">
        <v>501</v>
      </c>
      <c r="P19" s="103" t="s">
        <v>530</v>
      </c>
      <c r="Q19" s="100" t="s">
        <v>531</v>
      </c>
      <c r="R19" s="54"/>
    </row>
    <row r="20" spans="1:18" ht="71.25">
      <c r="A20" s="97"/>
      <c r="B20" t="s">
        <v>532</v>
      </c>
      <c r="C20" t="s">
        <v>533</v>
      </c>
      <c r="D20" s="58">
        <v>44243</v>
      </c>
      <c r="E20" t="s">
        <v>480</v>
      </c>
      <c r="F20" s="3">
        <v>4300</v>
      </c>
      <c r="G20" s="3">
        <v>4300</v>
      </c>
      <c r="H20" s="3">
        <v>3820.65</v>
      </c>
      <c r="I20" s="98" t="s">
        <v>69</v>
      </c>
      <c r="J20" s="98" t="s">
        <v>69</v>
      </c>
      <c r="K20" s="75">
        <f t="shared" si="0"/>
        <v>1.1254629447868818</v>
      </c>
      <c r="L20" s="102">
        <f>K20/$D$39</f>
        <v>3.7900243323617531</v>
      </c>
      <c r="N20" s="74"/>
      <c r="O20" t="s">
        <v>501</v>
      </c>
      <c r="P20" s="103" t="s">
        <v>492</v>
      </c>
      <c r="Q20" s="100" t="s">
        <v>534</v>
      </c>
      <c r="R20" s="54"/>
    </row>
    <row r="21" spans="1:18" ht="42.75">
      <c r="A21" s="97"/>
      <c r="B21" s="218" t="s">
        <v>535</v>
      </c>
      <c r="C21" s="218" t="s">
        <v>536</v>
      </c>
      <c r="D21" s="58">
        <v>44357</v>
      </c>
      <c r="E21" t="s">
        <v>480</v>
      </c>
      <c r="F21" s="3">
        <v>308.95530000000002</v>
      </c>
      <c r="G21" s="3">
        <v>308.95530000000002</v>
      </c>
      <c r="H21" s="3">
        <v>2.2792970000000001</v>
      </c>
      <c r="I21" s="98" t="s">
        <v>69</v>
      </c>
      <c r="J21" s="98" t="s">
        <v>69</v>
      </c>
      <c r="K21" s="75">
        <f t="shared" si="0"/>
        <v>135.54850464858245</v>
      </c>
      <c r="L21" s="75">
        <f>K21/$D$39</f>
        <v>456.46294550431264</v>
      </c>
      <c r="N21" s="74"/>
      <c r="O21" t="s">
        <v>501</v>
      </c>
      <c r="P21" s="103" t="s">
        <v>537</v>
      </c>
      <c r="Q21" s="219" t="s">
        <v>538</v>
      </c>
      <c r="R21" s="54"/>
    </row>
    <row r="22" spans="1:18" ht="28.5">
      <c r="A22" s="97"/>
      <c r="B22" t="s">
        <v>539</v>
      </c>
      <c r="C22" t="s">
        <v>27</v>
      </c>
      <c r="D22" s="58">
        <v>44501</v>
      </c>
      <c r="E22" t="s">
        <v>480</v>
      </c>
      <c r="F22" s="3">
        <v>6600</v>
      </c>
      <c r="G22" s="3">
        <v>6600</v>
      </c>
      <c r="H22" s="3">
        <v>1400</v>
      </c>
      <c r="I22" s="98" t="s">
        <v>69</v>
      </c>
      <c r="J22" s="98" t="s">
        <v>69</v>
      </c>
      <c r="K22" s="75">
        <f t="shared" si="0"/>
        <v>4.7142857142857144</v>
      </c>
      <c r="L22" s="75">
        <f>K22/$D$39</f>
        <v>15.875473865762517</v>
      </c>
      <c r="M22" s="54"/>
      <c r="N22" s="74"/>
      <c r="O22" t="s">
        <v>501</v>
      </c>
      <c r="P22" s="103"/>
      <c r="Q22" s="100" t="s">
        <v>540</v>
      </c>
      <c r="R22" s="54"/>
    </row>
    <row r="23" spans="1:18" ht="71.25">
      <c r="A23" s="97"/>
      <c r="B23" t="s">
        <v>541</v>
      </c>
      <c r="C23" t="s">
        <v>542</v>
      </c>
      <c r="D23" s="58">
        <v>44614</v>
      </c>
      <c r="E23" t="s">
        <v>480</v>
      </c>
      <c r="F23" s="3">
        <v>7900</v>
      </c>
      <c r="G23" s="3">
        <v>10896.52</v>
      </c>
      <c r="H23" s="3">
        <v>5012.78</v>
      </c>
      <c r="I23" s="98">
        <f>G23/L23</f>
        <v>808.34718100890211</v>
      </c>
      <c r="J23" s="74">
        <f>I23/H23</f>
        <v>0.16125726263847648</v>
      </c>
      <c r="K23" s="75">
        <f>G23/H23</f>
        <v>2.1737479003666631</v>
      </c>
      <c r="L23" s="57">
        <v>13.48</v>
      </c>
      <c r="M23" s="54"/>
      <c r="N23" s="74"/>
      <c r="O23" t="s">
        <v>491</v>
      </c>
      <c r="P23" s="103" t="s">
        <v>492</v>
      </c>
      <c r="Q23" s="100" t="s">
        <v>543</v>
      </c>
      <c r="R23" s="54"/>
    </row>
    <row r="24" spans="1:18" ht="57">
      <c r="A24" s="97"/>
      <c r="B24" t="s">
        <v>544</v>
      </c>
      <c r="C24" t="s">
        <v>545</v>
      </c>
      <c r="D24" s="58">
        <v>45110</v>
      </c>
      <c r="E24" t="s">
        <v>480</v>
      </c>
      <c r="F24" s="3">
        <v>362</v>
      </c>
      <c r="G24" s="3">
        <v>362</v>
      </c>
      <c r="H24" s="3">
        <v>1400</v>
      </c>
      <c r="I24" s="98" t="s">
        <v>69</v>
      </c>
      <c r="J24" s="98" t="s">
        <v>69</v>
      </c>
      <c r="K24" s="75">
        <f>G24/H24</f>
        <v>0.25857142857142856</v>
      </c>
      <c r="L24" s="75">
        <f>K24/$D$39</f>
        <v>0.87074568778879258</v>
      </c>
      <c r="M24" s="54"/>
      <c r="N24" s="74"/>
      <c r="O24" t="s">
        <v>501</v>
      </c>
      <c r="P24" s="103" t="s">
        <v>546</v>
      </c>
      <c r="Q24" s="100" t="s">
        <v>547</v>
      </c>
      <c r="R24" s="54"/>
    </row>
    <row r="25" spans="1:18" ht="71.25">
      <c r="A25" s="97"/>
      <c r="B25" t="s">
        <v>548</v>
      </c>
      <c r="C25" t="s">
        <v>549</v>
      </c>
      <c r="D25" s="58">
        <v>45110</v>
      </c>
      <c r="E25" t="s">
        <v>480</v>
      </c>
      <c r="F25" s="3">
        <v>327.29999700000002</v>
      </c>
      <c r="G25" s="3">
        <v>327.29999700000002</v>
      </c>
      <c r="H25" s="3">
        <v>218.19999799999999</v>
      </c>
      <c r="I25" s="66">
        <v>27.3</v>
      </c>
      <c r="J25" s="74">
        <f>I25/H25</f>
        <v>0.12511457493230591</v>
      </c>
      <c r="K25" s="75">
        <f>G25/H25</f>
        <v>1.5000000000000002</v>
      </c>
      <c r="L25" s="75">
        <f>G25/I25</f>
        <v>11.98901087912088</v>
      </c>
      <c r="O25" t="s">
        <v>491</v>
      </c>
      <c r="P25" s="103" t="s">
        <v>550</v>
      </c>
      <c r="Q25" s="100" t="s">
        <v>551</v>
      </c>
      <c r="R25" s="54"/>
    </row>
    <row r="26" spans="1:18" ht="42.75">
      <c r="A26" s="97"/>
      <c r="B26" t="s">
        <v>552</v>
      </c>
      <c r="C26" t="s">
        <v>553</v>
      </c>
      <c r="D26" s="58">
        <v>45279</v>
      </c>
      <c r="E26" t="s">
        <v>554</v>
      </c>
      <c r="F26" s="3">
        <v>161.00337099999999</v>
      </c>
      <c r="G26" s="3">
        <v>161.00337099999999</v>
      </c>
      <c r="H26" s="3">
        <v>194.009062</v>
      </c>
      <c r="I26" s="98" t="s">
        <v>69</v>
      </c>
      <c r="J26" s="98" t="s">
        <v>69</v>
      </c>
      <c r="K26" s="75">
        <f>G26/H26</f>
        <v>0.82987551890746214</v>
      </c>
      <c r="L26" s="75">
        <f>K26/$D$39</f>
        <v>2.7946263571442622</v>
      </c>
      <c r="M26" s="54"/>
      <c r="N26" s="74"/>
      <c r="O26" t="s">
        <v>555</v>
      </c>
      <c r="P26" s="103" t="s">
        <v>556</v>
      </c>
      <c r="Q26" s="100" t="s">
        <v>557</v>
      </c>
      <c r="R26" s="54"/>
    </row>
    <row r="27" spans="1:18" ht="15.75">
      <c r="A27" s="97"/>
      <c r="D27" s="58"/>
      <c r="F27" s="3"/>
      <c r="G27" s="3"/>
      <c r="H27" s="3"/>
      <c r="I27" s="98"/>
      <c r="J27" s="98"/>
      <c r="K27" s="75"/>
      <c r="L27" s="75"/>
      <c r="M27" s="54"/>
      <c r="N27" s="74"/>
      <c r="P27" s="103"/>
      <c r="Q27" s="100"/>
      <c r="R27" s="54"/>
    </row>
    <row r="28" spans="1:18" ht="15.75">
      <c r="A28" s="97" t="s">
        <v>558</v>
      </c>
      <c r="D28" s="58"/>
      <c r="E28" s="165"/>
      <c r="F28" s="3"/>
      <c r="G28" s="3"/>
      <c r="H28" s="3"/>
      <c r="I28" s="166"/>
      <c r="J28" s="166"/>
      <c r="K28" s="75"/>
      <c r="L28" s="166"/>
      <c r="M28" s="54"/>
      <c r="N28" s="69"/>
      <c r="Q28" s="167"/>
      <c r="R28" s="54"/>
    </row>
    <row r="29" spans="1:18" ht="15.75">
      <c r="A29" s="97"/>
      <c r="B29" t="str">
        <f t="shared" ref="B29:L29" si="2">B11</f>
        <v>Dr Pepper Snapple Group, Inc</v>
      </c>
      <c r="C29" t="str">
        <f t="shared" si="2"/>
        <v>Keurig Green Mountain, Inc.</v>
      </c>
      <c r="D29" s="96">
        <f t="shared" si="2"/>
        <v>43129</v>
      </c>
      <c r="E29" t="str">
        <f t="shared" si="2"/>
        <v>Complete</v>
      </c>
      <c r="F29">
        <f t="shared" si="2"/>
        <v>27024.925839</v>
      </c>
      <c r="G29">
        <f t="shared" si="2"/>
        <v>27024.925839</v>
      </c>
      <c r="H29">
        <f t="shared" si="2"/>
        <v>6704</v>
      </c>
      <c r="I29">
        <f t="shared" si="2"/>
        <v>1580.4050198245614</v>
      </c>
      <c r="J29" s="89">
        <f t="shared" si="2"/>
        <v>0.23574060558242263</v>
      </c>
      <c r="K29" s="99">
        <f t="shared" si="2"/>
        <v>4.0311643554594268</v>
      </c>
      <c r="L29" s="99">
        <f t="shared" si="2"/>
        <v>17.100000000000001</v>
      </c>
      <c r="O29" t="str">
        <f>O11</f>
        <v>USA</v>
      </c>
      <c r="Q29" s="167"/>
      <c r="R29" s="54"/>
    </row>
    <row r="30" spans="1:18" ht="15.75">
      <c r="A30" s="97"/>
      <c r="B30" t="str">
        <f t="shared" ref="B30:L30" si="3">B13</f>
        <v>Sodastream International</v>
      </c>
      <c r="C30" t="str">
        <f t="shared" si="3"/>
        <v>PepsiCo</v>
      </c>
      <c r="D30" s="96">
        <f t="shared" si="3"/>
        <v>43332</v>
      </c>
      <c r="E30" t="str">
        <f t="shared" si="3"/>
        <v>Complete</v>
      </c>
      <c r="F30">
        <f t="shared" si="3"/>
        <v>3307.95</v>
      </c>
      <c r="G30">
        <f t="shared" si="3"/>
        <v>3136.2489999999998</v>
      </c>
      <c r="H30">
        <f t="shared" si="3"/>
        <v>612.572</v>
      </c>
      <c r="I30">
        <f t="shared" si="3"/>
        <v>126.741</v>
      </c>
      <c r="J30" s="89">
        <f t="shared" si="3"/>
        <v>0.20689976035470117</v>
      </c>
      <c r="K30" s="99">
        <f t="shared" si="3"/>
        <v>5.1198046923463689</v>
      </c>
      <c r="L30" s="99">
        <f t="shared" si="3"/>
        <v>24.745338919528802</v>
      </c>
      <c r="O30" t="str">
        <f>O13</f>
        <v>Israel</v>
      </c>
      <c r="Q30" s="167"/>
      <c r="R30" s="54"/>
    </row>
    <row r="31" spans="1:18" ht="15.75">
      <c r="A31" s="97"/>
      <c r="B31" t="str">
        <f t="shared" ref="B31:L31" si="4">B16</f>
        <v>Primo Water Corp.</v>
      </c>
      <c r="C31" t="str">
        <f t="shared" si="4"/>
        <v>Cott Corp. (Canada)</v>
      </c>
      <c r="D31" s="96">
        <f t="shared" si="4"/>
        <v>43843</v>
      </c>
      <c r="E31" t="str">
        <f t="shared" si="4"/>
        <v>Complete</v>
      </c>
      <c r="F31">
        <f t="shared" si="4"/>
        <v>765.56259599999998</v>
      </c>
      <c r="G31">
        <f t="shared" si="4"/>
        <v>765.56259599999998</v>
      </c>
      <c r="H31">
        <f t="shared" si="4"/>
        <v>307.15600000000001</v>
      </c>
      <c r="I31" s="98">
        <f t="shared" si="4"/>
        <v>45.536001518892562</v>
      </c>
      <c r="J31" s="101">
        <f t="shared" si="4"/>
        <v>0.14825040539300083</v>
      </c>
      <c r="K31" s="99">
        <f t="shared" si="4"/>
        <v>2.492422729818073</v>
      </c>
      <c r="L31" s="99">
        <f t="shared" si="4"/>
        <v>16.812249000000001</v>
      </c>
      <c r="O31" t="str">
        <f>O16</f>
        <v>USA</v>
      </c>
      <c r="Q31" s="167"/>
      <c r="R31" s="54"/>
    </row>
    <row r="32" spans="1:18" ht="15.75">
      <c r="A32" s="97"/>
      <c r="B32" t="str">
        <f t="shared" ref="B32:L32" si="5">B22</f>
        <v>BodyArmor</v>
      </c>
      <c r="C32" t="str">
        <f t="shared" si="5"/>
        <v>Coca-Cola Company</v>
      </c>
      <c r="D32" s="96">
        <f t="shared" si="5"/>
        <v>44501</v>
      </c>
      <c r="E32" t="str">
        <f t="shared" si="5"/>
        <v>Complete</v>
      </c>
      <c r="F32">
        <f t="shared" si="5"/>
        <v>6600</v>
      </c>
      <c r="G32">
        <f t="shared" si="5"/>
        <v>6600</v>
      </c>
      <c r="H32">
        <f t="shared" si="5"/>
        <v>1400</v>
      </c>
      <c r="I32" s="98" t="str">
        <f t="shared" si="5"/>
        <v>NA</v>
      </c>
      <c r="J32" s="98" t="str">
        <f t="shared" si="5"/>
        <v>NA</v>
      </c>
      <c r="K32" s="99">
        <f t="shared" si="5"/>
        <v>4.7142857142857144</v>
      </c>
      <c r="L32" s="99">
        <f t="shared" si="5"/>
        <v>15.875473865762517</v>
      </c>
      <c r="O32" t="str">
        <f>O22</f>
        <v>USA</v>
      </c>
      <c r="Q32" s="167"/>
      <c r="R32" s="54"/>
    </row>
    <row r="33" spans="1:18" ht="15.75">
      <c r="A33" s="97"/>
      <c r="D33" s="58"/>
      <c r="E33" s="165"/>
      <c r="F33" s="3"/>
      <c r="G33" s="3"/>
      <c r="H33" s="3"/>
      <c r="I33" s="166"/>
      <c r="J33" s="166"/>
      <c r="K33" s="75"/>
      <c r="L33" s="166"/>
      <c r="M33" s="54"/>
      <c r="N33" s="69"/>
      <c r="Q33" s="167"/>
      <c r="R33" s="54"/>
    </row>
    <row r="34" spans="1:18">
      <c r="A34" s="95"/>
      <c r="B34" s="95"/>
      <c r="C34" s="95"/>
      <c r="D34" s="95" t="s">
        <v>559</v>
      </c>
      <c r="E34" s="95"/>
      <c r="H34" s="54"/>
      <c r="I34" s="54"/>
      <c r="J34" s="54"/>
      <c r="K34" s="54"/>
      <c r="L34" s="54"/>
      <c r="M34" s="54"/>
      <c r="N34" s="54"/>
      <c r="O34" s="54"/>
      <c r="P34" s="54"/>
      <c r="Q34" s="167"/>
      <c r="R34" s="54"/>
    </row>
    <row r="35" spans="1:18">
      <c r="A35" s="95"/>
      <c r="B35" s="95"/>
      <c r="C35" s="95"/>
      <c r="D35" s="168">
        <f>'Red Bull Model'!F3</f>
        <v>45291</v>
      </c>
      <c r="E35" s="95"/>
      <c r="H35" s="54"/>
      <c r="I35" s="54"/>
      <c r="J35" s="54"/>
      <c r="K35" s="54"/>
      <c r="L35" s="54"/>
      <c r="M35" s="54"/>
      <c r="N35" s="54"/>
      <c r="O35" s="54"/>
      <c r="P35" s="54"/>
      <c r="Q35" s="54"/>
      <c r="R35" s="54"/>
    </row>
    <row r="37" spans="1:18">
      <c r="B37" t="s">
        <v>560</v>
      </c>
      <c r="D37">
        <f>'Red Bull Model'!F54</f>
        <v>10553.988219999999</v>
      </c>
    </row>
    <row r="38" spans="1:18" ht="15.75">
      <c r="A38" s="21"/>
      <c r="B38" t="s">
        <v>561</v>
      </c>
      <c r="D38">
        <f>'Red Bull Model'!F60</f>
        <v>3134.0491827199985</v>
      </c>
    </row>
    <row r="39" spans="1:18" ht="15.75">
      <c r="A39" s="21"/>
      <c r="B39" t="s">
        <v>562</v>
      </c>
      <c r="D39" s="74">
        <f>D38/D37</f>
        <v>0.29695401561856194</v>
      </c>
    </row>
    <row r="40" spans="1:18" ht="15.75">
      <c r="A40" s="21"/>
    </row>
    <row r="41" spans="1:18" ht="15.75">
      <c r="A41" s="21"/>
      <c r="D41" s="98" t="s">
        <v>563</v>
      </c>
      <c r="E41" s="98" t="s">
        <v>564</v>
      </c>
      <c r="F41" s="98" t="s">
        <v>360</v>
      </c>
    </row>
    <row r="42" spans="1:18" ht="15.75">
      <c r="A42" s="21"/>
      <c r="B42" t="s">
        <v>565</v>
      </c>
      <c r="D42" s="102">
        <f>MIN(L29:L32)</f>
        <v>15.875473865762517</v>
      </c>
      <c r="E42" s="102">
        <f>MAX(L29:L32)</f>
        <v>24.745338919528802</v>
      </c>
      <c r="F42" s="75">
        <f>MEDIAN(L29:L32)</f>
        <v>16.956124500000001</v>
      </c>
    </row>
    <row r="43" spans="1:18" ht="15.75">
      <c r="A43" s="21"/>
      <c r="B43" t="s">
        <v>364</v>
      </c>
      <c r="D43">
        <f>D42*$D$38</f>
        <v>49754.515894285709</v>
      </c>
      <c r="E43">
        <f>E42*$D$38</f>
        <v>77553.109216878613</v>
      </c>
      <c r="F43">
        <f>F42*$D$38</f>
        <v>53141.328131323549</v>
      </c>
    </row>
    <row r="44" spans="1:18" ht="15.75">
      <c r="A44" s="21"/>
    </row>
    <row r="45" spans="1:18" ht="15.75">
      <c r="A45" s="21" t="s">
        <v>147</v>
      </c>
    </row>
    <row r="46" spans="1:18" ht="15.75">
      <c r="A46" s="21"/>
    </row>
    <row r="47" spans="1:18" ht="15.75">
      <c r="A47" s="21"/>
    </row>
    <row r="48" spans="1:18" ht="15.75">
      <c r="A48" s="21"/>
    </row>
    <row r="49" spans="1:1" ht="15.75">
      <c r="A49" s="21"/>
    </row>
    <row r="50" spans="1:1" ht="15.75">
      <c r="A50" s="21"/>
    </row>
    <row r="51" spans="1:1" ht="15.75">
      <c r="A51" s="21"/>
    </row>
    <row r="52" spans="1:1" ht="15.75">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bottomRight" activeCell="G14" sqref="G14:I14"/>
      <selection pane="bottomLeft" sqref="A1:N1"/>
      <selection pane="topRight" sqref="A1:N1"/>
    </sheetView>
  </sheetViews>
  <sheetFormatPr defaultColWidth="12.5703125" defaultRowHeight="15" customHeight="1"/>
  <cols>
    <col min="1" max="1" width="1.5703125" customWidth="1"/>
    <col min="2" max="2" width="40.5703125" customWidth="1"/>
    <col min="3" max="13" width="10.28515625" customWidth="1"/>
  </cols>
  <sheetData>
    <row r="1" spans="1:13" ht="45" customHeight="1">
      <c r="A1" s="83" t="str">
        <f>"Synergy valuation for "&amp;Info!N5</f>
        <v>Synergy valuation for Red Bull</v>
      </c>
      <c r="B1" s="83"/>
      <c r="C1" s="83"/>
      <c r="D1" s="83"/>
      <c r="E1" s="83"/>
      <c r="F1" s="83"/>
      <c r="G1" s="83"/>
      <c r="H1" s="83"/>
      <c r="I1" s="83"/>
      <c r="J1" s="83"/>
      <c r="K1" s="83"/>
      <c r="L1" s="83"/>
      <c r="M1" s="83"/>
    </row>
    <row r="2" spans="1:13"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c r="A4" t="s">
        <v>407</v>
      </c>
      <c r="C4" s="54"/>
      <c r="D4" s="54"/>
      <c r="E4" s="54"/>
      <c r="F4" s="54"/>
      <c r="G4" s="54"/>
      <c r="H4" s="54"/>
      <c r="I4" s="54"/>
      <c r="J4" s="54"/>
      <c r="K4" s="54"/>
      <c r="L4" s="54"/>
      <c r="M4" s="54"/>
    </row>
    <row r="5" spans="1:13" ht="15" customHeight="1">
      <c r="A5" s="85"/>
      <c r="C5" s="54"/>
      <c r="D5" s="54"/>
      <c r="E5" s="54"/>
      <c r="F5" s="54"/>
      <c r="G5" s="54"/>
      <c r="H5" s="54"/>
      <c r="I5" s="54"/>
      <c r="J5" s="54"/>
      <c r="K5" s="54"/>
      <c r="L5" s="54"/>
      <c r="M5" s="54"/>
    </row>
    <row r="6" spans="1:13" ht="15" customHeight="1">
      <c r="A6" s="85"/>
      <c r="B6" t="s">
        <v>219</v>
      </c>
      <c r="C6" s="54"/>
      <c r="D6" s="54"/>
      <c r="E6" s="155"/>
      <c r="F6" s="74">
        <f>'Red Bull Model'!G20</f>
        <v>0.23</v>
      </c>
      <c r="I6" s="54"/>
      <c r="J6" s="54"/>
      <c r="K6" s="54"/>
      <c r="L6" s="54"/>
      <c r="M6" s="54"/>
    </row>
    <row r="7" spans="1:13" ht="15" customHeight="1">
      <c r="A7" s="85"/>
      <c r="B7" t="s">
        <v>421</v>
      </c>
      <c r="C7" s="54"/>
      <c r="D7" s="54"/>
      <c r="E7" s="155"/>
      <c r="F7" s="74">
        <f ca="1">WACC</f>
        <v>6.4947077642137488E-2</v>
      </c>
      <c r="I7" s="54"/>
      <c r="J7" s="54"/>
      <c r="K7" s="54"/>
      <c r="L7" s="54"/>
      <c r="M7" s="54"/>
    </row>
    <row r="8" spans="1:13" ht="15" customHeight="1">
      <c r="A8" s="85"/>
      <c r="C8" s="54"/>
      <c r="D8" s="54"/>
      <c r="E8" s="54"/>
      <c r="F8" s="54"/>
      <c r="G8" s="54"/>
      <c r="I8" s="54"/>
      <c r="J8" s="54"/>
      <c r="K8" s="54"/>
      <c r="L8" s="54"/>
      <c r="M8" s="54"/>
    </row>
    <row r="9" spans="1:13" ht="15" customHeight="1">
      <c r="A9" s="85"/>
      <c r="B9" t="s">
        <v>566</v>
      </c>
      <c r="C9" s="54"/>
      <c r="D9" s="54"/>
      <c r="F9">
        <f>'Red Bull Model'!F54</f>
        <v>10553.988219999999</v>
      </c>
      <c r="I9" s="54"/>
      <c r="J9" s="54"/>
      <c r="K9" s="54"/>
      <c r="L9" s="54"/>
      <c r="M9" s="54"/>
    </row>
    <row r="10" spans="1:13" ht="15" customHeight="1">
      <c r="A10" s="85"/>
      <c r="B10" t="s">
        <v>567</v>
      </c>
      <c r="C10" s="54"/>
      <c r="D10" s="54"/>
      <c r="F10" s="74">
        <f>AVERAGE(Transaction_comps!N7:N26)</f>
        <v>8.1677490383670046E-2</v>
      </c>
      <c r="I10" s="54"/>
      <c r="J10" s="54"/>
      <c r="K10" s="54"/>
      <c r="L10" s="54"/>
      <c r="M10" s="54"/>
    </row>
    <row r="11" spans="1:13" ht="15" customHeight="1">
      <c r="A11" s="85"/>
      <c r="C11" s="54"/>
      <c r="D11" s="54"/>
      <c r="F11" s="54"/>
      <c r="G11" s="54"/>
      <c r="I11" s="54"/>
      <c r="J11" s="54"/>
      <c r="K11" s="54"/>
      <c r="L11" s="54"/>
      <c r="M11" s="54"/>
    </row>
    <row r="12" spans="1:13" ht="15" customHeight="1">
      <c r="A12" s="85" t="s">
        <v>568</v>
      </c>
      <c r="C12" s="54"/>
      <c r="D12" s="54"/>
      <c r="F12" s="54"/>
      <c r="G12" s="54"/>
      <c r="H12" s="54"/>
      <c r="I12" s="54"/>
      <c r="J12" s="54"/>
      <c r="K12" s="54"/>
      <c r="L12" s="54"/>
      <c r="M12" s="54"/>
    </row>
    <row r="13" spans="1:13" ht="15" customHeight="1">
      <c r="A13" s="85"/>
      <c r="B13" t="s">
        <v>569</v>
      </c>
      <c r="C13" s="54"/>
      <c r="D13" s="54"/>
      <c r="F13" s="54"/>
      <c r="G13">
        <f>$F$9*$F$10</f>
        <v>862.02327134841687</v>
      </c>
      <c r="H13">
        <f>$F$9*$F$10</f>
        <v>862.02327134841687</v>
      </c>
      <c r="I13">
        <f>$F$9*$F$10</f>
        <v>862.02327134841687</v>
      </c>
      <c r="K13" s="54"/>
      <c r="L13" s="54"/>
      <c r="M13" s="54"/>
    </row>
    <row r="14" spans="1:13" ht="15" customHeight="1">
      <c r="A14" s="85"/>
      <c r="B14" t="s">
        <v>570</v>
      </c>
      <c r="C14" s="54"/>
      <c r="D14" s="54"/>
      <c r="F14" s="54"/>
      <c r="G14" s="71">
        <v>1</v>
      </c>
      <c r="H14" s="71">
        <v>1</v>
      </c>
      <c r="I14" s="71">
        <v>1</v>
      </c>
      <c r="J14" s="54"/>
      <c r="K14" s="54"/>
      <c r="L14" s="54"/>
      <c r="M14" s="54"/>
    </row>
    <row r="15" spans="1:13" ht="15" customHeight="1">
      <c r="A15" s="85"/>
      <c r="B15" t="s">
        <v>571</v>
      </c>
      <c r="C15" s="54"/>
      <c r="D15" s="54"/>
      <c r="F15" s="54"/>
      <c r="G15">
        <f>G13*G14</f>
        <v>862.02327134841687</v>
      </c>
      <c r="H15">
        <f>H13*H14</f>
        <v>862.02327134841687</v>
      </c>
      <c r="I15">
        <f>I13*I14</f>
        <v>862.02327134841687</v>
      </c>
      <c r="L15" s="54"/>
      <c r="M15" s="54"/>
    </row>
    <row r="16" spans="1:13" ht="15" customHeight="1">
      <c r="A16" s="85"/>
      <c r="B16" t="s">
        <v>572</v>
      </c>
      <c r="C16" s="54"/>
      <c r="D16" s="54"/>
      <c r="F16" s="54"/>
      <c r="G16">
        <f>G15*(1-$F$6)</f>
        <v>663.75791893828102</v>
      </c>
      <c r="H16">
        <f>H15*(1-$F$6)</f>
        <v>663.75791893828102</v>
      </c>
      <c r="I16">
        <f>I15*(1-$F$6)</f>
        <v>663.75791893828102</v>
      </c>
      <c r="L16" s="54"/>
      <c r="M16" s="54"/>
    </row>
    <row r="17" spans="1:13" ht="15" customHeight="1">
      <c r="A17" s="85"/>
      <c r="B17" t="s">
        <v>573</v>
      </c>
      <c r="C17" s="54"/>
      <c r="D17" s="54"/>
      <c r="F17" s="74">
        <f ca="1">F7</f>
        <v>6.4947077642137488E-2</v>
      </c>
      <c r="H17" s="54"/>
      <c r="I17" s="54"/>
      <c r="L17" s="54"/>
      <c r="M17" s="54"/>
    </row>
    <row r="18" spans="1:13" ht="15" customHeight="1">
      <c r="A18" s="85"/>
      <c r="B18" t="s">
        <v>574</v>
      </c>
      <c r="C18" s="54"/>
      <c r="D18" s="54"/>
      <c r="F18" s="68">
        <v>0.02</v>
      </c>
      <c r="G18" s="54"/>
      <c r="H18" s="54"/>
      <c r="I18" s="54"/>
      <c r="J18" s="54"/>
      <c r="L18" s="54"/>
      <c r="M18" s="54"/>
    </row>
    <row r="19" spans="1:13" ht="15" customHeight="1">
      <c r="A19" s="85"/>
      <c r="B19" t="s">
        <v>419</v>
      </c>
      <c r="C19" s="54"/>
      <c r="D19" s="54"/>
      <c r="G19" s="54"/>
      <c r="H19" s="54"/>
      <c r="I19">
        <f ca="1">I16*(1+F18)/(F17-F18)</f>
        <v>15062.894248820621</v>
      </c>
      <c r="L19" s="54"/>
      <c r="M19" s="182"/>
    </row>
    <row r="20" spans="1:13" ht="15" customHeight="1">
      <c r="A20" s="85"/>
      <c r="C20" s="54"/>
      <c r="D20" s="54"/>
      <c r="F20" s="54"/>
      <c r="G20" s="54"/>
      <c r="H20" s="54"/>
      <c r="I20" s="54"/>
      <c r="J20" s="54"/>
      <c r="L20" s="54"/>
      <c r="M20" s="54"/>
    </row>
    <row r="21" spans="1:13" ht="15" customHeight="1">
      <c r="A21" s="85"/>
      <c r="B21" t="s">
        <v>575</v>
      </c>
      <c r="C21" s="54"/>
      <c r="D21" s="54"/>
      <c r="F21" s="54"/>
      <c r="G21" s="66">
        <v>0.5</v>
      </c>
      <c r="H21">
        <f>+G21+1</f>
        <v>1.5</v>
      </c>
      <c r="I21">
        <f>+H21+1</f>
        <v>2.5</v>
      </c>
      <c r="K21" s="54"/>
      <c r="L21" s="54"/>
      <c r="M21" s="54"/>
    </row>
    <row r="22" spans="1:13" ht="15" customHeight="1">
      <c r="A22" s="85"/>
      <c r="B22" t="s">
        <v>426</v>
      </c>
      <c r="C22" s="54"/>
      <c r="D22" s="54"/>
      <c r="F22" s="155"/>
      <c r="G22" s="74">
        <f ca="1">1/(1+$F$17)^G21</f>
        <v>0.96902724314492084</v>
      </c>
      <c r="H22" s="74">
        <f ca="1">1/(1+$F$17)^H21</f>
        <v>0.90992995190935733</v>
      </c>
      <c r="I22" s="74">
        <f ca="1">1/(1+$F$17)^I21</f>
        <v>0.85443678001727719</v>
      </c>
      <c r="K22" s="54"/>
      <c r="L22" s="54"/>
      <c r="M22" s="54"/>
    </row>
    <row r="23" spans="1:13" ht="15" customHeight="1">
      <c r="A23" s="85"/>
      <c r="B23" t="s">
        <v>576</v>
      </c>
      <c r="C23" s="54"/>
      <c r="D23" s="54"/>
      <c r="G23">
        <f ca="1">G16*G22</f>
        <v>643.19950630437233</v>
      </c>
      <c r="H23">
        <f ca="1">H16*H22</f>
        <v>603.97321125896519</v>
      </c>
      <c r="I23">
        <f ca="1">I16*I22</f>
        <v>567.13917896859368</v>
      </c>
      <c r="K23" s="54"/>
      <c r="L23" s="54"/>
      <c r="M23" s="54"/>
    </row>
    <row r="24" spans="1:13" ht="15" customHeight="1">
      <c r="A24" s="85"/>
      <c r="B24" t="s">
        <v>577</v>
      </c>
      <c r="C24" s="54"/>
      <c r="D24" s="54"/>
      <c r="F24">
        <f ca="1">SUM(G23:I23)</f>
        <v>1814.3118965319313</v>
      </c>
      <c r="H24" s="54"/>
      <c r="I24" s="54"/>
      <c r="J24" s="54"/>
      <c r="K24" s="54"/>
      <c r="L24" s="54"/>
      <c r="M24" s="54"/>
    </row>
    <row r="25" spans="1:13" ht="15" customHeight="1">
      <c r="A25" s="85"/>
      <c r="B25" t="s">
        <v>429</v>
      </c>
      <c r="C25" s="54"/>
      <c r="D25" s="54"/>
      <c r="F25">
        <f ca="1">I19*I22</f>
        <v>12870.290859703055</v>
      </c>
      <c r="H25" s="54"/>
      <c r="I25" s="54"/>
      <c r="J25" s="54"/>
      <c r="K25" s="54"/>
      <c r="L25" s="54"/>
      <c r="M25" s="54"/>
    </row>
    <row r="26" spans="1:13" ht="15" customHeight="1">
      <c r="A26" s="85"/>
      <c r="B26" t="s">
        <v>578</v>
      </c>
      <c r="C26" s="54"/>
      <c r="D26" s="54"/>
      <c r="F26">
        <f ca="1">SUM(F24:F25)</f>
        <v>14684.602756234986</v>
      </c>
      <c r="H26" s="54"/>
      <c r="I26" s="54"/>
      <c r="J26" s="54"/>
      <c r="K26" s="54"/>
      <c r="L26" s="54"/>
      <c r="M26" s="54"/>
    </row>
    <row r="27" spans="1:13" ht="15" customHeight="1">
      <c r="A27" s="85"/>
      <c r="C27" s="54"/>
      <c r="D27" s="54"/>
      <c r="F27" s="54"/>
      <c r="G27" s="54"/>
      <c r="H27" s="54"/>
      <c r="I27" s="54"/>
      <c r="J27" s="54"/>
      <c r="K27" s="54"/>
      <c r="L27" s="54"/>
      <c r="M27" s="54"/>
    </row>
    <row r="28" spans="1:13" ht="15" customHeight="1">
      <c r="A28" s="85" t="s">
        <v>147</v>
      </c>
      <c r="C28" s="54"/>
      <c r="D28" s="54"/>
      <c r="E28" s="54"/>
      <c r="F28" s="54"/>
      <c r="G28" s="54"/>
      <c r="H28" s="54"/>
      <c r="I28" s="54"/>
      <c r="J28" s="54"/>
      <c r="K28" s="54"/>
      <c r="L28" s="54"/>
      <c r="M28" s="54"/>
    </row>
    <row r="29" spans="1:13" ht="15.75" customHeight="1">
      <c r="A29" s="97"/>
    </row>
    <row r="30" spans="1:13" ht="15" customHeight="1">
      <c r="A30" s="97"/>
    </row>
    <row r="31" spans="1:13" ht="15" customHeight="1">
      <c r="A31" s="97"/>
    </row>
    <row r="32" spans="1:13" ht="15" customHeight="1">
      <c r="A32" s="97"/>
    </row>
    <row r="33" spans="1:1" ht="15" customHeight="1">
      <c r="A33" s="97"/>
    </row>
    <row r="34" spans="1:1" ht="15" customHeight="1">
      <c r="A34" s="85"/>
    </row>
    <row r="35" spans="1:1" ht="15" customHeight="1">
      <c r="A35" s="85"/>
    </row>
    <row r="36" spans="1:1" ht="15" customHeight="1">
      <c r="A36" s="85"/>
    </row>
    <row r="37" spans="1:1" ht="15" customHeight="1">
      <c r="A37" s="85"/>
    </row>
    <row r="38" spans="1:1" ht="15" customHeight="1">
      <c r="A38" s="85"/>
    </row>
    <row r="39" spans="1:1" ht="15" customHeight="1">
      <c r="A39" s="85"/>
    </row>
    <row r="40" spans="1:1" ht="15" customHeight="1">
      <c r="A40" s="85"/>
    </row>
    <row r="41" spans="1:1" ht="15" customHeight="1">
      <c r="A41" s="85"/>
    </row>
    <row r="42" spans="1:1" ht="15" customHeight="1">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zoomScaleNormal="100" zoomScaleSheetLayoutView="85" workbookViewId="0"/>
  </sheetViews>
  <sheetFormatPr defaultColWidth="12.5703125" defaultRowHeight="15" customHeight="1"/>
  <cols>
    <col min="1" max="1" width="1.5703125" customWidth="1"/>
    <col min="2" max="2" width="40.5703125" customWidth="1"/>
    <col min="3" max="4" width="27.28515625" bestFit="1" customWidth="1"/>
    <col min="5" max="5" width="24" customWidth="1"/>
    <col min="6" max="13" width="10.28515625" customWidth="1"/>
  </cols>
  <sheetData>
    <row r="1" spans="1:13" ht="45" customHeight="1">
      <c r="A1" s="83" t="s">
        <v>579</v>
      </c>
      <c r="B1" s="83"/>
      <c r="C1" s="83"/>
      <c r="D1" s="83"/>
      <c r="E1" s="83"/>
      <c r="F1" s="83"/>
      <c r="G1" s="83"/>
      <c r="H1" s="83"/>
      <c r="I1" s="83"/>
      <c r="J1" s="83"/>
      <c r="K1" s="83"/>
      <c r="L1" s="83"/>
      <c r="M1" s="83"/>
    </row>
    <row r="2" spans="1:13" ht="15" customHeight="1">
      <c r="A2" t="s">
        <v>580</v>
      </c>
      <c r="L2" s="54"/>
      <c r="M2" s="54"/>
    </row>
    <row r="3" spans="1:13" ht="15" customHeight="1">
      <c r="A3" s="21"/>
      <c r="L3" s="54"/>
      <c r="M3" s="54"/>
    </row>
    <row r="4" spans="1:13" ht="15" customHeight="1">
      <c r="A4" s="21" t="s">
        <v>206</v>
      </c>
      <c r="L4" s="54"/>
      <c r="M4" s="54"/>
    </row>
    <row r="5" spans="1:13" ht="15" customHeight="1">
      <c r="A5" s="21"/>
      <c r="B5" t="s">
        <v>105</v>
      </c>
      <c r="C5">
        <f>'Red Bull Model'!F88+'Red Bull Model'!F84</f>
        <v>473.6</v>
      </c>
      <c r="L5" s="54"/>
      <c r="M5" s="54"/>
    </row>
    <row r="6" spans="1:13" ht="15" customHeight="1">
      <c r="A6" s="21"/>
      <c r="B6" t="s">
        <v>108</v>
      </c>
      <c r="C6">
        <f>'Red Bull Model'!F74+'Red Bull Model'!F81</f>
        <v>1803.9</v>
      </c>
      <c r="L6" s="54"/>
      <c r="M6" s="54"/>
    </row>
    <row r="7" spans="1:13" ht="15" customHeight="1">
      <c r="A7" s="21"/>
      <c r="L7" s="54"/>
      <c r="M7" s="54"/>
    </row>
    <row r="8" spans="1:13" ht="15" customHeight="1">
      <c r="A8" s="21"/>
      <c r="C8" s="98" t="s">
        <v>559</v>
      </c>
      <c r="D8" s="98" t="s">
        <v>581</v>
      </c>
      <c r="E8" s="98" t="s">
        <v>582</v>
      </c>
      <c r="L8" s="54"/>
      <c r="M8" s="54"/>
    </row>
    <row r="9" spans="1:13" ht="15" customHeight="1">
      <c r="A9" s="21"/>
      <c r="C9" s="224">
        <f>YEAR('Red Bull Model'!F3)</f>
        <v>2023</v>
      </c>
      <c r="D9" s="224">
        <f>YEAR('Red Bull Model'!G3)</f>
        <v>2024</v>
      </c>
      <c r="E9" s="224">
        <f>YEAR('Red Bull Model'!H3)</f>
        <v>2025</v>
      </c>
      <c r="L9" s="54"/>
      <c r="M9" s="54"/>
    </row>
    <row r="10" spans="1:13" ht="15" customHeight="1">
      <c r="A10" s="21"/>
      <c r="B10" t="s">
        <v>228</v>
      </c>
      <c r="C10">
        <f>'Red Bull Model'!F54</f>
        <v>10553.988219999999</v>
      </c>
      <c r="D10">
        <f>'Red Bull Model'!G54</f>
        <v>11532.12648535</v>
      </c>
      <c r="E10">
        <f>'Red Bull Model'!H54</f>
        <v>12559.471891674488</v>
      </c>
      <c r="L10" s="54"/>
      <c r="M10" s="54"/>
    </row>
    <row r="11" spans="1:13" ht="15" customHeight="1">
      <c r="A11" s="21"/>
      <c r="B11" t="s">
        <v>65</v>
      </c>
      <c r="C11">
        <f>'Red Bull Model'!F60</f>
        <v>3134.0491827199985</v>
      </c>
      <c r="D11">
        <f>'Red Bull Model'!G60</f>
        <v>3401.9773131782504</v>
      </c>
      <c r="E11">
        <f>'Red Bull Model'!H60</f>
        <v>3767.8415675023462</v>
      </c>
      <c r="L11" s="54"/>
      <c r="M11" s="54"/>
    </row>
    <row r="12" spans="1:13" ht="15" customHeight="1">
      <c r="A12" s="21"/>
      <c r="L12" s="54"/>
      <c r="M12" s="54"/>
    </row>
    <row r="13" spans="1:13" ht="15" customHeight="1">
      <c r="A13" s="21" t="s">
        <v>162</v>
      </c>
      <c r="L13" s="54"/>
      <c r="M13" s="54"/>
    </row>
    <row r="14" spans="1:13" ht="15" customHeight="1">
      <c r="A14" s="21"/>
      <c r="C14" s="98" t="s">
        <v>563</v>
      </c>
      <c r="D14" s="98" t="s">
        <v>564</v>
      </c>
      <c r="L14" s="54"/>
      <c r="M14" s="54"/>
    </row>
    <row r="15" spans="1:13" ht="15" customHeight="1">
      <c r="A15" s="21"/>
      <c r="C15" s="98" t="str">
        <f ca="1">OFFSET(Trading_comps!C39,MATCH(C16,Trading_comps!AG40:AG41,0),0)</f>
        <v>Coca-Cola Company</v>
      </c>
      <c r="D15" s="98" t="str">
        <f ca="1">OFFSET(Trading_comps!C39,MATCH(D16,Trading_comps!AG40:AG41,0),0)</f>
        <v>Monster Beverage</v>
      </c>
      <c r="L15" s="54"/>
      <c r="M15" s="54"/>
    </row>
    <row r="16" spans="1:13" ht="15" customHeight="1">
      <c r="A16" s="21"/>
      <c r="B16" t="s">
        <v>583</v>
      </c>
      <c r="C16" s="75">
        <f ca="1">MIN(Trading_comps!AG40:AG41)</f>
        <v>5.4127255921755637</v>
      </c>
      <c r="D16" s="75">
        <f ca="1">MAX(Trading_comps!AG40:AG41)</f>
        <v>6.5580127787237892</v>
      </c>
      <c r="L16" s="54"/>
      <c r="M16" s="54"/>
    </row>
    <row r="17" spans="1:13" ht="15" customHeight="1">
      <c r="A17" s="21"/>
      <c r="B17" t="s">
        <v>364</v>
      </c>
      <c r="C17">
        <f ca="1">C16*$E$10</f>
        <v>67980.974932276134</v>
      </c>
      <c r="D17">
        <f ca="1">D16*$E$10</f>
        <v>82365.177159623534</v>
      </c>
      <c r="L17" s="54"/>
      <c r="M17" s="54"/>
    </row>
    <row r="18" spans="1:13" ht="15" customHeight="1">
      <c r="A18" s="21"/>
      <c r="L18" s="54"/>
      <c r="M18" s="54"/>
    </row>
    <row r="19" spans="1:13" ht="15" customHeight="1">
      <c r="A19" s="21"/>
      <c r="C19" s="98" t="s">
        <v>563</v>
      </c>
      <c r="D19" s="98" t="s">
        <v>564</v>
      </c>
      <c r="L19" s="54"/>
      <c r="M19" s="54"/>
    </row>
    <row r="20" spans="1:13" ht="15" customHeight="1">
      <c r="A20" s="21"/>
      <c r="C20" s="98" t="str">
        <f ca="1">OFFSET(Trading_comps!C39,MATCH(C21,Trading_comps!AK40:AK41,0),0)</f>
        <v>Coca-Cola Company</v>
      </c>
      <c r="D20" s="98" t="str">
        <f ca="1">OFFSET(Trading_comps!C39,MATCH(D21,Trading_comps!AK40:AK41,0),0)</f>
        <v>Monster Beverage</v>
      </c>
      <c r="L20" s="54"/>
      <c r="M20" s="54"/>
    </row>
    <row r="21" spans="1:13" ht="15" customHeight="1">
      <c r="A21" s="21"/>
      <c r="B21" t="s">
        <v>584</v>
      </c>
      <c r="C21" s="75">
        <f ca="1">MIN(Trading_comps!AK40:AK41)</f>
        <v>16.104746191341988</v>
      </c>
      <c r="D21" s="75">
        <f ca="1">MAX(Trading_comps!AK40:AK41)</f>
        <v>20.737286880406767</v>
      </c>
      <c r="L21" s="54"/>
      <c r="M21" s="54"/>
    </row>
    <row r="22" spans="1:13" ht="15" customHeight="1">
      <c r="A22" s="21"/>
      <c r="B22" t="s">
        <v>364</v>
      </c>
      <c r="C22">
        <f ca="1">C21*$E$11</f>
        <v>60680.132133813437</v>
      </c>
      <c r="D22">
        <f ca="1">D21*$E$11</f>
        <v>78134.811505217673</v>
      </c>
      <c r="L22" s="54"/>
      <c r="M22" s="54"/>
    </row>
    <row r="23" spans="1:13" ht="15.75" customHeight="1">
      <c r="A23" s="21"/>
      <c r="L23" s="54"/>
      <c r="M23" s="54"/>
    </row>
    <row r="24" spans="1:13" ht="15" customHeight="1">
      <c r="A24" s="21" t="s">
        <v>585</v>
      </c>
      <c r="L24" s="54"/>
      <c r="M24" s="54"/>
    </row>
    <row r="25" spans="1:13" ht="15" customHeight="1">
      <c r="A25" s="21"/>
      <c r="C25" s="98" t="s">
        <v>563</v>
      </c>
      <c r="D25" s="98" t="s">
        <v>564</v>
      </c>
      <c r="L25" s="54"/>
      <c r="M25" s="54"/>
    </row>
    <row r="26" spans="1:13" ht="15" customHeight="1">
      <c r="A26" s="21"/>
      <c r="C26" t="str">
        <f ca="1">"WACC "&amp;TEXT(DCF!$E$57,"0.0%")&amp;" and LT growth "&amp;TEXT(DCF!$G$55,"0.0%")</f>
        <v>WACC 6.6% and LT growth 2.5%</v>
      </c>
      <c r="D26" t="str">
        <f ca="1">"WACC "&amp;TEXT(DCF!$E$59,"0.0%")&amp;" and LT growth "&amp;TEXT(DCF!$I$55,"0.0%")</f>
        <v>WACC 6.4% and LT growth 2.7%</v>
      </c>
      <c r="L26" s="54"/>
      <c r="M26" s="54"/>
    </row>
    <row r="27" spans="1:13" ht="15" customHeight="1">
      <c r="A27" s="21"/>
      <c r="B27" t="s">
        <v>364</v>
      </c>
      <c r="C27">
        <f>DCF!G57</f>
        <v>75413.272111044571</v>
      </c>
      <c r="D27">
        <f>DCF!I59</f>
        <v>82797.02575624091</v>
      </c>
      <c r="L27" s="54"/>
      <c r="M27" s="54"/>
    </row>
    <row r="28" spans="1:13" ht="15" customHeight="1">
      <c r="A28" s="21"/>
      <c r="L28" s="54"/>
      <c r="M28" s="54"/>
    </row>
    <row r="29" spans="1:13" ht="15" customHeight="1">
      <c r="A29" s="21"/>
      <c r="B29" t="s">
        <v>586</v>
      </c>
      <c r="C29" s="74">
        <f>Synergies!$F$10</f>
        <v>8.1677490383670046E-2</v>
      </c>
      <c r="D29" s="74">
        <f>Synergies!$F$10</f>
        <v>8.1677490383670046E-2</v>
      </c>
      <c r="L29" s="54"/>
      <c r="M29" s="54"/>
    </row>
    <row r="30" spans="1:13" ht="15" customHeight="1">
      <c r="A30" s="21"/>
      <c r="B30" t="s">
        <v>587</v>
      </c>
      <c r="C30">
        <f ca="1">Synergies!$F$26</f>
        <v>14684.602756234986</v>
      </c>
      <c r="D30">
        <f ca="1">Synergies!$F$26</f>
        <v>14684.602756234986</v>
      </c>
      <c r="L30" s="54"/>
      <c r="M30" s="54"/>
    </row>
    <row r="31" spans="1:13" ht="15" customHeight="1">
      <c r="A31" s="21"/>
      <c r="B31" t="s">
        <v>588</v>
      </c>
      <c r="C31">
        <f ca="1">C27+C30</f>
        <v>90097.874867279563</v>
      </c>
      <c r="D31">
        <f ca="1">D27+D30</f>
        <v>97481.628512475902</v>
      </c>
      <c r="L31" s="54"/>
      <c r="M31" s="54"/>
    </row>
    <row r="32" spans="1:13" ht="15" customHeight="1">
      <c r="A32" s="21"/>
      <c r="L32" s="54"/>
      <c r="M32" s="54"/>
    </row>
    <row r="33" spans="1:13" ht="15" customHeight="1">
      <c r="A33" s="21" t="s">
        <v>589</v>
      </c>
      <c r="L33" s="54"/>
      <c r="M33" s="54"/>
    </row>
    <row r="34" spans="1:13" ht="15" customHeight="1">
      <c r="A34" s="21"/>
      <c r="C34" s="98" t="s">
        <v>590</v>
      </c>
      <c r="D34" s="98" t="s">
        <v>564</v>
      </c>
      <c r="L34" s="54"/>
      <c r="M34" s="54"/>
    </row>
    <row r="35" spans="1:13" ht="15" customHeight="1">
      <c r="A35" s="21"/>
      <c r="B35" t="s">
        <v>565</v>
      </c>
      <c r="C35" s="75">
        <f>Transaction_comps!D42</f>
        <v>15.875473865762517</v>
      </c>
      <c r="D35" s="75">
        <f>Transaction_comps!E42</f>
        <v>24.745338919528802</v>
      </c>
      <c r="L35" s="54"/>
      <c r="M35" s="54"/>
    </row>
    <row r="36" spans="1:13" ht="15" customHeight="1">
      <c r="A36" s="21"/>
      <c r="B36" t="s">
        <v>364</v>
      </c>
      <c r="C36">
        <f>$C$11*C35</f>
        <v>49754.515894285709</v>
      </c>
      <c r="D36">
        <f>$C$11*D35</f>
        <v>77553.109216878613</v>
      </c>
      <c r="L36" s="54"/>
      <c r="M36" s="54"/>
    </row>
    <row r="37" spans="1:13" ht="15" customHeight="1">
      <c r="A37" s="21"/>
      <c r="L37" s="54"/>
      <c r="M37" s="54"/>
    </row>
    <row r="38" spans="1:13" ht="15" customHeight="1">
      <c r="A38" s="21" t="s">
        <v>18</v>
      </c>
      <c r="L38" s="54"/>
      <c r="M38" s="54"/>
    </row>
    <row r="39" spans="1:13" ht="15" customHeight="1">
      <c r="A39" s="21"/>
      <c r="B39" t="s">
        <v>591</v>
      </c>
      <c r="C39" s="22">
        <v>0.22</v>
      </c>
      <c r="D39" s="22">
        <v>0.2</v>
      </c>
      <c r="L39" s="54"/>
      <c r="M39" s="54"/>
    </row>
    <row r="40" spans="1:13" ht="15" customHeight="1">
      <c r="A40" s="21"/>
      <c r="B40" t="s">
        <v>592</v>
      </c>
      <c r="C40" s="102" t="e">
        <f ca="1">OFFSET(LBO!$C$82,MATCH(C39,LBO!$E$83:$E$103,-1),0)</f>
        <v>#N/A</v>
      </c>
      <c r="D40" s="102" t="e">
        <f ca="1">OFFSET(LBO!$C$82,MATCH(D39,LBO!$E$83:$E$103,-1),0)</f>
        <v>#N/A</v>
      </c>
      <c r="L40" s="54"/>
      <c r="M40" s="54"/>
    </row>
    <row r="41" spans="1:13" ht="15" customHeight="1">
      <c r="A41" s="21"/>
      <c r="B41" t="s">
        <v>364</v>
      </c>
      <c r="C41" t="e">
        <f ca="1">$C$11*C40</f>
        <v>#N/A</v>
      </c>
      <c r="D41" t="e">
        <f ca="1">$C$11*D40</f>
        <v>#N/A</v>
      </c>
      <c r="L41" s="54"/>
      <c r="M41" s="54"/>
    </row>
    <row r="42" spans="1:13" ht="15" customHeight="1">
      <c r="A42" s="21"/>
      <c r="L42" s="54"/>
      <c r="M42" s="54"/>
    </row>
    <row r="43" spans="1:13" ht="15" customHeight="1">
      <c r="A43" s="21" t="s">
        <v>593</v>
      </c>
      <c r="L43" s="54"/>
      <c r="M43" s="54"/>
    </row>
    <row r="44" spans="1:13" ht="15" customHeight="1">
      <c r="A44" s="21"/>
      <c r="L44" s="54"/>
      <c r="M44" s="54"/>
    </row>
    <row r="45" spans="1:13" ht="15" customHeight="1">
      <c r="A45" s="21"/>
      <c r="B45" t="s">
        <v>594</v>
      </c>
      <c r="C45" s="98" t="s">
        <v>563</v>
      </c>
      <c r="D45" s="98" t="s">
        <v>595</v>
      </c>
      <c r="E45" s="98" t="s">
        <v>564</v>
      </c>
      <c r="L45" s="54"/>
      <c r="M45" s="54"/>
    </row>
    <row r="46" spans="1:13" ht="15" customHeight="1">
      <c r="A46" s="21"/>
      <c r="B46" t="str">
        <f>B16</f>
        <v>EV / CY2 Revenue</v>
      </c>
      <c r="C46">
        <f ca="1">C17</f>
        <v>67980.974932276134</v>
      </c>
      <c r="D46">
        <f t="shared" ref="D46:D51" ca="1" si="0">E46-C46</f>
        <v>14384.202227347399</v>
      </c>
      <c r="E46">
        <f ca="1">D17</f>
        <v>82365.177159623534</v>
      </c>
      <c r="L46" s="54"/>
      <c r="M46" s="54"/>
    </row>
    <row r="47" spans="1:13" ht="15" customHeight="1">
      <c r="A47" s="21"/>
      <c r="B47" t="str">
        <f>B21</f>
        <v>EV / CY2 EBITDA</v>
      </c>
      <c r="C47">
        <f ca="1">C22</f>
        <v>60680.132133813437</v>
      </c>
      <c r="D47">
        <f t="shared" ca="1" si="0"/>
        <v>17454.679371404236</v>
      </c>
      <c r="E47">
        <f ca="1">D22</f>
        <v>78134.811505217673</v>
      </c>
      <c r="L47" s="54"/>
      <c r="M47" s="54"/>
    </row>
    <row r="48" spans="1:13" ht="15" customHeight="1">
      <c r="A48" s="21"/>
      <c r="B48" t="str">
        <f ca="1">A24&amp;" WACC "&amp;TEXT(DCF!E59,"0.0%")&amp;" - "&amp;TEXT(DCF!E57,"0.0%")&amp;", LT growth "&amp;TEXT(DCF!G55,"0.0%")&amp;" - "&amp;TEXT(DCF!I55,"0.0%")</f>
        <v>DCF WACC 6.4% - 6.6%, LT growth 2.5% - 2.7%</v>
      </c>
      <c r="C48">
        <f>C27</f>
        <v>75413.272111044571</v>
      </c>
      <c r="D48">
        <f t="shared" si="0"/>
        <v>7383.7536451963388</v>
      </c>
      <c r="E48">
        <f>D27</f>
        <v>82797.02575624091</v>
      </c>
      <c r="L48" s="54"/>
      <c r="M48" s="54"/>
    </row>
    <row r="49" spans="1:13" ht="15" customHeight="1">
      <c r="A49" s="21"/>
      <c r="B49" t="str">
        <f>A24&amp;" with synergies "&amp;TEXT(C29,"0.0%")&amp;" of revenue"</f>
        <v>DCF with synergies 8.2% of revenue</v>
      </c>
      <c r="C49">
        <f ca="1">C31</f>
        <v>90097.874867279563</v>
      </c>
      <c r="D49">
        <f t="shared" ca="1" si="0"/>
        <v>7383.7536451963388</v>
      </c>
      <c r="E49">
        <f ca="1">D31</f>
        <v>97481.628512475902</v>
      </c>
      <c r="L49" s="54"/>
      <c r="M49" s="54"/>
    </row>
    <row r="50" spans="1:13" ht="15" customHeight="1">
      <c r="A50" s="21"/>
      <c r="B50" t="s">
        <v>596</v>
      </c>
      <c r="C50">
        <f>C36</f>
        <v>49754.515894285709</v>
      </c>
      <c r="D50">
        <f t="shared" si="0"/>
        <v>27798.593322592904</v>
      </c>
      <c r="E50">
        <f>D36</f>
        <v>77553.109216878613</v>
      </c>
      <c r="L50" s="54"/>
      <c r="M50" s="54"/>
    </row>
    <row r="51" spans="1:13" ht="15" customHeight="1">
      <c r="A51" s="21"/>
      <c r="B51" t="str">
        <f>A38&amp;", IRR "&amp;TEXT(D39,"0.0%")&amp;" to "&amp;TEXT(C39,"0.0%")</f>
        <v>LBO, IRR 20.0% to 22.0%</v>
      </c>
      <c r="C51" t="e">
        <f ca="1">C41</f>
        <v>#N/A</v>
      </c>
      <c r="D51" t="e">
        <f t="shared" ca="1" si="0"/>
        <v>#N/A</v>
      </c>
      <c r="E51" t="e">
        <f ca="1">D41</f>
        <v>#N/A</v>
      </c>
      <c r="L51" s="54"/>
      <c r="M51" s="54"/>
    </row>
    <row r="52" spans="1:13" ht="15" customHeight="1">
      <c r="A52" s="21"/>
      <c r="H52" t="s">
        <v>597</v>
      </c>
      <c r="L52" s="54"/>
      <c r="M52" s="54"/>
    </row>
    <row r="53" spans="1:13" ht="15" customHeight="1">
      <c r="A53" s="21"/>
      <c r="H53" s="73" t="s">
        <v>598</v>
      </c>
      <c r="I53" s="73" t="s">
        <v>599</v>
      </c>
      <c r="L53" s="54"/>
      <c r="M53" s="54"/>
    </row>
    <row r="54" spans="1:13" ht="15" customHeight="1">
      <c r="H54" s="3">
        <v>0</v>
      </c>
      <c r="I54" s="3">
        <v>75000</v>
      </c>
      <c r="M54" s="54"/>
    </row>
    <row r="55" spans="1:13" ht="15" customHeight="1">
      <c r="A55" s="19"/>
      <c r="H55">
        <f ca="1">COUNTA($B$46:$B$51)</f>
        <v>6</v>
      </c>
      <c r="I55" s="3">
        <v>75000</v>
      </c>
      <c r="M55" s="54"/>
    </row>
    <row r="56" spans="1:13" ht="15" customHeight="1">
      <c r="A56" s="19"/>
      <c r="M56" s="54"/>
    </row>
    <row r="57" spans="1:13" ht="15" customHeight="1">
      <c r="A57" s="19"/>
      <c r="H57" s="66">
        <v>0</v>
      </c>
      <c r="I57" s="66">
        <v>80000</v>
      </c>
      <c r="M57" s="54"/>
    </row>
    <row r="58" spans="1:13" ht="15" customHeight="1">
      <c r="A58" s="19"/>
      <c r="H58">
        <f ca="1">COUNTA($B$46:$B$51)</f>
        <v>6</v>
      </c>
      <c r="I58" s="66">
        <v>80000</v>
      </c>
      <c r="M58" s="54"/>
    </row>
    <row r="59" spans="1:13" ht="15" customHeight="1">
      <c r="A59" s="19"/>
      <c r="L59" s="54"/>
      <c r="M59" s="54"/>
    </row>
    <row r="60" spans="1:13" ht="15" customHeight="1">
      <c r="A60" s="19"/>
      <c r="L60" s="54"/>
      <c r="M60" s="54"/>
    </row>
    <row r="61" spans="1:13" ht="15" customHeight="1">
      <c r="A61" s="19"/>
      <c r="L61" s="54"/>
      <c r="M61" s="54"/>
    </row>
    <row r="62" spans="1:13" ht="15" customHeight="1">
      <c r="A62" s="19"/>
      <c r="L62" s="54"/>
      <c r="M62" s="54"/>
    </row>
    <row r="63" spans="1:13" ht="15" customHeight="1">
      <c r="A63" s="19"/>
      <c r="L63" s="54"/>
      <c r="M63" s="54"/>
    </row>
    <row r="64" spans="1:13" ht="15" customHeight="1">
      <c r="A64" s="19"/>
      <c r="L64" s="54"/>
      <c r="M64" s="54"/>
    </row>
    <row r="65" spans="1:1" ht="15.75" customHeight="1">
      <c r="A65" s="19"/>
    </row>
    <row r="66" spans="1:1" ht="15.75" customHeight="1">
      <c r="A66" s="19"/>
    </row>
    <row r="67" spans="1:1" ht="15.75" customHeight="1">
      <c r="A67" s="19"/>
    </row>
    <row r="68" spans="1:1" ht="15" customHeight="1">
      <c r="A68" s="19"/>
    </row>
    <row r="69" spans="1:1" ht="15" customHeight="1">
      <c r="A69" s="19"/>
    </row>
    <row r="70" spans="1:1" ht="15" customHeight="1">
      <c r="A70" s="19"/>
    </row>
    <row r="71" spans="1:1" ht="15" customHeight="1">
      <c r="A71" s="19"/>
    </row>
    <row r="72" spans="1:1" ht="15" customHeight="1">
      <c r="A72" s="19"/>
    </row>
    <row r="73" spans="1:1" ht="15" customHeight="1">
      <c r="A73" s="19"/>
    </row>
    <row r="74" spans="1:1" ht="15" customHeight="1">
      <c r="A74" s="19"/>
    </row>
    <row r="75" spans="1:1" ht="15" customHeight="1">
      <c r="A75" s="19"/>
    </row>
    <row r="76" spans="1:1" ht="15" customHeight="1">
      <c r="A76" s="19"/>
    </row>
    <row r="77" spans="1:1" ht="15" customHeight="1">
      <c r="A77" s="19"/>
    </row>
    <row r="78" spans="1:1" ht="15" customHeight="1">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25"/>
  <cols>
    <col min="1" max="1" width="1.5703125" customWidth="1"/>
    <col min="2" max="2" width="50.5703125" customWidth="1"/>
    <col min="3" max="3" width="23.42578125" customWidth="1"/>
    <col min="4" max="4" width="31.85546875" customWidth="1"/>
    <col min="6" max="7" width="26" customWidth="1"/>
    <col min="9" max="10" width="30.5703125" customWidth="1"/>
  </cols>
  <sheetData>
    <row r="1" spans="1:13" ht="45" customHeight="1">
      <c r="A1" s="83" t="s">
        <v>600</v>
      </c>
      <c r="B1" s="83"/>
      <c r="C1" s="255"/>
      <c r="D1" s="264"/>
      <c r="E1" s="84"/>
      <c r="F1" s="255"/>
      <c r="G1" s="264"/>
      <c r="H1" s="84"/>
      <c r="I1" s="255"/>
      <c r="J1" s="264"/>
      <c r="K1" s="83"/>
      <c r="L1" s="83"/>
      <c r="M1" s="83"/>
    </row>
    <row r="3" spans="1:13" ht="15.75">
      <c r="A3" s="85" t="s">
        <v>601</v>
      </c>
    </row>
    <row r="4" spans="1:13">
      <c r="B4" s="72" t="s">
        <v>602</v>
      </c>
      <c r="C4" s="72" t="s">
        <v>603</v>
      </c>
      <c r="D4" s="259" t="s">
        <v>604</v>
      </c>
      <c r="E4" s="259"/>
      <c r="F4" s="259"/>
      <c r="G4" s="259"/>
    </row>
    <row r="5" spans="1:13" ht="57" customHeight="1">
      <c r="B5" t="s">
        <v>605</v>
      </c>
      <c r="C5" t="s">
        <v>606</v>
      </c>
      <c r="D5" s="254" t="s">
        <v>607</v>
      </c>
      <c r="E5" s="254"/>
      <c r="F5" s="254"/>
      <c r="G5" s="254"/>
    </row>
    <row r="6" spans="1:13" ht="57" customHeight="1">
      <c r="B6" t="s">
        <v>608</v>
      </c>
      <c r="C6" t="s">
        <v>606</v>
      </c>
      <c r="D6" s="254" t="s">
        <v>609</v>
      </c>
      <c r="E6" s="254"/>
      <c r="F6" s="254"/>
      <c r="G6" s="254"/>
    </row>
    <row r="7" spans="1:13" ht="57" customHeight="1">
      <c r="B7" t="s">
        <v>610</v>
      </c>
      <c r="C7" t="s">
        <v>611</v>
      </c>
      <c r="D7" s="254" t="s">
        <v>612</v>
      </c>
      <c r="E7" s="254"/>
      <c r="F7" s="254"/>
      <c r="G7" s="254"/>
    </row>
    <row r="9" spans="1:13" ht="15.75">
      <c r="A9" s="85" t="s">
        <v>613</v>
      </c>
    </row>
    <row r="11" spans="1:13">
      <c r="C11" s="255" t="s">
        <v>27</v>
      </c>
      <c r="D11" s="264"/>
      <c r="E11" s="84"/>
      <c r="F11" s="255" t="s">
        <v>28</v>
      </c>
      <c r="G11" s="264"/>
      <c r="H11" s="84"/>
      <c r="I11" s="255" t="s">
        <v>29</v>
      </c>
      <c r="J11" s="264"/>
    </row>
    <row r="12" spans="1:13">
      <c r="C12" s="4">
        <v>44561</v>
      </c>
      <c r="D12" s="4">
        <v>44926</v>
      </c>
      <c r="E12" s="4"/>
      <c r="F12" s="4">
        <v>44561</v>
      </c>
      <c r="G12" s="4">
        <v>44926</v>
      </c>
      <c r="H12" s="4"/>
      <c r="I12" s="4">
        <v>44561</v>
      </c>
      <c r="J12" s="4">
        <v>44926</v>
      </c>
    </row>
    <row r="13" spans="1:13" ht="15.75">
      <c r="A13" s="85" t="s">
        <v>605</v>
      </c>
    </row>
    <row r="14" spans="1:13">
      <c r="B14" t="s">
        <v>614</v>
      </c>
    </row>
    <row r="15" spans="1:13">
      <c r="B15" t="s">
        <v>615</v>
      </c>
      <c r="C15" s="244" t="s">
        <v>616</v>
      </c>
      <c r="D15" s="244"/>
      <c r="F15" s="245" t="s">
        <v>617</v>
      </c>
      <c r="G15" s="245"/>
      <c r="H15" s="86"/>
      <c r="I15" s="245" t="s">
        <v>618</v>
      </c>
      <c r="J15" s="245"/>
    </row>
    <row r="16" spans="1:13">
      <c r="B16" t="s">
        <v>619</v>
      </c>
      <c r="C16" s="88">
        <v>1.81</v>
      </c>
      <c r="D16" s="87">
        <v>1.79</v>
      </c>
      <c r="F16" s="88">
        <v>1.82</v>
      </c>
      <c r="G16" s="88">
        <v>1.82</v>
      </c>
      <c r="I16" s="88">
        <v>1.8</v>
      </c>
      <c r="J16" s="88">
        <v>1.7</v>
      </c>
    </row>
    <row r="17" spans="1:10">
      <c r="B17" t="s">
        <v>620</v>
      </c>
      <c r="C17" s="89">
        <f>(1.81/1.98-1)*-1</f>
        <v>8.5858585858585856E-2</v>
      </c>
      <c r="D17" s="76">
        <f>(1.79/1.98-1)*-1</f>
        <v>9.5959595959595911E-2</v>
      </c>
      <c r="F17" s="89">
        <v>7.0000000000000007E-2</v>
      </c>
      <c r="G17" s="89">
        <v>7.0000000000000007E-2</v>
      </c>
      <c r="I17" s="89">
        <v>0.19</v>
      </c>
      <c r="J17" s="89">
        <v>0.22</v>
      </c>
    </row>
    <row r="18" spans="1:10">
      <c r="B18" t="s">
        <v>621</v>
      </c>
      <c r="C18" s="89">
        <v>0.2</v>
      </c>
      <c r="D18" s="76">
        <v>0.21</v>
      </c>
      <c r="F18" s="89">
        <v>0.38</v>
      </c>
      <c r="G18" s="89">
        <v>0.59</v>
      </c>
      <c r="I18" t="s">
        <v>286</v>
      </c>
      <c r="J18" t="s">
        <v>286</v>
      </c>
    </row>
    <row r="19" spans="1:10">
      <c r="B19" t="s">
        <v>622</v>
      </c>
      <c r="C19" s="226"/>
      <c r="D19" s="226"/>
    </row>
    <row r="20" spans="1:10">
      <c r="C20" s="86"/>
      <c r="D20" s="86"/>
    </row>
    <row r="21" spans="1:10">
      <c r="B21" t="s">
        <v>623</v>
      </c>
    </row>
    <row r="22" spans="1:10">
      <c r="B22" t="s">
        <v>624</v>
      </c>
      <c r="C22" s="265" t="s">
        <v>625</v>
      </c>
      <c r="D22" s="265"/>
      <c r="F22" s="245" t="s">
        <v>626</v>
      </c>
      <c r="G22" s="245"/>
      <c r="I22" s="245" t="s">
        <v>626</v>
      </c>
      <c r="J22" s="245"/>
    </row>
    <row r="23" spans="1:10">
      <c r="B23" t="s">
        <v>627</v>
      </c>
      <c r="C23" s="89">
        <v>1.67</v>
      </c>
      <c r="D23" s="76">
        <v>1.59</v>
      </c>
      <c r="F23" s="89">
        <v>0.85</v>
      </c>
      <c r="G23" s="89">
        <v>0.55000000000000004</v>
      </c>
      <c r="I23" s="89">
        <v>0.34</v>
      </c>
      <c r="J23" s="89">
        <v>0.45</v>
      </c>
    </row>
    <row r="24" spans="1:10">
      <c r="C24" s="89"/>
      <c r="D24" s="89"/>
      <c r="F24" s="89"/>
      <c r="G24" s="89"/>
      <c r="I24" s="89"/>
      <c r="J24" s="89"/>
    </row>
    <row r="25" spans="1:10" ht="15.75" customHeight="1">
      <c r="B25" t="s">
        <v>628</v>
      </c>
      <c r="C25" s="251" t="s">
        <v>629</v>
      </c>
      <c r="D25" s="252"/>
      <c r="E25" s="252"/>
      <c r="F25" s="252"/>
      <c r="G25" s="252"/>
      <c r="H25" s="252"/>
      <c r="I25" s="252"/>
      <c r="J25" s="253"/>
    </row>
    <row r="26" spans="1:10" ht="15.75" customHeight="1">
      <c r="C26" s="256" t="s">
        <v>630</v>
      </c>
      <c r="D26" s="257"/>
      <c r="E26" s="257"/>
      <c r="F26" s="257"/>
      <c r="G26" s="257"/>
      <c r="H26" s="257"/>
      <c r="I26" s="257"/>
      <c r="J26" s="258"/>
    </row>
    <row r="27" spans="1:10" ht="15.4" customHeight="1">
      <c r="C27" s="251" t="s">
        <v>631</v>
      </c>
      <c r="D27" s="252"/>
      <c r="E27" s="252"/>
      <c r="F27" s="252"/>
      <c r="G27" s="252"/>
      <c r="H27" s="252"/>
      <c r="I27" s="252"/>
      <c r="J27" s="253"/>
    </row>
    <row r="29" spans="1:10" ht="15.75">
      <c r="A29" s="85" t="s">
        <v>608</v>
      </c>
      <c r="C29" s="245"/>
      <c r="D29" s="245"/>
    </row>
    <row r="30" spans="1:10" ht="15.75">
      <c r="A30" s="85"/>
      <c r="B30" t="s">
        <v>632</v>
      </c>
      <c r="C30" s="86"/>
      <c r="D30" s="86"/>
    </row>
    <row r="31" spans="1:10" ht="15.75">
      <c r="A31" s="85"/>
      <c r="B31" t="s">
        <v>633</v>
      </c>
      <c r="C31" s="244" t="s">
        <v>634</v>
      </c>
      <c r="D31" s="244"/>
      <c r="F31" s="245" t="s">
        <v>635</v>
      </c>
      <c r="G31" s="245"/>
      <c r="I31" s="245" t="s">
        <v>636</v>
      </c>
      <c r="J31" s="245"/>
    </row>
    <row r="32" spans="1:10" ht="15.75">
      <c r="A32" s="85"/>
      <c r="B32" t="s">
        <v>637</v>
      </c>
      <c r="C32" s="89">
        <v>0.23</v>
      </c>
      <c r="D32" s="76">
        <v>0.25</v>
      </c>
      <c r="F32" s="89">
        <v>0.24</v>
      </c>
      <c r="G32" s="89">
        <v>0.24</v>
      </c>
      <c r="I32" t="s">
        <v>286</v>
      </c>
      <c r="J32" t="s">
        <v>286</v>
      </c>
    </row>
    <row r="33" spans="1:10" ht="15.75">
      <c r="A33" s="85"/>
      <c r="B33" t="s">
        <v>638</v>
      </c>
      <c r="C33" s="245" t="s">
        <v>286</v>
      </c>
      <c r="D33" s="245"/>
      <c r="F33" s="245" t="s">
        <v>639</v>
      </c>
      <c r="G33" s="245"/>
      <c r="I33" s="245" t="s">
        <v>640</v>
      </c>
      <c r="J33" s="245"/>
    </row>
    <row r="34" spans="1:10" ht="15.75">
      <c r="A34" s="85"/>
      <c r="B34" t="s">
        <v>641</v>
      </c>
      <c r="C34" s="89">
        <v>0.13600000000000001</v>
      </c>
      <c r="D34" s="76">
        <v>0.15</v>
      </c>
      <c r="F34" s="89">
        <v>0.11</v>
      </c>
      <c r="G34" s="89">
        <v>0.18</v>
      </c>
      <c r="I34" s="89">
        <v>0.06</v>
      </c>
      <c r="J34" s="89">
        <v>7.0000000000000007E-2</v>
      </c>
    </row>
    <row r="35" spans="1:10" ht="15.75">
      <c r="A35" s="85"/>
      <c r="C35" s="86"/>
      <c r="D35" s="86"/>
    </row>
    <row r="36" spans="1:10" ht="15.75">
      <c r="A36" s="85"/>
      <c r="B36" t="s">
        <v>642</v>
      </c>
      <c r="C36" s="86"/>
      <c r="D36" s="86"/>
    </row>
    <row r="37" spans="1:10">
      <c r="B37" t="s">
        <v>643</v>
      </c>
      <c r="C37" s="244" t="s">
        <v>644</v>
      </c>
      <c r="D37" s="244"/>
      <c r="F37" s="245" t="s">
        <v>645</v>
      </c>
      <c r="G37" s="245"/>
      <c r="I37" s="245" t="s">
        <v>645</v>
      </c>
      <c r="J37" s="245"/>
    </row>
    <row r="38" spans="1:10">
      <c r="B38" t="s">
        <v>646</v>
      </c>
      <c r="C38" s="89">
        <v>0.9</v>
      </c>
      <c r="D38" s="76">
        <v>0.9</v>
      </c>
      <c r="F38" s="89">
        <v>0.92</v>
      </c>
      <c r="G38" s="89">
        <v>0.9</v>
      </c>
      <c r="I38" s="89">
        <v>0.87</v>
      </c>
      <c r="J38" s="89">
        <v>0.88</v>
      </c>
    </row>
    <row r="39" spans="1:10">
      <c r="C39" s="89"/>
      <c r="D39" s="89"/>
      <c r="F39" s="89"/>
      <c r="G39" s="89"/>
      <c r="I39" s="89"/>
      <c r="J39" s="89"/>
    </row>
    <row r="40" spans="1:10" ht="28.9" customHeight="1">
      <c r="B40" t="s">
        <v>628</v>
      </c>
      <c r="C40" s="246" t="s">
        <v>647</v>
      </c>
      <c r="D40" s="247"/>
      <c r="E40" s="247"/>
      <c r="F40" s="247"/>
      <c r="G40" s="247"/>
      <c r="H40" s="247"/>
      <c r="I40" s="247"/>
      <c r="J40" s="248"/>
    </row>
    <row r="41" spans="1:10">
      <c r="C41" s="90"/>
      <c r="D41" s="90"/>
      <c r="E41" s="90"/>
      <c r="F41" s="90"/>
      <c r="G41" s="90"/>
      <c r="H41" s="90"/>
      <c r="I41" s="90"/>
      <c r="J41" s="90"/>
    </row>
    <row r="42" spans="1:10" ht="15.75">
      <c r="A42" s="91" t="s">
        <v>610</v>
      </c>
      <c r="C42" s="245"/>
      <c r="D42" s="245"/>
    </row>
    <row r="43" spans="1:10" ht="28.5" customHeight="1">
      <c r="B43" t="s">
        <v>466</v>
      </c>
      <c r="C43" s="245" t="s">
        <v>286</v>
      </c>
      <c r="D43" s="245"/>
      <c r="F43" s="249" t="s">
        <v>648</v>
      </c>
      <c r="G43" s="249"/>
      <c r="I43" s="250" t="s">
        <v>649</v>
      </c>
      <c r="J43" s="250"/>
    </row>
    <row r="44" spans="1:10">
      <c r="B44" t="s">
        <v>650</v>
      </c>
      <c r="C44" s="74">
        <v>0.66</v>
      </c>
      <c r="D44" s="92">
        <v>0.68</v>
      </c>
      <c r="F44" s="74">
        <v>0.56000000000000005</v>
      </c>
      <c r="G44" s="89">
        <v>0.56999999999999995</v>
      </c>
      <c r="I44" s="89">
        <v>0.53</v>
      </c>
      <c r="J44" s="89">
        <v>0.56000000000000005</v>
      </c>
    </row>
    <row r="45" spans="1:10">
      <c r="B45" t="s">
        <v>651</v>
      </c>
      <c r="C45" s="74">
        <v>0.28000000000000003</v>
      </c>
      <c r="D45" s="76">
        <v>0.28999999999999998</v>
      </c>
      <c r="F45" t="s">
        <v>286</v>
      </c>
      <c r="G45" t="s">
        <v>286</v>
      </c>
      <c r="I45" t="s">
        <v>286</v>
      </c>
      <c r="J45" t="s">
        <v>286</v>
      </c>
    </row>
    <row r="46" spans="1:10">
      <c r="C46" s="89"/>
      <c r="D46" s="89"/>
    </row>
    <row r="47" spans="1:10" s="72" customFormat="1" ht="30.4" customHeight="1">
      <c r="B47" t="s">
        <v>628</v>
      </c>
      <c r="C47" s="241" t="s">
        <v>652</v>
      </c>
      <c r="D47" s="242"/>
      <c r="E47" s="242"/>
      <c r="F47" s="242"/>
      <c r="G47" s="242"/>
      <c r="H47" s="242"/>
      <c r="I47" s="242"/>
      <c r="J47" s="243"/>
    </row>
    <row r="49" spans="1:1" ht="15.75">
      <c r="A49" s="91" t="s">
        <v>147</v>
      </c>
    </row>
  </sheetData>
  <mergeCells count="35">
    <mergeCell ref="D6:G6"/>
    <mergeCell ref="C1:D1"/>
    <mergeCell ref="F1:G1"/>
    <mergeCell ref="I1:J1"/>
    <mergeCell ref="D4:G4"/>
    <mergeCell ref="D5:G5"/>
    <mergeCell ref="C27:J27"/>
    <mergeCell ref="D7:G7"/>
    <mergeCell ref="C11:D11"/>
    <mergeCell ref="F11:G11"/>
    <mergeCell ref="I11:J11"/>
    <mergeCell ref="C15:D15"/>
    <mergeCell ref="F15:G15"/>
    <mergeCell ref="I15:J15"/>
    <mergeCell ref="C22:D22"/>
    <mergeCell ref="F22:G22"/>
    <mergeCell ref="I22:J22"/>
    <mergeCell ref="C25:J25"/>
    <mergeCell ref="C26:J26"/>
    <mergeCell ref="C29:D29"/>
    <mergeCell ref="C31:D31"/>
    <mergeCell ref="F31:G31"/>
    <mergeCell ref="I31:J31"/>
    <mergeCell ref="C33:D33"/>
    <mergeCell ref="F33:G33"/>
    <mergeCell ref="I33:J33"/>
    <mergeCell ref="C47:J47"/>
    <mergeCell ref="C37:D37"/>
    <mergeCell ref="F37:G37"/>
    <mergeCell ref="I37:J37"/>
    <mergeCell ref="C40:J40"/>
    <mergeCell ref="C42:D42"/>
    <mergeCell ref="C43:D43"/>
    <mergeCell ref="F43:G43"/>
    <mergeCell ref="I43:J43"/>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72"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5" width="10.28515625" customWidth="1"/>
    <col min="16" max="16" width="47.28515625" bestFit="1" customWidth="1"/>
  </cols>
  <sheetData>
    <row r="1" spans="1:16" ht="45" customHeight="1">
      <c r="A1" s="83" t="str">
        <f>"Financial forecast for "&amp;Info!N5</f>
        <v>Financial forecast for Red Bull</v>
      </c>
      <c r="B1" s="83"/>
      <c r="C1" s="83"/>
      <c r="D1" s="83"/>
      <c r="E1" s="83"/>
      <c r="F1" s="83"/>
      <c r="G1" s="83"/>
      <c r="H1" s="83"/>
      <c r="I1" s="83"/>
      <c r="J1" s="83"/>
      <c r="K1" s="83"/>
      <c r="L1" s="83"/>
      <c r="M1" s="83"/>
      <c r="N1" s="83"/>
      <c r="O1" s="83"/>
      <c r="P1" s="23"/>
    </row>
    <row r="2" spans="1:16" ht="15" customHeight="1">
      <c r="A2" s="95"/>
      <c r="B2" s="95"/>
      <c r="C2" s="95" t="s">
        <v>653</v>
      </c>
      <c r="D2" s="95" t="s">
        <v>653</v>
      </c>
      <c r="E2" s="95" t="s">
        <v>653</v>
      </c>
      <c r="F2" s="95" t="s">
        <v>653</v>
      </c>
      <c r="G2" s="95" t="s">
        <v>654</v>
      </c>
      <c r="H2" s="95" t="s">
        <v>654</v>
      </c>
      <c r="I2" s="95" t="s">
        <v>654</v>
      </c>
      <c r="J2" s="95" t="s">
        <v>654</v>
      </c>
      <c r="K2" s="95" t="s">
        <v>654</v>
      </c>
      <c r="L2" s="95" t="s">
        <v>654</v>
      </c>
      <c r="M2" s="95" t="s">
        <v>654</v>
      </c>
      <c r="N2" s="95" t="s">
        <v>654</v>
      </c>
      <c r="O2" s="95" t="s">
        <v>654</v>
      </c>
      <c r="P2" s="24"/>
    </row>
    <row r="3" spans="1:16" ht="15" customHeight="1">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c r="A4" s="85"/>
      <c r="B4" t="s">
        <v>407</v>
      </c>
    </row>
    <row r="5" spans="1:16" ht="15" customHeight="1">
      <c r="A5" s="85"/>
      <c r="C5" s="2"/>
      <c r="D5" s="2"/>
      <c r="E5" s="2"/>
      <c r="F5" s="2"/>
      <c r="G5" s="2"/>
      <c r="H5" s="2"/>
      <c r="J5" s="2"/>
      <c r="K5" s="211"/>
      <c r="L5" s="211"/>
      <c r="M5" s="2"/>
      <c r="N5" s="74"/>
      <c r="O5" s="2"/>
      <c r="P5" s="2"/>
    </row>
    <row r="6" spans="1:16" ht="15" customHeight="1">
      <c r="A6" s="85" t="s">
        <v>655</v>
      </c>
      <c r="N6" s="74"/>
    </row>
    <row r="7" spans="1:16" ht="15" customHeight="1">
      <c r="A7" s="85"/>
    </row>
    <row r="8" spans="1:16" ht="15" customHeight="1">
      <c r="A8" s="85"/>
      <c r="B8" t="s">
        <v>656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c r="A9" s="85"/>
      <c r="B9" t="s">
        <v>657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c r="A10" s="85"/>
      <c r="B10" t="s">
        <v>658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c r="A11" s="85"/>
      <c r="B11" t="s">
        <v>659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c r="A12" s="85"/>
      <c r="B12" t="s">
        <v>660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c r="A13" s="85"/>
      <c r="B13" t="s">
        <v>661</v>
      </c>
      <c r="D13" s="74"/>
      <c r="E13" s="74"/>
      <c r="F13" s="74"/>
      <c r="G13" s="74"/>
      <c r="H13" s="74"/>
      <c r="I13" s="74"/>
      <c r="J13" s="74"/>
      <c r="K13" s="74"/>
      <c r="L13" s="74">
        <f>(L54/G54)^(1/COLUMNS(H54:L54))-1</f>
        <v>8.0650543522992724E-2</v>
      </c>
      <c r="M13" s="74"/>
      <c r="N13" s="74"/>
      <c r="O13" s="74"/>
    </row>
    <row r="14" spans="1:16" ht="15" customHeight="1">
      <c r="A14" s="85"/>
      <c r="B14" t="s">
        <v>662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c r="A15" s="85"/>
      <c r="B15" t="s">
        <v>663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c r="A16" s="85"/>
      <c r="B16" t="s">
        <v>664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c r="A17" s="85"/>
      <c r="B17" t="s">
        <v>665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c r="A18" s="85"/>
      <c r="B18" t="s">
        <v>666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c r="A19" s="85"/>
      <c r="B19" t="s">
        <v>667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c r="A20" s="85"/>
      <c r="B20" t="s">
        <v>219</v>
      </c>
      <c r="F20" s="71">
        <v>0.24</v>
      </c>
      <c r="G20" s="55">
        <v>0.23</v>
      </c>
      <c r="H20" s="55">
        <v>0.23</v>
      </c>
      <c r="I20" s="55">
        <v>0.23</v>
      </c>
      <c r="J20" s="55">
        <v>0.23</v>
      </c>
      <c r="K20" s="55">
        <v>0.23</v>
      </c>
      <c r="L20" s="55">
        <v>0.23</v>
      </c>
      <c r="M20" s="55">
        <v>0.23</v>
      </c>
      <c r="N20" s="55">
        <v>0.23</v>
      </c>
      <c r="O20" s="55">
        <v>0.23</v>
      </c>
    </row>
    <row r="21" spans="1:15" ht="15" customHeight="1">
      <c r="A21" s="85"/>
      <c r="B21" t="s">
        <v>668</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c r="A22" s="85"/>
    </row>
    <row r="23" spans="1:15" ht="15" customHeight="1">
      <c r="A23" s="85"/>
      <c r="B23" t="s">
        <v>669</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c r="A25" s="85"/>
      <c r="B25" t="s">
        <v>670</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c r="A26" s="85"/>
      <c r="B26" t="s">
        <v>671</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c r="A27" s="85"/>
      <c r="B27" t="s">
        <v>672</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c r="A28" s="85"/>
      <c r="B28" t="s">
        <v>673</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c r="A29" s="85"/>
    </row>
    <row r="30" spans="1:15" ht="15" customHeight="1">
      <c r="A30" s="85"/>
      <c r="B30" t="s">
        <v>674</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c r="A31" s="85"/>
      <c r="B31" t="s">
        <v>675</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c r="A32" s="85"/>
      <c r="B32" t="s">
        <v>676</v>
      </c>
      <c r="G32" s="55">
        <v>0.06</v>
      </c>
      <c r="H32" s="55">
        <v>0.06</v>
      </c>
      <c r="I32" s="55">
        <v>0.06</v>
      </c>
      <c r="J32" s="55">
        <v>0.06</v>
      </c>
      <c r="K32" s="55">
        <v>0.06</v>
      </c>
      <c r="L32" s="55">
        <v>0.06</v>
      </c>
      <c r="M32" s="55">
        <v>0.06</v>
      </c>
      <c r="N32" s="55">
        <v>0.06</v>
      </c>
      <c r="O32" s="55">
        <v>0.06</v>
      </c>
    </row>
    <row r="33" spans="1:15" ht="15" customHeight="1">
      <c r="A33" s="85"/>
      <c r="B33" t="s">
        <v>677</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c r="A34" s="85"/>
    </row>
    <row r="35" spans="1:15" ht="15" customHeight="1">
      <c r="A35" s="85" t="s">
        <v>678</v>
      </c>
    </row>
    <row r="36" spans="1:15" ht="15" customHeight="1">
      <c r="A36" s="85"/>
      <c r="B36" t="s">
        <v>95</v>
      </c>
    </row>
    <row r="37" spans="1:15" ht="15" customHeight="1">
      <c r="A37" s="85"/>
      <c r="B37" t="s">
        <v>679</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c r="A38" s="85"/>
      <c r="B38" t="s">
        <v>680</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c r="A39" s="85"/>
      <c r="B39" t="s">
        <v>681</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c r="A40" s="85"/>
      <c r="B40" t="s">
        <v>682</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c r="A41" s="85"/>
    </row>
    <row r="42" spans="1:15" ht="15" customHeight="1">
      <c r="A42" s="85"/>
      <c r="B42" t="s">
        <v>444</v>
      </c>
    </row>
    <row r="43" spans="1:15" ht="15" customHeight="1">
      <c r="A43" s="85"/>
      <c r="B43" t="s">
        <v>679</v>
      </c>
      <c r="G43">
        <f>F46</f>
        <v>4112.3999999999996</v>
      </c>
      <c r="H43">
        <f t="shared" ref="H43:O43" si="10">G46</f>
        <v>4665.0546545794477</v>
      </c>
      <c r="I43">
        <f t="shared" si="10"/>
        <v>5275.0235657474768</v>
      </c>
      <c r="J43">
        <f t="shared" si="10"/>
        <v>5971.6583554559875</v>
      </c>
      <c r="K43">
        <f t="shared" si="10"/>
        <v>6748.8982001325212</v>
      </c>
      <c r="L43">
        <f t="shared" si="10"/>
        <v>7585.1234874199854</v>
      </c>
      <c r="M43">
        <f t="shared" si="10"/>
        <v>8488.1840079313024</v>
      </c>
      <c r="N43">
        <f t="shared" si="10"/>
        <v>9438.6537028342373</v>
      </c>
      <c r="O43">
        <f t="shared" si="10"/>
        <v>10426.984509930066</v>
      </c>
    </row>
    <row r="44" spans="1:15" ht="15" customHeight="1">
      <c r="A44" s="85"/>
      <c r="B44" t="s">
        <v>683</v>
      </c>
      <c r="G44">
        <f t="shared" ref="G44:O44" si="11">G71</f>
        <v>2210.6186183177965</v>
      </c>
      <c r="H44">
        <f t="shared" si="11"/>
        <v>2439.8756446721163</v>
      </c>
      <c r="I44">
        <f t="shared" si="11"/>
        <v>2786.5391588340431</v>
      </c>
      <c r="J44">
        <f t="shared" si="11"/>
        <v>3108.9593787061394</v>
      </c>
      <c r="K44">
        <f t="shared" si="11"/>
        <v>3344.9011491498572</v>
      </c>
      <c r="L44">
        <f t="shared" si="11"/>
        <v>3612.2420820452639</v>
      </c>
      <c r="M44">
        <f t="shared" si="11"/>
        <v>3801.8787796117376</v>
      </c>
      <c r="N44">
        <f t="shared" si="11"/>
        <v>3953.323228383314</v>
      </c>
      <c r="O44">
        <f t="shared" si="11"/>
        <v>4041.5633644617169</v>
      </c>
    </row>
    <row r="45" spans="1:15" ht="15" customHeight="1">
      <c r="A45" s="85"/>
      <c r="B45" t="s">
        <v>684</v>
      </c>
      <c r="D45" s="66">
        <v>-1220.139345</v>
      </c>
      <c r="E45" s="66">
        <v>-1510.722702</v>
      </c>
      <c r="F45" s="66">
        <v>-1701</v>
      </c>
      <c r="G45">
        <f t="shared" ref="G45:O45" si="12">-G21*G44</f>
        <v>-1657.9639637383475</v>
      </c>
      <c r="H45">
        <f t="shared" si="12"/>
        <v>-1829.9067335040872</v>
      </c>
      <c r="I45">
        <f t="shared" si="12"/>
        <v>-2089.9043691255324</v>
      </c>
      <c r="J45">
        <f t="shared" si="12"/>
        <v>-2331.7195340296048</v>
      </c>
      <c r="K45">
        <f t="shared" si="12"/>
        <v>-2508.675861862393</v>
      </c>
      <c r="L45">
        <f t="shared" si="12"/>
        <v>-2709.1815615339478</v>
      </c>
      <c r="M45">
        <f t="shared" si="12"/>
        <v>-2851.4090847088032</v>
      </c>
      <c r="N45">
        <f t="shared" si="12"/>
        <v>-2964.9924212874857</v>
      </c>
      <c r="O45">
        <f t="shared" si="12"/>
        <v>-3031.1725233462876</v>
      </c>
    </row>
    <row r="46" spans="1:15" ht="15" customHeight="1">
      <c r="A46" s="85"/>
      <c r="B46" t="s">
        <v>682</v>
      </c>
      <c r="E46" s="54"/>
      <c r="F46">
        <f>F91</f>
        <v>4112.3999999999996</v>
      </c>
      <c r="G46">
        <f t="shared" ref="G46:O46" si="13">SUM(G43:G45)</f>
        <v>4665.0546545794477</v>
      </c>
      <c r="H46">
        <f t="shared" si="13"/>
        <v>5275.0235657474768</v>
      </c>
      <c r="I46">
        <f t="shared" si="13"/>
        <v>5971.6583554559875</v>
      </c>
      <c r="J46">
        <f t="shared" si="13"/>
        <v>6748.8982001325212</v>
      </c>
      <c r="K46">
        <f t="shared" si="13"/>
        <v>7585.1234874199854</v>
      </c>
      <c r="L46">
        <f t="shared" si="13"/>
        <v>8488.1840079313024</v>
      </c>
      <c r="M46">
        <f t="shared" si="13"/>
        <v>9438.6537028342373</v>
      </c>
      <c r="N46">
        <f t="shared" si="13"/>
        <v>10426.984509930066</v>
      </c>
      <c r="O46">
        <f t="shared" si="13"/>
        <v>11437.375351045495</v>
      </c>
    </row>
    <row r="47" spans="1:15" ht="15" customHeight="1">
      <c r="A47" s="85"/>
    </row>
    <row r="48" spans="1:15" ht="15" customHeight="1">
      <c r="A48" s="85" t="s">
        <v>685</v>
      </c>
    </row>
    <row r="49" spans="1:15" ht="15" customHeight="1">
      <c r="A49" s="85"/>
      <c r="B49" t="s">
        <v>228</v>
      </c>
    </row>
    <row r="50" spans="1:15" ht="15" customHeight="1">
      <c r="A50" s="85"/>
      <c r="B50" s="202" t="s">
        <v>686</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c r="A51" s="85"/>
      <c r="B51" s="202" t="s">
        <v>501</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c r="A52" s="85"/>
      <c r="B52" s="202" t="s">
        <v>687</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c r="A53" s="85"/>
      <c r="B53" s="202" t="s">
        <v>688</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c r="A54" s="85"/>
      <c r="B54" t="s">
        <v>689</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c r="A55" s="85"/>
      <c r="B55" t="s">
        <v>690</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c r="A56" s="85"/>
      <c r="B56" t="s">
        <v>691</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c r="A57" s="85"/>
    </row>
    <row r="58" spans="1:15" ht="15" customHeight="1">
      <c r="A58" s="85"/>
      <c r="B58" t="s">
        <v>692</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c r="A59" s="85"/>
      <c r="B59" t="s">
        <v>693</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c r="A61" s="85"/>
    </row>
    <row r="62" spans="1:15" ht="15" customHeight="1">
      <c r="A62" s="85"/>
      <c r="B62" t="s">
        <v>681</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c r="A64" s="85"/>
    </row>
    <row r="65" spans="1:15" ht="15" customHeight="1">
      <c r="A65" s="85"/>
      <c r="B65" t="s">
        <v>694</v>
      </c>
      <c r="C65" s="3">
        <v>10.136563839999999</v>
      </c>
      <c r="D65" s="66">
        <v>56.465197000000003</v>
      </c>
      <c r="E65" s="66">
        <v>52.646692999999999</v>
      </c>
      <c r="F65" s="66">
        <v>55</v>
      </c>
      <c r="G65">
        <f t="shared" ref="G65:O65" si="30">IF(Circswitch=1,G120,0)</f>
        <v>0</v>
      </c>
      <c r="H65">
        <f t="shared" si="30"/>
        <v>0</v>
      </c>
      <c r="I65">
        <f t="shared" si="30"/>
        <v>0</v>
      </c>
      <c r="J65">
        <f t="shared" si="30"/>
        <v>0</v>
      </c>
      <c r="K65">
        <f t="shared" si="30"/>
        <v>0</v>
      </c>
      <c r="L65">
        <f t="shared" si="30"/>
        <v>0</v>
      </c>
      <c r="M65">
        <f t="shared" si="30"/>
        <v>0</v>
      </c>
      <c r="N65">
        <f t="shared" si="30"/>
        <v>0</v>
      </c>
      <c r="O65">
        <f t="shared" si="30"/>
        <v>0</v>
      </c>
    </row>
    <row r="66" spans="1:15" ht="15" customHeight="1">
      <c r="A66" s="85"/>
      <c r="B66" t="s">
        <v>695</v>
      </c>
      <c r="C66" s="3">
        <v>-20.26868073</v>
      </c>
      <c r="D66" s="66">
        <v>-24.409697999999999</v>
      </c>
      <c r="E66" s="66">
        <v>-30.7379</v>
      </c>
      <c r="F66" s="66">
        <v>-34.200000000000003</v>
      </c>
      <c r="G66">
        <f t="shared" ref="G66:O66" si="31">-IF(Circswitch=1,G118+G119,0)</f>
        <v>0</v>
      </c>
      <c r="H66">
        <f t="shared" si="31"/>
        <v>0</v>
      </c>
      <c r="I66">
        <f t="shared" si="31"/>
        <v>0</v>
      </c>
      <c r="J66">
        <f t="shared" si="31"/>
        <v>0</v>
      </c>
      <c r="K66">
        <f t="shared" si="31"/>
        <v>0</v>
      </c>
      <c r="L66">
        <f t="shared" si="31"/>
        <v>0</v>
      </c>
      <c r="M66">
        <f t="shared" si="31"/>
        <v>0</v>
      </c>
      <c r="N66">
        <f t="shared" si="31"/>
        <v>0</v>
      </c>
      <c r="O66">
        <f t="shared" si="31"/>
        <v>0</v>
      </c>
    </row>
    <row r="67" spans="1:15" ht="15" customHeight="1">
      <c r="A67" s="85"/>
      <c r="B67" t="s">
        <v>696</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c r="A68" s="85"/>
      <c r="B68" t="s">
        <v>697</v>
      </c>
      <c r="C68">
        <f>SUM(C65:C67,C63)</f>
        <v>1619.7250154299993</v>
      </c>
      <c r="D68">
        <f>SUM(D63,D65:D67)</f>
        <v>2299.3924429999997</v>
      </c>
      <c r="E68">
        <f>SUM(E63,E65:E67)</f>
        <v>2320.7034599999988</v>
      </c>
      <c r="F68">
        <f>SUM(F63,F65:F67)</f>
        <v>2761.8491827199987</v>
      </c>
      <c r="G68">
        <f t="shared" ref="G68:O68" si="33">SUM(G63,G65:G67)</f>
        <v>2967.2733131782502</v>
      </c>
      <c r="H68">
        <f t="shared" si="33"/>
        <v>3275.0008653317</v>
      </c>
      <c r="I68">
        <f t="shared" si="33"/>
        <v>3740.3210185691855</v>
      </c>
      <c r="J68">
        <f t="shared" si="33"/>
        <v>4173.0998371894493</v>
      </c>
      <c r="K68">
        <f t="shared" si="33"/>
        <v>4489.8002002011508</v>
      </c>
      <c r="L68">
        <f t="shared" si="33"/>
        <v>4848.647089993643</v>
      </c>
      <c r="M68">
        <f t="shared" si="33"/>
        <v>5103.1929927674328</v>
      </c>
      <c r="N68">
        <f t="shared" si="33"/>
        <v>5306.4741320581397</v>
      </c>
      <c r="O68">
        <f t="shared" si="33"/>
        <v>5424.9172677338483</v>
      </c>
    </row>
    <row r="69" spans="1:15" ht="15" customHeight="1">
      <c r="A69" s="85"/>
    </row>
    <row r="70" spans="1:15" ht="15" customHeight="1">
      <c r="A70" s="85"/>
      <c r="B70" t="s">
        <v>698</v>
      </c>
      <c r="C70" s="3">
        <v>-416.86507541000003</v>
      </c>
      <c r="D70" s="66">
        <v>-587.13228500000002</v>
      </c>
      <c r="E70" s="66">
        <v>-599.56498699999997</v>
      </c>
      <c r="F70" s="66">
        <v>-612.1</v>
      </c>
      <c r="G70">
        <f t="shared" ref="G70:O70" si="34">-G19*G68</f>
        <v>-756.65469486045379</v>
      </c>
      <c r="H70">
        <f t="shared" si="34"/>
        <v>-835.12522065958353</v>
      </c>
      <c r="I70">
        <f t="shared" si="34"/>
        <v>-953.78185973514235</v>
      </c>
      <c r="J70">
        <f t="shared" si="34"/>
        <v>-1064.1404584833097</v>
      </c>
      <c r="K70">
        <f t="shared" si="34"/>
        <v>-1144.8990510512936</v>
      </c>
      <c r="L70">
        <f t="shared" si="34"/>
        <v>-1236.4050079483791</v>
      </c>
      <c r="M70">
        <f t="shared" si="34"/>
        <v>-1301.3142131556954</v>
      </c>
      <c r="N70">
        <f t="shared" si="34"/>
        <v>-1353.1509036748257</v>
      </c>
      <c r="O70">
        <f t="shared" si="34"/>
        <v>-1383.3539032721314</v>
      </c>
    </row>
    <row r="71" spans="1:15" ht="15" customHeight="1">
      <c r="A71" s="85"/>
      <c r="B71" t="s">
        <v>683</v>
      </c>
      <c r="C71">
        <f>SUM(C70,C68)</f>
        <v>1202.8599400199992</v>
      </c>
      <c r="D71">
        <f t="shared" ref="D71:E71" si="35">SUM(D70,D68)</f>
        <v>1712.2601579999996</v>
      </c>
      <c r="E71">
        <f t="shared" si="35"/>
        <v>1721.1384729999988</v>
      </c>
      <c r="F71">
        <f t="shared" ref="F71" si="36">SUM(F70,F68)</f>
        <v>2149.7491827199988</v>
      </c>
      <c r="G71">
        <f t="shared" ref="G71:O71" si="37">SUM(G70,G68)</f>
        <v>2210.6186183177965</v>
      </c>
      <c r="H71">
        <f t="shared" si="37"/>
        <v>2439.8756446721163</v>
      </c>
      <c r="I71">
        <f t="shared" si="37"/>
        <v>2786.5391588340431</v>
      </c>
      <c r="J71">
        <f t="shared" si="37"/>
        <v>3108.9593787061394</v>
      </c>
      <c r="K71">
        <f t="shared" si="37"/>
        <v>3344.9011491498572</v>
      </c>
      <c r="L71">
        <f t="shared" si="37"/>
        <v>3612.2420820452639</v>
      </c>
      <c r="M71">
        <f t="shared" si="37"/>
        <v>3801.8787796117376</v>
      </c>
      <c r="N71">
        <f t="shared" si="37"/>
        <v>3953.323228383314</v>
      </c>
      <c r="O71">
        <f t="shared" si="37"/>
        <v>4041.5633644617169</v>
      </c>
    </row>
    <row r="72" spans="1:15" ht="15" customHeight="1">
      <c r="A72" s="85"/>
    </row>
    <row r="73" spans="1:15" ht="15" customHeight="1">
      <c r="A73" s="85" t="s">
        <v>699</v>
      </c>
    </row>
    <row r="74" spans="1:15" ht="15" customHeight="1">
      <c r="A74" s="85"/>
      <c r="B74" t="s">
        <v>700</v>
      </c>
      <c r="C74" s="3">
        <v>1082.7166952999999</v>
      </c>
      <c r="D74" s="66">
        <v>1104.475913</v>
      </c>
      <c r="E74" s="66">
        <v>277.82339200000001</v>
      </c>
      <c r="F74" s="66">
        <v>598.1</v>
      </c>
      <c r="G74">
        <f>MAX(0,G115)</f>
        <v>775.73175301233562</v>
      </c>
      <c r="H74">
        <f t="shared" ref="H74:O74" si="38">MAX(0,H115)</f>
        <v>972.14538443097661</v>
      </c>
      <c r="I74">
        <f t="shared" si="38"/>
        <v>1278.4582068175314</v>
      </c>
      <c r="J74">
        <f t="shared" si="38"/>
        <v>1661.170224773693</v>
      </c>
      <c r="K74">
        <f t="shared" si="38"/>
        <v>2171.8182171143217</v>
      </c>
      <c r="L74">
        <f t="shared" si="38"/>
        <v>2674.164218733255</v>
      </c>
      <c r="M74">
        <f t="shared" si="38"/>
        <v>3353.5594866099364</v>
      </c>
      <c r="N74">
        <f t="shared" si="38"/>
        <v>4074.8023150250156</v>
      </c>
      <c r="O74">
        <f t="shared" si="38"/>
        <v>4914.5090022357781</v>
      </c>
    </row>
    <row r="75" spans="1:15" ht="15" customHeight="1">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c r="A78" s="85"/>
      <c r="B78" t="s">
        <v>701</v>
      </c>
      <c r="C78">
        <f>SUM(C74:C77)</f>
        <v>2555.3631045000002</v>
      </c>
      <c r="D78">
        <f>SUM(D74:D77)</f>
        <v>2768.5143989999997</v>
      </c>
      <c r="E78">
        <f>SUM(E74:E77)</f>
        <v>2887.8977279999999</v>
      </c>
      <c r="F78">
        <f>SUM(F74:F77)</f>
        <v>3154.7</v>
      </c>
      <c r="G78">
        <f t="shared" ref="G78" si="45">SUM(G74:G77)</f>
        <v>3532.2259316818167</v>
      </c>
      <c r="H78">
        <f t="shared" ref="H78:O78" si="46">SUM(H74:H77)</f>
        <v>3958.7189812471061</v>
      </c>
      <c r="I78">
        <f t="shared" si="46"/>
        <v>4423.8845373720305</v>
      </c>
      <c r="J78">
        <f t="shared" si="46"/>
        <v>5036.9297326652641</v>
      </c>
      <c r="K78">
        <f t="shared" si="46"/>
        <v>5789.832674561696</v>
      </c>
      <c r="L78">
        <f t="shared" si="46"/>
        <v>6551.2499129948392</v>
      </c>
      <c r="M78">
        <f t="shared" si="46"/>
        <v>7451.0163335871239</v>
      </c>
      <c r="N78">
        <f t="shared" si="46"/>
        <v>8342.580467180278</v>
      </c>
      <c r="O78">
        <f t="shared" si="46"/>
        <v>9293.2493863470772</v>
      </c>
    </row>
    <row r="79" spans="1:15" ht="15" customHeight="1">
      <c r="A79" s="85"/>
    </row>
    <row r="80" spans="1:15" ht="15" customHeight="1">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c r="A81" s="85"/>
      <c r="B81" t="s">
        <v>702</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c r="A82" s="85"/>
      <c r="B82" t="s">
        <v>703</v>
      </c>
      <c r="C82">
        <f>SUM(C78,C80:C81)</f>
        <v>4693.2928146000004</v>
      </c>
      <c r="D82">
        <f t="shared" ref="D82:E82" si="51">SUM(D78,D80:D81)</f>
        <v>5445.3018480000001</v>
      </c>
      <c r="E82">
        <f t="shared" si="51"/>
        <v>6347.785457</v>
      </c>
      <c r="F82">
        <f t="shared" ref="F82:G82" si="52">SUM(F78,F80:F81)</f>
        <v>6961.7</v>
      </c>
      <c r="G82">
        <f t="shared" si="52"/>
        <v>7675.4065326856162</v>
      </c>
      <c r="H82">
        <f t="shared" ref="H82:O82" si="53">SUM(H78,H80:H81)</f>
        <v>8455.6029687141236</v>
      </c>
      <c r="I82">
        <f t="shared" si="53"/>
        <v>9287.1039871532212</v>
      </c>
      <c r="J82">
        <f t="shared" si="53"/>
        <v>10190.871177234236</v>
      </c>
      <c r="K82">
        <f t="shared" si="53"/>
        <v>11254.918397363876</v>
      </c>
      <c r="L82">
        <f t="shared" si="53"/>
        <v>12387.647366148067</v>
      </c>
      <c r="M82">
        <f t="shared" si="53"/>
        <v>13533.477616358781</v>
      </c>
      <c r="N82">
        <f t="shared" si="53"/>
        <v>14672.799441790279</v>
      </c>
      <c r="O82">
        <f t="shared" si="53"/>
        <v>15781.559071134074</v>
      </c>
    </row>
    <row r="83" spans="1:15" ht="15" customHeight="1">
      <c r="A83" s="85"/>
    </row>
    <row r="84" spans="1:15" ht="15" customHeight="1">
      <c r="A84" s="85"/>
      <c r="B84" t="s">
        <v>704</v>
      </c>
      <c r="C84" s="3">
        <v>0</v>
      </c>
      <c r="D84" s="66">
        <v>0</v>
      </c>
      <c r="E84" s="66">
        <v>0</v>
      </c>
      <c r="F84" s="66">
        <v>0</v>
      </c>
      <c r="G84">
        <f>-MIN(0,G115)</f>
        <v>0</v>
      </c>
      <c r="H84">
        <f t="shared" ref="H84:O84" si="54">-MIN(0,H115)</f>
        <v>0</v>
      </c>
      <c r="I84">
        <f t="shared" si="54"/>
        <v>0</v>
      </c>
      <c r="J84">
        <f t="shared" si="54"/>
        <v>0</v>
      </c>
      <c r="K84">
        <f t="shared" si="54"/>
        <v>0</v>
      </c>
      <c r="L84">
        <f t="shared" si="54"/>
        <v>0</v>
      </c>
      <c r="M84">
        <f t="shared" si="54"/>
        <v>0</v>
      </c>
      <c r="N84">
        <f t="shared" si="54"/>
        <v>0</v>
      </c>
      <c r="O84">
        <f t="shared" si="54"/>
        <v>0</v>
      </c>
    </row>
    <row r="85" spans="1:15" ht="15" customHeight="1">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c r="A86" s="85"/>
      <c r="B86" t="s">
        <v>705</v>
      </c>
      <c r="C86">
        <f>SUM(C84:C85)</f>
        <v>1199.67299998</v>
      </c>
      <c r="D86">
        <f>SUM(D84:D85)</f>
        <v>1588.984412</v>
      </c>
      <c r="E86">
        <f>SUM(E84:E85)</f>
        <v>2193.9738240000001</v>
      </c>
      <c r="F86">
        <f>SUM(F84:F85)</f>
        <v>2375.6999999999998</v>
      </c>
      <c r="G86">
        <f t="shared" ref="G86:O86" si="57">SUM(G84:G85)</f>
        <v>2536.7518781061681</v>
      </c>
      <c r="H86">
        <f t="shared" si="57"/>
        <v>2718.1794029666471</v>
      </c>
      <c r="I86">
        <f t="shared" si="57"/>
        <v>2853.0456316972341</v>
      </c>
      <c r="J86">
        <f t="shared" si="57"/>
        <v>2979.5729771017141</v>
      </c>
      <c r="K86">
        <f t="shared" si="57"/>
        <v>3207.3949099438892</v>
      </c>
      <c r="L86">
        <f t="shared" si="57"/>
        <v>3437.0633582167638</v>
      </c>
      <c r="M86">
        <f t="shared" si="57"/>
        <v>3632.4239135245421</v>
      </c>
      <c r="N86">
        <f t="shared" si="57"/>
        <v>3783.414931860214</v>
      </c>
      <c r="O86">
        <f t="shared" si="57"/>
        <v>3881.7837200885797</v>
      </c>
    </row>
    <row r="87" spans="1:15" ht="15" customHeight="1">
      <c r="A87" s="85"/>
    </row>
    <row r="88" spans="1:15" ht="15" customHeight="1">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c r="A89" s="85"/>
      <c r="B89" t="s">
        <v>706</v>
      </c>
      <c r="C89">
        <f>SUM(C88:C88,C86)</f>
        <v>1647.6725953499999</v>
      </c>
      <c r="D89">
        <f t="shared" ref="D89:E89" si="59">SUM(D86,D88:D88)</f>
        <v>2042.9441429999999</v>
      </c>
      <c r="E89">
        <f t="shared" si="59"/>
        <v>2688.7902220000001</v>
      </c>
      <c r="F89">
        <f t="shared" ref="F89:O89" si="60">SUM(F86,F88:F88)</f>
        <v>2849.2999999999997</v>
      </c>
      <c r="G89">
        <f t="shared" si="60"/>
        <v>3010.351878106168</v>
      </c>
      <c r="H89">
        <f t="shared" si="60"/>
        <v>3180.5794029666472</v>
      </c>
      <c r="I89">
        <f t="shared" si="60"/>
        <v>3315.4456316972341</v>
      </c>
      <c r="J89">
        <f t="shared" si="60"/>
        <v>3441.9729771017142</v>
      </c>
      <c r="K89">
        <f t="shared" si="60"/>
        <v>3669.7949099438893</v>
      </c>
      <c r="L89">
        <f t="shared" si="60"/>
        <v>3899.4633582167639</v>
      </c>
      <c r="M89">
        <f t="shared" si="60"/>
        <v>4094.8239135245421</v>
      </c>
      <c r="N89">
        <f t="shared" si="60"/>
        <v>4245.8149318602136</v>
      </c>
      <c r="O89">
        <f t="shared" si="60"/>
        <v>4344.1837200885793</v>
      </c>
    </row>
    <row r="90" spans="1:15" ht="15" customHeight="1">
      <c r="A90" s="85"/>
    </row>
    <row r="91" spans="1:15" ht="15" customHeight="1">
      <c r="A91" s="85"/>
      <c r="B91" t="s">
        <v>444</v>
      </c>
      <c r="C91" s="3">
        <v>3045.6202192500004</v>
      </c>
      <c r="D91" s="66">
        <v>3402.3577049999999</v>
      </c>
      <c r="E91" s="66">
        <v>3658.9952349999999</v>
      </c>
      <c r="F91" s="66">
        <v>4112.3999999999996</v>
      </c>
      <c r="G91">
        <f t="shared" ref="G91:O91" si="61">G46</f>
        <v>4665.0546545794477</v>
      </c>
      <c r="H91">
        <f t="shared" si="61"/>
        <v>5275.0235657474768</v>
      </c>
      <c r="I91">
        <f t="shared" si="61"/>
        <v>5971.6583554559875</v>
      </c>
      <c r="J91">
        <f t="shared" si="61"/>
        <v>6748.8982001325212</v>
      </c>
      <c r="K91">
        <f t="shared" si="61"/>
        <v>7585.1234874199854</v>
      </c>
      <c r="L91">
        <f t="shared" si="61"/>
        <v>8488.1840079313024</v>
      </c>
      <c r="M91">
        <f t="shared" si="61"/>
        <v>9438.6537028342373</v>
      </c>
      <c r="N91">
        <f t="shared" si="61"/>
        <v>10426.984509930066</v>
      </c>
      <c r="O91">
        <f t="shared" si="61"/>
        <v>11437.375351045495</v>
      </c>
    </row>
    <row r="92" spans="1:15" ht="15" customHeight="1">
      <c r="A92" s="85"/>
      <c r="B92" t="s">
        <v>707</v>
      </c>
      <c r="C92">
        <f>SUM(C91,C89)</f>
        <v>4693.2928146000004</v>
      </c>
      <c r="D92">
        <f t="shared" ref="D92:E92" si="62">SUM(D91,D89)</f>
        <v>5445.3018480000001</v>
      </c>
      <c r="E92">
        <f t="shared" si="62"/>
        <v>6347.785457</v>
      </c>
      <c r="F92">
        <f t="shared" ref="F92" si="63">SUM(F91,F89)</f>
        <v>6961.6999999999989</v>
      </c>
      <c r="G92">
        <f t="shared" ref="G92:O92" si="64">SUM(G91,G89)</f>
        <v>7675.4065326856162</v>
      </c>
      <c r="H92">
        <f t="shared" si="64"/>
        <v>8455.6029687141236</v>
      </c>
      <c r="I92">
        <f t="shared" si="64"/>
        <v>9287.1039871532212</v>
      </c>
      <c r="J92">
        <f t="shared" si="64"/>
        <v>10190.871177234236</v>
      </c>
      <c r="K92">
        <f t="shared" si="64"/>
        <v>11254.918397363876</v>
      </c>
      <c r="L92">
        <f t="shared" si="64"/>
        <v>12387.647366148067</v>
      </c>
      <c r="M92">
        <f t="shared" si="64"/>
        <v>13533.477616358779</v>
      </c>
      <c r="N92">
        <f t="shared" si="64"/>
        <v>14672.799441790279</v>
      </c>
      <c r="O92">
        <f t="shared" si="64"/>
        <v>15781.559071134074</v>
      </c>
    </row>
    <row r="93" spans="1:15" ht="15" customHeight="1">
      <c r="A93" s="85"/>
    </row>
    <row r="94" spans="1:15" ht="15" customHeight="1">
      <c r="A94" s="85"/>
      <c r="B94" t="s">
        <v>708</v>
      </c>
      <c r="C94" s="98" t="str">
        <f t="shared" ref="C94:O94" si="65">IF(ROUND(C92,6)=ROUND(C82,6),"OK",C82-C92)</f>
        <v>OK</v>
      </c>
      <c r="D94" s="98" t="str">
        <f t="shared" si="65"/>
        <v>OK</v>
      </c>
      <c r="E94" s="98" t="str">
        <f t="shared" si="65"/>
        <v>OK</v>
      </c>
      <c r="F94" s="98" t="str">
        <f t="shared" si="65"/>
        <v>OK</v>
      </c>
      <c r="G94" s="98" t="str">
        <f t="shared" si="65"/>
        <v>OK</v>
      </c>
      <c r="H94" s="98" t="str">
        <f t="shared" si="65"/>
        <v>OK</v>
      </c>
      <c r="I94" s="98" t="str">
        <f t="shared" si="65"/>
        <v>OK</v>
      </c>
      <c r="J94" s="98" t="str">
        <f t="shared" si="65"/>
        <v>OK</v>
      </c>
      <c r="K94" s="98" t="str">
        <f t="shared" si="65"/>
        <v>OK</v>
      </c>
      <c r="L94" s="98" t="str">
        <f t="shared" si="65"/>
        <v>OK</v>
      </c>
      <c r="M94" s="98" t="str">
        <f t="shared" si="65"/>
        <v>OK</v>
      </c>
      <c r="N94" s="98" t="str">
        <f t="shared" si="65"/>
        <v>OK</v>
      </c>
      <c r="O94" s="98" t="str">
        <f t="shared" si="65"/>
        <v>OK</v>
      </c>
    </row>
    <row r="95" spans="1:15" ht="15" customHeight="1">
      <c r="A95" s="85"/>
    </row>
    <row r="96" spans="1:15" ht="15" customHeight="1">
      <c r="A96" s="85" t="s">
        <v>709</v>
      </c>
    </row>
    <row r="97" spans="1:15" ht="15" customHeight="1">
      <c r="A97" s="85"/>
      <c r="B97" t="s">
        <v>683</v>
      </c>
      <c r="G97">
        <f t="shared" ref="G97:O97" si="66">G71</f>
        <v>2210.6186183177965</v>
      </c>
      <c r="H97">
        <f t="shared" si="66"/>
        <v>2439.8756446721163</v>
      </c>
      <c r="I97">
        <f t="shared" si="66"/>
        <v>2786.5391588340431</v>
      </c>
      <c r="J97">
        <f t="shared" si="66"/>
        <v>3108.9593787061394</v>
      </c>
      <c r="K97">
        <f t="shared" si="66"/>
        <v>3344.9011491498572</v>
      </c>
      <c r="L97">
        <f t="shared" si="66"/>
        <v>3612.2420820452639</v>
      </c>
      <c r="M97">
        <f t="shared" si="66"/>
        <v>3801.8787796117376</v>
      </c>
      <c r="N97">
        <f t="shared" si="66"/>
        <v>3953.323228383314</v>
      </c>
      <c r="O97">
        <f t="shared" si="66"/>
        <v>4041.5633644617169</v>
      </c>
    </row>
    <row r="98" spans="1:15" ht="15" customHeight="1">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c r="A99" s="85"/>
      <c r="B99" t="s">
        <v>710</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c r="A100" s="85"/>
      <c r="B100" t="s">
        <v>711</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c r="A101" s="85"/>
      <c r="B101" t="s">
        <v>712</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c r="A102" s="85"/>
      <c r="B102" t="s">
        <v>713</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c r="A103" s="85"/>
      <c r="B103" t="s">
        <v>714</v>
      </c>
      <c r="G103">
        <f t="shared" ref="G103:O103" si="72">SUM(G97:G102)</f>
        <v>2613.9803177544832</v>
      </c>
      <c r="H103">
        <f t="shared" si="72"/>
        <v>2891.5644535565934</v>
      </c>
      <c r="I103">
        <f t="shared" si="72"/>
        <v>3323.0229316956529</v>
      </c>
      <c r="J103">
        <f t="shared" si="72"/>
        <v>3627.9008532363496</v>
      </c>
      <c r="K103">
        <f t="shared" si="72"/>
        <v>4002.638178012955</v>
      </c>
      <c r="L103">
        <f t="shared" si="72"/>
        <v>4265.2530091522767</v>
      </c>
      <c r="M103">
        <f t="shared" si="72"/>
        <v>4518.6917747084299</v>
      </c>
      <c r="N103">
        <f t="shared" si="72"/>
        <v>4715.1867467843749</v>
      </c>
      <c r="O103">
        <f t="shared" si="72"/>
        <v>4849.8049566716463</v>
      </c>
    </row>
    <row r="104" spans="1:15" ht="15" customHeight="1">
      <c r="A104" s="85"/>
    </row>
    <row r="105" spans="1:15" ht="15" customHeight="1">
      <c r="A105" s="85"/>
      <c r="B105" t="s">
        <v>715</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c r="A106" s="85"/>
      <c r="B106" t="s">
        <v>716</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c r="A107" s="85"/>
      <c r="B107" t="s">
        <v>717</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c r="A108" s="85"/>
    </row>
    <row r="109" spans="1:15" ht="15" customHeight="1">
      <c r="A109" s="85"/>
      <c r="B109" t="s">
        <v>684</v>
      </c>
      <c r="G109">
        <f t="shared" ref="G109:O109" si="76">G45</f>
        <v>-1657.9639637383475</v>
      </c>
      <c r="H109">
        <f t="shared" si="76"/>
        <v>-1829.9067335040872</v>
      </c>
      <c r="I109">
        <f t="shared" si="76"/>
        <v>-2089.9043691255324</v>
      </c>
      <c r="J109">
        <f t="shared" si="76"/>
        <v>-2331.7195340296048</v>
      </c>
      <c r="K109">
        <f t="shared" si="76"/>
        <v>-2508.675861862393</v>
      </c>
      <c r="L109">
        <f t="shared" si="76"/>
        <v>-2709.1815615339478</v>
      </c>
      <c r="M109">
        <f t="shared" si="76"/>
        <v>-2851.4090847088032</v>
      </c>
      <c r="N109">
        <f t="shared" si="76"/>
        <v>-2964.9924212874857</v>
      </c>
      <c r="O109">
        <f t="shared" si="76"/>
        <v>-3031.1725233462876</v>
      </c>
    </row>
    <row r="110" spans="1:15" ht="15" customHeight="1">
      <c r="A110" s="85"/>
      <c r="B110" t="s">
        <v>718</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c r="A111" s="85"/>
      <c r="B111" t="s">
        <v>719</v>
      </c>
      <c r="G111">
        <f t="shared" ref="G111:O111" si="78">SUM(G109:G110)</f>
        <v>-1657.9639637383475</v>
      </c>
      <c r="H111">
        <f t="shared" si="78"/>
        <v>-1841.1067335040873</v>
      </c>
      <c r="I111">
        <f t="shared" si="78"/>
        <v>-2089.9043691255324</v>
      </c>
      <c r="J111">
        <f t="shared" si="78"/>
        <v>-2331.7195340296048</v>
      </c>
      <c r="K111">
        <f t="shared" si="78"/>
        <v>-2508.675861862393</v>
      </c>
      <c r="L111">
        <f t="shared" si="78"/>
        <v>-2709.1815615339478</v>
      </c>
      <c r="M111">
        <f t="shared" si="78"/>
        <v>-2851.4090847088032</v>
      </c>
      <c r="N111">
        <f t="shared" si="78"/>
        <v>-2964.9924212874857</v>
      </c>
      <c r="O111">
        <f t="shared" si="78"/>
        <v>-3031.1725233462876</v>
      </c>
    </row>
    <row r="112" spans="1:15" ht="15" customHeight="1">
      <c r="A112" s="85"/>
    </row>
    <row r="113" spans="1:15" ht="15" customHeight="1">
      <c r="A113" s="85"/>
      <c r="B113" t="s">
        <v>720</v>
      </c>
      <c r="G113">
        <f>F115</f>
        <v>598.1</v>
      </c>
      <c r="H113">
        <f t="shared" ref="H113:O113" si="79">G115</f>
        <v>775.73175301233562</v>
      </c>
      <c r="I113">
        <f t="shared" si="79"/>
        <v>972.14538443097661</v>
      </c>
      <c r="J113">
        <f t="shared" si="79"/>
        <v>1278.4582068175314</v>
      </c>
      <c r="K113">
        <f t="shared" si="79"/>
        <v>1661.170224773693</v>
      </c>
      <c r="L113">
        <f t="shared" si="79"/>
        <v>2171.8182171143217</v>
      </c>
      <c r="M113">
        <f t="shared" si="79"/>
        <v>2674.164218733255</v>
      </c>
      <c r="N113">
        <f t="shared" si="79"/>
        <v>3353.5594866099364</v>
      </c>
      <c r="O113">
        <f t="shared" si="79"/>
        <v>4074.8023150250156</v>
      </c>
    </row>
    <row r="114" spans="1:15" ht="15" customHeight="1">
      <c r="A114" s="85"/>
      <c r="B114" t="s">
        <v>721</v>
      </c>
      <c r="G114">
        <f t="shared" ref="G114:O114" si="80">SUM(G103,G107,G111)</f>
        <v>177.63175301233559</v>
      </c>
      <c r="H114">
        <f t="shared" si="80"/>
        <v>196.41363141864099</v>
      </c>
      <c r="I114">
        <f t="shared" si="80"/>
        <v>306.31282238655467</v>
      </c>
      <c r="J114">
        <f t="shared" si="80"/>
        <v>382.71201795616162</v>
      </c>
      <c r="K114">
        <f t="shared" si="80"/>
        <v>510.64799234062866</v>
      </c>
      <c r="L114">
        <f t="shared" si="80"/>
        <v>502.34600161893331</v>
      </c>
      <c r="M114">
        <f t="shared" si="80"/>
        <v>679.39526787668137</v>
      </c>
      <c r="N114">
        <f t="shared" si="80"/>
        <v>721.2428284150792</v>
      </c>
      <c r="O114">
        <f t="shared" si="80"/>
        <v>839.70668721076254</v>
      </c>
    </row>
    <row r="115" spans="1:15" ht="15" customHeight="1">
      <c r="A115" s="85"/>
      <c r="B115" t="s">
        <v>722</v>
      </c>
      <c r="E115" s="54"/>
      <c r="F115">
        <f>F74-F84</f>
        <v>598.1</v>
      </c>
      <c r="G115">
        <f t="shared" ref="G115:O115" si="81">SUM(G113:G114)</f>
        <v>775.73175301233562</v>
      </c>
      <c r="H115">
        <f t="shared" si="81"/>
        <v>972.14538443097661</v>
      </c>
      <c r="I115">
        <f t="shared" si="81"/>
        <v>1278.4582068175314</v>
      </c>
      <c r="J115">
        <f t="shared" si="81"/>
        <v>1661.170224773693</v>
      </c>
      <c r="K115">
        <f t="shared" si="81"/>
        <v>2171.8182171143217</v>
      </c>
      <c r="L115">
        <f t="shared" si="81"/>
        <v>2674.164218733255</v>
      </c>
      <c r="M115">
        <f t="shared" si="81"/>
        <v>3353.5594866099364</v>
      </c>
      <c r="N115">
        <f t="shared" si="81"/>
        <v>4074.8023150250156</v>
      </c>
      <c r="O115">
        <f t="shared" si="81"/>
        <v>4914.5090022357781</v>
      </c>
    </row>
    <row r="116" spans="1:15" ht="15" customHeight="1">
      <c r="A116" s="85"/>
    </row>
    <row r="117" spans="1:15" ht="15" customHeight="1">
      <c r="A117" s="85" t="s">
        <v>723</v>
      </c>
    </row>
    <row r="118" spans="1:15" ht="15" customHeight="1">
      <c r="A118" s="85"/>
      <c r="B118" t="s">
        <v>724</v>
      </c>
      <c r="G118">
        <f t="shared" ref="G118:O118" si="82">G31*AVERAGE(F84:G84)</f>
        <v>0</v>
      </c>
      <c r="H118">
        <f t="shared" si="82"/>
        <v>0</v>
      </c>
      <c r="I118">
        <f t="shared" si="82"/>
        <v>0</v>
      </c>
      <c r="J118">
        <f t="shared" si="82"/>
        <v>0</v>
      </c>
      <c r="K118">
        <f t="shared" si="82"/>
        <v>0</v>
      </c>
      <c r="L118">
        <f t="shared" si="82"/>
        <v>0</v>
      </c>
      <c r="M118">
        <f t="shared" si="82"/>
        <v>0</v>
      </c>
      <c r="N118">
        <f t="shared" si="82"/>
        <v>0</v>
      </c>
      <c r="O118">
        <f t="shared" si="82"/>
        <v>0</v>
      </c>
    </row>
    <row r="119" spans="1:15" ht="15" customHeight="1">
      <c r="A119" s="85"/>
      <c r="B119" t="s">
        <v>725</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c r="A120" s="85"/>
      <c r="B120" t="s">
        <v>726</v>
      </c>
      <c r="G120">
        <f t="shared" ref="G120:O120" si="84">G33*AVERAGE(F74:G74)</f>
        <v>26.102803307234378</v>
      </c>
      <c r="H120">
        <f t="shared" si="84"/>
        <v>26.218157061649681</v>
      </c>
      <c r="I120">
        <f t="shared" si="84"/>
        <v>33.759053868727619</v>
      </c>
      <c r="J120">
        <f t="shared" si="84"/>
        <v>32.335912747503464</v>
      </c>
      <c r="K120">
        <f t="shared" si="84"/>
        <v>42.162872860768161</v>
      </c>
      <c r="L120">
        <f t="shared" si="84"/>
        <v>53.305806794323338</v>
      </c>
      <c r="M120">
        <f t="shared" si="84"/>
        <v>66.304960758775096</v>
      </c>
      <c r="N120">
        <f t="shared" si="84"/>
        <v>81.711979817984471</v>
      </c>
      <c r="O120">
        <f t="shared" si="84"/>
        <v>98.882424489868725</v>
      </c>
    </row>
    <row r="121" spans="1:15" ht="15" customHeight="1">
      <c r="A121" s="85"/>
    </row>
    <row r="122" spans="1:15" ht="15" customHeight="1">
      <c r="A122" s="85" t="s">
        <v>727</v>
      </c>
    </row>
    <row r="123" spans="1:15" ht="15" customHeight="1">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c r="A125" s="85"/>
      <c r="B125" t="s">
        <v>728</v>
      </c>
      <c r="C125" s="74">
        <f t="shared" ref="C125:O125" si="87">C71/C54</f>
        <v>0.19070925845518194</v>
      </c>
      <c r="D125" s="74">
        <f t="shared" si="87"/>
        <v>0.21908152748495568</v>
      </c>
      <c r="E125" s="74">
        <f t="shared" si="87"/>
        <v>0.17772621767458133</v>
      </c>
      <c r="F125" s="74">
        <f t="shared" si="87"/>
        <v>0.20369069378400337</v>
      </c>
      <c r="G125" s="74">
        <f t="shared" si="87"/>
        <v>0.19169219320704531</v>
      </c>
      <c r="H125" s="74">
        <f t="shared" si="87"/>
        <v>0.19426578328420627</v>
      </c>
      <c r="I125" s="74">
        <f t="shared" si="87"/>
        <v>0.20444916834803484</v>
      </c>
      <c r="J125" s="74">
        <f t="shared" si="87"/>
        <v>0.21101473384588748</v>
      </c>
      <c r="K125" s="74">
        <f t="shared" si="87"/>
        <v>0.21090292923199275</v>
      </c>
      <c r="L125" s="74">
        <f t="shared" si="87"/>
        <v>0.21254019245439659</v>
      </c>
      <c r="M125" s="74">
        <f t="shared" si="87"/>
        <v>0.21166716793426502</v>
      </c>
      <c r="N125" s="74">
        <f t="shared" si="87"/>
        <v>0.21131489499528333</v>
      </c>
      <c r="O125" s="74">
        <f t="shared" si="87"/>
        <v>0.2105570646248163</v>
      </c>
    </row>
    <row r="126" spans="1:15" ht="15" customHeight="1">
      <c r="A126" s="85"/>
      <c r="B126" t="s">
        <v>729</v>
      </c>
      <c r="C126" s="66">
        <v>7900</v>
      </c>
      <c r="D126" s="66">
        <v>9800</v>
      </c>
      <c r="E126" s="66">
        <v>11582</v>
      </c>
      <c r="F126" s="66">
        <v>12138</v>
      </c>
      <c r="G126" s="74"/>
      <c r="H126" s="74"/>
      <c r="I126" s="74"/>
      <c r="J126" s="74"/>
      <c r="K126" s="74"/>
      <c r="L126" s="74"/>
      <c r="N126" s="74"/>
      <c r="O126" s="74"/>
    </row>
    <row r="127" spans="1:15" ht="15" customHeight="1">
      <c r="A127" s="85"/>
      <c r="B127" t="s">
        <v>730</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c r="A128" s="85"/>
    </row>
    <row r="129" spans="1:15" ht="15" customHeight="1">
      <c r="A129" s="85" t="s">
        <v>731</v>
      </c>
    </row>
    <row r="130" spans="1:15" ht="15" customHeight="1">
      <c r="A130" s="85"/>
      <c r="B130" t="s">
        <v>732</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c r="A131" s="85"/>
      <c r="B131" t="s">
        <v>733</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c r="A132" s="85"/>
      <c r="B132" t="s">
        <v>734</v>
      </c>
      <c r="D132" s="74">
        <f t="shared" ref="D132:O132" si="91">(D63*(1-D19))/(C84+C88+C91-C74-C81)</f>
        <v>0.89300675767498883</v>
      </c>
      <c r="E132" s="74">
        <f t="shared" si="91"/>
        <v>0.84960561602348383</v>
      </c>
      <c r="F132" s="74">
        <f t="shared" si="91"/>
        <v>0.78430098386374647</v>
      </c>
      <c r="G132" s="74">
        <f>(G63*(1-G19))/(F84+F88+F91-F74-F81)</f>
        <v>0.79257795130218045</v>
      </c>
      <c r="H132" s="74">
        <f>(H63*(1-H19))/(G84+G88+G91-G74-G81)</f>
        <v>0.76963246352480352</v>
      </c>
      <c r="I132" s="74">
        <f t="shared" si="91"/>
        <v>0.78000972642397293</v>
      </c>
      <c r="J132" s="74">
        <f t="shared" si="91"/>
        <v>0.78455146174831181</v>
      </c>
      <c r="K132" s="74">
        <f t="shared" si="91"/>
        <v>0.76763572659593038</v>
      </c>
      <c r="L132" s="74">
        <f t="shared" si="91"/>
        <v>0.7713605485252254</v>
      </c>
      <c r="M132" s="74">
        <f t="shared" si="91"/>
        <v>0.74782847700849031</v>
      </c>
      <c r="N132" s="74">
        <f t="shared" si="91"/>
        <v>0.73824029886855813</v>
      </c>
      <c r="O132" s="74">
        <f t="shared" si="91"/>
        <v>0.71883814758721698</v>
      </c>
    </row>
    <row r="133" spans="1:15" ht="15" customHeight="1">
      <c r="A133" s="85"/>
      <c r="B133" t="s">
        <v>735</v>
      </c>
      <c r="D133" s="74">
        <f t="shared" ref="D133:O133" si="92">(D84+D88+D91-D74-D81)/(C84+C88+C91-C74-C81)-1</f>
        <v>6.004608977389414E-2</v>
      </c>
      <c r="E133" s="74">
        <f t="shared" si="92"/>
        <v>0.35644546118777232</v>
      </c>
      <c r="F133" s="74">
        <f t="shared" si="92"/>
        <v>2.5324511900339797E-2</v>
      </c>
      <c r="G133" s="74">
        <f t="shared" si="92"/>
        <v>0.13688325422059311</v>
      </c>
      <c r="H133" s="74">
        <f t="shared" si="92"/>
        <v>0.12720995492809362</v>
      </c>
      <c r="I133" s="74">
        <f t="shared" si="92"/>
        <v>0.10947868510440517</v>
      </c>
      <c r="J133" s="74">
        <f t="shared" si="92"/>
        <v>9.9739056500989243E-2</v>
      </c>
      <c r="K133" s="74">
        <f t="shared" si="92"/>
        <v>7.4843153302858845E-2</v>
      </c>
      <c r="L133" s="74">
        <f t="shared" si="92"/>
        <v>8.5701406681304437E-2</v>
      </c>
      <c r="M133" s="74">
        <f t="shared" si="92"/>
        <v>5.3398741294615526E-2</v>
      </c>
      <c r="N133" s="74">
        <f t="shared" si="92"/>
        <v>4.9946380095261089E-2</v>
      </c>
      <c r="O133" s="74">
        <f t="shared" si="92"/>
        <v>3.0400152314014495E-2</v>
      </c>
    </row>
    <row r="134" spans="1:15" ht="15" customHeight="1">
      <c r="A134" s="85"/>
    </row>
    <row r="135" spans="1:15" ht="15" customHeight="1">
      <c r="A135" s="85" t="s">
        <v>736</v>
      </c>
      <c r="E135" s="74"/>
      <c r="F135" s="74"/>
      <c r="G135" s="74"/>
      <c r="H135" s="74"/>
      <c r="I135" s="74"/>
      <c r="J135" s="74"/>
      <c r="K135" s="74"/>
      <c r="L135" s="74"/>
      <c r="M135" s="205"/>
      <c r="O135" s="74"/>
    </row>
    <row r="136" spans="1:15" ht="15" customHeight="1">
      <c r="A136" s="85"/>
      <c r="B136" t="s">
        <v>109</v>
      </c>
      <c r="C136">
        <f t="shared" ref="C136:O136" si="93">C84+C88-C74</f>
        <v>-634.7170999299999</v>
      </c>
      <c r="D136">
        <f t="shared" si="93"/>
        <v>-650.51618200000007</v>
      </c>
      <c r="E136">
        <f t="shared" si="93"/>
        <v>216.99300599999998</v>
      </c>
      <c r="F136">
        <f t="shared" si="93"/>
        <v>-124.5</v>
      </c>
      <c r="G136">
        <f t="shared" si="93"/>
        <v>-302.13175301233559</v>
      </c>
      <c r="H136">
        <f t="shared" si="93"/>
        <v>-509.74538443097657</v>
      </c>
      <c r="I136">
        <f t="shared" si="93"/>
        <v>-816.0582068175313</v>
      </c>
      <c r="J136">
        <f t="shared" si="93"/>
        <v>-1198.7702247736929</v>
      </c>
      <c r="K136">
        <f t="shared" si="93"/>
        <v>-1709.4182171143216</v>
      </c>
      <c r="L136">
        <f t="shared" si="93"/>
        <v>-2211.7642187332549</v>
      </c>
      <c r="M136">
        <f t="shared" si="93"/>
        <v>-2891.1594866099363</v>
      </c>
      <c r="N136">
        <f t="shared" si="93"/>
        <v>-3612.4023150250155</v>
      </c>
      <c r="O136">
        <f t="shared" si="93"/>
        <v>-4452.1090022357785</v>
      </c>
    </row>
    <row r="137" spans="1:15" ht="15" customHeight="1">
      <c r="A137" s="85"/>
      <c r="B137" t="s">
        <v>737</v>
      </c>
      <c r="C137" s="75">
        <f t="shared" ref="C137:O137" si="94">C136/C60</f>
        <v>-0.32777480110920176</v>
      </c>
      <c r="D137" s="75">
        <f t="shared" si="94"/>
        <v>-0.25485756643885488</v>
      </c>
      <c r="E137" s="75">
        <f t="shared" si="94"/>
        <v>8.0838737743534075E-2</v>
      </c>
      <c r="F137" s="75">
        <f t="shared" si="94"/>
        <v>-3.9724966885155311E-2</v>
      </c>
      <c r="G137" s="75">
        <f t="shared" si="94"/>
        <v>-8.8810631347236463E-2</v>
      </c>
      <c r="H137" s="75">
        <f t="shared" si="94"/>
        <v>-0.13528843378860014</v>
      </c>
      <c r="I137" s="75">
        <f t="shared" si="94"/>
        <v>-0.19007753037733019</v>
      </c>
      <c r="J137" s="75">
        <f t="shared" si="94"/>
        <v>-0.25035156992802027</v>
      </c>
      <c r="K137" s="75">
        <f t="shared" si="94"/>
        <v>-0.33163800266662485</v>
      </c>
      <c r="L137" s="75">
        <f t="shared" si="94"/>
        <v>-0.40042362102252377</v>
      </c>
      <c r="M137" s="75">
        <f t="shared" si="94"/>
        <v>-0.49527216657582263</v>
      </c>
      <c r="N137" s="75">
        <f t="shared" si="94"/>
        <v>-0.59412870701532128</v>
      </c>
      <c r="O137" s="75">
        <f t="shared" si="94"/>
        <v>-0.71367889362466841</v>
      </c>
    </row>
    <row r="138" spans="1:15" ht="15" customHeight="1">
      <c r="A138" s="85"/>
      <c r="B138" t="s">
        <v>738</v>
      </c>
      <c r="C138" s="75">
        <f t="shared" ref="C138:O138" si="95">C60/-C66</f>
        <v>95.538661936878782</v>
      </c>
      <c r="D138" s="75">
        <f t="shared" si="95"/>
        <v>104.56784700900437</v>
      </c>
      <c r="E138" s="75">
        <f t="shared" si="95"/>
        <v>87.327699419934305</v>
      </c>
      <c r="F138" s="75">
        <f t="shared" si="95"/>
        <v>91.63886499181281</v>
      </c>
      <c r="G138" s="75" t="e">
        <f t="shared" si="95"/>
        <v>#DIV/0!</v>
      </c>
      <c r="H138" s="75" t="e">
        <f t="shared" si="95"/>
        <v>#DIV/0!</v>
      </c>
      <c r="I138" s="75" t="e">
        <f t="shared" si="95"/>
        <v>#DIV/0!</v>
      </c>
      <c r="J138" s="75" t="e">
        <f t="shared" si="95"/>
        <v>#DIV/0!</v>
      </c>
      <c r="K138" s="75" t="e">
        <f t="shared" si="95"/>
        <v>#DIV/0!</v>
      </c>
      <c r="L138" s="75" t="e">
        <f t="shared" si="95"/>
        <v>#DIV/0!</v>
      </c>
      <c r="M138" s="75" t="e">
        <f t="shared" si="95"/>
        <v>#DIV/0!</v>
      </c>
      <c r="N138" s="75" t="e">
        <f t="shared" si="95"/>
        <v>#DIV/0!</v>
      </c>
      <c r="O138" s="75" t="e">
        <f t="shared" si="95"/>
        <v>#DIV/0!</v>
      </c>
    </row>
    <row r="139" spans="1:15" ht="15" customHeight="1">
      <c r="A139" s="85"/>
      <c r="B139" t="s">
        <v>739</v>
      </c>
      <c r="C139" s="75">
        <f t="shared" ref="C139:O139" si="96">C136/(C136+C91)</f>
        <v>-0.26326943411522191</v>
      </c>
      <c r="D139" s="75">
        <f t="shared" si="96"/>
        <v>-0.23639303955658789</v>
      </c>
      <c r="E139" s="75">
        <f t="shared" si="96"/>
        <v>5.5983917521900441E-2</v>
      </c>
      <c r="F139" s="75">
        <f t="shared" si="96"/>
        <v>-3.1219438802377195E-2</v>
      </c>
      <c r="G139" s="75">
        <f t="shared" si="96"/>
        <v>-6.9249849201738892E-2</v>
      </c>
      <c r="H139" s="75">
        <f t="shared" si="96"/>
        <v>-0.10697075071704409</v>
      </c>
      <c r="I139" s="75">
        <f t="shared" si="96"/>
        <v>-0.15828578308832666</v>
      </c>
      <c r="J139" s="75">
        <f t="shared" si="96"/>
        <v>-0.2159896546702943</v>
      </c>
      <c r="K139" s="75">
        <f t="shared" si="96"/>
        <v>-0.29092987794219211</v>
      </c>
      <c r="L139" s="75">
        <f t="shared" si="96"/>
        <v>-0.35239265266159914</v>
      </c>
      <c r="M139" s="75">
        <f t="shared" si="96"/>
        <v>-0.44156732196048609</v>
      </c>
      <c r="N139" s="75">
        <f t="shared" si="96"/>
        <v>-0.53009886911714743</v>
      </c>
      <c r="O139" s="75">
        <f t="shared" si="96"/>
        <v>-0.6373570856026719</v>
      </c>
    </row>
    <row r="140" spans="1:15" ht="15" customHeight="1">
      <c r="A140" s="85"/>
    </row>
    <row r="141" spans="1:15" ht="15" customHeight="1">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topLeftCell="A2" zoomScale="85" zoomScaleNormal="85" zoomScaleSheetLayoutView="85" workbookViewId="0">
      <selection activeCell="G14" sqref="G14"/>
    </sheetView>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204</v>
      </c>
      <c r="F2" s="24"/>
      <c r="G2" s="25" t="s">
        <v>205</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206</v>
      </c>
      <c r="B4" s="27"/>
      <c r="C4" s="28"/>
      <c r="D4" s="54"/>
      <c r="E4" s="26" t="s">
        <v>207</v>
      </c>
      <c r="F4" s="27"/>
      <c r="G4" s="27"/>
      <c r="H4" s="28"/>
      <c r="I4" s="54"/>
      <c r="J4" s="54"/>
      <c r="K4" s="54"/>
      <c r="L4" s="54"/>
      <c r="M4" s="29"/>
      <c r="N4" s="54"/>
      <c r="O4" s="54"/>
      <c r="P4" s="54"/>
      <c r="Q4" s="54"/>
      <c r="R4" s="54"/>
      <c r="S4" s="54"/>
      <c r="T4" s="54"/>
      <c r="U4" s="54"/>
      <c r="V4" s="54"/>
      <c r="W4" s="54"/>
      <c r="X4" s="54"/>
    </row>
    <row r="5" spans="1:26" ht="15" customHeight="1">
      <c r="A5" s="30"/>
      <c r="B5" s="54" t="s">
        <v>208</v>
      </c>
      <c r="C5" s="31" t="s">
        <v>740</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210</v>
      </c>
      <c r="C6" s="31" t="s">
        <v>211</v>
      </c>
      <c r="D6" s="54"/>
      <c r="E6" s="130" t="s">
        <v>212</v>
      </c>
      <c r="F6" s="54"/>
      <c r="G6" s="54"/>
      <c r="H6" s="129">
        <f>D36*'1'!COMP_FX</f>
        <v>257703.13865439995</v>
      </c>
      <c r="I6" s="54"/>
      <c r="J6" s="54"/>
      <c r="K6" s="54"/>
      <c r="L6" s="54"/>
      <c r="M6" s="29"/>
      <c r="N6" s="54"/>
      <c r="O6" s="54"/>
      <c r="P6" s="54"/>
      <c r="Q6" s="54"/>
      <c r="R6" s="54"/>
      <c r="S6" s="54"/>
      <c r="T6" s="54"/>
      <c r="U6" s="54"/>
      <c r="V6" s="54"/>
      <c r="W6" s="54"/>
      <c r="X6" s="54"/>
    </row>
    <row r="7" spans="1:26" ht="15" customHeight="1">
      <c r="A7" s="30"/>
      <c r="B7" s="54" t="s">
        <v>213</v>
      </c>
      <c r="C7" s="131">
        <f>ANALYSIS_DATE</f>
        <v>45358</v>
      </c>
      <c r="D7" s="54"/>
      <c r="E7" s="130" t="s">
        <v>214</v>
      </c>
      <c r="F7" s="54"/>
      <c r="G7" s="54"/>
      <c r="H7" s="129">
        <f>SUM(G31:G33)*'1'!COMP_FX</f>
        <v>42064</v>
      </c>
      <c r="I7" s="54"/>
      <c r="J7" s="54"/>
      <c r="K7" s="54"/>
      <c r="L7" s="54"/>
      <c r="M7" s="29"/>
      <c r="N7" s="54"/>
      <c r="O7" s="54"/>
      <c r="P7" s="54"/>
      <c r="Q7" s="54"/>
      <c r="R7" s="54"/>
      <c r="S7" s="54"/>
      <c r="T7" s="54"/>
      <c r="U7" s="54"/>
      <c r="V7" s="54"/>
      <c r="W7" s="54"/>
      <c r="X7" s="54"/>
    </row>
    <row r="8" spans="1:26" ht="15" customHeight="1">
      <c r="A8" s="30"/>
      <c r="B8" s="54" t="s">
        <v>215</v>
      </c>
      <c r="C8" s="131">
        <f>Trading_comps!D17</f>
        <v>45291</v>
      </c>
      <c r="D8" s="54"/>
      <c r="E8" s="130" t="s">
        <v>216</v>
      </c>
      <c r="F8" s="54"/>
      <c r="G8" s="54"/>
      <c r="H8" s="129">
        <f>SUM(J31:J32)*'1'!COMP_FX</f>
        <v>13663</v>
      </c>
      <c r="I8" s="54"/>
      <c r="J8" s="54"/>
      <c r="K8" s="54"/>
      <c r="L8" s="54"/>
      <c r="M8" s="54"/>
      <c r="N8" s="54"/>
      <c r="O8" s="54"/>
      <c r="P8" s="54"/>
      <c r="Q8" s="54"/>
      <c r="R8" s="54"/>
      <c r="S8" s="54"/>
      <c r="T8" s="54"/>
      <c r="U8" s="54"/>
      <c r="V8" s="54"/>
      <c r="W8" s="54"/>
      <c r="X8" s="54"/>
    </row>
    <row r="9" spans="1:26" ht="15" customHeight="1">
      <c r="A9" s="32"/>
      <c r="B9" s="54" t="s">
        <v>217</v>
      </c>
      <c r="C9" s="132" t="str">
        <f>MAIN_CURRENCY</f>
        <v>USD</v>
      </c>
      <c r="D9" s="54"/>
      <c r="E9" s="130" t="s">
        <v>218</v>
      </c>
      <c r="F9" s="54"/>
      <c r="G9" s="54"/>
      <c r="H9" s="129">
        <f>(SUM(J33:J37)-SUM(G34:G37))*'1'!COMP_FX</f>
        <v>18250</v>
      </c>
      <c r="I9" s="54"/>
      <c r="J9" s="54"/>
      <c r="K9" s="54"/>
      <c r="L9" s="54"/>
      <c r="M9" s="54"/>
      <c r="N9" s="54"/>
      <c r="O9" s="54"/>
      <c r="P9" s="54"/>
      <c r="Q9" s="54"/>
      <c r="R9" s="54"/>
      <c r="S9" s="54"/>
      <c r="T9" s="54"/>
      <c r="U9" s="54"/>
      <c r="V9" s="54"/>
      <c r="W9" s="54"/>
      <c r="X9" s="54"/>
    </row>
    <row r="10" spans="1:26" ht="15" customHeight="1">
      <c r="A10" s="30"/>
      <c r="B10" s="54" t="s">
        <v>219</v>
      </c>
      <c r="C10" s="190">
        <f>21%+1.1%</f>
        <v>0.221</v>
      </c>
      <c r="D10" s="54"/>
      <c r="E10" s="133" t="s">
        <v>220</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c r="A11" s="30"/>
      <c r="B11" s="54" t="s">
        <v>221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222</v>
      </c>
      <c r="C12" s="35" t="s">
        <v>223</v>
      </c>
      <c r="D12" s="54"/>
      <c r="E12" s="26" t="s">
        <v>224</v>
      </c>
      <c r="F12" s="27"/>
      <c r="G12" s="27"/>
      <c r="H12" s="27"/>
      <c r="I12" s="27"/>
      <c r="J12" s="27"/>
      <c r="K12" s="28"/>
      <c r="L12" s="54"/>
      <c r="M12" s="54"/>
      <c r="N12" s="54"/>
      <c r="O12" s="54"/>
      <c r="P12" s="54"/>
      <c r="Q12" s="54"/>
      <c r="R12" s="54"/>
      <c r="S12" s="54"/>
      <c r="T12" s="54"/>
      <c r="U12" s="54"/>
      <c r="V12" s="54"/>
      <c r="W12" s="54"/>
      <c r="X12" s="54"/>
    </row>
    <row r="13" spans="1:26" ht="15" customHeight="1">
      <c r="A13" s="30"/>
      <c r="B13" s="54" t="s">
        <v>225</v>
      </c>
      <c r="C13" s="131">
        <f>DATE(RIGHT(C12,4),LEFT(C12,2),MID(C12,4,2))</f>
        <v>45291</v>
      </c>
      <c r="D13" s="54"/>
      <c r="E13" s="128" t="str">
        <f>"Numbers in "&amp;MAIN_CURRENCY&amp;" MM"</f>
        <v>Numbers in USD MM</v>
      </c>
      <c r="F13" s="54"/>
      <c r="G13" s="73" t="s">
        <v>191</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226</v>
      </c>
      <c r="C14" s="36" t="s">
        <v>227</v>
      </c>
      <c r="D14" s="54"/>
      <c r="E14" s="128" t="s">
        <v>228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c r="A15" s="30"/>
      <c r="B15" s="54" t="s">
        <v>229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c r="A16" s="30"/>
      <c r="B16" s="54" t="s">
        <v>230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c r="A17" s="30"/>
      <c r="B17" s="54" t="s">
        <v>231</v>
      </c>
      <c r="C17" s="38">
        <v>51.55</v>
      </c>
      <c r="D17" s="54"/>
      <c r="E17" s="137" t="s">
        <v>232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c r="A18" s="30"/>
      <c r="B18" s="54" t="s">
        <v>233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234</v>
      </c>
      <c r="C19" s="36" t="s">
        <v>343</v>
      </c>
      <c r="D19" s="54"/>
      <c r="E19" s="26" t="s">
        <v>236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237</v>
      </c>
      <c r="C20" s="38">
        <v>0.79</v>
      </c>
      <c r="D20" s="54"/>
      <c r="E20" s="128" t="s">
        <v>238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239</v>
      </c>
      <c r="C21" s="198">
        <v>5.8999999999999997E-2</v>
      </c>
      <c r="D21" s="54"/>
      <c r="E21" s="128" t="s">
        <v>240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c r="A22" s="30"/>
      <c r="B22" s="54" t="s">
        <v>241</v>
      </c>
      <c r="C22" s="142">
        <f>G53/G44</f>
        <v>0.29128079678490304</v>
      </c>
      <c r="D22" s="54"/>
      <c r="E22" s="128" t="s">
        <v>196</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G53*(1-'1'!COMP_MTR)/D39</f>
        <v>0.28784062950238282</v>
      </c>
      <c r="D23" s="54"/>
      <c r="E23" s="128" t="s">
        <v>242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243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c r="A25" s="30"/>
      <c r="B25" s="54"/>
      <c r="C25" s="54"/>
      <c r="D25" s="54"/>
      <c r="E25" s="128" t="s">
        <v>244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245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246</v>
      </c>
      <c r="B28" s="40"/>
      <c r="C28" s="41"/>
      <c r="D28" s="41"/>
      <c r="E28" s="41"/>
      <c r="F28" s="41"/>
      <c r="G28" s="41"/>
      <c r="H28" s="41"/>
      <c r="I28" s="41"/>
      <c r="J28" s="41"/>
      <c r="K28" s="41"/>
      <c r="L28" s="54"/>
      <c r="M28" s="26" t="s">
        <v>247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248</v>
      </c>
      <c r="N29" s="73" t="s">
        <v>249</v>
      </c>
      <c r="O29" s="73" t="s">
        <v>250</v>
      </c>
      <c r="P29" s="132" t="s">
        <v>251</v>
      </c>
      <c r="Q29" s="54"/>
      <c r="R29" s="54"/>
      <c r="S29" s="54"/>
      <c r="T29" s="54"/>
      <c r="U29" s="54"/>
      <c r="V29" s="54"/>
      <c r="W29" s="54"/>
      <c r="X29" s="54"/>
    </row>
    <row r="30" spans="1:24" ht="15" customHeight="1">
      <c r="A30" s="30"/>
      <c r="B30" s="21" t="s">
        <v>252</v>
      </c>
      <c r="C30" s="54"/>
      <c r="D30" s="21"/>
      <c r="E30" s="21" t="s">
        <v>253</v>
      </c>
      <c r="F30" s="42"/>
      <c r="G30" s="42"/>
      <c r="H30" s="21" t="s">
        <v>254</v>
      </c>
      <c r="I30" s="42"/>
      <c r="J30" s="42"/>
      <c r="K30" s="129"/>
      <c r="L30" s="54"/>
      <c r="M30" s="43" t="s">
        <v>255</v>
      </c>
      <c r="N30" s="191">
        <v>47</v>
      </c>
      <c r="O30" s="44">
        <v>48.52</v>
      </c>
      <c r="P30" s="129">
        <f>MAX(('1'!COMP_SHAREPRICE-O30)/'1'!COMP_SHAREPRICE*N30,0)</f>
        <v>8.7054575986565865</v>
      </c>
      <c r="Q30" s="54"/>
      <c r="S30" s="54"/>
      <c r="T30" s="54"/>
      <c r="U30" s="54"/>
      <c r="V30" s="54"/>
      <c r="W30" s="54"/>
      <c r="X30" s="54"/>
    </row>
    <row r="31" spans="1:24" ht="15" customHeight="1">
      <c r="A31" s="30"/>
      <c r="B31" s="54" t="s">
        <v>256</v>
      </c>
      <c r="C31" s="54"/>
      <c r="D31" s="45">
        <v>45338</v>
      </c>
      <c r="E31" s="54" t="s">
        <v>177</v>
      </c>
      <c r="F31" s="54"/>
      <c r="G31" s="192">
        <v>4557</v>
      </c>
      <c r="H31" s="54" t="s">
        <v>257</v>
      </c>
      <c r="I31" s="54"/>
      <c r="J31" s="191">
        <v>12363</v>
      </c>
      <c r="K31" s="129"/>
      <c r="M31" s="43" t="s">
        <v>258</v>
      </c>
      <c r="N31" s="212">
        <v>2.8540000000000001</v>
      </c>
      <c r="O31" s="44">
        <v>0</v>
      </c>
      <c r="P31" s="129">
        <f>MAX(('1'!COMP_SHAREPRICE-O31)/'1'!COMP_SHAREPRICE*N31,0)</f>
        <v>2.8540000000000001</v>
      </c>
      <c r="Q31" s="54"/>
      <c r="R31" s="239" t="s">
        <v>741</v>
      </c>
      <c r="S31" s="239"/>
      <c r="T31" s="239"/>
      <c r="U31" s="239"/>
      <c r="V31" s="239"/>
    </row>
    <row r="32" spans="1:24" ht="15" customHeight="1">
      <c r="A32" s="30"/>
      <c r="B32" s="54" t="s">
        <v>168</v>
      </c>
      <c r="D32" s="191">
        <v>4312.4561679999997</v>
      </c>
      <c r="E32" s="16" t="s">
        <v>178</v>
      </c>
      <c r="F32" s="54"/>
      <c r="G32" s="192">
        <v>1960</v>
      </c>
      <c r="H32" s="16" t="s">
        <v>182</v>
      </c>
      <c r="I32" s="54"/>
      <c r="J32" s="191">
        <v>1300</v>
      </c>
      <c r="K32" s="129"/>
      <c r="M32" s="43" t="s">
        <v>261</v>
      </c>
      <c r="N32" s="212">
        <v>3.4929999999999999</v>
      </c>
      <c r="O32" s="44">
        <v>0</v>
      </c>
      <c r="P32" s="129">
        <f>MAX(('1'!COMP_SHAREPRICE-O32)/'1'!COMP_SHAREPRICE*N32,0)</f>
        <v>3.4929999999999999</v>
      </c>
      <c r="Q32" s="54"/>
      <c r="R32" s="239"/>
      <c r="S32" s="239"/>
      <c r="T32" s="239"/>
      <c r="U32" s="239"/>
      <c r="V32" s="239"/>
    </row>
    <row r="33" spans="1:26" ht="15" customHeight="1">
      <c r="A33" s="30"/>
      <c r="B33" s="54" t="s">
        <v>262</v>
      </c>
      <c r="D33" s="25">
        <v>0</v>
      </c>
      <c r="E33" s="16" t="s">
        <v>179</v>
      </c>
      <c r="F33" s="54"/>
      <c r="G33" s="192">
        <v>35547</v>
      </c>
      <c r="H33" s="16" t="s">
        <v>183</v>
      </c>
      <c r="I33" s="54"/>
      <c r="J33" s="191">
        <v>19671</v>
      </c>
      <c r="K33" s="129"/>
      <c r="M33" s="43" t="s">
        <v>263</v>
      </c>
      <c r="N33" s="25">
        <v>0</v>
      </c>
      <c r="O33" s="44">
        <v>0</v>
      </c>
      <c r="P33" s="129">
        <f>MAX(('1'!COMP_SHAREPRICE-O33)/'1'!COMP_SHAREPRICE*N33,0)</f>
        <v>0</v>
      </c>
      <c r="Q33" s="54"/>
      <c r="R33" s="239"/>
      <c r="S33" s="239"/>
      <c r="T33" s="239"/>
      <c r="U33" s="239"/>
      <c r="V33" s="239"/>
    </row>
    <row r="34" spans="1:26" ht="15" customHeight="1">
      <c r="A34" s="30"/>
      <c r="B34" s="54" t="s">
        <v>264</v>
      </c>
      <c r="D34" s="54">
        <f>P38</f>
        <v>15.052457598656586</v>
      </c>
      <c r="E34" s="54" t="s">
        <v>742</v>
      </c>
      <c r="F34" s="54"/>
      <c r="G34" s="67">
        <v>0</v>
      </c>
      <c r="H34" s="16" t="s">
        <v>184</v>
      </c>
      <c r="I34" s="54"/>
      <c r="J34" s="191">
        <v>118</v>
      </c>
      <c r="K34" s="129"/>
      <c r="M34" s="43" t="s">
        <v>265</v>
      </c>
      <c r="N34" s="25">
        <v>0</v>
      </c>
      <c r="O34" s="44">
        <v>0</v>
      </c>
      <c r="P34" s="129">
        <f>MAX(('1'!COMP_SHAREPRICE-O34)/'1'!COMP_SHAREPRICE*N34,0)</f>
        <v>0</v>
      </c>
      <c r="Q34" s="54"/>
      <c r="R34" s="239"/>
      <c r="S34" s="239"/>
      <c r="T34" s="239"/>
      <c r="U34" s="239"/>
      <c r="V34" s="239"/>
    </row>
    <row r="35" spans="1:26" ht="15" customHeight="1">
      <c r="A35" s="30"/>
      <c r="B35" s="54" t="s">
        <v>175</v>
      </c>
      <c r="D35" s="54">
        <f>SUM(D32:D34)</f>
        <v>4327.5086255986562</v>
      </c>
      <c r="E35" s="54" t="s">
        <v>180</v>
      </c>
      <c r="F35" s="54"/>
      <c r="G35" s="192">
        <v>1539</v>
      </c>
      <c r="H35" s="16" t="s">
        <v>104</v>
      </c>
      <c r="I35" s="54"/>
      <c r="J35" s="25">
        <v>0</v>
      </c>
      <c r="K35" s="129"/>
      <c r="L35" s="54"/>
      <c r="M35" s="43" t="s">
        <v>266</v>
      </c>
      <c r="N35" s="25">
        <v>0</v>
      </c>
      <c r="O35" s="44">
        <v>0</v>
      </c>
      <c r="P35" s="129">
        <f>MAX(('1'!COMP_SHAREPRICE-O35)/'1'!COMP_SHAREPRICE*N35,0)</f>
        <v>0</v>
      </c>
      <c r="Q35" s="54"/>
      <c r="R35" s="239"/>
      <c r="S35" s="239"/>
      <c r="T35" s="239"/>
      <c r="U35" s="239"/>
      <c r="V35" s="239"/>
    </row>
    <row r="36" spans="1:26" ht="15" customHeight="1">
      <c r="A36" s="30"/>
      <c r="B36" s="54" t="s">
        <v>267</v>
      </c>
      <c r="D36" s="54">
        <f>D35*'1'!COMP_SHAREPRICE</f>
        <v>257703.13865439995</v>
      </c>
      <c r="E36" s="16" t="s">
        <v>104</v>
      </c>
      <c r="F36" s="54"/>
      <c r="G36" s="25">
        <v>0</v>
      </c>
      <c r="H36" s="16" t="s">
        <v>104</v>
      </c>
      <c r="I36" s="54"/>
      <c r="J36" s="25">
        <v>0</v>
      </c>
      <c r="K36" s="129"/>
      <c r="L36" s="54"/>
      <c r="M36" s="43" t="s">
        <v>268</v>
      </c>
      <c r="N36" s="25">
        <v>0</v>
      </c>
      <c r="O36" s="44">
        <v>0</v>
      </c>
      <c r="P36" s="129">
        <f>MAX(('1'!COMP_SHAREPRICE-O36)/'1'!COMP_SHAREPRICE*N36,0)</f>
        <v>0</v>
      </c>
      <c r="Q36" s="54"/>
      <c r="R36" s="239"/>
      <c r="S36" s="239"/>
      <c r="T36" s="239"/>
      <c r="U36" s="239"/>
      <c r="V36" s="239"/>
      <c r="W36" s="100"/>
      <c r="X36" s="100"/>
    </row>
    <row r="37" spans="1:26" ht="15" customHeight="1">
      <c r="A37" s="30"/>
      <c r="B37" s="54" t="s">
        <v>269</v>
      </c>
      <c r="D37" s="191">
        <v>25941</v>
      </c>
      <c r="E37" s="16" t="s">
        <v>104</v>
      </c>
      <c r="F37" s="54"/>
      <c r="G37" s="25">
        <v>0</v>
      </c>
      <c r="H37" s="16" t="s">
        <v>104</v>
      </c>
      <c r="I37" s="54"/>
      <c r="J37" s="25">
        <v>0</v>
      </c>
      <c r="K37" s="129"/>
      <c r="L37" s="54"/>
      <c r="M37" s="43" t="s">
        <v>270</v>
      </c>
      <c r="N37" s="25">
        <v>0</v>
      </c>
      <c r="O37" s="44">
        <v>0</v>
      </c>
      <c r="P37" s="129">
        <f>MAX(('1'!COMP_SHAREPRICE-O37)/'1'!COMP_SHAREPRICE*N37,0)</f>
        <v>0</v>
      </c>
      <c r="Q37" s="54"/>
      <c r="R37" s="54"/>
      <c r="S37" s="145"/>
      <c r="T37" s="100"/>
      <c r="U37" s="100"/>
      <c r="V37" s="100"/>
      <c r="W37" s="100"/>
      <c r="X37" s="100"/>
    </row>
    <row r="38" spans="1:26" ht="15" customHeight="1">
      <c r="A38" s="30"/>
      <c r="B38" s="54" t="s">
        <v>271</v>
      </c>
      <c r="C38" s="54"/>
      <c r="D38" s="54">
        <f>G39-J39</f>
        <v>10151</v>
      </c>
      <c r="F38" s="54"/>
      <c r="G38" s="54"/>
      <c r="H38" s="54"/>
      <c r="I38" s="54"/>
      <c r="J38" s="54"/>
      <c r="K38" s="129"/>
      <c r="L38" s="54"/>
      <c r="M38" s="137" t="s">
        <v>272</v>
      </c>
      <c r="N38" s="104"/>
      <c r="O38" s="104"/>
      <c r="P38" s="134">
        <f>SUM(P30:P37)</f>
        <v>15.052457598656586</v>
      </c>
      <c r="Q38" s="54"/>
      <c r="R38" s="54"/>
      <c r="S38" s="145"/>
      <c r="T38" s="100"/>
      <c r="U38" s="100"/>
      <c r="V38" s="100"/>
      <c r="W38" s="100"/>
      <c r="X38" s="100"/>
    </row>
    <row r="39" spans="1:26" ht="15" customHeight="1">
      <c r="A39" s="104"/>
      <c r="B39" s="104" t="s">
        <v>117</v>
      </c>
      <c r="C39" s="104"/>
      <c r="D39" s="104">
        <f>D37+D38</f>
        <v>36092</v>
      </c>
      <c r="E39" s="104" t="s">
        <v>273</v>
      </c>
      <c r="F39" s="104"/>
      <c r="G39" s="104">
        <f>SUM(G31:G37)</f>
        <v>43603</v>
      </c>
      <c r="H39" s="104" t="s">
        <v>274</v>
      </c>
      <c r="I39" s="104"/>
      <c r="J39" s="104">
        <f>SUM(J31:J37)</f>
        <v>33452</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275</v>
      </c>
      <c r="B41" s="40"/>
      <c r="C41" s="41"/>
      <c r="D41" s="41"/>
      <c r="E41" s="41"/>
      <c r="F41" s="41"/>
      <c r="G41" s="41"/>
      <c r="H41" s="41"/>
      <c r="I41" s="27" t="s">
        <v>276</v>
      </c>
      <c r="J41" s="41"/>
      <c r="K41" s="41"/>
      <c r="L41" s="46"/>
      <c r="M41" s="54"/>
      <c r="N41" s="54"/>
      <c r="O41" s="54"/>
      <c r="P41" s="54"/>
      <c r="Q41" s="54"/>
      <c r="R41" s="54"/>
      <c r="S41" s="54"/>
      <c r="T41" s="54"/>
      <c r="U41" s="54"/>
      <c r="V41" s="54"/>
      <c r="W41" s="54"/>
      <c r="X41" s="54"/>
    </row>
    <row r="42" spans="1:26" ht="15.75" customHeight="1">
      <c r="A42" s="30"/>
      <c r="B42" s="54"/>
      <c r="C42" s="73" t="s">
        <v>277</v>
      </c>
      <c r="D42" s="146" t="s">
        <v>278</v>
      </c>
      <c r="E42" s="146" t="s">
        <v>279</v>
      </c>
      <c r="F42" s="54" t="s">
        <v>262</v>
      </c>
      <c r="G42" s="73" t="s">
        <v>280</v>
      </c>
      <c r="H42" s="73" t="s">
        <v>281</v>
      </c>
      <c r="I42" s="73" t="s">
        <v>282</v>
      </c>
      <c r="J42" s="73" t="s">
        <v>283</v>
      </c>
      <c r="K42" s="73" t="s">
        <v>284</v>
      </c>
      <c r="L42" s="132" t="s">
        <v>285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228</v>
      </c>
      <c r="C44" s="191">
        <v>45784</v>
      </c>
      <c r="D44" s="25">
        <v>0</v>
      </c>
      <c r="E44" s="25">
        <v>0</v>
      </c>
      <c r="F44" s="25">
        <v>0</v>
      </c>
      <c r="G44" s="54">
        <f>C44-D44+E44+F44</f>
        <v>45784</v>
      </c>
      <c r="H44" s="54">
        <f>C44</f>
        <v>45784</v>
      </c>
      <c r="I44" s="25">
        <v>47140</v>
      </c>
      <c r="J44" s="64">
        <v>49486</v>
      </c>
      <c r="K44" s="64">
        <v>52262</v>
      </c>
      <c r="L44" s="48" t="s">
        <v>286</v>
      </c>
      <c r="M44" s="222"/>
      <c r="N44" s="54" t="s">
        <v>287</v>
      </c>
      <c r="O44" s="54"/>
      <c r="P44" s="54"/>
      <c r="Q44" s="54"/>
      <c r="R44" s="54"/>
      <c r="S44" s="54"/>
      <c r="T44" s="54"/>
      <c r="U44" s="54"/>
      <c r="V44" s="54"/>
      <c r="W44" s="54"/>
      <c r="X44" s="54"/>
      <c r="Y44" s="54"/>
      <c r="Z44" s="54"/>
    </row>
    <row r="45" spans="1:26" ht="15" customHeight="1">
      <c r="A45" s="30"/>
      <c r="B45" s="54" t="s">
        <v>288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286</v>
      </c>
      <c r="M53" s="54"/>
      <c r="N53" s="54" t="s">
        <v>291</v>
      </c>
      <c r="O53" s="54"/>
      <c r="P53" s="54"/>
      <c r="Q53" s="54"/>
      <c r="R53" s="54"/>
      <c r="S53" s="54"/>
      <c r="T53" s="54"/>
      <c r="U53" s="54"/>
      <c r="V53" s="54"/>
      <c r="W53" s="54"/>
      <c r="X53" s="54"/>
      <c r="Y53" s="54"/>
      <c r="Z53" s="54"/>
    </row>
    <row r="54" spans="1:26" ht="15" customHeight="1">
      <c r="A54" s="30"/>
      <c r="B54" s="54" t="s">
        <v>195</v>
      </c>
      <c r="C54" s="191">
        <v>1128</v>
      </c>
      <c r="D54" s="25">
        <v>0</v>
      </c>
      <c r="E54" s="25">
        <v>0</v>
      </c>
      <c r="F54" s="25">
        <v>0</v>
      </c>
      <c r="G54" s="54">
        <f>C54-D54+E54+F54</f>
        <v>1128</v>
      </c>
      <c r="H54" s="54">
        <f>C54</f>
        <v>1128</v>
      </c>
      <c r="I54" s="54">
        <f>I55-I53</f>
        <v>1704</v>
      </c>
      <c r="J54" s="62">
        <f>J55-J53</f>
        <v>1851</v>
      </c>
      <c r="K54" s="62">
        <f>K55-K53</f>
        <v>1787</v>
      </c>
      <c r="L54" s="48" t="s">
        <v>286</v>
      </c>
      <c r="M54" s="54"/>
      <c r="N54" s="54"/>
      <c r="O54" s="54"/>
      <c r="P54" s="54"/>
      <c r="Q54" s="54"/>
      <c r="R54" s="54"/>
      <c r="S54" s="54"/>
      <c r="T54" s="54"/>
      <c r="U54" s="54"/>
      <c r="V54" s="54"/>
      <c r="W54" s="54"/>
      <c r="X54" s="54"/>
      <c r="Y54" s="54"/>
      <c r="Z54" s="54"/>
    </row>
    <row r="55" spans="1:26" ht="15" customHeight="1">
      <c r="A55" s="30"/>
      <c r="B55" s="54" t="s">
        <v>292</v>
      </c>
      <c r="C55" s="54">
        <f>C53+C54</f>
        <v>14464</v>
      </c>
      <c r="D55" s="54">
        <f>D53+D54</f>
        <v>0</v>
      </c>
      <c r="E55" s="54">
        <f>E53+E54</f>
        <v>0</v>
      </c>
      <c r="F55" s="54"/>
      <c r="G55" s="54">
        <f>C55-D55+E55+F55</f>
        <v>14464</v>
      </c>
      <c r="H55" s="54">
        <f>C55</f>
        <v>14464</v>
      </c>
      <c r="I55" s="25">
        <v>15566</v>
      </c>
      <c r="J55" s="64">
        <v>16632</v>
      </c>
      <c r="K55" s="64">
        <v>17632</v>
      </c>
      <c r="L55" s="48" t="s">
        <v>286</v>
      </c>
      <c r="M55" s="54"/>
      <c r="N55" s="54" t="s">
        <v>287</v>
      </c>
      <c r="O55" s="54"/>
      <c r="P55" s="54"/>
      <c r="Q55" s="54"/>
      <c r="R55" s="54"/>
      <c r="S55" s="54"/>
      <c r="T55" s="54"/>
      <c r="U55" s="54"/>
      <c r="V55" s="54"/>
      <c r="W55" s="54"/>
      <c r="X55" s="54"/>
      <c r="Y55" s="54"/>
      <c r="Z55" s="54"/>
    </row>
    <row r="56" spans="1:26" ht="15" customHeight="1">
      <c r="A56" s="39"/>
      <c r="B56" s="104" t="s">
        <v>232</v>
      </c>
      <c r="C56" s="104"/>
      <c r="D56" s="148"/>
      <c r="E56" s="148"/>
      <c r="F56" s="148"/>
      <c r="G56" s="104"/>
      <c r="H56" s="213">
        <v>2.69</v>
      </c>
      <c r="I56" s="213">
        <v>2.89</v>
      </c>
      <c r="J56" s="213">
        <v>3.09</v>
      </c>
      <c r="K56" s="213">
        <v>3.3</v>
      </c>
      <c r="L56" s="50" t="s">
        <v>286</v>
      </c>
      <c r="M56" s="54"/>
      <c r="N56" s="54" t="s">
        <v>287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293</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294</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295</v>
      </c>
      <c r="C62" s="193">
        <v>397</v>
      </c>
      <c r="D62" s="81">
        <v>0</v>
      </c>
      <c r="E62" s="81">
        <v>0</v>
      </c>
      <c r="F62" s="54"/>
      <c r="G62" s="54">
        <f>C62-D62+E62+F62</f>
        <v>397</v>
      </c>
      <c r="H62" s="54">
        <f>C62</f>
        <v>397</v>
      </c>
      <c r="I62" s="54">
        <f>H62/H44*I44</f>
        <v>408.75808142582565</v>
      </c>
      <c r="J62" s="54">
        <f>I62/I44*J44</f>
        <v>429.10060283068321</v>
      </c>
      <c r="K62" s="54">
        <f>J62/J44*K44</f>
        <v>453.17171937794865</v>
      </c>
      <c r="L62" s="48" t="s">
        <v>286</v>
      </c>
      <c r="M62" s="54"/>
      <c r="N62" s="54"/>
      <c r="O62" s="54"/>
      <c r="P62" s="54"/>
      <c r="Q62" s="54"/>
      <c r="R62" s="54"/>
      <c r="S62" s="54"/>
      <c r="T62" s="54"/>
      <c r="U62" s="54"/>
      <c r="V62" s="54"/>
      <c r="W62" s="54"/>
      <c r="X62" s="54"/>
      <c r="Y62" s="54"/>
      <c r="Z62" s="54"/>
    </row>
    <row r="63" spans="1:26" ht="15" customHeight="1">
      <c r="A63" s="51"/>
      <c r="B63" s="54" t="s">
        <v>296</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286</v>
      </c>
      <c r="M63" s="54"/>
      <c r="N63" s="54"/>
      <c r="O63" s="54"/>
      <c r="P63" s="54"/>
      <c r="Q63" s="54"/>
      <c r="R63" s="54"/>
      <c r="S63" s="54"/>
      <c r="T63" s="54"/>
      <c r="U63" s="54"/>
      <c r="V63" s="54"/>
      <c r="W63" s="54"/>
      <c r="X63" s="54"/>
      <c r="Y63" s="54"/>
      <c r="Z63" s="54"/>
    </row>
    <row r="64" spans="1:26" ht="15" customHeight="1">
      <c r="A64" s="51"/>
      <c r="B64" s="54" t="s">
        <v>297</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286</v>
      </c>
      <c r="M64" s="54"/>
      <c r="N64" s="54"/>
      <c r="O64" s="54"/>
      <c r="P64" s="54"/>
      <c r="Q64" s="54"/>
      <c r="R64" s="54"/>
      <c r="S64" s="54"/>
      <c r="T64" s="54"/>
      <c r="U64" s="54"/>
      <c r="V64" s="54"/>
      <c r="W64" s="54"/>
      <c r="X64" s="54"/>
      <c r="Y64" s="54"/>
      <c r="Z64" s="54"/>
    </row>
    <row r="65" spans="1:26" ht="15" customHeight="1">
      <c r="A65" s="51"/>
      <c r="B65" s="54" t="s">
        <v>298</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299</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286</v>
      </c>
      <c r="M72" s="54"/>
      <c r="N72" s="54"/>
      <c r="O72" s="54"/>
      <c r="P72" s="54"/>
      <c r="Q72" s="54"/>
      <c r="R72" s="54"/>
      <c r="S72" s="54"/>
      <c r="T72" s="54"/>
      <c r="U72" s="54"/>
      <c r="V72" s="54"/>
      <c r="W72" s="54"/>
      <c r="X72" s="54"/>
      <c r="Y72" s="54"/>
      <c r="Z72" s="54"/>
    </row>
    <row r="73" spans="1:26" ht="15" customHeight="1">
      <c r="A73" s="51"/>
      <c r="B73" s="54" t="s">
        <v>300</v>
      </c>
      <c r="C73" s="54"/>
      <c r="D73" s="54"/>
      <c r="E73" s="54"/>
      <c r="F73" s="54"/>
      <c r="G73" s="152">
        <f>IF(ISNUMBER(G68),EVR/G68,"N/A")</f>
        <v>19.989019962977977</v>
      </c>
      <c r="H73" s="152"/>
      <c r="I73" s="152">
        <f t="shared" si="2"/>
        <v>19.232311703285117</v>
      </c>
      <c r="J73" s="152">
        <f t="shared" si="2"/>
        <v>18.039273247214169</v>
      </c>
      <c r="K73" s="152">
        <f t="shared" si="2"/>
        <v>16.830314930706511</v>
      </c>
      <c r="L73" s="48" t="s">
        <v>286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301</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302</v>
      </c>
      <c r="F78" s="54"/>
      <c r="G78" s="147">
        <f>C11</f>
        <v>45291</v>
      </c>
      <c r="H78" s="54"/>
      <c r="I78" s="73" t="s">
        <v>303</v>
      </c>
      <c r="J78" s="73" t="s">
        <v>304</v>
      </c>
      <c r="K78" s="73" t="s">
        <v>305</v>
      </c>
      <c r="L78" s="129"/>
      <c r="M78" s="54"/>
      <c r="N78" s="54"/>
      <c r="O78" s="54"/>
      <c r="P78" s="54"/>
      <c r="Q78" s="54"/>
      <c r="R78" s="54"/>
      <c r="S78" s="54"/>
      <c r="T78" s="54"/>
      <c r="U78" s="54"/>
      <c r="V78" s="54"/>
      <c r="W78" s="54"/>
      <c r="X78" s="54"/>
      <c r="Y78" s="54"/>
      <c r="Z78" s="54"/>
    </row>
    <row r="79" spans="1:26" ht="15" customHeight="1">
      <c r="A79" s="19"/>
      <c r="E79" s="128" t="s">
        <v>215</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306</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c r="A81" s="19"/>
      <c r="E81" s="137" t="s">
        <v>307</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tabSelected="1" zoomScale="150" zoomScaleNormal="150" zoomScaleSheetLayoutView="85" workbookViewId="0">
      <selection activeCell="C13" sqref="C13"/>
    </sheetView>
  </sheetViews>
  <sheetFormatPr defaultColWidth="12.5703125" defaultRowHeight="15" customHeight="1"/>
  <cols>
    <col min="1" max="1" width="1.5703125" customWidth="1"/>
    <col min="2" max="2" width="31.5703125" bestFit="1" customWidth="1"/>
    <col min="3" max="16" width="10.28515625" customWidth="1"/>
  </cols>
  <sheetData>
    <row r="1" spans="1:16" ht="45" customHeight="1">
      <c r="A1" s="83" t="str">
        <f>"M&amp;A analysis for "&amp;C6</f>
        <v>M&amp;A analysis for Red Bull</v>
      </c>
      <c r="B1" s="83"/>
      <c r="C1" s="83"/>
      <c r="D1" s="83"/>
      <c r="E1" s="83"/>
      <c r="F1" s="83"/>
      <c r="G1" s="83"/>
      <c r="H1" s="83"/>
      <c r="I1" s="83"/>
      <c r="J1" s="83"/>
      <c r="K1" s="83"/>
      <c r="L1" s="83"/>
      <c r="M1" s="83"/>
      <c r="N1" s="83"/>
      <c r="O1" s="83"/>
      <c r="P1" s="83"/>
    </row>
    <row r="2" spans="1:16" ht="15" customHeight="1">
      <c r="A2" s="5" t="s">
        <v>439</v>
      </c>
    </row>
    <row r="3" spans="1:16" ht="15" customHeight="1">
      <c r="A3" s="21"/>
    </row>
    <row r="4" spans="1:16" ht="15" customHeight="1">
      <c r="A4" s="21" t="s">
        <v>12</v>
      </c>
    </row>
    <row r="5" spans="1:16" ht="15" customHeight="1">
      <c r="A5" s="21"/>
      <c r="B5" t="s">
        <v>466</v>
      </c>
      <c r="J5" t="s">
        <v>461</v>
      </c>
    </row>
    <row r="6" spans="1:16" ht="15" customHeight="1">
      <c r="A6" s="21"/>
      <c r="B6" t="s">
        <v>8</v>
      </c>
      <c r="C6" s="227" t="s">
        <v>9</v>
      </c>
      <c r="J6" t="s">
        <v>8</v>
      </c>
      <c r="M6" t="str">
        <f>'1'!COMPANY_NAME</f>
        <v>Coca-Cola Company</v>
      </c>
    </row>
    <row r="7" spans="1:16" ht="15" customHeight="1">
      <c r="A7" s="21"/>
      <c r="J7" t="s">
        <v>743</v>
      </c>
      <c r="M7">
        <f>'1'!COMP_SHAREPRICE</f>
        <v>59.55</v>
      </c>
      <c r="N7" t="str">
        <f ca="1">IF(ISBLANK(M7),"",_xlfn.FORMULATEXT(M7))</f>
        <v>='1'!COMP_SHAREPRICE</v>
      </c>
    </row>
    <row r="8" spans="1:16" ht="15" customHeight="1">
      <c r="A8" s="21"/>
      <c r="B8" t="s">
        <v>744</v>
      </c>
      <c r="C8" s="59">
        <v>1.1000000000000001</v>
      </c>
      <c r="J8" t="s">
        <v>745</v>
      </c>
      <c r="M8">
        <f>'1'!COMP_FX</f>
        <v>1</v>
      </c>
      <c r="N8" t="str">
        <f ca="1">IF(ISBLANK(M8),"",_xlfn.FORMULATEXT(M8))</f>
        <v>='1'!COMP_FX</v>
      </c>
    </row>
    <row r="9" spans="1:16" ht="15" customHeight="1">
      <c r="A9" s="21"/>
      <c r="J9" t="s">
        <v>746</v>
      </c>
      <c r="M9">
        <f>M7/M8</f>
        <v>59.55</v>
      </c>
      <c r="N9" t="str">
        <f ca="1">IF(ISBLANK(M9),"",_xlfn.FORMULATEXT(M9))</f>
        <v>=M7/M8</v>
      </c>
    </row>
    <row r="10" spans="1:16" ht="15" customHeight="1">
      <c r="A10" s="21"/>
      <c r="B10" t="s">
        <v>219</v>
      </c>
      <c r="C10" s="74">
        <f>'Red Bull Model'!G20</f>
        <v>0.23</v>
      </c>
      <c r="D10" t="str">
        <f ca="1">IF(ISBLANK(C10),"",_xlfn.FORMULATEXT(C10))</f>
        <v>='Red Bull Model'!G20</v>
      </c>
      <c r="J10" t="str">
        <f>B10</f>
        <v>Marginal tax rate</v>
      </c>
      <c r="M10" s="74">
        <f>'1'!COMP_MTR</f>
        <v>0.221</v>
      </c>
      <c r="N10" t="str">
        <f ca="1">IF(ISBLANK(M10),"",_xlfn.FORMULATEXT(M10))</f>
        <v>='1'!COMP_MTR</v>
      </c>
    </row>
    <row r="11" spans="1:16" ht="15" customHeight="1">
      <c r="A11" s="21"/>
    </row>
    <row r="12" spans="1:16" ht="15" customHeight="1">
      <c r="A12" s="21"/>
      <c r="B12" t="s">
        <v>747</v>
      </c>
      <c r="C12" s="70">
        <v>25</v>
      </c>
      <c r="J12" t="s">
        <v>175</v>
      </c>
      <c r="M12">
        <f>'1'!DSO</f>
        <v>4327.5086255986562</v>
      </c>
      <c r="N12" t="str">
        <f t="shared" ref="N12:N17" ca="1" si="0">IF(ISBLANK(M12),"",_xlfn.FORMULATEXT(M12))</f>
        <v>='1'!DSO</v>
      </c>
    </row>
    <row r="13" spans="1:16" ht="15" customHeight="1">
      <c r="A13" s="21"/>
      <c r="B13" t="s">
        <v>321</v>
      </c>
      <c r="C13">
        <f>'Red Bull Model'!F60*FX</f>
        <v>3447.4541009919985</v>
      </c>
      <c r="D13" t="str">
        <f ca="1">IF(ISBLANK(C13),"",_xlfn.FORMULATEXT(C13))</f>
        <v>='Red Bull Model'!F60*FX</v>
      </c>
      <c r="J13" t="s">
        <v>267</v>
      </c>
      <c r="M13">
        <f>'1'!D36</f>
        <v>257703.13865439995</v>
      </c>
      <c r="N13" t="str">
        <f t="shared" ca="1" si="0"/>
        <v>='1'!D36</v>
      </c>
    </row>
    <row r="14" spans="1:16" ht="15" customHeight="1">
      <c r="A14" s="21"/>
      <c r="B14" t="s">
        <v>748</v>
      </c>
      <c r="C14">
        <f>('Red Bull Model'!F88+'Red Bull Model'!F84)*FX</f>
        <v>520.96</v>
      </c>
      <c r="D14" t="str">
        <f ca="1">IF(ISBLANK(C14),"",_xlfn.FORMULATEXT(C14))</f>
        <v>=('Red Bull Model'!F88+'Red Bull Model'!F84)*FX</v>
      </c>
      <c r="J14" t="s">
        <v>748</v>
      </c>
      <c r="M14">
        <f>'1'!TOTAL_DEBT</f>
        <v>42064</v>
      </c>
      <c r="N14" t="str">
        <f t="shared" ca="1" si="0"/>
        <v>='1'!TOTAL_DEBT</v>
      </c>
    </row>
    <row r="15" spans="1:16" ht="15" customHeight="1">
      <c r="A15" s="21"/>
      <c r="B15" t="s">
        <v>700</v>
      </c>
      <c r="C15">
        <f>'Red Bull Model'!F74*FX</f>
        <v>657.91000000000008</v>
      </c>
      <c r="D15" t="str">
        <f ca="1">IF(ISBLANK(C15),"",_xlfn.FORMULATEXT(C15))</f>
        <v>='Red Bull Model'!F74*FX</v>
      </c>
      <c r="J15" t="s">
        <v>700</v>
      </c>
      <c r="M15">
        <f>'1'!CASH_AND_ST_INVESTMENTS</f>
        <v>13663</v>
      </c>
      <c r="N15" t="str">
        <f t="shared" ca="1" si="0"/>
        <v>='1'!CASH_AND_ST_INVESTMENTS</v>
      </c>
    </row>
    <row r="16" spans="1:16" ht="15" customHeight="1">
      <c r="A16" s="21"/>
      <c r="B16" t="s">
        <v>702</v>
      </c>
      <c r="C16">
        <f>'Red Bull Model'!F81*FX</f>
        <v>1326.38</v>
      </c>
      <c r="D16" t="str">
        <f ca="1">IF(ISBLANK(C16),"",_xlfn.FORMULATEXT(C16))</f>
        <v>='Red Bull Model'!F81*FX</v>
      </c>
      <c r="J16" t="s">
        <v>262</v>
      </c>
      <c r="M16">
        <f>'1'!OTHER_ADJUSTMENTS</f>
        <v>18250</v>
      </c>
      <c r="N16" t="str">
        <f t="shared" ca="1" si="0"/>
        <v>='1'!OTHER_ADJUSTMENTS</v>
      </c>
    </row>
    <row r="17" spans="1:17" ht="15" customHeight="1">
      <c r="A17" s="21"/>
      <c r="B17" t="s">
        <v>749</v>
      </c>
      <c r="C17">
        <f>C12*C13</f>
        <v>86186.352524799964</v>
      </c>
      <c r="D17" t="str">
        <f ca="1">IF(ISBLANK(C17),"",_xlfn.FORMULATEXT(C17))</f>
        <v>=C12*C13</v>
      </c>
      <c r="J17" t="s">
        <v>750</v>
      </c>
      <c r="M17">
        <f>SUM(M13:M14)-SUM(M15:M16)</f>
        <v>267854.13865439995</v>
      </c>
      <c r="N17" t="str">
        <f t="shared" ca="1" si="0"/>
        <v>=SUM(M13:M14)-SUM(M15:M16)</v>
      </c>
    </row>
    <row r="18" spans="1:17" ht="15" customHeight="1">
      <c r="A18" s="21"/>
    </row>
    <row r="19" spans="1:17" ht="15" customHeight="1">
      <c r="A19" s="21" t="s">
        <v>751</v>
      </c>
    </row>
    <row r="20" spans="1:17" ht="15" customHeight="1">
      <c r="A20" s="21"/>
      <c r="B20" t="s">
        <v>11</v>
      </c>
      <c r="C20" s="98" t="s">
        <v>191</v>
      </c>
      <c r="D20" s="98" t="s">
        <v>581</v>
      </c>
      <c r="E20" s="98" t="s">
        <v>582</v>
      </c>
      <c r="F20" s="98" t="s">
        <v>752</v>
      </c>
      <c r="J20" t="s">
        <v>11</v>
      </c>
      <c r="M20" s="98" t="str">
        <f>C20</f>
        <v>LTM</v>
      </c>
      <c r="N20" s="98" t="str">
        <f>D20</f>
        <v>CY1</v>
      </c>
      <c r="O20" s="98" t="str">
        <f>E20</f>
        <v>CY2</v>
      </c>
      <c r="P20" s="98" t="str">
        <f>F20</f>
        <v>CY3</v>
      </c>
    </row>
    <row r="21" spans="1:17" ht="15" customHeight="1">
      <c r="A21" s="21"/>
      <c r="B21" t="s">
        <v>228</v>
      </c>
      <c r="C21">
        <f>'Red Bull Model'!F54*FX</f>
        <v>11609.387042</v>
      </c>
      <c r="D21">
        <f>'Red Bull Model'!G54*FX</f>
        <v>12685.339133885002</v>
      </c>
      <c r="E21">
        <f>'Red Bull Model'!H54*FX</f>
        <v>13815.419080841937</v>
      </c>
      <c r="F21">
        <f>'Red Bull Model'!I54*FX</f>
        <v>14992.445797087097</v>
      </c>
      <c r="G21" t="str">
        <f ca="1">IF(ISBLANK(F21),"",_xlfn.FORMULATEXT(F21))</f>
        <v>='Red Bull Model'!I54*FX</v>
      </c>
      <c r="J21" t="s">
        <v>228</v>
      </c>
      <c r="M21">
        <f>'1'!G14</f>
        <v>45784</v>
      </c>
      <c r="N21">
        <f>'1'!H14</f>
        <v>47140</v>
      </c>
      <c r="O21">
        <f>'1'!I14</f>
        <v>49486</v>
      </c>
      <c r="P21">
        <f>'1'!J14</f>
        <v>52262</v>
      </c>
      <c r="Q21" t="str">
        <f ca="1">IF(ISBLANK(P21),"",_xlfn.FORMULATEXT(P21))</f>
        <v>='1'!J14</v>
      </c>
    </row>
    <row r="22" spans="1:17" ht="15" customHeight="1">
      <c r="A22" s="21"/>
      <c r="B22" t="s">
        <v>65</v>
      </c>
      <c r="C22">
        <f>'Red Bull Model'!F60*FX</f>
        <v>3447.4541009919985</v>
      </c>
      <c r="D22">
        <f>'Red Bull Model'!G60*FX</f>
        <v>3742.1750444960758</v>
      </c>
      <c r="E22">
        <f>'Red Bull Model'!H60*FX</f>
        <v>4144.6257242525808</v>
      </c>
      <c r="F22">
        <f>'Red Bull Model'!I60*FX</f>
        <v>4722.620426082437</v>
      </c>
      <c r="G22" t="str">
        <f ca="1">IF(ISBLANK(F22),"",_xlfn.FORMULATEXT(F22))</f>
        <v>='Red Bull Model'!I60*FX</v>
      </c>
      <c r="J22" t="s">
        <v>65</v>
      </c>
      <c r="M22">
        <f>'1'!G15</f>
        <v>14464</v>
      </c>
      <c r="N22">
        <f>'1'!H15</f>
        <v>15566</v>
      </c>
      <c r="O22">
        <f>'1'!I15</f>
        <v>16632</v>
      </c>
      <c r="P22">
        <f>'1'!J15</f>
        <v>17632</v>
      </c>
      <c r="Q22" t="str">
        <f t="shared" ref="Q22:Q24" ca="1" si="1">IF(ISBLANK(P22),"",_xlfn.FORMULATEXT(P22))</f>
        <v>='1'!J15</v>
      </c>
    </row>
    <row r="23" spans="1:17" ht="15" customHeight="1">
      <c r="A23" s="21"/>
      <c r="B23" t="s">
        <v>63</v>
      </c>
      <c r="C23">
        <f>'Red Bull Model'!F63*FX</f>
        <v>3007.4541009919985</v>
      </c>
      <c r="D23">
        <f>'Red Bull Model'!G63*FX</f>
        <v>3255.7506444960754</v>
      </c>
      <c r="E23">
        <f>'Red Bull Model'!H63*FX</f>
        <v>3594.2509518648703</v>
      </c>
      <c r="F23">
        <f>'Red Bull Model'!I63*FX</f>
        <v>4106.1031204261044</v>
      </c>
      <c r="G23" t="str">
        <f ca="1">IF(ISBLANK(F23),"",_xlfn.FORMULATEXT(F23))</f>
        <v>='Red Bull Model'!I63*FX</v>
      </c>
      <c r="J23" t="s">
        <v>63</v>
      </c>
      <c r="M23">
        <f>'1'!G16</f>
        <v>13336</v>
      </c>
      <c r="N23">
        <f>'1'!H16</f>
        <v>13862</v>
      </c>
      <c r="O23">
        <f>'1'!I16</f>
        <v>14781</v>
      </c>
      <c r="P23">
        <f>'1'!J16</f>
        <v>15845</v>
      </c>
      <c r="Q23" t="str">
        <f t="shared" ca="1" si="1"/>
        <v>='1'!J16</v>
      </c>
    </row>
    <row r="24" spans="1:17" ht="15" customHeight="1">
      <c r="A24" s="21"/>
      <c r="B24" t="s">
        <v>683</v>
      </c>
      <c r="C24">
        <f>'Red Bull Model'!F71*FX</f>
        <v>2364.724100991999</v>
      </c>
      <c r="D24">
        <f>'Red Bull Model'!G71*FX</f>
        <v>2431.6804801495764</v>
      </c>
      <c r="E24">
        <f>'Red Bull Model'!H71*FX</f>
        <v>2683.8632091393283</v>
      </c>
      <c r="F24">
        <f>'Red Bull Model'!I71*FX</f>
        <v>3065.1930747174474</v>
      </c>
      <c r="G24" t="str">
        <f ca="1">IF(ISBLANK(F24),"",_xlfn.FORMULATEXT(F24))</f>
        <v>='Red Bull Model'!I71*FX</v>
      </c>
      <c r="J24" t="s">
        <v>232</v>
      </c>
      <c r="N24" s="88">
        <f>'1'!H17</f>
        <v>2.89</v>
      </c>
      <c r="O24" s="88">
        <f>'1'!I17</f>
        <v>3.09</v>
      </c>
      <c r="P24" s="88">
        <f>'1'!J17</f>
        <v>3.3</v>
      </c>
      <c r="Q24" t="str">
        <f t="shared" ca="1" si="1"/>
        <v>='1'!J17</v>
      </c>
    </row>
    <row r="25" spans="1:17" ht="15" customHeight="1">
      <c r="A25" s="21"/>
    </row>
    <row r="26" spans="1:17" ht="15" customHeight="1">
      <c r="A26" s="21" t="s">
        <v>753</v>
      </c>
    </row>
    <row r="27" spans="1:17" ht="15" customHeight="1">
      <c r="A27" s="21"/>
      <c r="B27" t="s">
        <v>754</v>
      </c>
      <c r="C27" s="55">
        <v>0.01</v>
      </c>
    </row>
    <row r="28" spans="1:17" ht="15" customHeight="1">
      <c r="A28" s="21"/>
      <c r="B28" t="s">
        <v>755</v>
      </c>
      <c r="C28" s="55">
        <v>0.7</v>
      </c>
    </row>
    <row r="29" spans="1:17" ht="15" customHeight="1">
      <c r="A29" s="21"/>
      <c r="B29" t="s">
        <v>456</v>
      </c>
      <c r="C29" s="55">
        <v>0.05</v>
      </c>
    </row>
    <row r="30" spans="1:17" ht="15" customHeight="1">
      <c r="A30" s="21"/>
      <c r="B30" t="s">
        <v>677</v>
      </c>
      <c r="C30" s="94">
        <v>0.03</v>
      </c>
    </row>
    <row r="31" spans="1:17" ht="15" customHeight="1">
      <c r="A31" s="21"/>
      <c r="B31" t="s">
        <v>756</v>
      </c>
      <c r="D31" s="74">
        <f>Synergies!$F$10</f>
        <v>8.1677490383670046E-2</v>
      </c>
      <c r="E31" s="74">
        <f>Synergies!$F$10</f>
        <v>8.1677490383670046E-2</v>
      </c>
      <c r="F31" s="74">
        <f>Synergies!$F$10</f>
        <v>8.1677490383670046E-2</v>
      </c>
      <c r="G31" t="str">
        <f ca="1">IF(ISBLANK(F31),"",_xlfn.FORMULATEXT(F31))</f>
        <v>=Synergies!$F$10</v>
      </c>
    </row>
    <row r="32" spans="1:17" ht="15" customHeight="1">
      <c r="A32" s="21"/>
      <c r="B32" t="s">
        <v>757</v>
      </c>
      <c r="D32" s="74">
        <f>Synergies!G14</f>
        <v>1</v>
      </c>
      <c r="E32" s="74">
        <f>Synergies!H14</f>
        <v>1</v>
      </c>
      <c r="F32" s="74">
        <f>Synergies!I14</f>
        <v>1</v>
      </c>
      <c r="G32" t="str">
        <f ca="1">IF(ISBLANK(F32),"",_xlfn.FORMULATEXT(F32))</f>
        <v>=Synergies!I14</v>
      </c>
    </row>
    <row r="33" spans="1:9" ht="15" customHeight="1">
      <c r="A33" s="21"/>
    </row>
    <row r="34" spans="1:9" ht="15" customHeight="1">
      <c r="A34" s="21" t="s">
        <v>758</v>
      </c>
    </row>
    <row r="35" spans="1:9" ht="15" customHeight="1">
      <c r="A35" s="21"/>
      <c r="B35" t="s">
        <v>759</v>
      </c>
      <c r="C35">
        <f>SUM(C15:C17)-C14</f>
        <v>87649.682524799951</v>
      </c>
      <c r="D35" t="str">
        <f ca="1">IF(ISBLANK(C35),"",_xlfn.FORMULATEXT(C35))</f>
        <v>=SUM(C15:C17)-C14</v>
      </c>
      <c r="F35" t="s">
        <v>760</v>
      </c>
      <c r="H35">
        <f>C28*C35</f>
        <v>61354.777767359963</v>
      </c>
      <c r="I35" t="str">
        <f ca="1">IF(ISBLANK(H35),"",_xlfn.FORMULATEXT(H35))</f>
        <v>=C28*C35</v>
      </c>
    </row>
    <row r="36" spans="1:9" ht="15" customHeight="1">
      <c r="A36" s="21"/>
      <c r="B36" t="s">
        <v>761</v>
      </c>
      <c r="C36">
        <f>C27*C17</f>
        <v>861.86352524799963</v>
      </c>
      <c r="D36" t="str">
        <f ca="1">IF(ISBLANK(C36),"",_xlfn.FORMULATEXT(C36))</f>
        <v>=C27*C17</v>
      </c>
      <c r="F36" t="s">
        <v>762</v>
      </c>
      <c r="H36">
        <f>C15</f>
        <v>657.91000000000008</v>
      </c>
      <c r="I36" t="str">
        <f ca="1">IF(ISBLANK(H36),"",_xlfn.FORMULATEXT(H36))</f>
        <v>=C15</v>
      </c>
    </row>
    <row r="37" spans="1:9" ht="15" customHeight="1">
      <c r="A37" s="21"/>
      <c r="B37" t="s">
        <v>763</v>
      </c>
      <c r="C37">
        <f>C14</f>
        <v>520.96</v>
      </c>
      <c r="D37" t="str">
        <f ca="1">IF(ISBLANK(C37),"",_xlfn.FORMULATEXT(C37))</f>
        <v>=C14</v>
      </c>
      <c r="F37" t="s">
        <v>764</v>
      </c>
      <c r="H37">
        <f>C38-H35-H36</f>
        <v>27019.818282687997</v>
      </c>
      <c r="I37" t="str">
        <f ca="1">IF(ISBLANK(H37),"",_xlfn.FORMULATEXT(H37))</f>
        <v>=C38-H35-H36</v>
      </c>
    </row>
    <row r="38" spans="1:9" ht="15" customHeight="1">
      <c r="A38" s="21"/>
      <c r="B38" t="s">
        <v>765</v>
      </c>
      <c r="C38">
        <f>SUM(C35:C37)</f>
        <v>89032.506050047959</v>
      </c>
      <c r="D38" t="str">
        <f ca="1">IF(ISBLANK(C38),"",_xlfn.FORMULATEXT(C38))</f>
        <v>=SUM(C35:C37)</v>
      </c>
      <c r="F38" t="s">
        <v>766</v>
      </c>
      <c r="H38">
        <f>SUM(H35:H37)</f>
        <v>89032.506050047959</v>
      </c>
      <c r="I38" t="str">
        <f ca="1">IF(ISBLANK(H38),"",_xlfn.FORMULATEXT(H38))</f>
        <v>=SUM(H35:H37)</v>
      </c>
    </row>
    <row r="39" spans="1:9" ht="15" customHeight="1">
      <c r="A39" s="21"/>
    </row>
    <row r="40" spans="1:9" ht="15" customHeight="1">
      <c r="A40" s="21" t="s">
        <v>767</v>
      </c>
      <c r="C40" s="98" t="s">
        <v>191</v>
      </c>
      <c r="D40" s="98" t="s">
        <v>581</v>
      </c>
      <c r="E40" s="98" t="s">
        <v>582</v>
      </c>
      <c r="F40" s="98" t="s">
        <v>752</v>
      </c>
    </row>
    <row r="41" spans="1:9" ht="15" customHeight="1">
      <c r="A41" s="21"/>
      <c r="B41" t="s">
        <v>768</v>
      </c>
      <c r="C41">
        <f>M22</f>
        <v>14464</v>
      </c>
      <c r="D41">
        <f t="shared" ref="D41:F41" si="2">N22</f>
        <v>15566</v>
      </c>
      <c r="E41">
        <f t="shared" si="2"/>
        <v>16632</v>
      </c>
      <c r="F41">
        <f t="shared" si="2"/>
        <v>17632</v>
      </c>
      <c r="G41" t="str">
        <f ca="1">IF(ISBLANK(F41),"",_xlfn.FORMULATEXT(F41))</f>
        <v>=P22</v>
      </c>
    </row>
    <row r="42" spans="1:9" ht="15" customHeight="1">
      <c r="A42" s="21"/>
      <c r="B42" t="s">
        <v>769</v>
      </c>
      <c r="C42">
        <f>C22</f>
        <v>3447.4541009919985</v>
      </c>
      <c r="D42">
        <f t="shared" ref="D42:F42" si="3">D22</f>
        <v>3742.1750444960758</v>
      </c>
      <c r="E42">
        <f t="shared" si="3"/>
        <v>4144.6257242525808</v>
      </c>
      <c r="F42">
        <f t="shared" si="3"/>
        <v>4722.620426082437</v>
      </c>
      <c r="G42" t="str">
        <f ca="1">IF(ISBLANK(F42),"",_xlfn.FORMULATEXT(F42))</f>
        <v>=F22</v>
      </c>
    </row>
    <row r="43" spans="1:9" ht="15" customHeight="1">
      <c r="A43" s="21"/>
      <c r="B43" t="s">
        <v>473</v>
      </c>
      <c r="D43">
        <f>D31*D21*D32</f>
        <v>1036.1066651214855</v>
      </c>
      <c r="E43">
        <f t="shared" ref="E43:F43" si="4">E31*E21*E32</f>
        <v>1128.408759121839</v>
      </c>
      <c r="F43">
        <f t="shared" si="4"/>
        <v>1224.5453474192757</v>
      </c>
      <c r="G43" t="str">
        <f ca="1">IF(ISBLANK(F43),"",_xlfn.FORMULATEXT(F43))</f>
        <v>=F31*F21*F32</v>
      </c>
    </row>
    <row r="44" spans="1:9" ht="15" customHeight="1">
      <c r="A44" s="21"/>
      <c r="B44" t="s">
        <v>770</v>
      </c>
      <c r="D44">
        <f>SUM(D41:D43)</f>
        <v>20344.28170961756</v>
      </c>
      <c r="E44">
        <f t="shared" ref="E44:F44" si="5">SUM(E41:E43)</f>
        <v>21905.03448337442</v>
      </c>
      <c r="F44">
        <f t="shared" si="5"/>
        <v>23579.165773501714</v>
      </c>
      <c r="G44" t="str">
        <f ca="1">IF(ISBLANK(F44),"",_xlfn.FORMULATEXT(F44))</f>
        <v>=SUM(F41:F43)</v>
      </c>
    </row>
    <row r="45" spans="1:9" ht="15.75" customHeight="1">
      <c r="A45" s="21"/>
    </row>
    <row r="46" spans="1:9" ht="15" customHeight="1">
      <c r="A46" s="21"/>
      <c r="B46" t="s">
        <v>771</v>
      </c>
      <c r="D46">
        <f>N24*$M$12</f>
        <v>12506.499927980118</v>
      </c>
      <c r="E46">
        <f t="shared" ref="E46:F46" si="6">O24*$M$12</f>
        <v>13372.001653099847</v>
      </c>
      <c r="F46">
        <f t="shared" si="6"/>
        <v>14280.778464475565</v>
      </c>
      <c r="G46" t="str">
        <f t="shared" ref="G46:G52" ca="1" si="7">IF(ISBLANK(F46),"",_xlfn.FORMULATEXT(F46))</f>
        <v>=P24*$M$12</v>
      </c>
    </row>
    <row r="47" spans="1:9" ht="15" customHeight="1">
      <c r="A47" s="21"/>
      <c r="B47" t="s">
        <v>772</v>
      </c>
      <c r="D47">
        <f>D24</f>
        <v>2431.6804801495764</v>
      </c>
      <c r="E47">
        <f t="shared" ref="E47:F47" si="8">E24</f>
        <v>2683.8632091393283</v>
      </c>
      <c r="F47">
        <f t="shared" si="8"/>
        <v>3065.1930747174474</v>
      </c>
      <c r="G47" t="str">
        <f t="shared" ca="1" si="7"/>
        <v>=F24</v>
      </c>
    </row>
    <row r="48" spans="1:9" ht="15" customHeight="1">
      <c r="A48" s="21"/>
      <c r="B48" t="s">
        <v>773</v>
      </c>
      <c r="D48">
        <f>D43*(1-$C$10)</f>
        <v>797.80213214354387</v>
      </c>
      <c r="E48">
        <f t="shared" ref="E48:F48" si="9">E43*(1-$C$10)</f>
        <v>868.87474452381605</v>
      </c>
      <c r="F48">
        <f t="shared" si="9"/>
        <v>942.89991751284231</v>
      </c>
      <c r="G48" t="str">
        <f t="shared" ca="1" si="7"/>
        <v>=F43*(1-$C$10)</v>
      </c>
    </row>
    <row r="49" spans="1:13" ht="15" customHeight="1">
      <c r="A49" s="21"/>
      <c r="B49" t="s">
        <v>774</v>
      </c>
      <c r="D49">
        <f>$C$29*$H$37*(1-$M$10)*-1</f>
        <v>-1052.4219221106976</v>
      </c>
      <c r="E49">
        <f t="shared" ref="E49:F49" si="10">$C$29*$H$37*(1-$M$10)*-1</f>
        <v>-1052.4219221106976</v>
      </c>
      <c r="F49">
        <f t="shared" si="10"/>
        <v>-1052.4219221106976</v>
      </c>
      <c r="G49" t="str">
        <f t="shared" ca="1" si="7"/>
        <v>=$C$29*$H$37*(1-$M$10)*-1</v>
      </c>
    </row>
    <row r="50" spans="1:13" ht="15" customHeight="1">
      <c r="A50" s="21"/>
      <c r="B50" t="s">
        <v>775</v>
      </c>
      <c r="D50">
        <f>$C$29*$C$37*(1-$C$10)</f>
        <v>20.05696</v>
      </c>
      <c r="E50">
        <f t="shared" ref="E50:F50" si="11">$C$29*$C$37*(1-$C$10)</f>
        <v>20.05696</v>
      </c>
      <c r="F50">
        <f t="shared" si="11"/>
        <v>20.05696</v>
      </c>
      <c r="G50" t="str">
        <f t="shared" ca="1" si="7"/>
        <v>=$C$29*$C$37*(1-$C$10)</v>
      </c>
    </row>
    <row r="51" spans="1:13" ht="15" customHeight="1">
      <c r="A51" s="21"/>
      <c r="B51" t="s">
        <v>776</v>
      </c>
      <c r="D51">
        <f>$H$36*$C$30*(1-$C$10)*-1</f>
        <v>-15.197721000000001</v>
      </c>
      <c r="E51">
        <f t="shared" ref="E51:F51" si="12">$H$36*$C$30*(1-$C$10)*-1</f>
        <v>-15.197721000000001</v>
      </c>
      <c r="F51">
        <f t="shared" si="12"/>
        <v>-15.197721000000001</v>
      </c>
      <c r="G51" t="str">
        <f t="shared" ca="1" si="7"/>
        <v>=$H$36*$C$30*(1-$C$10)*-1</v>
      </c>
    </row>
    <row r="52" spans="1:13" ht="15" customHeight="1">
      <c r="A52" s="21"/>
      <c r="B52" t="s">
        <v>777</v>
      </c>
      <c r="D52">
        <f>SUM(D46:D51)</f>
        <v>14688.41985716254</v>
      </c>
      <c r="E52">
        <f t="shared" ref="E52:F52" si="13">SUM(E46:E51)</f>
        <v>15877.176923652294</v>
      </c>
      <c r="F52">
        <f t="shared" si="13"/>
        <v>17241.308773595156</v>
      </c>
      <c r="G52" t="str">
        <f t="shared" ca="1" si="7"/>
        <v>=SUM(F46:F51)</v>
      </c>
    </row>
    <row r="53" spans="1:13" ht="15" customHeight="1">
      <c r="A53" s="21"/>
    </row>
    <row r="54" spans="1:13" ht="15" customHeight="1">
      <c r="A54" s="21"/>
      <c r="B54" t="s">
        <v>778</v>
      </c>
      <c r="D54">
        <f>$M$12</f>
        <v>4327.5086255986562</v>
      </c>
      <c r="E54">
        <f t="shared" ref="E54:F54" si="14">$M$12</f>
        <v>4327.5086255986562</v>
      </c>
      <c r="F54">
        <f t="shared" si="14"/>
        <v>4327.5086255986562</v>
      </c>
      <c r="G54" t="str">
        <f ca="1">IF(ISBLANK(F54),"",_xlfn.FORMULATEXT(F54))</f>
        <v>=$M$12</v>
      </c>
    </row>
    <row r="55" spans="1:13" ht="15" customHeight="1">
      <c r="A55" s="21"/>
      <c r="B55" t="s">
        <v>779</v>
      </c>
      <c r="D55">
        <f>$H$35/$M$9</f>
        <v>1030.306931441813</v>
      </c>
      <c r="E55">
        <f t="shared" ref="E55:F55" si="15">$H$35/$M$9</f>
        <v>1030.306931441813</v>
      </c>
      <c r="F55">
        <f t="shared" si="15"/>
        <v>1030.306931441813</v>
      </c>
      <c r="G55" t="str">
        <f ca="1">IF(ISBLANK(F55),"",_xlfn.FORMULATEXT(F55))</f>
        <v>=$H$35/$M$9</v>
      </c>
    </row>
    <row r="56" spans="1:13" ht="15" customHeight="1">
      <c r="A56" s="21"/>
      <c r="B56" t="s">
        <v>780</v>
      </c>
      <c r="D56">
        <f>SUM(D54:D55)</f>
        <v>5357.8155570404688</v>
      </c>
      <c r="E56">
        <f t="shared" ref="E56:F56" si="16">SUM(E54:E55)</f>
        <v>5357.8155570404688</v>
      </c>
      <c r="F56">
        <f t="shared" si="16"/>
        <v>5357.8155570404688</v>
      </c>
      <c r="G56" t="str">
        <f ca="1">IF(ISBLANK(F56),"",_xlfn.FORMULATEXT(F56))</f>
        <v>=SUM(F54:F55)</v>
      </c>
    </row>
    <row r="57" spans="1:13" ht="15" customHeight="1">
      <c r="A57" s="21"/>
    </row>
    <row r="58" spans="1:13" ht="15" customHeight="1">
      <c r="A58" s="21"/>
      <c r="B58" t="s">
        <v>781</v>
      </c>
      <c r="D58" s="88">
        <f>N24</f>
        <v>2.89</v>
      </c>
      <c r="E58" s="88">
        <f t="shared" ref="E58:F58" si="17">O24</f>
        <v>3.09</v>
      </c>
      <c r="F58" s="88">
        <f t="shared" si="17"/>
        <v>3.3</v>
      </c>
      <c r="G58" t="str">
        <f ca="1">IF(ISBLANK(F58),"",_xlfn.FORMULATEXT(F58))</f>
        <v>=P24</v>
      </c>
    </row>
    <row r="59" spans="1:13" ht="15" customHeight="1">
      <c r="A59" s="21"/>
      <c r="B59" t="s">
        <v>782</v>
      </c>
      <c r="D59" s="88">
        <f>D52/D56</f>
        <v>2.7414941221448239</v>
      </c>
      <c r="E59" s="88">
        <f t="shared" ref="E59:F59" si="18">E52/E56</f>
        <v>2.9633675804290793</v>
      </c>
      <c r="F59" s="88">
        <f t="shared" si="18"/>
        <v>3.2179735547146846</v>
      </c>
      <c r="G59" t="str">
        <f ca="1">IF(ISBLANK(F59),"",_xlfn.FORMULATEXT(F59))</f>
        <v>=F52/F56</v>
      </c>
    </row>
    <row r="60" spans="1:13" ht="15" customHeight="1">
      <c r="A60" s="21"/>
      <c r="B60" t="s">
        <v>783</v>
      </c>
      <c r="D60" s="74">
        <f>D59/D58-1</f>
        <v>-5.1386116904905244E-2</v>
      </c>
      <c r="E60" s="74">
        <f t="shared" ref="E60:F60" si="19">E59/E58-1</f>
        <v>-4.0981365556932214E-2</v>
      </c>
      <c r="F60" s="74">
        <f t="shared" si="19"/>
        <v>-2.4856498571307672E-2</v>
      </c>
      <c r="G60" t="str">
        <f ca="1">IF(ISBLANK(F60),"",_xlfn.FORMULATEXT(F60))</f>
        <v>=F59/F58-1</v>
      </c>
    </row>
    <row r="61" spans="1:13" ht="15" customHeight="1">
      <c r="A61" s="21"/>
      <c r="B61" t="s">
        <v>784</v>
      </c>
      <c r="D61">
        <f>(D58-D59)*D56/(1-$C$10)</f>
        <v>1033.333899590149</v>
      </c>
      <c r="E61">
        <f t="shared" ref="E61:F61" si="20">(E58-E59)*E56/(1-$C$10)</f>
        <v>881.13395792565439</v>
      </c>
      <c r="F61">
        <f t="shared" si="20"/>
        <v>570.75657745245542</v>
      </c>
      <c r="G61" t="str">
        <f ca="1">IF(ISBLANK(F61),"",_xlfn.FORMULATEXT(F61))</f>
        <v>=(F58-F59)*F56/(1-$C$10)</v>
      </c>
    </row>
    <row r="62" spans="1:13" ht="15" customHeight="1">
      <c r="A62" s="21"/>
    </row>
    <row r="63" spans="1:13" ht="15" customHeight="1">
      <c r="A63" s="21" t="s">
        <v>433</v>
      </c>
    </row>
    <row r="64" spans="1:13" ht="15" customHeight="1">
      <c r="A64" s="21"/>
      <c r="B64" t="s">
        <v>785</v>
      </c>
      <c r="K64" t="s">
        <v>786</v>
      </c>
      <c r="M64">
        <f>C42</f>
        <v>3447.4541009919985</v>
      </c>
    </row>
    <row r="65" spans="1:17" ht="15" customHeight="1">
      <c r="A65" s="21"/>
    </row>
    <row r="66" spans="1:17" ht="15" customHeight="1">
      <c r="A66" s="21"/>
      <c r="C66" s="98"/>
      <c r="F66" t="s">
        <v>787</v>
      </c>
      <c r="O66" t="s">
        <v>787</v>
      </c>
    </row>
    <row r="67" spans="1:17" ht="15" customHeight="1">
      <c r="A67" s="21"/>
      <c r="C67" s="74">
        <f>F60</f>
        <v>-2.4856498571307672E-2</v>
      </c>
      <c r="D67" s="161">
        <f>E67-0.1</f>
        <v>0.5</v>
      </c>
      <c r="E67" s="161">
        <f>F67-0.1</f>
        <v>0.6</v>
      </c>
      <c r="F67" s="161">
        <v>0.7</v>
      </c>
      <c r="G67" s="161">
        <f>F67+0.1</f>
        <v>0.79999999999999993</v>
      </c>
      <c r="H67" s="161">
        <f>G67+0.1</f>
        <v>0.89999999999999991</v>
      </c>
      <c r="L67" s="74">
        <f>F60</f>
        <v>-2.4856498571307672E-2</v>
      </c>
      <c r="M67" s="161">
        <f>N67-0.1</f>
        <v>0.5</v>
      </c>
      <c r="N67" s="161">
        <f>O67-0.1</f>
        <v>0.6</v>
      </c>
      <c r="O67" s="161">
        <v>0.7</v>
      </c>
      <c r="P67" s="161">
        <f>O67+0.1</f>
        <v>0.79999999999999993</v>
      </c>
      <c r="Q67" s="161">
        <f>P67+0.1</f>
        <v>0.89999999999999991</v>
      </c>
    </row>
    <row r="68" spans="1:17" ht="15" customHeight="1">
      <c r="A68" s="21"/>
      <c r="C68" s="162">
        <f>C69-1</f>
        <v>21</v>
      </c>
      <c r="D68" s="74">
        <f t="dataTable" ref="D68:H76" dt2D="1" dtr="1" r1="C28" r2="C12" ca="1"/>
        <v>3.0940380786203203E-2</v>
      </c>
      <c r="E68" s="74">
        <v>2.2917310664520851E-2</v>
      </c>
      <c r="F68" s="74">
        <v>1.5277287228571357E-2</v>
      </c>
      <c r="G68" s="74">
        <v>7.993518264458821E-3</v>
      </c>
      <c r="H68" s="74">
        <v>1.0416532728072525E-3</v>
      </c>
      <c r="L68" s="225">
        <f>C68*$M$64</f>
        <v>72396.536120831966</v>
      </c>
      <c r="M68" s="74">
        <f t="dataTable" ref="M68:Q76" dt2D="1" dtr="1" r1="C28" r2="C17" ca="1"/>
        <v>3.0940380786203203E-2</v>
      </c>
      <c r="N68" s="74">
        <v>2.2917310664520851E-2</v>
      </c>
      <c r="O68" s="74">
        <v>1.5277287228571357E-2</v>
      </c>
      <c r="P68" s="74">
        <v>7.993518264458821E-3</v>
      </c>
      <c r="Q68" s="74">
        <v>1.0416532728072525E-3</v>
      </c>
    </row>
    <row r="69" spans="1:17" ht="15" customHeight="1">
      <c r="A69" s="21"/>
      <c r="C69" s="162">
        <f>C70-1</f>
        <v>22</v>
      </c>
      <c r="D69" s="74">
        <v>2.0774095463354847E-2</v>
      </c>
      <c r="E69" s="74">
        <v>1.2692120347677527E-2</v>
      </c>
      <c r="F69" s="74">
        <v>5.0108888142790242E-3</v>
      </c>
      <c r="G69" s="74">
        <v>-2.2986842658275775E-3</v>
      </c>
      <c r="H69" s="74">
        <v>-9.2629359218298069E-3</v>
      </c>
      <c r="L69" s="225">
        <f t="shared" ref="L69:L76" si="21">C69*$M$64</f>
        <v>75843.990221823973</v>
      </c>
      <c r="M69" s="74">
        <v>2.0774095463354847E-2</v>
      </c>
      <c r="N69" s="74">
        <v>1.2692120347677527E-2</v>
      </c>
      <c r="O69" s="74">
        <v>5.0108888142790242E-3</v>
      </c>
      <c r="P69" s="74">
        <v>-2.2986842658275775E-3</v>
      </c>
      <c r="Q69" s="74">
        <v>-9.2629359218298069E-3</v>
      </c>
    </row>
    <row r="70" spans="1:17" ht="15" customHeight="1">
      <c r="A70" s="21"/>
      <c r="C70" s="162">
        <f>C71-1</f>
        <v>23</v>
      </c>
      <c r="D70" s="74">
        <v>1.072538844231663E-2</v>
      </c>
      <c r="E70" s="74">
        <v>2.6050983133456551E-3</v>
      </c>
      <c r="F70" s="74">
        <v>-5.0978229413285447E-3</v>
      </c>
      <c r="G70" s="74">
        <v>-1.241474715070745E-2</v>
      </c>
      <c r="H70" s="74">
        <v>-1.9373978880284581E-2</v>
      </c>
      <c r="L70" s="225">
        <f t="shared" si="21"/>
        <v>79291.444322815965</v>
      </c>
      <c r="M70" s="74">
        <v>1.072538844231663E-2</v>
      </c>
      <c r="N70" s="74">
        <v>2.6050983133456551E-3</v>
      </c>
      <c r="O70" s="74">
        <v>-5.0978229413285447E-3</v>
      </c>
      <c r="P70" s="74">
        <v>-1.241474715070745E-2</v>
      </c>
      <c r="Q70" s="74">
        <v>-1.9373978880284581E-2</v>
      </c>
    </row>
    <row r="71" spans="1:17" ht="15" customHeight="1">
      <c r="A71" s="21"/>
      <c r="B71" t="s">
        <v>788</v>
      </c>
      <c r="C71" s="162">
        <f>C72-1</f>
        <v>24</v>
      </c>
      <c r="D71" s="74">
        <v>7.9223167081021728E-4</v>
      </c>
      <c r="E71" s="74">
        <v>-7.3465371509253696E-3</v>
      </c>
      <c r="F71" s="74">
        <v>-1.5052453330850035E-2</v>
      </c>
      <c r="G71" s="74">
        <v>-2.2359153679293531E-2</v>
      </c>
      <c r="H71" s="74">
        <v>-2.9296877800520926E-2</v>
      </c>
      <c r="K71" s="98" t="s">
        <v>789</v>
      </c>
      <c r="L71" s="225">
        <f t="shared" si="21"/>
        <v>82738.898423807957</v>
      </c>
      <c r="M71" s="74">
        <v>7.9223167081021728E-4</v>
      </c>
      <c r="N71" s="74">
        <v>-7.3465371509253696E-3</v>
      </c>
      <c r="O71" s="74">
        <v>-1.5052453330850035E-2</v>
      </c>
      <c r="P71" s="74">
        <v>-2.2359153679293531E-2</v>
      </c>
      <c r="Q71" s="74">
        <v>-2.9296877800520926E-2</v>
      </c>
    </row>
    <row r="72" spans="1:17" ht="15" customHeight="1">
      <c r="A72" s="21"/>
      <c r="C72" s="162">
        <v>25</v>
      </c>
      <c r="D72" s="74">
        <v>-9.0273565288606639E-3</v>
      </c>
      <c r="E72" s="74">
        <v>-1.7165493583866986E-2</v>
      </c>
      <c r="F72" s="74">
        <v>-2.4856498571307672E-2</v>
      </c>
      <c r="G72" s="74">
        <v>-3.2136236269635465E-2</v>
      </c>
      <c r="H72" s="74">
        <v>-3.9036835687972116E-2</v>
      </c>
      <c r="L72" s="225">
        <f t="shared" si="21"/>
        <v>86186.352524799964</v>
      </c>
      <c r="M72" s="74">
        <v>-9.0273565288606639E-3</v>
      </c>
      <c r="N72" s="74">
        <v>-1.7165493583866986E-2</v>
      </c>
      <c r="O72" s="74">
        <v>-2.4856498571307672E-2</v>
      </c>
      <c r="P72" s="74">
        <v>-3.2136236269635465E-2</v>
      </c>
      <c r="Q72" s="74">
        <v>-3.9036835687972116E-2</v>
      </c>
    </row>
    <row r="73" spans="1:17" ht="15" customHeight="1">
      <c r="A73" s="21"/>
      <c r="C73" s="162">
        <f>C72+1</f>
        <v>26</v>
      </c>
      <c r="D73" s="74">
        <v>-1.8735312777807489E-2</v>
      </c>
      <c r="E73" s="74">
        <v>-2.6854406806399722E-2</v>
      </c>
      <c r="F73" s="74">
        <v>-3.4513349898187773E-2</v>
      </c>
      <c r="G73" s="74">
        <v>-4.1750182762140486E-2</v>
      </c>
      <c r="H73" s="74">
        <v>-4.8598865452590401E-2</v>
      </c>
      <c r="L73" s="225">
        <f t="shared" si="21"/>
        <v>89633.806625791956</v>
      </c>
      <c r="M73" s="74">
        <v>-1.8735312777807489E-2</v>
      </c>
      <c r="N73" s="74">
        <v>-2.6854406806399722E-2</v>
      </c>
      <c r="O73" s="74">
        <v>-3.4513349898187773E-2</v>
      </c>
      <c r="P73" s="74">
        <v>-4.1750182762140486E-2</v>
      </c>
      <c r="Q73" s="74">
        <v>-4.8598865452590401E-2</v>
      </c>
    </row>
    <row r="74" spans="1:17" ht="15" customHeight="1">
      <c r="A74" s="21"/>
      <c r="C74" s="162">
        <f>C73+1</f>
        <v>27</v>
      </c>
      <c r="D74" s="74">
        <v>-2.8333529913863731E-2</v>
      </c>
      <c r="E74" s="74">
        <v>-3.6415843280605986E-2</v>
      </c>
      <c r="F74" s="74">
        <v>-4.4026297476455145E-2</v>
      </c>
      <c r="G74" s="74">
        <v>-5.1205042400573331E-2</v>
      </c>
      <c r="H74" s="74">
        <v>-5.7987798511858979E-2</v>
      </c>
      <c r="L74" s="225">
        <f t="shared" si="21"/>
        <v>93081.260726783963</v>
      </c>
      <c r="M74" s="74">
        <v>-2.8333529913863731E-2</v>
      </c>
      <c r="N74" s="74">
        <v>-3.6415843280605986E-2</v>
      </c>
      <c r="O74" s="74">
        <v>-4.4026297476455145E-2</v>
      </c>
      <c r="P74" s="74">
        <v>-5.1205042400573331E-2</v>
      </c>
      <c r="Q74" s="74">
        <v>-5.7987798511858979E-2</v>
      </c>
    </row>
    <row r="75" spans="1:17" ht="15" customHeight="1">
      <c r="A75" s="21"/>
      <c r="C75" s="162">
        <f>C74+1</f>
        <v>28</v>
      </c>
      <c r="D75" s="74">
        <v>-3.7823858221947004E-2</v>
      </c>
      <c r="E75" s="74">
        <v>-4.5852302376200971E-2</v>
      </c>
      <c r="F75" s="74">
        <v>-5.339853413801865E-2</v>
      </c>
      <c r="G75" s="74">
        <v>-6.0504731518578825E-2</v>
      </c>
      <c r="H75" s="74">
        <v>-6.7208292930785452E-2</v>
      </c>
      <c r="L75" s="225">
        <f t="shared" si="21"/>
        <v>96528.714827775955</v>
      </c>
      <c r="M75" s="74">
        <v>-3.7823858221947004E-2</v>
      </c>
      <c r="N75" s="74">
        <v>-4.5852302376200971E-2</v>
      </c>
      <c r="O75" s="74">
        <v>-5.339853413801865E-2</v>
      </c>
      <c r="P75" s="74">
        <v>-6.0504731518578825E-2</v>
      </c>
      <c r="Q75" s="74">
        <v>-6.7208292930785452E-2</v>
      </c>
    </row>
    <row r="76" spans="1:17" ht="15" customHeight="1">
      <c r="A76" s="21"/>
      <c r="C76" s="162">
        <f>C75+1</f>
        <v>29</v>
      </c>
      <c r="D76" s="74">
        <v>-4.7208106623169099E-2</v>
      </c>
      <c r="E76" s="74">
        <v>-5.5166218548705848E-2</v>
      </c>
      <c r="F76" s="74">
        <v>-6.2633158954566448E-2</v>
      </c>
      <c r="G76" s="74">
        <v>-6.965303894850805E-2</v>
      </c>
      <c r="H76" s="74">
        <v>-7.6264841127694494E-2</v>
      </c>
      <c r="L76" s="225">
        <f t="shared" si="21"/>
        <v>99976.168928767962</v>
      </c>
      <c r="M76" s="74">
        <v>-4.7208106623169099E-2</v>
      </c>
      <c r="N76" s="74">
        <v>-5.5166218548705848E-2</v>
      </c>
      <c r="O76" s="74">
        <v>-6.2633158954566448E-2</v>
      </c>
      <c r="P76" s="74">
        <v>-6.965303894850805E-2</v>
      </c>
      <c r="Q76" s="74">
        <v>-7.6264841127694494E-2</v>
      </c>
    </row>
    <row r="77" spans="1:17" ht="15" customHeight="1">
      <c r="A77" s="21"/>
    </row>
    <row r="78" spans="1:17" ht="15" customHeight="1">
      <c r="A78" s="21" t="s">
        <v>790</v>
      </c>
    </row>
    <row r="79" spans="1:17" ht="15" customHeight="1">
      <c r="A79" s="21"/>
      <c r="C79" s="98" t="s">
        <v>191</v>
      </c>
      <c r="D79" s="98" t="s">
        <v>581</v>
      </c>
      <c r="E79" s="98" t="s">
        <v>582</v>
      </c>
      <c r="F79" s="98" t="s">
        <v>752</v>
      </c>
    </row>
    <row r="80" spans="1:17" ht="15" customHeight="1">
      <c r="A80" s="21"/>
      <c r="B80" t="s">
        <v>791</v>
      </c>
    </row>
    <row r="81" spans="1:12" ht="15" customHeight="1">
      <c r="A81" s="21"/>
      <c r="B81" t="s">
        <v>792</v>
      </c>
    </row>
    <row r="82" spans="1:12" ht="15" customHeight="1">
      <c r="A82" s="21"/>
      <c r="B82" t="s">
        <v>793</v>
      </c>
      <c r="C82" s="75"/>
      <c r="D82" s="75"/>
      <c r="E82" s="75"/>
      <c r="F82" s="75"/>
    </row>
    <row r="83" spans="1:12" ht="15" customHeight="1">
      <c r="A83" s="21"/>
    </row>
    <row r="84" spans="1:12" ht="15" customHeight="1">
      <c r="A84" s="21"/>
      <c r="B84" t="s">
        <v>794</v>
      </c>
    </row>
    <row r="85" spans="1:12" ht="15" customHeight="1">
      <c r="A85" s="21"/>
      <c r="B85" t="s">
        <v>795</v>
      </c>
    </row>
    <row r="86" spans="1:12" ht="15" customHeight="1">
      <c r="A86" s="21"/>
      <c r="B86" t="s">
        <v>770</v>
      </c>
    </row>
    <row r="87" spans="1:12" ht="15" customHeight="1">
      <c r="A87" s="21"/>
      <c r="B87" t="s">
        <v>796</v>
      </c>
      <c r="D87" s="75"/>
      <c r="E87" s="75"/>
      <c r="F87" s="75"/>
    </row>
    <row r="88" spans="1:12" ht="15" customHeight="1">
      <c r="A88" s="21"/>
    </row>
    <row r="89" spans="1:12" ht="15" customHeight="1">
      <c r="A89" s="21"/>
      <c r="B89" t="s">
        <v>797</v>
      </c>
      <c r="C89" s="98"/>
      <c r="D89" s="98"/>
      <c r="E89" s="98"/>
      <c r="F89" s="98"/>
    </row>
    <row r="90" spans="1:12" ht="15" customHeight="1">
      <c r="A90" s="21"/>
    </row>
    <row r="91" spans="1:12" ht="15" customHeight="1">
      <c r="A91" s="21" t="s">
        <v>798</v>
      </c>
      <c r="D91" s="98"/>
      <c r="E91" s="98"/>
      <c r="F91" s="98"/>
    </row>
    <row r="92" spans="1:12" ht="15" customHeight="1">
      <c r="A92" s="21"/>
      <c r="B92" t="s">
        <v>799</v>
      </c>
      <c r="D92" s="75">
        <f>$M$9/N24</f>
        <v>20.605536332179931</v>
      </c>
      <c r="E92" s="75">
        <f t="shared" ref="E92:F92" si="22">$M$9/O24</f>
        <v>19.271844660194176</v>
      </c>
      <c r="F92" s="75">
        <f t="shared" si="22"/>
        <v>18.045454545454547</v>
      </c>
      <c r="G92" t="str">
        <f ca="1">IF(ISBLANK(F92),"",_xlfn.FORMULATEXT(F92))</f>
        <v>=$M$9/P24</v>
      </c>
      <c r="I92" t="s">
        <v>800</v>
      </c>
      <c r="J92" s="210">
        <f>1/D92</f>
        <v>4.8530646515533168E-2</v>
      </c>
      <c r="K92" s="210">
        <f t="shared" ref="K92:L94" si="23">1/E92</f>
        <v>5.1889168765743066E-2</v>
      </c>
      <c r="L92" s="210">
        <f t="shared" si="23"/>
        <v>5.5415617128463469E-2</v>
      </c>
    </row>
    <row r="93" spans="1:12" ht="15" customHeight="1">
      <c r="A93" s="21"/>
      <c r="B93" t="s">
        <v>801</v>
      </c>
      <c r="D93" s="75">
        <f>1/($C$29*(1-$M$10))</f>
        <v>25.673940949935812</v>
      </c>
      <c r="E93" s="75">
        <f t="shared" ref="E93:F93" si="24">1/($C$29*(1-$M$10))</f>
        <v>25.673940949935812</v>
      </c>
      <c r="F93" s="75">
        <f t="shared" si="24"/>
        <v>25.673940949935812</v>
      </c>
      <c r="G93" t="str">
        <f ca="1">IF(ISBLANK(F93),"",_xlfn.FORMULATEXT(F93))</f>
        <v>=1/($C$29*(1-$M$10))</v>
      </c>
      <c r="I93" t="s">
        <v>802</v>
      </c>
      <c r="J93" s="210">
        <f>1/D93</f>
        <v>3.8950000000000005E-2</v>
      </c>
      <c r="K93" s="210">
        <f t="shared" si="23"/>
        <v>3.8950000000000005E-2</v>
      </c>
      <c r="L93" s="210">
        <f t="shared" si="23"/>
        <v>3.8950000000000005E-2</v>
      </c>
    </row>
    <row r="94" spans="1:12" ht="15" customHeight="1">
      <c r="A94" s="21"/>
      <c r="B94" t="s">
        <v>803</v>
      </c>
      <c r="D94" s="75">
        <f>$C$35/D24</f>
        <v>36.044901145650719</v>
      </c>
      <c r="E94" s="75">
        <f t="shared" ref="E94:F94" si="25">$C$35/E24</f>
        <v>32.658029003239619</v>
      </c>
      <c r="F94" s="75">
        <f t="shared" si="25"/>
        <v>28.595158734945134</v>
      </c>
      <c r="G94" t="str">
        <f ca="1">IF(ISBLANK(F94),"",_xlfn.FORMULATEXT(F94))</f>
        <v>=$C$35/F24</v>
      </c>
      <c r="I94" t="s">
        <v>804</v>
      </c>
      <c r="J94" s="210">
        <f>1/D94</f>
        <v>2.7743174990526028E-2</v>
      </c>
      <c r="K94" s="210">
        <f t="shared" si="23"/>
        <v>3.0620341475623092E-2</v>
      </c>
      <c r="L94" s="210">
        <f t="shared" si="23"/>
        <v>3.4970954673454402E-2</v>
      </c>
    </row>
    <row r="95" spans="1:12" ht="15" customHeight="1">
      <c r="A95" s="21"/>
    </row>
    <row r="96" spans="1:12" ht="15" customHeight="1">
      <c r="A96" s="21" t="s">
        <v>805</v>
      </c>
    </row>
    <row r="97" spans="1:7" ht="15" customHeight="1">
      <c r="A97" s="21"/>
      <c r="B97" t="s">
        <v>759</v>
      </c>
    </row>
    <row r="98" spans="1:7" ht="15" customHeight="1">
      <c r="A98" s="21"/>
      <c r="B98" t="s">
        <v>761</v>
      </c>
    </row>
    <row r="99" spans="1:7" ht="15" customHeight="1">
      <c r="A99" s="21"/>
      <c r="B99" t="s">
        <v>109</v>
      </c>
    </row>
    <row r="100" spans="1:7" ht="15" customHeight="1">
      <c r="A100" s="21"/>
      <c r="B100" t="s">
        <v>117</v>
      </c>
    </row>
    <row r="101" spans="1:7" ht="15" customHeight="1">
      <c r="A101" s="21"/>
    </row>
    <row r="102" spans="1:7" ht="15" customHeight="1">
      <c r="A102" s="21"/>
      <c r="B102" t="s">
        <v>63</v>
      </c>
      <c r="G102" s="54"/>
    </row>
    <row r="103" spans="1:7" ht="15" customHeight="1">
      <c r="A103" s="21"/>
      <c r="B103" t="s">
        <v>473</v>
      </c>
      <c r="G103" s="54"/>
    </row>
    <row r="104" spans="1:7" ht="15" customHeight="1">
      <c r="A104" s="21"/>
      <c r="B104" t="s">
        <v>806</v>
      </c>
      <c r="G104" s="54"/>
    </row>
    <row r="105" spans="1:7" ht="15" customHeight="1">
      <c r="A105" s="21"/>
    </row>
    <row r="106" spans="1:7" ht="15" customHeight="1">
      <c r="A106" s="21"/>
      <c r="B106" t="s">
        <v>118</v>
      </c>
      <c r="D106" s="74"/>
      <c r="F106" s="74"/>
      <c r="G106" s="54"/>
    </row>
    <row r="107" spans="1:7" ht="15" customHeight="1">
      <c r="A107" s="21"/>
      <c r="B107" t="s">
        <v>421</v>
      </c>
      <c r="D107" s="74"/>
    </row>
    <row r="108" spans="1:7" ht="15" customHeight="1">
      <c r="A108" s="19"/>
    </row>
    <row r="109" spans="1:7" ht="15" customHeight="1">
      <c r="A109" s="21" t="s">
        <v>807</v>
      </c>
    </row>
    <row r="110" spans="1:7" ht="15" customHeight="1">
      <c r="A110" s="21"/>
    </row>
    <row r="111" spans="1:7" ht="15" customHeight="1">
      <c r="A111" s="21"/>
      <c r="B111" s="95" t="s">
        <v>788</v>
      </c>
      <c r="C111" s="95" t="s">
        <v>321</v>
      </c>
      <c r="D111" s="95" t="s">
        <v>185</v>
      </c>
    </row>
    <row r="112" spans="1:7" ht="15" customHeight="1">
      <c r="A112" s="21"/>
      <c r="B112" s="228"/>
    </row>
    <row r="113" spans="1:4" ht="15" customHeight="1">
      <c r="A113" s="21"/>
      <c r="B113" s="75"/>
    </row>
    <row r="114" spans="1:4" ht="15" customHeight="1">
      <c r="A114" s="21"/>
      <c r="B114" s="75"/>
    </row>
    <row r="115" spans="1:4" ht="15" customHeight="1">
      <c r="A115" s="21"/>
      <c r="B115" s="75"/>
    </row>
    <row r="116" spans="1:4" ht="15" customHeight="1">
      <c r="A116" s="21"/>
      <c r="B116" s="75"/>
    </row>
    <row r="117" spans="1:4" ht="15" customHeight="1">
      <c r="A117" s="21"/>
      <c r="B117" s="75"/>
    </row>
    <row r="118" spans="1:4" ht="15" customHeight="1">
      <c r="A118" s="21"/>
      <c r="B118" s="75"/>
    </row>
    <row r="119" spans="1:4" ht="15" customHeight="1">
      <c r="A119" s="19"/>
      <c r="B119" s="75"/>
    </row>
    <row r="120" spans="1:4" ht="15" customHeight="1">
      <c r="A120" s="19"/>
      <c r="B120" s="75"/>
    </row>
    <row r="121" spans="1:4" ht="15" customHeight="1">
      <c r="A121" s="19"/>
      <c r="B121" s="75"/>
    </row>
    <row r="122" spans="1:4" ht="15" customHeight="1">
      <c r="A122" s="19"/>
      <c r="B122" s="75"/>
    </row>
    <row r="123" spans="1:4" ht="15" customHeight="1">
      <c r="A123" s="19"/>
    </row>
    <row r="124" spans="1:4" ht="15" customHeight="1">
      <c r="A124" s="19"/>
      <c r="B124" t="s">
        <v>808</v>
      </c>
      <c r="C124" s="75"/>
      <c r="D124" s="229"/>
    </row>
    <row r="125" spans="1:4" ht="15" customHeight="1">
      <c r="A125" s="19"/>
      <c r="B125" t="s">
        <v>809</v>
      </c>
      <c r="C125" s="75"/>
      <c r="D125" s="229"/>
    </row>
    <row r="126" spans="1:4" ht="15" customHeight="1">
      <c r="A126" s="19"/>
    </row>
    <row r="127" spans="1:4" ht="15" customHeight="1">
      <c r="A127" s="21" t="s">
        <v>810</v>
      </c>
      <c r="C127" s="95" t="s">
        <v>811</v>
      </c>
      <c r="D127" s="95" t="s">
        <v>812</v>
      </c>
    </row>
    <row r="128" spans="1:4" ht="15" customHeight="1">
      <c r="A128" s="21"/>
      <c r="B128" t="s">
        <v>813</v>
      </c>
      <c r="D128" s="74"/>
    </row>
    <row r="129" spans="1:4" ht="15" customHeight="1">
      <c r="A129" s="21"/>
      <c r="B129" t="s">
        <v>779</v>
      </c>
      <c r="D129" s="74"/>
    </row>
    <row r="130" spans="1:4" ht="15" customHeight="1">
      <c r="A130" s="21"/>
      <c r="B130" t="s">
        <v>814</v>
      </c>
    </row>
    <row r="131" spans="1:4" ht="15" customHeight="1">
      <c r="A131" s="21"/>
      <c r="B131" t="s">
        <v>815</v>
      </c>
      <c r="C131" s="60" t="s">
        <v>69</v>
      </c>
    </row>
    <row r="132" spans="1:4" ht="15" customHeight="1">
      <c r="A132" s="21"/>
      <c r="B132" t="s">
        <v>816</v>
      </c>
      <c r="C132" s="60" t="s">
        <v>69</v>
      </c>
    </row>
    <row r="133" spans="1:4" ht="15" customHeight="1">
      <c r="A133" s="21"/>
    </row>
    <row r="134" spans="1:4" ht="15" customHeight="1">
      <c r="A134" s="21" t="s">
        <v>817</v>
      </c>
    </row>
    <row r="135" spans="1:4" ht="15" customHeight="1">
      <c r="A135" s="21"/>
      <c r="B135" t="s">
        <v>749</v>
      </c>
    </row>
    <row r="136" spans="1:4" ht="15" customHeight="1">
      <c r="A136" s="21"/>
      <c r="B136" t="s">
        <v>761</v>
      </c>
    </row>
    <row r="137" spans="1:4" ht="15" customHeight="1">
      <c r="A137" s="21"/>
    </row>
    <row r="138" spans="1:4" ht="15" customHeight="1">
      <c r="A138" s="21"/>
      <c r="B138" t="s">
        <v>818</v>
      </c>
    </row>
    <row r="139" spans="1:4" ht="15" customHeight="1">
      <c r="A139" s="21"/>
    </row>
    <row r="140" spans="1:4" ht="15" customHeight="1">
      <c r="A140" s="21"/>
      <c r="B140" t="s">
        <v>587</v>
      </c>
    </row>
    <row r="141" spans="1:4" ht="15" customHeight="1">
      <c r="A141" s="21"/>
      <c r="B141" t="s">
        <v>817</v>
      </c>
    </row>
    <row r="142" spans="1:4" ht="15" customHeight="1">
      <c r="A142" s="21"/>
    </row>
    <row r="143" spans="1:4" ht="15" customHeight="1">
      <c r="A143" s="21"/>
      <c r="C143" s="98"/>
      <c r="D143" s="98"/>
    </row>
    <row r="144" spans="1:4" ht="15" customHeight="1">
      <c r="A144" s="21"/>
      <c r="B144" t="s">
        <v>819</v>
      </c>
    </row>
    <row r="145" spans="1:2" ht="15" customHeight="1">
      <c r="A145" s="21"/>
      <c r="B145" t="s">
        <v>820</v>
      </c>
    </row>
    <row r="146" spans="1:2" ht="15" customHeight="1">
      <c r="A146" s="21"/>
    </row>
    <row r="147" spans="1:2" ht="15" customHeight="1">
      <c r="A147" s="85" t="s">
        <v>147</v>
      </c>
    </row>
    <row r="148" spans="1:2" ht="15" customHeight="1">
      <c r="A148" s="85"/>
    </row>
    <row r="149" spans="1:2" ht="15" customHeight="1">
      <c r="A149" s="85"/>
    </row>
    <row r="150" spans="1:2" ht="15" customHeight="1">
      <c r="A150" s="85"/>
    </row>
    <row r="151" spans="1:2" ht="15" customHeight="1">
      <c r="A151" s="85"/>
    </row>
    <row r="152" spans="1:2" ht="15" customHeight="1">
      <c r="A152" s="85"/>
    </row>
    <row r="153" spans="1:2" ht="15" customHeight="1">
      <c r="A153" s="85"/>
    </row>
    <row r="154" spans="1:2" ht="15" customHeight="1">
      <c r="A154" s="85"/>
    </row>
    <row r="155" spans="1:2" ht="15" customHeight="1">
      <c r="A155" s="85"/>
    </row>
    <row r="156" spans="1:2" ht="15" customHeight="1">
      <c r="A156" s="85"/>
    </row>
    <row r="157" spans="1:2" ht="15" customHeight="1">
      <c r="A157" s="85"/>
    </row>
    <row r="158" spans="1:2" ht="15" customHeight="1">
      <c r="A158" s="85"/>
    </row>
    <row r="159" spans="1:2" ht="15" customHeight="1">
      <c r="A159" s="85"/>
    </row>
    <row r="160" spans="1:2" ht="15" customHeight="1">
      <c r="A160" s="85"/>
    </row>
    <row r="161" spans="1:1" ht="15" customHeight="1">
      <c r="A161" s="85"/>
    </row>
    <row r="162" spans="1:1" ht="15" customHeight="1">
      <c r="A162" s="85"/>
    </row>
    <row r="163" spans="1:1" ht="15" customHeight="1">
      <c r="A163" s="85"/>
    </row>
    <row r="164" spans="1:1" ht="15" customHeight="1">
      <c r="A164" s="85"/>
    </row>
    <row r="165" spans="1:1" ht="15" customHeight="1">
      <c r="A165" s="85"/>
    </row>
    <row r="166" spans="1:1" ht="15" customHeight="1">
      <c r="A166" s="85"/>
    </row>
    <row r="167" spans="1:1" ht="15" customHeight="1">
      <c r="A167" s="85"/>
    </row>
    <row r="168" spans="1:1" ht="15" customHeight="1">
      <c r="A168" s="85"/>
    </row>
    <row r="169" spans="1:1" ht="15" customHeight="1">
      <c r="A169" s="85"/>
    </row>
    <row r="170" spans="1:1" ht="15" customHeight="1">
      <c r="A170" s="85"/>
    </row>
    <row r="171" spans="1:1" ht="15" customHeight="1">
      <c r="A171" s="85"/>
    </row>
    <row r="172" spans="1:1" ht="15" customHeight="1">
      <c r="A172" s="85"/>
    </row>
    <row r="173" spans="1:1" ht="15" customHeight="1">
      <c r="A173" s="85"/>
    </row>
    <row r="174" spans="1:1" ht="15" customHeight="1">
      <c r="A174" s="85"/>
    </row>
    <row r="175" spans="1:1" ht="15" customHeight="1">
      <c r="A175" s="85"/>
    </row>
    <row r="176" spans="1:1" ht="15" customHeight="1">
      <c r="A176" s="85"/>
    </row>
    <row r="177" spans="1:1" ht="15" customHeight="1">
      <c r="A177" s="85"/>
    </row>
    <row r="178" spans="1:1" ht="15" customHeight="1">
      <c r="A178" s="85"/>
    </row>
    <row r="179" spans="1:1" ht="15" customHeight="1">
      <c r="A179" s="85"/>
    </row>
    <row r="180" spans="1:1" ht="15" customHeight="1">
      <c r="A180" s="85"/>
    </row>
    <row r="181" spans="1:1" ht="15" customHeight="1">
      <c r="A181" s="85"/>
    </row>
    <row r="182" spans="1:1" ht="15" customHeight="1">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50.5703125" customWidth="1"/>
    <col min="3" max="9" width="10.28515625" customWidth="1"/>
    <col min="10" max="10" width="12.7109375" bestFit="1" customWidth="1"/>
    <col min="11" max="15" width="10.28515625" customWidth="1"/>
    <col min="16" max="16" width="29" bestFit="1" customWidth="1"/>
  </cols>
  <sheetData>
    <row r="1" spans="1:16" ht="45" customHeight="1">
      <c r="A1" s="83" t="str">
        <f>"LBO valuation for "&amp;Info!N5</f>
        <v>LBO valuation for Red Bull</v>
      </c>
      <c r="B1" s="83"/>
      <c r="C1" s="83"/>
      <c r="D1" s="83"/>
      <c r="E1" s="83"/>
      <c r="F1" s="83"/>
      <c r="G1" s="83"/>
      <c r="H1" s="83"/>
      <c r="I1" s="83"/>
      <c r="J1" s="83"/>
      <c r="K1" s="83"/>
      <c r="L1" s="83"/>
      <c r="M1" s="83"/>
      <c r="N1" s="83"/>
      <c r="O1" s="83"/>
      <c r="P1" s="23"/>
    </row>
    <row r="2" spans="1:16"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c r="A4" s="5" t="s">
        <v>407</v>
      </c>
      <c r="B4" s="54"/>
      <c r="C4" s="54"/>
      <c r="D4" s="54"/>
      <c r="E4" s="54"/>
      <c r="F4" s="54"/>
      <c r="G4" s="54"/>
      <c r="H4" s="54"/>
      <c r="I4" s="54"/>
      <c r="J4" s="54"/>
      <c r="K4" s="54"/>
      <c r="L4" s="54"/>
      <c r="M4" s="54"/>
      <c r="N4" s="54"/>
      <c r="O4" s="54"/>
      <c r="P4" s="54"/>
    </row>
    <row r="5" spans="1:16" ht="15" customHeight="1">
      <c r="B5" s="54"/>
      <c r="C5" s="54"/>
      <c r="D5" s="54"/>
      <c r="E5" s="54"/>
      <c r="F5" s="54"/>
      <c r="G5" s="54"/>
      <c r="H5" s="54"/>
      <c r="I5" s="54"/>
      <c r="J5" s="54"/>
      <c r="K5" s="54"/>
      <c r="L5" s="54"/>
      <c r="M5" s="54"/>
      <c r="N5" s="54"/>
      <c r="O5" s="54"/>
      <c r="P5" s="54"/>
    </row>
    <row r="6" spans="1:16" ht="15" customHeight="1">
      <c r="A6" s="21" t="s">
        <v>655</v>
      </c>
      <c r="B6" s="54"/>
      <c r="C6" s="54"/>
      <c r="D6" s="54"/>
      <c r="E6" s="54"/>
      <c r="F6" s="54"/>
      <c r="G6" s="21" t="s">
        <v>758</v>
      </c>
      <c r="H6" s="54"/>
      <c r="I6" s="54"/>
      <c r="J6" s="54"/>
      <c r="K6" s="54"/>
      <c r="L6" s="54"/>
      <c r="M6" s="5" t="s">
        <v>821</v>
      </c>
      <c r="N6" s="54"/>
      <c r="O6" s="54"/>
      <c r="P6" s="54"/>
    </row>
    <row r="7" spans="1:16" ht="15" customHeight="1">
      <c r="A7" s="21"/>
      <c r="B7" s="5" t="s">
        <v>321</v>
      </c>
      <c r="C7" s="54"/>
      <c r="D7" s="54"/>
      <c r="E7" s="73"/>
      <c r="F7" s="54"/>
      <c r="G7" t="s">
        <v>430</v>
      </c>
      <c r="K7" t="s">
        <v>822</v>
      </c>
      <c r="M7" s="56">
        <v>4</v>
      </c>
      <c r="P7" s="54"/>
    </row>
    <row r="8" spans="1:16" ht="15" customHeight="1">
      <c r="A8" s="21"/>
      <c r="B8" s="5" t="s">
        <v>823</v>
      </c>
      <c r="C8" s="54"/>
      <c r="D8" s="54"/>
      <c r="E8" s="54"/>
      <c r="F8" s="56">
        <v>6</v>
      </c>
      <c r="G8" t="s">
        <v>761</v>
      </c>
      <c r="K8" t="s">
        <v>824</v>
      </c>
      <c r="M8" s="171"/>
      <c r="P8" s="54"/>
    </row>
    <row r="9" spans="1:16" ht="15" customHeight="1">
      <c r="A9" s="21"/>
      <c r="B9" s="54" t="s">
        <v>747</v>
      </c>
      <c r="C9" s="54"/>
      <c r="D9" s="54"/>
      <c r="E9" s="159"/>
      <c r="F9" s="70">
        <v>25</v>
      </c>
      <c r="G9" t="s">
        <v>765</v>
      </c>
      <c r="K9" t="s">
        <v>444</v>
      </c>
      <c r="M9" s="54"/>
      <c r="P9" s="54"/>
    </row>
    <row r="10" spans="1:16" ht="15" customHeight="1">
      <c r="A10" s="21"/>
      <c r="B10" s="54" t="s">
        <v>825</v>
      </c>
      <c r="F10" s="75"/>
      <c r="J10" s="54"/>
      <c r="K10" t="s">
        <v>766</v>
      </c>
      <c r="M10" s="54"/>
      <c r="P10" s="54"/>
    </row>
    <row r="11" spans="1:16" ht="15" customHeight="1">
      <c r="A11" s="21"/>
      <c r="B11" s="54"/>
      <c r="C11" s="54"/>
      <c r="D11" s="54"/>
      <c r="E11" s="54"/>
      <c r="F11" s="54"/>
      <c r="G11" s="54"/>
      <c r="H11" s="54"/>
      <c r="I11" s="54"/>
      <c r="J11" s="54"/>
      <c r="K11" s="54"/>
      <c r="L11" s="54"/>
      <c r="M11" s="54"/>
      <c r="O11" s="54"/>
      <c r="P11" s="54"/>
    </row>
    <row r="12" spans="1:16" ht="15" customHeight="1">
      <c r="A12" s="21"/>
      <c r="B12" s="5" t="s">
        <v>826</v>
      </c>
      <c r="C12" s="54"/>
      <c r="D12" s="54"/>
      <c r="E12" s="61">
        <v>1.5699999999999999E-2</v>
      </c>
      <c r="F12" s="5"/>
      <c r="G12" s="54"/>
      <c r="H12" s="54"/>
      <c r="I12" s="54"/>
      <c r="J12" s="54"/>
      <c r="K12" s="54"/>
      <c r="L12" s="54"/>
      <c r="M12" s="54"/>
      <c r="N12" s="54"/>
      <c r="O12" s="54"/>
      <c r="P12" s="54"/>
    </row>
    <row r="13" spans="1:16" ht="15" customHeight="1">
      <c r="A13" s="21"/>
      <c r="B13" s="5" t="s">
        <v>447</v>
      </c>
      <c r="C13" s="54"/>
      <c r="D13" s="54"/>
      <c r="E13" s="169"/>
      <c r="G13" s="54"/>
      <c r="H13" s="54"/>
      <c r="I13" s="54"/>
      <c r="J13" s="54"/>
      <c r="K13" s="54"/>
      <c r="L13" s="54"/>
      <c r="M13" s="54"/>
      <c r="N13" s="54"/>
      <c r="O13" s="54"/>
      <c r="P13" s="54"/>
    </row>
    <row r="14" spans="1:16" ht="15" customHeight="1">
      <c r="A14" s="21"/>
      <c r="B14" s="5" t="s">
        <v>827</v>
      </c>
      <c r="C14" s="54"/>
      <c r="D14" s="54"/>
      <c r="E14" s="169"/>
      <c r="G14" s="54"/>
      <c r="H14" s="54"/>
      <c r="I14" s="54"/>
      <c r="J14" s="54"/>
      <c r="K14" s="54"/>
      <c r="L14" s="54"/>
      <c r="M14" s="54"/>
      <c r="N14" s="54"/>
      <c r="O14" s="54"/>
      <c r="P14" s="54"/>
    </row>
    <row r="15" spans="1:16" ht="15" customHeight="1">
      <c r="A15" s="21"/>
      <c r="B15" s="54" t="s">
        <v>828</v>
      </c>
      <c r="C15" s="54"/>
      <c r="D15" s="54"/>
      <c r="E15" s="61">
        <v>7.2499999999999995E-2</v>
      </c>
      <c r="F15" s="54"/>
      <c r="G15" s="54"/>
      <c r="H15" s="54"/>
      <c r="I15" s="54"/>
      <c r="J15" s="54"/>
      <c r="K15" s="54"/>
      <c r="L15" s="54"/>
      <c r="M15" s="54"/>
      <c r="N15" s="54"/>
      <c r="O15" s="54"/>
      <c r="P15" s="54"/>
    </row>
    <row r="16" spans="1:16" ht="15" customHeight="1">
      <c r="A16" s="21"/>
      <c r="B16" s="54" t="s">
        <v>677</v>
      </c>
      <c r="C16" s="54"/>
      <c r="D16" s="54"/>
      <c r="E16" s="61">
        <v>0.03</v>
      </c>
      <c r="F16" s="54"/>
      <c r="G16" s="54"/>
      <c r="H16" s="54"/>
      <c r="I16" s="54"/>
      <c r="J16" s="54"/>
      <c r="K16" s="54"/>
      <c r="L16" s="54"/>
      <c r="M16" s="54"/>
      <c r="N16" s="54"/>
      <c r="O16" s="54"/>
      <c r="P16" s="54"/>
    </row>
    <row r="17" spans="1:16" ht="15" customHeight="1">
      <c r="A17" s="21"/>
      <c r="B17" s="5" t="s">
        <v>829</v>
      </c>
      <c r="C17" s="54"/>
      <c r="D17" s="54"/>
      <c r="E17" s="61">
        <v>0.01</v>
      </c>
      <c r="F17" s="54"/>
      <c r="G17" s="54"/>
      <c r="H17" s="54"/>
      <c r="I17" s="54"/>
      <c r="J17" s="54"/>
      <c r="K17" s="54"/>
      <c r="L17" s="54"/>
      <c r="M17" s="54"/>
      <c r="N17" s="54"/>
      <c r="O17" s="54"/>
      <c r="P17" s="54"/>
    </row>
    <row r="18" spans="1:16" ht="15" customHeight="1">
      <c r="A18" s="21"/>
      <c r="B18" s="5" t="s">
        <v>830</v>
      </c>
      <c r="C18" s="54"/>
      <c r="D18" s="54"/>
      <c r="E18" s="25">
        <v>4</v>
      </c>
      <c r="F18" s="54"/>
      <c r="G18" s="54"/>
      <c r="H18" s="54"/>
      <c r="I18" s="54"/>
      <c r="J18" s="54"/>
      <c r="K18" s="54"/>
      <c r="L18" s="54"/>
      <c r="M18" s="54"/>
      <c r="N18" s="54"/>
      <c r="O18" s="54"/>
      <c r="P18" s="54"/>
    </row>
    <row r="19" spans="1:16" ht="15" customHeight="1">
      <c r="A19" s="21"/>
      <c r="B19" s="54"/>
      <c r="C19" s="54"/>
      <c r="D19" s="54"/>
      <c r="E19" s="54"/>
      <c r="F19" s="54"/>
      <c r="G19" s="54"/>
      <c r="H19" s="54"/>
      <c r="I19" s="54"/>
      <c r="J19" s="54"/>
      <c r="K19" s="54"/>
      <c r="L19" s="54"/>
      <c r="M19" s="54"/>
      <c r="N19" s="54"/>
      <c r="O19" s="54"/>
      <c r="P19" s="54"/>
    </row>
    <row r="20" spans="1:16" ht="15" customHeight="1">
      <c r="A20" s="21" t="s">
        <v>831</v>
      </c>
      <c r="B20" s="54"/>
      <c r="C20" s="54"/>
      <c r="D20" s="54"/>
      <c r="E20" s="54"/>
      <c r="F20" s="54"/>
      <c r="G20" s="54"/>
      <c r="H20" s="54"/>
      <c r="I20" s="54"/>
      <c r="J20" s="54"/>
      <c r="K20" s="54"/>
      <c r="L20" s="54"/>
      <c r="M20" s="54"/>
      <c r="N20" s="54"/>
      <c r="O20" s="54"/>
      <c r="P20" s="54"/>
    </row>
    <row r="21" spans="1:16" ht="15" customHeight="1">
      <c r="A21" s="21"/>
      <c r="B21" s="5" t="s">
        <v>228</v>
      </c>
      <c r="C21" s="54"/>
      <c r="D21" s="54"/>
      <c r="E21" s="54"/>
      <c r="F21" s="54"/>
    </row>
    <row r="22" spans="1:16" ht="15" customHeight="1">
      <c r="A22" s="21"/>
      <c r="B22" s="54" t="s">
        <v>832</v>
      </c>
      <c r="C22" s="54"/>
      <c r="D22" s="54"/>
      <c r="E22" s="54"/>
      <c r="F22" s="54"/>
      <c r="G22" s="55">
        <v>0.01</v>
      </c>
      <c r="H22" s="55">
        <v>0.01</v>
      </c>
      <c r="I22" s="55">
        <v>0.01</v>
      </c>
      <c r="J22" s="55">
        <v>0.01</v>
      </c>
      <c r="K22" s="55">
        <v>0.01</v>
      </c>
      <c r="L22" s="55">
        <v>0.01</v>
      </c>
      <c r="M22" s="55">
        <v>0.01</v>
      </c>
      <c r="N22" s="55">
        <v>0.01</v>
      </c>
      <c r="O22" s="55">
        <v>0.01</v>
      </c>
    </row>
    <row r="23" spans="1:16" ht="15" customHeight="1">
      <c r="A23" s="21"/>
      <c r="B23" s="54" t="s">
        <v>833</v>
      </c>
      <c r="C23" s="54"/>
      <c r="D23" s="54"/>
      <c r="E23" s="54"/>
      <c r="F23" s="54"/>
    </row>
    <row r="24" spans="1:16" ht="15" customHeight="1">
      <c r="A24" s="21"/>
      <c r="B24" s="54" t="s">
        <v>65</v>
      </c>
      <c r="C24" s="54"/>
      <c r="D24" s="54"/>
      <c r="E24" s="54"/>
      <c r="F24" s="54"/>
    </row>
    <row r="25" spans="1:16" ht="15" customHeight="1">
      <c r="A25" s="21"/>
      <c r="B25" s="5" t="s">
        <v>834</v>
      </c>
      <c r="C25" s="54"/>
      <c r="D25" s="54"/>
      <c r="E25" s="54"/>
      <c r="F25" s="54"/>
    </row>
    <row r="26" spans="1:16" ht="15" customHeight="1">
      <c r="A26" s="19"/>
      <c r="B26" s="54" t="s">
        <v>835</v>
      </c>
      <c r="C26" s="54"/>
      <c r="D26" s="54"/>
      <c r="E26" s="54"/>
      <c r="F26" s="54"/>
      <c r="G26" s="74"/>
      <c r="H26" s="74"/>
      <c r="I26" s="74"/>
      <c r="J26" s="74"/>
      <c r="K26" s="74"/>
      <c r="L26" s="74"/>
      <c r="M26" s="74"/>
      <c r="N26" s="74"/>
      <c r="O26" s="74"/>
    </row>
    <row r="27" spans="1:16" ht="15" customHeight="1">
      <c r="A27" s="21"/>
      <c r="B27" s="5" t="s">
        <v>409</v>
      </c>
      <c r="C27" s="54"/>
      <c r="D27" s="54"/>
      <c r="E27" s="54"/>
      <c r="F27" s="155"/>
      <c r="G27" s="74"/>
      <c r="H27" s="74"/>
      <c r="I27" s="74"/>
      <c r="J27" s="74"/>
      <c r="K27" s="74"/>
      <c r="L27" s="74"/>
      <c r="M27" s="74"/>
      <c r="N27" s="74"/>
      <c r="O27" s="74"/>
    </row>
    <row r="28" spans="1:16" ht="15" customHeight="1">
      <c r="A28" s="21"/>
      <c r="B28" s="54"/>
      <c r="C28" s="54"/>
      <c r="D28" s="54"/>
      <c r="E28" s="54"/>
      <c r="F28" s="54"/>
      <c r="G28" s="54"/>
      <c r="H28" s="54"/>
      <c r="I28" s="54"/>
      <c r="J28" s="54"/>
      <c r="K28" s="54"/>
      <c r="L28" s="54"/>
      <c r="M28" s="54"/>
      <c r="N28" s="54"/>
      <c r="O28" s="54"/>
    </row>
    <row r="29" spans="1:16" ht="15" customHeight="1">
      <c r="A29" s="21" t="s">
        <v>685</v>
      </c>
      <c r="B29" s="54"/>
      <c r="C29" s="54"/>
      <c r="D29" s="54"/>
      <c r="E29" s="54"/>
      <c r="F29" s="54"/>
      <c r="G29" s="54"/>
      <c r="H29" s="54"/>
      <c r="I29" s="54"/>
      <c r="J29" s="54"/>
      <c r="K29" s="54"/>
      <c r="L29" s="54"/>
      <c r="M29" s="54"/>
      <c r="N29" s="54"/>
      <c r="O29" s="54"/>
    </row>
    <row r="30" spans="1:16" ht="15" customHeight="1">
      <c r="A30" s="21"/>
      <c r="B30" s="5" t="s">
        <v>228</v>
      </c>
      <c r="C30" s="54"/>
      <c r="D30" s="54"/>
      <c r="E30" s="54"/>
      <c r="F30" s="5"/>
    </row>
    <row r="31" spans="1:16" ht="15" customHeight="1">
      <c r="A31" s="21"/>
      <c r="B31" s="5" t="s">
        <v>836</v>
      </c>
      <c r="C31" s="54"/>
      <c r="D31" s="54"/>
      <c r="E31" s="54"/>
      <c r="F31" s="5"/>
    </row>
    <row r="32" spans="1:16" ht="15" customHeight="1">
      <c r="A32" s="21"/>
      <c r="B32" s="54" t="s">
        <v>833</v>
      </c>
      <c r="C32" s="54"/>
      <c r="D32" s="54"/>
      <c r="E32" s="54"/>
      <c r="F32" s="54"/>
    </row>
    <row r="33" spans="1:15" ht="15" customHeight="1">
      <c r="A33" s="21"/>
      <c r="B33" s="5" t="s">
        <v>695</v>
      </c>
      <c r="C33" s="54"/>
      <c r="D33" s="54"/>
      <c r="E33" s="54"/>
      <c r="F33" s="54"/>
    </row>
    <row r="34" spans="1:15" ht="15" customHeight="1">
      <c r="A34" s="21"/>
      <c r="B34" s="5" t="s">
        <v>694</v>
      </c>
      <c r="C34" s="54"/>
      <c r="D34" s="54"/>
      <c r="E34" s="54"/>
      <c r="F34" s="54"/>
    </row>
    <row r="35" spans="1:15" ht="15" customHeight="1">
      <c r="A35" s="21"/>
      <c r="B35" s="5" t="s">
        <v>697</v>
      </c>
      <c r="C35" s="54"/>
      <c r="D35" s="54"/>
      <c r="E35" s="54"/>
      <c r="F35" s="5"/>
    </row>
    <row r="36" spans="1:15" ht="15" customHeight="1">
      <c r="A36" s="21"/>
      <c r="B36" s="5" t="s">
        <v>698</v>
      </c>
      <c r="C36" s="54"/>
      <c r="D36" s="54"/>
      <c r="E36" s="54"/>
      <c r="F36" s="5"/>
    </row>
    <row r="37" spans="1:15" ht="15" customHeight="1">
      <c r="A37" s="21"/>
      <c r="B37" s="5" t="s">
        <v>683</v>
      </c>
      <c r="C37" s="54"/>
      <c r="D37" s="54"/>
      <c r="E37" s="54"/>
      <c r="F37" s="5"/>
    </row>
    <row r="38" spans="1:15" ht="15" customHeight="1">
      <c r="A38" s="21"/>
      <c r="B38" s="54"/>
      <c r="C38" s="54"/>
      <c r="D38" s="54"/>
      <c r="E38" s="54"/>
      <c r="F38" s="54"/>
      <c r="G38" s="54"/>
      <c r="H38" s="54"/>
      <c r="I38" s="54"/>
      <c r="J38" s="54"/>
      <c r="K38" s="54"/>
      <c r="L38" s="54"/>
      <c r="M38" s="54"/>
      <c r="N38" s="54"/>
      <c r="O38" s="54"/>
    </row>
    <row r="39" spans="1:15" ht="15" customHeight="1">
      <c r="A39" s="21" t="s">
        <v>837</v>
      </c>
      <c r="B39" s="54"/>
      <c r="C39" s="54"/>
      <c r="D39" s="54"/>
      <c r="E39" s="54"/>
      <c r="F39" s="54"/>
      <c r="G39" s="54"/>
      <c r="H39" s="54"/>
      <c r="I39" s="54"/>
      <c r="J39" s="54"/>
      <c r="K39" s="54"/>
      <c r="L39" s="54"/>
      <c r="M39" s="54"/>
      <c r="N39" s="54"/>
      <c r="O39" s="54"/>
    </row>
    <row r="40" spans="1:15" ht="15" customHeight="1">
      <c r="A40" s="21"/>
      <c r="B40" s="5" t="s">
        <v>683</v>
      </c>
      <c r="C40" s="54"/>
      <c r="D40" s="54"/>
      <c r="E40" s="54"/>
      <c r="F40" s="5"/>
    </row>
    <row r="41" spans="1:15" ht="15" customHeight="1">
      <c r="A41" s="21"/>
      <c r="B41" s="5" t="s">
        <v>681</v>
      </c>
      <c r="C41" s="54"/>
      <c r="D41" s="54"/>
      <c r="E41" s="54"/>
      <c r="F41" s="5"/>
    </row>
    <row r="42" spans="1:15" ht="15" customHeight="1">
      <c r="A42" s="21"/>
      <c r="B42" s="5" t="s">
        <v>412</v>
      </c>
      <c r="C42" s="54"/>
      <c r="D42" s="54"/>
      <c r="E42" s="54"/>
      <c r="F42" s="54"/>
    </row>
    <row r="43" spans="1:15" ht="15" customHeight="1">
      <c r="A43" s="21"/>
      <c r="B43" s="5" t="s">
        <v>715</v>
      </c>
      <c r="C43" s="54"/>
      <c r="D43" s="54"/>
      <c r="E43" s="54"/>
      <c r="F43" s="5"/>
    </row>
    <row r="44" spans="1:15" ht="15" customHeight="1">
      <c r="A44" s="21"/>
      <c r="B44" s="54" t="s">
        <v>838</v>
      </c>
      <c r="C44" s="54"/>
      <c r="D44" s="54"/>
      <c r="E44" s="54"/>
      <c r="F44" s="5"/>
    </row>
    <row r="45" spans="1:15" ht="15" customHeight="1">
      <c r="A45" s="21"/>
      <c r="B45" s="54"/>
      <c r="C45" s="54"/>
      <c r="D45" s="54"/>
      <c r="E45" s="54"/>
      <c r="F45" s="5"/>
    </row>
    <row r="46" spans="1:15" ht="15" customHeight="1">
      <c r="A46" s="21" t="s">
        <v>839</v>
      </c>
      <c r="B46" s="54"/>
      <c r="C46" s="54"/>
      <c r="D46" s="54"/>
      <c r="E46" s="54"/>
      <c r="F46" s="54"/>
      <c r="G46" s="54"/>
      <c r="H46" s="54"/>
      <c r="I46" s="54"/>
      <c r="J46" s="54"/>
      <c r="K46" s="54"/>
      <c r="L46" s="54"/>
      <c r="M46" s="54"/>
      <c r="N46" s="54"/>
      <c r="O46" s="54"/>
    </row>
    <row r="47" spans="1:15" ht="15" customHeight="1">
      <c r="A47" s="21"/>
      <c r="B47" s="5" t="s">
        <v>840</v>
      </c>
      <c r="C47" s="54"/>
      <c r="D47" s="54"/>
      <c r="E47" s="54"/>
    </row>
    <row r="48" spans="1:15" ht="15" customHeight="1">
      <c r="A48" s="21"/>
      <c r="B48" s="5" t="s">
        <v>841</v>
      </c>
      <c r="C48" s="54"/>
      <c r="D48" s="54"/>
      <c r="E48" s="54"/>
    </row>
    <row r="49" spans="1:15" ht="15" customHeight="1">
      <c r="A49" s="21"/>
      <c r="B49" s="5" t="s">
        <v>842</v>
      </c>
      <c r="C49" s="54"/>
      <c r="D49" s="54"/>
      <c r="E49" s="73"/>
    </row>
    <row r="50" spans="1:15" ht="15" customHeight="1">
      <c r="A50" s="21"/>
      <c r="B50" s="5" t="s">
        <v>695</v>
      </c>
      <c r="C50" s="54"/>
      <c r="D50" s="54"/>
      <c r="E50" s="54"/>
    </row>
    <row r="51" spans="1:15" ht="15" customHeight="1">
      <c r="A51" s="21"/>
      <c r="B51" s="54"/>
      <c r="C51" s="54"/>
      <c r="D51" s="54"/>
      <c r="E51" s="54"/>
    </row>
    <row r="52" spans="1:15" ht="15" customHeight="1">
      <c r="A52" s="21"/>
      <c r="B52" s="54" t="s">
        <v>843</v>
      </c>
      <c r="C52" s="54"/>
      <c r="D52" s="54"/>
    </row>
    <row r="53" spans="1:15" ht="15" customHeight="1">
      <c r="A53" s="21"/>
      <c r="B53" s="54"/>
      <c r="C53" s="54"/>
      <c r="D53" s="54"/>
      <c r="E53" s="54"/>
    </row>
    <row r="54" spans="1:15" ht="15" customHeight="1">
      <c r="A54" s="21"/>
      <c r="B54" s="54" t="s">
        <v>844</v>
      </c>
      <c r="C54" s="54"/>
      <c r="D54" s="54"/>
      <c r="E54" s="54"/>
    </row>
    <row r="55" spans="1:15" ht="15" customHeight="1">
      <c r="A55" s="21"/>
      <c r="B55" s="54" t="s">
        <v>841</v>
      </c>
      <c r="C55" s="54"/>
      <c r="D55" s="54"/>
      <c r="E55" s="54"/>
    </row>
    <row r="56" spans="1:15" ht="15" customHeight="1">
      <c r="A56" s="21"/>
      <c r="B56" s="54" t="s">
        <v>845</v>
      </c>
      <c r="C56" s="54"/>
      <c r="D56" s="54"/>
      <c r="E56" s="73"/>
    </row>
    <row r="57" spans="1:15" ht="15" customHeight="1">
      <c r="A57" s="21"/>
      <c r="B57" s="54" t="s">
        <v>695</v>
      </c>
      <c r="C57" s="54"/>
      <c r="D57" s="54"/>
      <c r="E57" s="54"/>
    </row>
    <row r="58" spans="1:15" ht="15" customHeight="1">
      <c r="A58" s="21"/>
      <c r="B58" s="54"/>
      <c r="C58" s="54"/>
      <c r="D58" s="54"/>
      <c r="E58" s="54"/>
      <c r="F58" s="54"/>
      <c r="G58" s="54"/>
      <c r="H58" s="54"/>
      <c r="I58" s="54"/>
      <c r="J58" s="54"/>
      <c r="K58" s="54"/>
      <c r="L58" s="54"/>
      <c r="M58" s="54"/>
      <c r="N58" s="54"/>
      <c r="O58" s="54"/>
    </row>
    <row r="59" spans="1:15" ht="15" customHeight="1">
      <c r="A59" s="21"/>
      <c r="B59" s="54" t="s">
        <v>846</v>
      </c>
      <c r="C59" s="54"/>
      <c r="D59" s="54"/>
      <c r="E59" s="3"/>
      <c r="F59" s="3">
        <v>0</v>
      </c>
    </row>
    <row r="60" spans="1:15" ht="15" customHeight="1">
      <c r="A60" s="21"/>
      <c r="B60" s="54" t="s">
        <v>694</v>
      </c>
      <c r="C60" s="54"/>
      <c r="D60" s="54"/>
      <c r="E60" s="3"/>
      <c r="F60" s="54"/>
    </row>
    <row r="61" spans="1:15" ht="15" customHeight="1">
      <c r="A61" s="21"/>
      <c r="B61" s="54"/>
      <c r="C61" s="54"/>
      <c r="D61" s="54"/>
      <c r="E61" s="3"/>
      <c r="F61" s="54"/>
    </row>
    <row r="62" spans="1:15" ht="15" customHeight="1">
      <c r="A62" s="21"/>
      <c r="B62" s="54" t="s">
        <v>847</v>
      </c>
      <c r="C62" s="54"/>
      <c r="D62" s="54"/>
      <c r="E62" s="3"/>
      <c r="F62" s="54"/>
    </row>
    <row r="63" spans="1:15" ht="15" customHeight="1">
      <c r="A63" s="21"/>
      <c r="B63" s="54" t="s">
        <v>848</v>
      </c>
      <c r="C63" s="54"/>
      <c r="D63" s="54"/>
      <c r="E63" s="3"/>
      <c r="F63" s="54"/>
    </row>
    <row r="64" spans="1:15" ht="15" customHeight="1">
      <c r="A64" s="21"/>
      <c r="B64" s="54" t="s">
        <v>849</v>
      </c>
      <c r="C64" s="54"/>
      <c r="D64" s="54"/>
      <c r="E64" s="3"/>
      <c r="F64" s="54"/>
    </row>
    <row r="65" spans="1:16" ht="15" customHeight="1">
      <c r="A65" s="21"/>
      <c r="B65" s="54" t="s">
        <v>850</v>
      </c>
      <c r="C65" s="54"/>
      <c r="D65" s="54"/>
      <c r="E65" s="3"/>
      <c r="F65" s="66">
        <v>0</v>
      </c>
    </row>
    <row r="66" spans="1:16" ht="15" customHeight="1">
      <c r="A66" s="21"/>
      <c r="B66" s="54"/>
      <c r="C66" s="54"/>
      <c r="D66" s="54"/>
      <c r="E66" s="3"/>
      <c r="F66" s="54"/>
      <c r="G66" s="54"/>
      <c r="H66" s="54"/>
      <c r="I66" s="54"/>
      <c r="J66" s="54"/>
      <c r="K66" s="54"/>
      <c r="L66" s="54"/>
      <c r="M66" s="54"/>
      <c r="N66" s="54"/>
      <c r="O66" s="54"/>
    </row>
    <row r="67" spans="1:16" ht="15" customHeight="1">
      <c r="A67" s="21"/>
      <c r="B67" s="54" t="s">
        <v>851</v>
      </c>
      <c r="C67" s="54"/>
      <c r="D67" s="54"/>
      <c r="E67" s="3"/>
      <c r="H67" s="54"/>
      <c r="I67" s="54"/>
      <c r="J67" s="54"/>
      <c r="K67" s="54"/>
      <c r="L67" s="54"/>
      <c r="M67" s="54"/>
      <c r="N67" s="54"/>
      <c r="O67" s="54"/>
    </row>
    <row r="68" spans="1:16" ht="15" customHeight="1">
      <c r="A68" s="21"/>
      <c r="B68" s="54" t="s">
        <v>852</v>
      </c>
      <c r="C68" s="54"/>
      <c r="D68" s="54"/>
      <c r="E68" s="3"/>
      <c r="F68" s="54"/>
      <c r="G68" s="74"/>
      <c r="H68" s="74"/>
      <c r="I68" s="74"/>
      <c r="J68" s="74"/>
      <c r="K68" s="74"/>
      <c r="L68" s="74"/>
      <c r="M68" s="74"/>
      <c r="N68" s="74"/>
      <c r="O68" s="74"/>
    </row>
    <row r="69" spans="1:16" ht="15" customHeight="1">
      <c r="A69" s="21"/>
      <c r="B69" s="54"/>
      <c r="C69" s="54"/>
      <c r="D69" s="54"/>
      <c r="E69" s="54"/>
      <c r="F69" s="54"/>
      <c r="G69" s="54"/>
      <c r="H69" s="54"/>
      <c r="I69" s="54"/>
      <c r="J69" s="54"/>
      <c r="K69" s="54"/>
      <c r="L69" s="54"/>
      <c r="M69" s="54"/>
      <c r="N69" s="54"/>
      <c r="O69" s="54"/>
    </row>
    <row r="70" spans="1:16" ht="15" customHeight="1">
      <c r="A70" s="21" t="s">
        <v>853</v>
      </c>
      <c r="B70" s="54"/>
      <c r="C70" s="54"/>
      <c r="D70" s="54"/>
      <c r="E70" s="54"/>
      <c r="F70" s="54"/>
      <c r="G70" s="54"/>
      <c r="H70" s="54"/>
      <c r="I70" s="54"/>
      <c r="J70" s="54"/>
      <c r="K70" s="54"/>
      <c r="L70" s="54"/>
      <c r="M70" s="54"/>
      <c r="N70" s="54"/>
      <c r="O70" s="54"/>
    </row>
    <row r="71" spans="1:16" ht="15" customHeight="1">
      <c r="A71" s="21"/>
      <c r="B71" s="5" t="s">
        <v>854</v>
      </c>
      <c r="C71" s="54"/>
      <c r="D71" s="54"/>
      <c r="E71" s="54"/>
    </row>
    <row r="72" spans="1:16" ht="15" customHeight="1">
      <c r="A72" s="21"/>
      <c r="B72" s="5" t="s">
        <v>430</v>
      </c>
      <c r="C72" s="54"/>
      <c r="D72" s="54"/>
      <c r="E72" s="54"/>
      <c r="F72" s="5"/>
    </row>
    <row r="73" spans="1:16" ht="15" customHeight="1">
      <c r="A73" s="21"/>
      <c r="B73" s="5" t="s">
        <v>109</v>
      </c>
      <c r="C73" s="54"/>
      <c r="D73" s="54"/>
      <c r="E73" s="54"/>
      <c r="F73" s="54"/>
    </row>
    <row r="74" spans="1:16" ht="15" customHeight="1">
      <c r="A74" s="21"/>
      <c r="B74" s="5" t="s">
        <v>855</v>
      </c>
      <c r="C74" s="54"/>
      <c r="D74" s="54"/>
      <c r="E74" s="54"/>
      <c r="F74" s="54"/>
    </row>
    <row r="75" spans="1:16" ht="15" customHeight="1">
      <c r="A75" s="21"/>
      <c r="B75" s="54"/>
      <c r="C75" s="54"/>
      <c r="D75" s="54"/>
      <c r="E75" s="54"/>
      <c r="F75" s="54"/>
    </row>
    <row r="76" spans="1:16" ht="15" customHeight="1">
      <c r="A76" s="21"/>
      <c r="B76" s="5" t="s">
        <v>856</v>
      </c>
      <c r="C76" s="54"/>
      <c r="D76" s="54"/>
      <c r="E76" s="54"/>
    </row>
    <row r="77" spans="1:16" ht="15" customHeight="1">
      <c r="A77" s="21"/>
      <c r="B77" s="5" t="s">
        <v>857</v>
      </c>
      <c r="C77" s="54"/>
      <c r="D77" s="54"/>
      <c r="F77" s="74"/>
      <c r="H77" s="54"/>
      <c r="I77" s="54"/>
      <c r="J77" s="54"/>
      <c r="K77" s="54"/>
      <c r="L77" s="54"/>
      <c r="M77" s="54"/>
      <c r="N77" s="54"/>
      <c r="O77" s="54"/>
      <c r="P77" s="54"/>
    </row>
    <row r="78" spans="1:16" ht="15" customHeight="1">
      <c r="A78" s="21"/>
      <c r="B78" s="54"/>
      <c r="C78" s="54"/>
      <c r="D78" s="54"/>
      <c r="E78" s="54"/>
      <c r="F78" s="54"/>
      <c r="G78" s="54"/>
      <c r="H78" s="54"/>
      <c r="I78" s="54"/>
      <c r="J78" s="54"/>
      <c r="K78" s="54"/>
      <c r="L78" s="54"/>
      <c r="M78" s="54"/>
      <c r="N78" s="54"/>
      <c r="O78" s="54"/>
      <c r="P78" s="54"/>
    </row>
    <row r="79" spans="1:16" ht="15" customHeight="1">
      <c r="A79" s="21" t="s">
        <v>858</v>
      </c>
      <c r="B79" s="54"/>
      <c r="C79" s="54"/>
      <c r="D79" s="54"/>
      <c r="E79" s="54"/>
      <c r="F79" s="54"/>
      <c r="G79" s="54"/>
      <c r="H79" s="54"/>
      <c r="I79" s="54"/>
      <c r="J79" s="54"/>
      <c r="K79" s="54"/>
      <c r="L79" s="54"/>
      <c r="M79" s="54"/>
      <c r="N79" s="54"/>
      <c r="O79" s="54"/>
      <c r="P79" s="54"/>
    </row>
    <row r="80" spans="1:16" ht="15" customHeight="1">
      <c r="A80" s="21"/>
      <c r="B80" s="5" t="s">
        <v>859</v>
      </c>
      <c r="C80" s="54"/>
      <c r="D80" s="54"/>
      <c r="E80" s="54"/>
      <c r="F80" s="54"/>
      <c r="G80" s="54"/>
      <c r="H80" s="54"/>
      <c r="I80" s="54"/>
      <c r="J80" s="54"/>
      <c r="K80" s="54"/>
      <c r="L80" s="54"/>
      <c r="M80" s="54"/>
      <c r="N80" s="54"/>
      <c r="O80" s="54"/>
      <c r="P80" s="54"/>
    </row>
    <row r="81" spans="1:16" ht="15" customHeight="1">
      <c r="A81" s="21"/>
      <c r="B81" s="54"/>
      <c r="C81" s="73"/>
      <c r="E81" s="160" t="s">
        <v>830</v>
      </c>
      <c r="F81" s="54"/>
      <c r="G81" s="54"/>
      <c r="H81" s="54"/>
      <c r="I81" s="54"/>
      <c r="J81" s="54"/>
      <c r="K81" s="54"/>
      <c r="L81" s="54"/>
      <c r="M81" s="54"/>
      <c r="N81" s="54"/>
      <c r="O81" s="54"/>
      <c r="P81" s="54"/>
    </row>
    <row r="82" spans="1:16" ht="15" customHeight="1">
      <c r="A82" s="21"/>
      <c r="B82" s="54"/>
      <c r="C82" s="74"/>
      <c r="D82" s="170">
        <v>3</v>
      </c>
      <c r="E82" s="170">
        <v>4</v>
      </c>
      <c r="F82" s="170">
        <v>5</v>
      </c>
      <c r="G82" s="54"/>
      <c r="H82" s="54"/>
      <c r="I82" s="54"/>
      <c r="J82" s="54"/>
      <c r="K82" s="54"/>
      <c r="L82" s="54"/>
      <c r="M82" s="54"/>
      <c r="N82" s="54"/>
      <c r="O82" s="54"/>
      <c r="P82" s="54"/>
    </row>
    <row r="83" spans="1:16" ht="15" customHeight="1">
      <c r="A83" s="21"/>
      <c r="B83" s="54"/>
      <c r="C83" s="162">
        <v>10</v>
      </c>
      <c r="D83" s="74"/>
      <c r="E83" s="74"/>
      <c r="F83" s="74"/>
      <c r="G83" s="54"/>
      <c r="H83" s="54"/>
      <c r="I83" s="54"/>
      <c r="J83" s="54"/>
      <c r="K83" s="54"/>
      <c r="L83" s="54"/>
      <c r="M83" s="54"/>
      <c r="N83" s="54"/>
      <c r="O83" s="54"/>
      <c r="P83" s="54"/>
    </row>
    <row r="84" spans="1:16" ht="15" customHeight="1">
      <c r="A84" s="21"/>
      <c r="B84" s="54"/>
      <c r="C84" s="162">
        <f>C83+1</f>
        <v>11</v>
      </c>
      <c r="D84" s="74"/>
      <c r="E84" s="74"/>
      <c r="F84" s="74"/>
      <c r="G84" s="54"/>
      <c r="H84" s="54"/>
      <c r="I84" s="54"/>
      <c r="J84" s="54"/>
      <c r="K84" s="54"/>
      <c r="L84" s="54"/>
      <c r="M84" s="54"/>
      <c r="N84" s="54"/>
      <c r="O84" s="54"/>
      <c r="P84" s="54"/>
    </row>
    <row r="85" spans="1:16" ht="15" customHeight="1">
      <c r="A85" s="21"/>
      <c r="B85" s="54"/>
      <c r="C85" s="162">
        <f t="shared" ref="C85:C103" si="0">C84+1</f>
        <v>12</v>
      </c>
      <c r="D85" s="74"/>
      <c r="E85" s="74"/>
      <c r="F85" s="74"/>
      <c r="G85" s="54"/>
      <c r="H85" s="54"/>
      <c r="I85" s="54"/>
      <c r="J85" s="54"/>
      <c r="K85" s="54"/>
      <c r="L85" s="54"/>
      <c r="M85" s="54"/>
      <c r="N85" s="54"/>
      <c r="O85" s="54"/>
      <c r="P85" s="54"/>
    </row>
    <row r="86" spans="1:16" ht="15" customHeight="1">
      <c r="A86" s="21"/>
      <c r="B86" s="54"/>
      <c r="C86" s="162">
        <f t="shared" si="0"/>
        <v>13</v>
      </c>
      <c r="D86" s="74"/>
      <c r="E86" s="74"/>
      <c r="F86" s="74"/>
      <c r="G86" s="54"/>
      <c r="H86" s="54"/>
      <c r="I86" s="54"/>
      <c r="J86" s="54"/>
      <c r="K86" s="54"/>
      <c r="L86" s="54"/>
      <c r="M86" s="54"/>
      <c r="N86" s="54"/>
      <c r="O86" s="54"/>
      <c r="P86" s="54"/>
    </row>
    <row r="87" spans="1:16" ht="15" customHeight="1">
      <c r="A87" s="21"/>
      <c r="B87" s="54"/>
      <c r="C87" s="162">
        <f t="shared" si="0"/>
        <v>14</v>
      </c>
      <c r="D87" s="74"/>
      <c r="E87" s="74"/>
      <c r="F87" s="74"/>
      <c r="G87" s="54"/>
      <c r="H87" s="54"/>
      <c r="I87" s="54"/>
      <c r="J87" s="54"/>
      <c r="K87" s="54"/>
      <c r="L87" s="54"/>
      <c r="M87" s="54"/>
      <c r="N87" s="54"/>
      <c r="O87" s="54"/>
      <c r="P87" s="54"/>
    </row>
    <row r="88" spans="1:16" ht="15" customHeight="1">
      <c r="A88" s="21"/>
      <c r="B88" s="54"/>
      <c r="C88" s="162">
        <f t="shared" si="0"/>
        <v>15</v>
      </c>
      <c r="D88" s="74"/>
      <c r="E88" s="74"/>
      <c r="F88" s="74"/>
      <c r="G88" s="54"/>
      <c r="H88" s="54"/>
      <c r="I88" s="54"/>
      <c r="J88" s="54"/>
      <c r="K88" s="54"/>
      <c r="L88" s="54"/>
      <c r="M88" s="54"/>
      <c r="N88" s="54"/>
      <c r="O88" s="54"/>
      <c r="P88" s="54"/>
    </row>
    <row r="89" spans="1:16" ht="15" customHeight="1">
      <c r="A89" s="21"/>
      <c r="B89" s="5" t="s">
        <v>860</v>
      </c>
      <c r="C89" s="162">
        <f t="shared" si="0"/>
        <v>16</v>
      </c>
      <c r="D89" s="74"/>
      <c r="E89" s="74"/>
      <c r="F89" s="74"/>
      <c r="G89" s="54"/>
      <c r="H89" s="54"/>
      <c r="I89" s="54"/>
      <c r="J89" s="54"/>
      <c r="K89" s="54"/>
      <c r="L89" s="54"/>
      <c r="M89" s="54"/>
      <c r="N89" s="54"/>
      <c r="O89" s="54"/>
      <c r="P89" s="54"/>
    </row>
    <row r="90" spans="1:16" ht="15" customHeight="1">
      <c r="A90" s="21"/>
      <c r="B90" s="54"/>
      <c r="C90" s="162">
        <f t="shared" si="0"/>
        <v>17</v>
      </c>
      <c r="D90" s="74"/>
      <c r="E90" s="74"/>
      <c r="F90" s="74"/>
      <c r="G90" s="54"/>
      <c r="H90" s="54"/>
      <c r="I90" s="54"/>
      <c r="J90" s="54"/>
      <c r="K90" s="54"/>
      <c r="L90" s="54"/>
      <c r="M90" s="54"/>
      <c r="N90" s="54"/>
      <c r="O90" s="54"/>
      <c r="P90" s="54"/>
    </row>
    <row r="91" spans="1:16" ht="15" customHeight="1">
      <c r="A91" s="21"/>
      <c r="B91" s="54"/>
      <c r="C91" s="162">
        <f t="shared" si="0"/>
        <v>18</v>
      </c>
      <c r="D91" s="74"/>
      <c r="E91" s="74"/>
      <c r="F91" s="74"/>
      <c r="G91" s="54"/>
      <c r="H91" s="54"/>
      <c r="I91" s="54"/>
      <c r="J91" s="54"/>
      <c r="K91" s="54"/>
      <c r="L91" s="54"/>
      <c r="M91" s="54"/>
      <c r="N91" s="54"/>
      <c r="O91" s="54"/>
      <c r="P91" s="54"/>
    </row>
    <row r="92" spans="1:16" ht="15" customHeight="1">
      <c r="A92" s="21"/>
      <c r="B92" s="54"/>
      <c r="C92" s="162">
        <f t="shared" si="0"/>
        <v>19</v>
      </c>
      <c r="D92" s="74"/>
      <c r="E92" s="74"/>
      <c r="F92" s="74"/>
      <c r="G92" s="54"/>
      <c r="H92" s="54"/>
      <c r="I92" s="54"/>
      <c r="J92" s="54"/>
      <c r="K92" s="54"/>
      <c r="L92" s="54"/>
      <c r="M92" s="54"/>
      <c r="N92" s="54"/>
      <c r="O92" s="54"/>
      <c r="P92" s="54"/>
    </row>
    <row r="93" spans="1:16" ht="15" customHeight="1">
      <c r="A93" s="21"/>
      <c r="B93" s="54"/>
      <c r="C93" s="162">
        <f t="shared" si="0"/>
        <v>20</v>
      </c>
      <c r="D93" s="74"/>
      <c r="E93" s="74"/>
      <c r="F93" s="74"/>
      <c r="G93" s="54"/>
      <c r="H93" s="54"/>
      <c r="I93" s="54"/>
      <c r="J93" s="54"/>
      <c r="K93" s="54"/>
      <c r="L93" s="54"/>
      <c r="M93" s="54"/>
      <c r="N93" s="54"/>
      <c r="O93" s="54"/>
      <c r="P93" s="54"/>
    </row>
    <row r="94" spans="1:16" ht="15" customHeight="1">
      <c r="A94" s="21"/>
      <c r="B94" s="54"/>
      <c r="C94" s="162">
        <f t="shared" si="0"/>
        <v>21</v>
      </c>
      <c r="D94" s="74"/>
      <c r="E94" s="74"/>
      <c r="F94" s="74"/>
      <c r="G94" s="54"/>
      <c r="H94" s="54"/>
      <c r="I94" s="54"/>
      <c r="J94" s="54"/>
      <c r="K94" s="54"/>
      <c r="L94" s="54"/>
      <c r="M94" s="54"/>
      <c r="N94" s="54"/>
      <c r="O94" s="54"/>
      <c r="P94" s="54"/>
    </row>
    <row r="95" spans="1:16" ht="15" customHeight="1">
      <c r="A95" s="21"/>
      <c r="B95" s="54"/>
      <c r="C95" s="162">
        <f t="shared" si="0"/>
        <v>22</v>
      </c>
      <c r="D95" s="74"/>
      <c r="E95" s="74"/>
      <c r="F95" s="74"/>
      <c r="G95" s="54"/>
      <c r="H95" s="54"/>
      <c r="I95" s="54"/>
      <c r="J95" s="54"/>
      <c r="K95" s="54"/>
      <c r="L95" s="54"/>
      <c r="M95" s="54"/>
      <c r="N95" s="54"/>
      <c r="O95" s="54"/>
      <c r="P95" s="54"/>
    </row>
    <row r="96" spans="1:16" ht="15" customHeight="1">
      <c r="A96" s="21"/>
      <c r="B96" s="54"/>
      <c r="C96" s="162">
        <f t="shared" si="0"/>
        <v>23</v>
      </c>
      <c r="D96" s="74"/>
      <c r="E96" s="74"/>
      <c r="F96" s="74"/>
      <c r="G96" s="54"/>
      <c r="H96" s="54"/>
      <c r="I96" s="54"/>
      <c r="J96" s="54"/>
      <c r="K96" s="54"/>
      <c r="L96" s="54"/>
      <c r="M96" s="54"/>
      <c r="N96" s="54"/>
      <c r="O96" s="54"/>
      <c r="P96" s="54"/>
    </row>
    <row r="97" spans="1:16" ht="15" customHeight="1">
      <c r="A97" s="21"/>
      <c r="B97" s="54"/>
      <c r="C97" s="162">
        <f t="shared" si="0"/>
        <v>24</v>
      </c>
      <c r="D97" s="74"/>
      <c r="E97" s="74"/>
      <c r="F97" s="74"/>
      <c r="G97" s="54"/>
      <c r="H97" s="54"/>
      <c r="I97" s="54"/>
      <c r="J97" s="54"/>
      <c r="K97" s="54"/>
      <c r="L97" s="54"/>
      <c r="M97" s="54"/>
      <c r="N97" s="54"/>
      <c r="O97" s="54"/>
      <c r="P97" s="54"/>
    </row>
    <row r="98" spans="1:16" ht="15" customHeight="1">
      <c r="A98" s="21"/>
      <c r="B98" s="54"/>
      <c r="C98" s="162">
        <f t="shared" si="0"/>
        <v>25</v>
      </c>
      <c r="D98" s="74"/>
      <c r="E98" s="74"/>
      <c r="F98" s="74"/>
      <c r="G98" s="54"/>
      <c r="H98" s="54"/>
      <c r="I98" s="54"/>
      <c r="J98" s="54"/>
      <c r="K98" s="54"/>
      <c r="L98" s="54"/>
      <c r="M98" s="54"/>
      <c r="N98" s="54"/>
      <c r="O98" s="54"/>
      <c r="P98" s="54"/>
    </row>
    <row r="99" spans="1:16" ht="15" customHeight="1">
      <c r="A99" s="21"/>
      <c r="B99" s="54"/>
      <c r="C99" s="162">
        <f t="shared" si="0"/>
        <v>26</v>
      </c>
      <c r="D99" s="74"/>
      <c r="E99" s="74"/>
      <c r="F99" s="74"/>
      <c r="G99" s="54"/>
      <c r="H99" s="54"/>
      <c r="I99" s="54"/>
      <c r="J99" s="54"/>
      <c r="K99" s="54"/>
      <c r="L99" s="54"/>
      <c r="M99" s="54"/>
      <c r="N99" s="54"/>
      <c r="O99" s="54"/>
      <c r="P99" s="54"/>
    </row>
    <row r="100" spans="1:16" ht="15" customHeight="1">
      <c r="A100" s="21"/>
      <c r="B100" s="54"/>
      <c r="C100" s="162">
        <f t="shared" si="0"/>
        <v>27</v>
      </c>
      <c r="D100" s="74"/>
      <c r="E100" s="74"/>
      <c r="F100" s="74"/>
      <c r="G100" s="54"/>
      <c r="H100" s="54"/>
      <c r="I100" s="54"/>
      <c r="J100" s="54"/>
      <c r="K100" s="54"/>
      <c r="L100" s="54"/>
      <c r="M100" s="54"/>
      <c r="N100" s="54"/>
      <c r="O100" s="54"/>
      <c r="P100" s="54"/>
    </row>
    <row r="101" spans="1:16" ht="15" customHeight="1">
      <c r="A101" s="85"/>
      <c r="B101" s="54"/>
      <c r="C101" s="162">
        <f t="shared" si="0"/>
        <v>28</v>
      </c>
      <c r="D101" s="74"/>
      <c r="E101" s="74"/>
      <c r="F101" s="74"/>
      <c r="G101" s="54"/>
      <c r="H101" s="54"/>
      <c r="I101" s="54"/>
      <c r="J101" s="54"/>
      <c r="K101" s="54"/>
      <c r="L101" s="54"/>
      <c r="M101" s="54"/>
      <c r="N101" s="54"/>
      <c r="O101" s="54"/>
      <c r="P101" s="54"/>
    </row>
    <row r="102" spans="1:16" ht="15" customHeight="1">
      <c r="A102" s="85"/>
      <c r="B102" s="54"/>
      <c r="C102" s="162">
        <f t="shared" si="0"/>
        <v>29</v>
      </c>
      <c r="D102" s="74"/>
      <c r="E102" s="74"/>
      <c r="F102" s="74"/>
      <c r="G102" s="54"/>
      <c r="H102" s="54"/>
      <c r="I102" s="54"/>
      <c r="J102" s="54"/>
      <c r="K102" s="54"/>
      <c r="L102" s="54"/>
      <c r="M102" s="54"/>
      <c r="N102" s="54"/>
      <c r="O102" s="54"/>
      <c r="P102" s="54"/>
    </row>
    <row r="103" spans="1:16" ht="15" customHeight="1">
      <c r="A103" s="85"/>
      <c r="C103" s="162">
        <f t="shared" si="0"/>
        <v>30</v>
      </c>
      <c r="D103" s="74"/>
      <c r="E103" s="74"/>
      <c r="F103" s="74"/>
    </row>
    <row r="104" spans="1:16" ht="15" customHeight="1">
      <c r="A104" s="85"/>
    </row>
    <row r="105" spans="1:16" ht="15" customHeight="1">
      <c r="A105" s="85"/>
    </row>
    <row r="106" spans="1:16" ht="15" customHeight="1">
      <c r="A106" s="85"/>
    </row>
    <row r="107" spans="1:16" ht="15" customHeight="1">
      <c r="A107" s="85"/>
    </row>
    <row r="108" spans="1:16" ht="15" customHeight="1">
      <c r="A108" s="85"/>
    </row>
    <row r="109" spans="1:16" ht="15" customHeight="1">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2"/>
  <sheetViews>
    <sheetView zoomScaleNormal="100" zoomScaleSheetLayoutView="85" workbookViewId="0"/>
  </sheetViews>
  <sheetFormatPr defaultColWidth="12.5703125" defaultRowHeight="15" customHeight="1"/>
  <cols>
    <col min="1" max="1" width="1.5703125" customWidth="1"/>
    <col min="2" max="2" width="24.28515625" customWidth="1"/>
    <col min="3" max="16" width="10.28515625" customWidth="1"/>
    <col min="17" max="26" width="8" customWidth="1"/>
  </cols>
  <sheetData>
    <row r="1" spans="1:26" ht="45" customHeight="1">
      <c r="A1" s="83" t="s">
        <v>861</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c r="A3" s="54"/>
      <c r="B3" s="54"/>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c r="A4" s="54"/>
      <c r="B4" s="54"/>
      <c r="C4" s="54"/>
      <c r="D4" s="54"/>
      <c r="E4" s="54"/>
      <c r="F4" s="54"/>
      <c r="G4" s="54"/>
      <c r="H4" s="54"/>
      <c r="I4" s="54"/>
      <c r="J4" s="54"/>
      <c r="K4" s="54"/>
      <c r="L4" s="54"/>
      <c r="M4" s="54"/>
      <c r="N4" s="54"/>
      <c r="O4" s="54"/>
      <c r="P4" s="54"/>
    </row>
    <row r="5" spans="1:26" ht="15" customHeight="1">
      <c r="A5" s="54"/>
      <c r="B5" s="54"/>
      <c r="C5" s="54"/>
      <c r="D5" s="54"/>
      <c r="E5" s="54"/>
      <c r="F5" s="54"/>
      <c r="G5" s="54"/>
      <c r="H5" s="54"/>
      <c r="I5" s="54"/>
      <c r="J5" s="54"/>
      <c r="K5" s="54"/>
      <c r="L5" s="54"/>
      <c r="M5" s="54"/>
      <c r="N5" s="54"/>
      <c r="O5" s="54"/>
      <c r="P5" s="54"/>
    </row>
    <row r="6" spans="1:26" ht="15" customHeight="1">
      <c r="A6" s="54"/>
      <c r="B6" s="54"/>
      <c r="C6" s="54"/>
      <c r="D6" s="54"/>
      <c r="E6" s="54"/>
      <c r="F6" s="54"/>
      <c r="G6" s="54"/>
      <c r="H6" s="54"/>
      <c r="I6" s="54"/>
      <c r="J6" s="54"/>
      <c r="K6" s="54"/>
      <c r="L6" s="54"/>
      <c r="M6" s="54"/>
      <c r="N6" s="54"/>
      <c r="O6" s="54"/>
      <c r="P6" s="54"/>
    </row>
    <row r="7" spans="1:26" ht="15" customHeight="1">
      <c r="A7" s="54"/>
      <c r="B7" s="54"/>
      <c r="C7" s="54"/>
      <c r="D7" s="54"/>
      <c r="E7" s="54"/>
      <c r="F7" s="54"/>
      <c r="G7" s="54"/>
      <c r="H7" s="54"/>
      <c r="I7" s="54"/>
      <c r="J7" s="54"/>
      <c r="K7" s="54"/>
      <c r="L7" s="54"/>
      <c r="M7" s="54"/>
      <c r="N7" s="54"/>
      <c r="O7" s="54"/>
      <c r="P7" s="54"/>
    </row>
    <row r="8" spans="1:26" ht="15" customHeight="1">
      <c r="A8" s="54"/>
      <c r="B8" s="54"/>
      <c r="C8" s="54"/>
      <c r="D8" s="54"/>
      <c r="E8" s="54"/>
      <c r="F8" s="54"/>
      <c r="G8" s="54"/>
      <c r="H8" s="54"/>
      <c r="I8" s="54"/>
      <c r="J8" s="54"/>
      <c r="K8" s="54"/>
      <c r="L8" s="54"/>
      <c r="M8" s="54"/>
      <c r="N8" s="54"/>
      <c r="O8" s="54"/>
      <c r="P8" s="54"/>
    </row>
    <row r="9" spans="1:26" ht="15" customHeight="1">
      <c r="A9" s="54"/>
      <c r="B9" s="54"/>
      <c r="C9" s="54"/>
      <c r="D9" s="54"/>
      <c r="E9" s="54"/>
      <c r="F9" s="54"/>
      <c r="G9" s="54"/>
      <c r="H9" s="54"/>
      <c r="I9" s="54"/>
      <c r="J9" s="54"/>
      <c r="K9" s="54"/>
      <c r="L9" s="54"/>
      <c r="M9" s="54"/>
      <c r="N9" s="54"/>
      <c r="O9" s="54"/>
      <c r="P9" s="54"/>
    </row>
    <row r="10" spans="1:26" ht="15" customHeight="1">
      <c r="A10" s="54"/>
      <c r="B10" s="54"/>
      <c r="C10" s="54"/>
      <c r="D10" s="54"/>
      <c r="E10" s="54"/>
      <c r="F10" s="54"/>
      <c r="G10" s="54"/>
      <c r="H10" s="54"/>
      <c r="I10" s="54"/>
      <c r="J10" s="54"/>
      <c r="K10" s="54"/>
      <c r="L10" s="54"/>
      <c r="M10" s="54"/>
      <c r="N10" s="54"/>
      <c r="O10" s="54"/>
      <c r="P10" s="54"/>
    </row>
    <row r="11" spans="1:26" ht="15" customHeight="1">
      <c r="A11" s="54"/>
      <c r="B11" s="54"/>
      <c r="C11" s="54"/>
      <c r="D11" s="54"/>
      <c r="E11" s="54"/>
      <c r="F11" s="54"/>
      <c r="G11" s="54"/>
      <c r="H11" s="54"/>
      <c r="I11" s="54"/>
      <c r="J11" s="54"/>
      <c r="K11" s="54"/>
      <c r="L11" s="54"/>
      <c r="M11" s="54"/>
      <c r="N11" s="54"/>
      <c r="O11" s="54"/>
      <c r="P11" s="54"/>
    </row>
    <row r="12" spans="1:26" ht="15" customHeight="1">
      <c r="A12" s="54"/>
      <c r="B12" s="54"/>
      <c r="C12" s="54"/>
      <c r="D12" s="54"/>
      <c r="E12" s="54"/>
      <c r="F12" s="54"/>
      <c r="G12" s="54"/>
      <c r="H12" s="54"/>
      <c r="I12" s="54"/>
      <c r="J12" s="54"/>
      <c r="K12" s="54"/>
      <c r="L12" s="54"/>
      <c r="M12" s="54"/>
      <c r="N12" s="54"/>
      <c r="O12" s="54"/>
      <c r="P12" s="54"/>
    </row>
    <row r="13" spans="1:26" ht="15" customHeight="1">
      <c r="A13" s="54"/>
      <c r="B13" s="54"/>
      <c r="C13" s="54"/>
      <c r="D13" s="54"/>
      <c r="E13" s="54"/>
      <c r="F13" s="54"/>
      <c r="G13" s="54"/>
      <c r="H13" s="54"/>
      <c r="I13" s="54"/>
      <c r="J13" s="54"/>
      <c r="K13" s="54"/>
      <c r="L13" s="54"/>
      <c r="M13" s="54"/>
      <c r="N13" s="54"/>
      <c r="O13" s="54"/>
      <c r="P13" s="54"/>
    </row>
    <row r="14" spans="1:26" ht="15" customHeight="1">
      <c r="A14" s="54"/>
      <c r="B14" s="54"/>
      <c r="C14" s="54"/>
      <c r="D14" s="54"/>
      <c r="E14" s="54"/>
      <c r="F14" s="54"/>
      <c r="G14" s="54"/>
      <c r="H14" s="54"/>
      <c r="I14" s="54"/>
      <c r="J14" s="54"/>
      <c r="K14" s="54"/>
      <c r="L14" s="54"/>
      <c r="M14" s="54"/>
      <c r="N14" s="54"/>
      <c r="O14" s="54"/>
      <c r="P14" s="54"/>
    </row>
    <row r="15" spans="1:26" ht="15" customHeight="1">
      <c r="A15" s="54"/>
      <c r="B15" s="54"/>
      <c r="C15" s="54"/>
      <c r="D15" s="54"/>
      <c r="E15" s="54"/>
      <c r="F15" s="54"/>
      <c r="G15" s="54"/>
      <c r="H15" s="54"/>
      <c r="I15" s="54"/>
      <c r="J15" s="54"/>
      <c r="K15" s="54"/>
      <c r="L15" s="54"/>
      <c r="M15" s="54"/>
      <c r="N15" s="54"/>
      <c r="O15" s="54"/>
      <c r="P15" s="54"/>
    </row>
    <row r="16" spans="1:26" ht="15" customHeight="1">
      <c r="A16" s="54"/>
      <c r="B16" s="54"/>
      <c r="C16" s="54"/>
      <c r="D16" s="54"/>
      <c r="E16" s="54"/>
      <c r="F16" s="54"/>
      <c r="G16" s="54"/>
      <c r="H16" s="54"/>
      <c r="I16" s="54"/>
      <c r="J16" s="54"/>
      <c r="K16" s="54"/>
      <c r="L16" s="54"/>
      <c r="M16" s="54"/>
      <c r="N16" s="54"/>
      <c r="O16" s="54"/>
      <c r="P16" s="54"/>
    </row>
    <row r="17" spans="1:16" ht="15" customHeight="1">
      <c r="A17" s="54"/>
      <c r="B17" s="54"/>
      <c r="C17" s="54"/>
      <c r="D17" s="54"/>
      <c r="E17" s="54"/>
      <c r="F17" s="54"/>
      <c r="G17" s="54"/>
      <c r="H17" s="54"/>
      <c r="I17" s="54"/>
      <c r="J17" s="54"/>
      <c r="K17" s="54"/>
      <c r="L17" s="54"/>
      <c r="M17" s="54"/>
      <c r="N17" s="54"/>
      <c r="O17" s="54"/>
      <c r="P17" s="54"/>
    </row>
    <row r="18" spans="1:16" ht="15" customHeight="1">
      <c r="A18" s="54"/>
      <c r="B18" s="54"/>
      <c r="C18" s="54"/>
      <c r="D18" s="54"/>
      <c r="E18" s="54"/>
      <c r="F18" s="54"/>
      <c r="G18" s="54"/>
      <c r="H18" s="54"/>
      <c r="I18" s="54"/>
      <c r="J18" s="54"/>
      <c r="K18" s="54"/>
      <c r="L18" s="54"/>
      <c r="M18" s="54"/>
      <c r="N18" s="54"/>
      <c r="O18" s="54"/>
      <c r="P18" s="54"/>
    </row>
    <row r="19" spans="1:16" ht="15" customHeight="1">
      <c r="A19" s="54"/>
      <c r="B19" s="54"/>
      <c r="C19" s="54"/>
      <c r="D19" s="54"/>
      <c r="E19" s="54"/>
      <c r="F19" s="54"/>
      <c r="G19" s="54"/>
      <c r="H19" s="54"/>
      <c r="I19" s="54"/>
      <c r="J19" s="54"/>
      <c r="K19" s="54"/>
      <c r="L19" s="54"/>
      <c r="M19" s="54"/>
      <c r="N19" s="54"/>
      <c r="O19" s="54"/>
      <c r="P19" s="54"/>
    </row>
    <row r="20" spans="1:16" ht="15" customHeight="1">
      <c r="A20" s="54"/>
      <c r="B20" s="54"/>
      <c r="C20" s="54"/>
      <c r="D20" s="54"/>
      <c r="E20" s="54"/>
      <c r="F20" s="54"/>
      <c r="G20" s="54"/>
      <c r="H20" s="54"/>
      <c r="I20" s="54"/>
      <c r="J20" s="54"/>
      <c r="K20" s="54"/>
      <c r="L20" s="54"/>
      <c r="M20" s="54"/>
      <c r="N20" s="54"/>
      <c r="O20" s="54"/>
      <c r="P20" s="54"/>
    </row>
    <row r="21" spans="1:16" ht="15" customHeight="1">
      <c r="A21" s="54"/>
      <c r="B21" s="54"/>
      <c r="C21" s="54"/>
      <c r="D21" s="54"/>
      <c r="E21" s="54"/>
      <c r="F21" s="54"/>
      <c r="G21" s="54"/>
      <c r="H21" s="54"/>
      <c r="I21" s="54"/>
      <c r="J21" s="54"/>
      <c r="K21" s="54"/>
      <c r="L21" s="54"/>
      <c r="M21" s="54"/>
      <c r="N21" s="54"/>
      <c r="O21" s="54"/>
      <c r="P21" s="54"/>
    </row>
    <row r="22" spans="1:16" ht="15" customHeight="1">
      <c r="A22" s="54"/>
      <c r="B22" s="54"/>
      <c r="C22" s="54"/>
      <c r="D22" s="54"/>
      <c r="E22" s="54"/>
      <c r="F22" s="54"/>
      <c r="G22" s="54"/>
      <c r="H22" s="54"/>
      <c r="I22" s="54"/>
      <c r="J22" s="54"/>
      <c r="K22" s="54"/>
      <c r="L22" s="54"/>
      <c r="M22" s="54"/>
      <c r="N22" s="54"/>
      <c r="O22" s="54"/>
      <c r="P22" s="54"/>
    </row>
    <row r="23" spans="1:16" ht="15" customHeight="1">
      <c r="A23" s="54"/>
      <c r="B23" s="54"/>
      <c r="C23" s="54"/>
      <c r="D23" s="54"/>
      <c r="E23" s="54"/>
      <c r="F23" s="54"/>
      <c r="G23" s="54"/>
      <c r="H23" s="54"/>
      <c r="I23" s="54"/>
      <c r="J23" s="54"/>
      <c r="K23" s="54"/>
      <c r="L23" s="54"/>
      <c r="M23" s="54"/>
      <c r="N23" s="54"/>
      <c r="O23" s="54"/>
      <c r="P23" s="54"/>
    </row>
    <row r="24" spans="1:16" ht="15" customHeight="1">
      <c r="A24" s="54"/>
      <c r="B24" s="54"/>
      <c r="C24" s="54"/>
      <c r="D24" s="54"/>
      <c r="E24" s="54"/>
      <c r="F24" s="54"/>
      <c r="G24" s="54"/>
      <c r="H24" s="54"/>
      <c r="I24" s="54"/>
      <c r="J24" s="54"/>
      <c r="K24" s="54"/>
      <c r="L24" s="54"/>
      <c r="M24" s="54"/>
      <c r="N24" s="54"/>
      <c r="O24" s="54"/>
      <c r="P24" s="54"/>
    </row>
    <row r="25" spans="1:16" ht="15" customHeight="1">
      <c r="A25" s="54"/>
      <c r="B25" s="54"/>
      <c r="C25" s="54"/>
      <c r="D25" s="54"/>
      <c r="E25" s="54"/>
      <c r="F25" s="54"/>
      <c r="G25" s="54"/>
      <c r="H25" s="54"/>
      <c r="I25" s="54"/>
      <c r="J25" s="54"/>
      <c r="K25" s="54"/>
      <c r="L25" s="54"/>
      <c r="M25" s="54"/>
      <c r="N25" s="54"/>
      <c r="O25" s="54"/>
      <c r="P25" s="54"/>
    </row>
    <row r="26" spans="1:16" ht="15" customHeight="1">
      <c r="A26" s="54"/>
      <c r="B26" s="54"/>
      <c r="C26" s="54"/>
      <c r="D26" s="54"/>
      <c r="E26" s="54"/>
      <c r="F26" s="54"/>
      <c r="G26" s="54"/>
      <c r="H26" s="54"/>
      <c r="I26" s="54"/>
      <c r="J26" s="54"/>
      <c r="K26" s="54"/>
      <c r="L26" s="54"/>
      <c r="M26" s="54"/>
      <c r="N26" s="54"/>
      <c r="O26" s="54"/>
      <c r="P26" s="54"/>
    </row>
    <row r="27" spans="1:16" ht="15" customHeight="1">
      <c r="A27" s="54"/>
      <c r="B27" s="54"/>
      <c r="C27" s="54"/>
      <c r="D27" s="54"/>
      <c r="E27" s="54"/>
      <c r="F27" s="54"/>
      <c r="G27" s="54"/>
      <c r="H27" s="54"/>
      <c r="I27" s="54"/>
      <c r="J27" s="54"/>
      <c r="K27" s="54"/>
      <c r="L27" s="54"/>
      <c r="M27" s="54"/>
      <c r="N27" s="54"/>
      <c r="O27" s="54"/>
      <c r="P27" s="54"/>
    </row>
    <row r="28" spans="1:16" ht="15" customHeight="1">
      <c r="A28" s="54"/>
      <c r="B28" s="54"/>
      <c r="C28" s="54"/>
      <c r="D28" s="54"/>
      <c r="E28" s="54"/>
      <c r="F28" s="54"/>
      <c r="G28" s="54"/>
      <c r="H28" s="54"/>
      <c r="I28" s="54"/>
      <c r="J28" s="54"/>
      <c r="K28" s="54"/>
      <c r="L28" s="54"/>
      <c r="M28" s="54"/>
      <c r="N28" s="54"/>
      <c r="O28" s="54"/>
      <c r="P28" s="54"/>
    </row>
    <row r="29" spans="1:16" ht="15" customHeight="1">
      <c r="A29" s="54"/>
      <c r="B29" s="54"/>
      <c r="C29" s="54"/>
      <c r="D29" s="54"/>
      <c r="E29" s="54"/>
      <c r="F29" s="54"/>
      <c r="G29" s="54"/>
      <c r="H29" s="54"/>
      <c r="I29" s="54"/>
      <c r="J29" s="54"/>
      <c r="K29" s="54"/>
      <c r="L29" s="54"/>
      <c r="M29" s="54"/>
      <c r="N29" s="54"/>
      <c r="O29" s="54"/>
      <c r="P29" s="54"/>
    </row>
    <row r="30" spans="1:16" ht="15" customHeight="1">
      <c r="A30" s="54"/>
      <c r="B30" s="54"/>
      <c r="C30" s="54"/>
      <c r="D30" s="54"/>
      <c r="E30" s="54"/>
      <c r="F30" s="54"/>
      <c r="G30" s="54"/>
      <c r="H30" s="54"/>
      <c r="I30" s="54"/>
      <c r="J30" s="54"/>
      <c r="K30" s="54"/>
      <c r="L30" s="54"/>
      <c r="M30" s="54"/>
      <c r="N30" s="54"/>
      <c r="O30" s="54"/>
      <c r="P30" s="54"/>
    </row>
    <row r="31" spans="1:16" ht="15" customHeight="1">
      <c r="A31" s="54"/>
      <c r="B31" s="54"/>
      <c r="C31" s="54"/>
      <c r="D31" s="54"/>
      <c r="E31" s="54"/>
      <c r="F31" s="54"/>
      <c r="G31" s="54"/>
      <c r="H31" s="54"/>
      <c r="I31" s="54"/>
      <c r="J31" s="54"/>
      <c r="K31" s="54"/>
      <c r="L31" s="54"/>
      <c r="M31" s="54"/>
      <c r="N31" s="54"/>
      <c r="O31" s="54"/>
      <c r="P31" s="54"/>
    </row>
    <row r="32" spans="1:16" ht="15" customHeight="1">
      <c r="A32" s="54"/>
      <c r="B32" s="54"/>
      <c r="C32" s="54"/>
      <c r="D32" s="54"/>
      <c r="E32" s="54"/>
      <c r="F32" s="54"/>
      <c r="G32" s="54"/>
      <c r="H32" s="54"/>
      <c r="I32" s="54"/>
      <c r="J32" s="54"/>
      <c r="K32" s="54"/>
      <c r="L32" s="54"/>
      <c r="M32" s="54"/>
      <c r="N32" s="54"/>
      <c r="O32" s="54"/>
      <c r="P32" s="54"/>
    </row>
    <row r="33" spans="1:16" ht="15" customHeight="1">
      <c r="A33" s="54"/>
      <c r="B33" s="54"/>
      <c r="C33" s="54"/>
      <c r="D33" s="54"/>
      <c r="E33" s="54"/>
      <c r="F33" s="54"/>
      <c r="G33" s="54"/>
      <c r="H33" s="54"/>
      <c r="I33" s="54"/>
      <c r="J33" s="54"/>
      <c r="K33" s="54"/>
      <c r="L33" s="54"/>
      <c r="M33" s="54"/>
      <c r="N33" s="54"/>
      <c r="O33" s="54"/>
      <c r="P33" s="54"/>
    </row>
    <row r="34" spans="1:16" ht="15" customHeight="1">
      <c r="A34" s="54"/>
      <c r="B34" s="54"/>
      <c r="C34" s="54"/>
      <c r="D34" s="54"/>
      <c r="E34" s="54"/>
      <c r="F34" s="54"/>
      <c r="G34" s="54"/>
      <c r="H34" s="54"/>
      <c r="I34" s="54"/>
      <c r="J34" s="54"/>
      <c r="K34" s="54"/>
      <c r="L34" s="54"/>
      <c r="M34" s="54"/>
      <c r="N34" s="54"/>
      <c r="O34" s="54"/>
      <c r="P34" s="54"/>
    </row>
    <row r="35" spans="1:16" ht="15" customHeight="1">
      <c r="A35" s="54"/>
      <c r="B35" s="54"/>
      <c r="C35" s="54"/>
      <c r="D35" s="54"/>
      <c r="E35" s="54"/>
      <c r="F35" s="54"/>
      <c r="G35" s="54"/>
      <c r="H35" s="54"/>
      <c r="I35" s="54"/>
      <c r="J35" s="54"/>
      <c r="K35" s="54"/>
      <c r="L35" s="54"/>
      <c r="M35" s="54"/>
      <c r="N35" s="54"/>
      <c r="O35" s="54"/>
      <c r="P35" s="54"/>
    </row>
    <row r="36" spans="1:16" ht="15" customHeight="1">
      <c r="A36" s="54"/>
      <c r="B36" s="54"/>
      <c r="C36" s="54"/>
      <c r="D36" s="54"/>
      <c r="E36" s="54"/>
      <c r="F36" s="54"/>
      <c r="G36" s="54"/>
      <c r="H36" s="54"/>
      <c r="I36" s="54"/>
      <c r="J36" s="54"/>
      <c r="K36" s="54"/>
      <c r="L36" s="54"/>
      <c r="M36" s="54"/>
      <c r="N36" s="54"/>
      <c r="O36" s="54"/>
      <c r="P36" s="54"/>
    </row>
    <row r="37" spans="1:16" ht="15" customHeight="1">
      <c r="A37" s="54"/>
      <c r="B37" s="54"/>
      <c r="C37" s="54"/>
      <c r="D37" s="54"/>
      <c r="E37" s="54"/>
      <c r="F37" s="54"/>
      <c r="G37" s="54"/>
      <c r="H37" s="54"/>
      <c r="I37" s="54"/>
      <c r="J37" s="54"/>
      <c r="K37" s="54"/>
      <c r="L37" s="54"/>
      <c r="M37" s="54"/>
      <c r="N37" s="54"/>
      <c r="O37" s="54"/>
      <c r="P37" s="54"/>
    </row>
    <row r="38" spans="1:16" ht="15" customHeight="1">
      <c r="A38" s="54"/>
      <c r="B38" s="54"/>
      <c r="C38" s="54"/>
      <c r="D38" s="54"/>
      <c r="E38" s="54"/>
      <c r="F38" s="54"/>
      <c r="G38" s="54"/>
      <c r="H38" s="54"/>
      <c r="I38" s="54"/>
      <c r="J38" s="54"/>
      <c r="K38" s="54"/>
      <c r="L38" s="54"/>
      <c r="M38" s="54"/>
      <c r="N38" s="54"/>
      <c r="O38" s="54"/>
      <c r="P38" s="54"/>
    </row>
    <row r="39" spans="1:16" ht="15" customHeight="1">
      <c r="A39" s="54"/>
      <c r="B39" s="54"/>
      <c r="C39" s="54"/>
      <c r="D39" s="54"/>
      <c r="E39" s="54"/>
      <c r="F39" s="54"/>
      <c r="G39" s="54"/>
      <c r="H39" s="54"/>
      <c r="I39" s="54"/>
      <c r="J39" s="54"/>
      <c r="K39" s="54"/>
      <c r="L39" s="54"/>
      <c r="M39" s="54"/>
      <c r="N39" s="54"/>
      <c r="O39" s="54"/>
      <c r="P39" s="54"/>
    </row>
    <row r="40" spans="1:16" ht="15" customHeight="1">
      <c r="A40" s="54"/>
      <c r="B40" s="54"/>
      <c r="C40" s="54"/>
      <c r="D40" s="54"/>
      <c r="E40" s="54"/>
      <c r="F40" s="54"/>
      <c r="G40" s="54"/>
      <c r="H40" s="54"/>
      <c r="I40" s="54"/>
      <c r="J40" s="54"/>
      <c r="K40" s="54"/>
      <c r="L40" s="54"/>
      <c r="M40" s="54"/>
      <c r="N40" s="54"/>
      <c r="O40" s="54"/>
      <c r="P40" s="54"/>
    </row>
    <row r="41" spans="1:16" ht="15.75" customHeight="1">
      <c r="A41" s="54"/>
      <c r="B41" s="54"/>
      <c r="C41" s="54"/>
      <c r="D41" s="54"/>
      <c r="E41" s="54"/>
      <c r="F41" s="54"/>
      <c r="G41" s="54"/>
      <c r="H41" s="54"/>
      <c r="I41" s="54"/>
      <c r="J41" s="54"/>
      <c r="K41" s="54"/>
      <c r="L41" s="54"/>
      <c r="M41" s="54"/>
      <c r="N41" s="54"/>
      <c r="O41" s="54"/>
      <c r="P41" s="54"/>
    </row>
    <row r="42" spans="1:16" ht="15" customHeight="1">
      <c r="A42" s="54"/>
      <c r="B42" s="54"/>
      <c r="C42" s="54"/>
      <c r="D42" s="54"/>
      <c r="E42" s="54"/>
      <c r="F42" s="54"/>
      <c r="G42" s="54"/>
      <c r="H42" s="54"/>
      <c r="I42" s="54"/>
      <c r="J42" s="54"/>
      <c r="K42" s="54"/>
      <c r="L42" s="54"/>
      <c r="M42" s="54"/>
      <c r="N42" s="54"/>
      <c r="O42" s="54"/>
      <c r="P42"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703125" defaultRowHeight="15" customHeight="1"/>
  <cols>
    <col min="1" max="1" width="1.140625" customWidth="1"/>
    <col min="2" max="2" width="24.28515625" customWidth="1"/>
    <col min="3" max="3" width="2.140625" customWidth="1"/>
    <col min="4" max="4" width="9.5703125" customWidth="1"/>
    <col min="5" max="5" width="2.140625" customWidth="1"/>
    <col min="6" max="6" width="9.5703125" customWidth="1"/>
    <col min="7" max="7" width="2.140625" customWidth="1"/>
    <col min="8" max="8" width="9.5703125" customWidth="1"/>
    <col min="9" max="9" width="2.140625" customWidth="1"/>
    <col min="10" max="10" width="9.5703125" customWidth="1"/>
    <col min="11" max="11" width="2.140625" customWidth="1"/>
    <col min="12" max="12" width="8.5703125" customWidth="1"/>
    <col min="13" max="13" width="2.140625" customWidth="1"/>
    <col min="14" max="14" width="8.5703125" customWidth="1"/>
    <col min="15" max="15" width="2.140625" customWidth="1"/>
    <col min="16" max="16" width="8.5703125" customWidth="1"/>
    <col min="17" max="17" width="2.140625" customWidth="1"/>
    <col min="18" max="18" width="8" customWidth="1"/>
    <col min="19" max="19" width="2.140625" customWidth="1"/>
    <col min="20" max="20" width="8" customWidth="1"/>
    <col min="21" max="21" width="2.140625" customWidth="1"/>
    <col min="22" max="22" width="8" customWidth="1"/>
    <col min="23" max="23" width="2.140625" customWidth="1"/>
    <col min="24" max="26" width="8" customWidth="1"/>
  </cols>
  <sheetData>
    <row r="1" spans="1:26" ht="45" customHeight="1">
      <c r="A1" s="83" t="s">
        <v>862</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c r="B2" s="16" t="s">
        <v>863</v>
      </c>
      <c r="D2" s="24"/>
      <c r="T2" s="24" t="s">
        <v>864</v>
      </c>
      <c r="U2" s="24"/>
      <c r="V2" s="24"/>
      <c r="W2" s="24"/>
      <c r="X2" s="24"/>
      <c r="Y2" s="24"/>
      <c r="Z2" s="24"/>
    </row>
    <row r="3" spans="1:26" ht="15" customHeight="1">
      <c r="D3" s="24"/>
      <c r="T3" s="24"/>
      <c r="U3" s="24"/>
      <c r="V3" s="24"/>
      <c r="W3" s="24"/>
      <c r="X3" s="24"/>
      <c r="Y3" s="24"/>
      <c r="Z3" s="24"/>
    </row>
    <row r="4" spans="1:26" ht="15" customHeight="1">
      <c r="A4" s="172" t="s">
        <v>206</v>
      </c>
      <c r="B4" s="172"/>
      <c r="C4" s="172"/>
      <c r="D4" s="172"/>
    </row>
    <row r="5" spans="1:26" ht="15" customHeight="1">
      <c r="A5" s="19"/>
      <c r="B5" s="5" t="s">
        <v>208</v>
      </c>
      <c r="D5" s="73" t="s">
        <v>865</v>
      </c>
    </row>
    <row r="6" spans="1:26" ht="15" customHeight="1">
      <c r="A6" s="19"/>
      <c r="B6" s="5" t="s">
        <v>210</v>
      </c>
      <c r="D6" s="5" t="s">
        <v>211</v>
      </c>
    </row>
    <row r="7" spans="1:26" ht="15" customHeight="1">
      <c r="A7" s="19"/>
      <c r="B7" s="5" t="s">
        <v>213</v>
      </c>
      <c r="D7" s="173">
        <v>42482</v>
      </c>
    </row>
    <row r="8" spans="1:26" ht="15" customHeight="1">
      <c r="A8" s="19"/>
      <c r="B8" s="5" t="s">
        <v>221</v>
      </c>
      <c r="D8" s="73" t="s">
        <v>866</v>
      </c>
    </row>
    <row r="9" spans="1:26" ht="15" customHeight="1">
      <c r="A9" s="21"/>
      <c r="B9" s="5" t="s">
        <v>867</v>
      </c>
      <c r="D9" s="73" t="s">
        <v>868</v>
      </c>
    </row>
    <row r="10" spans="1:26" ht="15" customHeight="1">
      <c r="A10" s="19"/>
      <c r="B10" s="5" t="s">
        <v>215</v>
      </c>
      <c r="D10" s="173">
        <v>42369</v>
      </c>
    </row>
    <row r="11" spans="1:26" ht="15" customHeight="1">
      <c r="A11" s="19"/>
      <c r="B11" s="5" t="s">
        <v>226</v>
      </c>
      <c r="D11" s="73" t="s">
        <v>227</v>
      </c>
    </row>
    <row r="12" spans="1:26" ht="15" customHeight="1">
      <c r="A12" s="19"/>
      <c r="B12" s="5" t="s">
        <v>869</v>
      </c>
      <c r="D12" s="73"/>
    </row>
    <row r="13" spans="1:26" ht="15" customHeight="1">
      <c r="A13" s="19"/>
      <c r="B13" s="5" t="str">
        <f>"Closing price as at "&amp;TEXT(D7,"dd-mmm-yy")</f>
        <v>Closing price as at 22-Apr-16</v>
      </c>
      <c r="D13" s="73" t="e">
        <v>#N/A</v>
      </c>
    </row>
    <row r="14" spans="1:26" ht="15" customHeight="1">
      <c r="A14" s="19"/>
      <c r="B14" s="5" t="s">
        <v>231</v>
      </c>
      <c r="D14" s="73" t="e">
        <v>#N/A</v>
      </c>
    </row>
    <row r="15" spans="1:26" ht="15" customHeight="1">
      <c r="A15" s="19"/>
      <c r="B15" s="5" t="s">
        <v>233</v>
      </c>
      <c r="D15" s="73" t="e">
        <v>#N/A</v>
      </c>
    </row>
    <row r="16" spans="1:26" ht="15" customHeight="1">
      <c r="A16" s="19"/>
      <c r="B16" s="5" t="s">
        <v>870</v>
      </c>
      <c r="D16" s="73" t="e">
        <v>#N/A</v>
      </c>
    </row>
    <row r="17" spans="1:4" ht="15" customHeight="1">
      <c r="A17" s="19"/>
      <c r="B17" s="5" t="s">
        <v>871</v>
      </c>
      <c r="D17" s="73" t="s">
        <v>69</v>
      </c>
    </row>
    <row r="18" spans="1:4" ht="15" customHeight="1">
      <c r="A18" s="19"/>
      <c r="B18" s="5" t="s">
        <v>872</v>
      </c>
      <c r="D18" s="73">
        <v>0.6389551</v>
      </c>
    </row>
    <row r="19" spans="1:4" ht="15" customHeight="1">
      <c r="A19" s="19"/>
      <c r="B19" s="5" t="s">
        <v>219</v>
      </c>
      <c r="D19" s="166" t="e">
        <v>#N/A</v>
      </c>
    </row>
    <row r="20" spans="1:4" ht="15" customHeight="1">
      <c r="A20" s="19"/>
      <c r="D20" s="73"/>
    </row>
    <row r="21" spans="1:4" ht="15" customHeight="1">
      <c r="A21" s="19"/>
      <c r="B21" s="5" t="s">
        <v>234</v>
      </c>
      <c r="D21" s="73" t="s">
        <v>873</v>
      </c>
    </row>
    <row r="22" spans="1:4" ht="15" customHeight="1">
      <c r="A22" s="19"/>
      <c r="B22" s="5" t="s">
        <v>239</v>
      </c>
      <c r="D22" s="166" t="s">
        <v>486</v>
      </c>
    </row>
    <row r="23" spans="1:4" ht="15" customHeight="1">
      <c r="A23" s="19"/>
      <c r="D23" s="73"/>
    </row>
    <row r="24" spans="1:4" ht="15" customHeight="1">
      <c r="A24" s="172" t="s">
        <v>874</v>
      </c>
      <c r="B24" s="172"/>
      <c r="C24" s="172"/>
      <c r="D24" s="172"/>
    </row>
    <row r="25" spans="1:4" ht="15" customHeight="1">
      <c r="A25" s="19"/>
      <c r="B25" s="5" t="s">
        <v>875</v>
      </c>
      <c r="D25" s="174">
        <v>0</v>
      </c>
    </row>
    <row r="26" spans="1:4" ht="15" customHeight="1">
      <c r="A26" s="19"/>
      <c r="B26" s="5" t="s">
        <v>876</v>
      </c>
      <c r="D26" s="174">
        <v>0</v>
      </c>
    </row>
    <row r="27" spans="1:4" ht="15" customHeight="1">
      <c r="A27" s="19"/>
      <c r="B27" s="5" t="s">
        <v>168</v>
      </c>
      <c r="D27" s="174">
        <v>67.661361999999997</v>
      </c>
    </row>
    <row r="28" spans="1:4" ht="15" customHeight="1">
      <c r="A28" s="19"/>
      <c r="B28" s="5" t="s">
        <v>269</v>
      </c>
      <c r="D28" s="174">
        <v>510.95299999999997</v>
      </c>
    </row>
    <row r="29" spans="1:4" ht="15" customHeight="1">
      <c r="A29" s="19"/>
      <c r="B29" s="5" t="s">
        <v>877</v>
      </c>
      <c r="D29" s="174">
        <v>6.6109999999999998</v>
      </c>
    </row>
    <row r="30" spans="1:4" ht="15" customHeight="1">
      <c r="A30" s="19"/>
      <c r="B30" s="5" t="s">
        <v>878</v>
      </c>
      <c r="D30" s="174">
        <v>0</v>
      </c>
    </row>
    <row r="31" spans="1:4" ht="15" customHeight="1">
      <c r="A31" s="19"/>
      <c r="B31" s="5" t="s">
        <v>879</v>
      </c>
      <c r="D31" s="175">
        <v>0</v>
      </c>
    </row>
    <row r="32" spans="1:4" ht="15" customHeight="1">
      <c r="A32" s="19"/>
      <c r="B32" s="5" t="s">
        <v>742</v>
      </c>
      <c r="D32" s="176">
        <v>0</v>
      </c>
    </row>
    <row r="33" spans="1:18" ht="15" customHeight="1">
      <c r="A33" s="19"/>
      <c r="B33" s="5" t="s">
        <v>880</v>
      </c>
      <c r="D33" s="174">
        <v>113.08199999999999</v>
      </c>
    </row>
    <row r="34" spans="1:18" ht="15" customHeight="1">
      <c r="A34" s="19"/>
      <c r="B34" s="5" t="s">
        <v>881</v>
      </c>
      <c r="D34" s="174">
        <v>0</v>
      </c>
    </row>
    <row r="35" spans="1:18" ht="15" customHeight="1">
      <c r="A35" s="19"/>
      <c r="B35" s="5" t="s">
        <v>882</v>
      </c>
      <c r="D35" s="174">
        <v>1.84</v>
      </c>
    </row>
    <row r="36" spans="1:18" ht="15" customHeight="1">
      <c r="A36" s="19"/>
      <c r="B36" s="5" t="s">
        <v>883</v>
      </c>
      <c r="D36" s="177">
        <v>0</v>
      </c>
    </row>
    <row r="37" spans="1:18" ht="15.75" customHeight="1">
      <c r="A37" s="19"/>
    </row>
    <row r="38" spans="1:18" ht="15" customHeight="1">
      <c r="A38" s="172" t="s">
        <v>884</v>
      </c>
      <c r="B38" s="172"/>
      <c r="C38" s="172"/>
      <c r="D38" s="172"/>
    </row>
    <row r="39" spans="1:18" ht="15.75" customHeight="1">
      <c r="A39" s="19"/>
      <c r="D39" s="178" t="s">
        <v>885</v>
      </c>
      <c r="F39" s="179" t="s">
        <v>278</v>
      </c>
      <c r="G39" s="179"/>
      <c r="H39" s="179" t="s">
        <v>279</v>
      </c>
      <c r="I39" s="179"/>
      <c r="L39" s="73" t="s">
        <v>282</v>
      </c>
      <c r="N39" s="73" t="s">
        <v>283</v>
      </c>
      <c r="P39" s="73" t="s">
        <v>284</v>
      </c>
      <c r="R39" s="73" t="s">
        <v>285</v>
      </c>
    </row>
    <row r="40" spans="1:18" ht="15" customHeight="1">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c r="A41" s="19"/>
      <c r="B41" s="5" t="s">
        <v>886</v>
      </c>
      <c r="D41" s="174">
        <v>547.65499999999997</v>
      </c>
      <c r="F41" s="174">
        <v>138.52000000000001</v>
      </c>
      <c r="H41" s="174">
        <v>147.517</v>
      </c>
      <c r="L41" s="174" t="e">
        <v>#N/A</v>
      </c>
      <c r="N41" s="174" t="e">
        <v>#N/A</v>
      </c>
      <c r="P41" s="174" t="e">
        <v>#N/A</v>
      </c>
      <c r="R41" s="174" t="e">
        <v>#N/A</v>
      </c>
    </row>
    <row r="42" spans="1:18" ht="15" customHeight="1">
      <c r="A42" s="19"/>
      <c r="B42" s="5" t="s">
        <v>63</v>
      </c>
      <c r="D42" s="54">
        <v>100.14100000000001</v>
      </c>
      <c r="F42" s="54">
        <v>25.919</v>
      </c>
      <c r="H42" s="54">
        <v>22.268999999999998</v>
      </c>
      <c r="L42" s="174" t="e">
        <v>#N/A</v>
      </c>
      <c r="N42" s="174" t="e">
        <v>#N/A</v>
      </c>
      <c r="P42" s="174" t="e">
        <v>#N/A</v>
      </c>
      <c r="R42" s="174" t="e">
        <v>#N/A</v>
      </c>
    </row>
    <row r="43" spans="1:18" ht="15" customHeight="1">
      <c r="A43" s="19"/>
      <c r="B43" s="5" t="s">
        <v>195</v>
      </c>
      <c r="D43" s="174">
        <v>21.494</v>
      </c>
      <c r="F43" s="174">
        <v>5.0670000000000002</v>
      </c>
      <c r="H43" s="174">
        <v>6.1520000000000001</v>
      </c>
      <c r="L43" s="54" t="e">
        <f>L44-L42</f>
        <v>#N/A</v>
      </c>
      <c r="N43" s="54" t="e">
        <f>N44-N42</f>
        <v>#N/A</v>
      </c>
      <c r="P43" s="54" t="e">
        <f>P44-P42</f>
        <v>#N/A</v>
      </c>
      <c r="R43" s="54" t="e">
        <f>R44-R42</f>
        <v>#N/A</v>
      </c>
    </row>
    <row r="44" spans="1:18" ht="15" customHeight="1">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c r="A45" s="19"/>
      <c r="B45" s="5" t="s">
        <v>887</v>
      </c>
      <c r="D45" s="174">
        <v>0.34699999999999998</v>
      </c>
      <c r="F45" s="174">
        <v>0.08</v>
      </c>
      <c r="H45" s="174">
        <v>0</v>
      </c>
      <c r="L45" s="174" t="e">
        <v>#N/A</v>
      </c>
      <c r="N45" s="174" t="e">
        <v>#N/A</v>
      </c>
      <c r="P45" s="174" t="e">
        <v>#N/A</v>
      </c>
      <c r="R45" s="174" t="e">
        <v>#N/A</v>
      </c>
    </row>
    <row r="46" spans="1:18" ht="15" customHeight="1">
      <c r="A46" s="19"/>
      <c r="B46" s="5" t="s">
        <v>888</v>
      </c>
      <c r="D46" s="174">
        <v>50.619</v>
      </c>
      <c r="F46" s="174">
        <v>16.303000000000001</v>
      </c>
      <c r="H46" s="174">
        <v>50.619</v>
      </c>
      <c r="L46" s="174" t="e">
        <v>#N/A</v>
      </c>
      <c r="N46" s="174" t="e">
        <v>#N/A</v>
      </c>
      <c r="P46" s="174" t="e">
        <v>#N/A</v>
      </c>
      <c r="R46" s="174" t="e">
        <v>#N/A</v>
      </c>
    </row>
    <row r="47" spans="1:18" ht="15.75" customHeight="1">
      <c r="A47" s="19"/>
    </row>
    <row r="48" spans="1:18" ht="15.75" customHeight="1">
      <c r="A48" s="19"/>
    </row>
    <row r="49" spans="1:7" ht="15" customHeight="1">
      <c r="A49" s="172" t="s">
        <v>889</v>
      </c>
      <c r="B49" s="172"/>
      <c r="C49" s="172"/>
      <c r="D49" s="172"/>
      <c r="E49" s="172"/>
      <c r="F49" s="172"/>
      <c r="G49" s="172"/>
    </row>
    <row r="50" spans="1:7" ht="15" customHeight="1">
      <c r="A50" s="19"/>
      <c r="B50" s="5" t="s">
        <v>248</v>
      </c>
      <c r="D50" s="5" t="s">
        <v>249</v>
      </c>
      <c r="F50" s="5" t="s">
        <v>890</v>
      </c>
    </row>
    <row r="51" spans="1:7" ht="15" customHeight="1">
      <c r="A51" s="19"/>
      <c r="B51" s="5" t="s">
        <v>891</v>
      </c>
      <c r="D51" s="175">
        <v>0</v>
      </c>
      <c r="F51" s="177">
        <v>0</v>
      </c>
    </row>
    <row r="52" spans="1:7" ht="15" customHeight="1">
      <c r="A52" s="19"/>
      <c r="B52" s="5" t="s">
        <v>892</v>
      </c>
      <c r="D52" s="175">
        <v>0</v>
      </c>
      <c r="F52" s="177">
        <v>0</v>
      </c>
    </row>
    <row r="53" spans="1:7" ht="15" customHeight="1">
      <c r="A53" s="19"/>
      <c r="B53" s="5" t="s">
        <v>893</v>
      </c>
      <c r="D53" s="175">
        <v>0</v>
      </c>
      <c r="F53" s="177">
        <v>0</v>
      </c>
    </row>
    <row r="54" spans="1:7" ht="15" customHeight="1">
      <c r="A54" s="19"/>
      <c r="B54" s="5" t="s">
        <v>894</v>
      </c>
      <c r="D54" s="175">
        <v>0</v>
      </c>
      <c r="F54" s="177">
        <v>0</v>
      </c>
    </row>
    <row r="55" spans="1:7" ht="15" customHeight="1">
      <c r="A55" s="19"/>
      <c r="B55" s="5" t="s">
        <v>895</v>
      </c>
      <c r="D55" s="175">
        <v>0</v>
      </c>
      <c r="F55" s="177">
        <v>0</v>
      </c>
    </row>
    <row r="56" spans="1:7" ht="15" customHeight="1">
      <c r="A56" s="19"/>
      <c r="B56" s="5" t="s">
        <v>896</v>
      </c>
      <c r="D56" s="175">
        <v>0</v>
      </c>
      <c r="F56" s="177">
        <v>0</v>
      </c>
    </row>
    <row r="57" spans="1:7" ht="15" customHeight="1">
      <c r="A57" s="19"/>
      <c r="B57" s="5" t="s">
        <v>897</v>
      </c>
      <c r="D57" s="175">
        <v>0</v>
      </c>
      <c r="F57" s="177">
        <v>0</v>
      </c>
    </row>
    <row r="58" spans="1:7" ht="15" customHeight="1">
      <c r="A58" s="19"/>
      <c r="B58" s="5" t="s">
        <v>898</v>
      </c>
      <c r="D58" s="175">
        <v>0</v>
      </c>
      <c r="F58" s="177">
        <v>0</v>
      </c>
    </row>
    <row r="59" spans="1:7" ht="15" customHeight="1">
      <c r="A59" s="19"/>
      <c r="B59" s="5" t="s">
        <v>272</v>
      </c>
    </row>
    <row r="60" spans="1:7" ht="15.75" customHeight="1">
      <c r="A60" s="19"/>
    </row>
    <row r="61" spans="1:7" ht="15" customHeight="1">
      <c r="B61" s="5" t="s">
        <v>899</v>
      </c>
      <c r="F61" s="177">
        <v>0</v>
      </c>
    </row>
    <row r="62" spans="1:7" ht="15" customHeight="1">
      <c r="A62" s="19"/>
      <c r="B62" s="5" t="s">
        <v>900</v>
      </c>
      <c r="F62" s="177">
        <v>0</v>
      </c>
    </row>
    <row r="63" spans="1:7" ht="15" customHeight="1">
      <c r="A63" s="19"/>
      <c r="B63" s="5" t="s">
        <v>901</v>
      </c>
      <c r="F63" s="177">
        <v>0</v>
      </c>
    </row>
    <row r="64" spans="1:7" ht="15" customHeight="1">
      <c r="A64" s="19"/>
      <c r="B64" s="5" t="s">
        <v>902</v>
      </c>
      <c r="F64" s="177">
        <v>0</v>
      </c>
    </row>
    <row r="65" spans="1:6" ht="15" customHeight="1">
      <c r="A65" s="19"/>
      <c r="B65" s="5" t="s">
        <v>695</v>
      </c>
      <c r="F65" s="177">
        <v>0</v>
      </c>
    </row>
    <row r="66" spans="1:6" ht="15" customHeight="1">
      <c r="A66" s="19"/>
      <c r="B66" s="5" t="s">
        <v>903</v>
      </c>
      <c r="F66" s="177">
        <v>0</v>
      </c>
    </row>
    <row r="67" spans="1:6" ht="15" customHeight="1">
      <c r="A67" s="19"/>
      <c r="B67" s="5" t="s">
        <v>904</v>
      </c>
      <c r="F67" s="177">
        <v>39.268000000000001</v>
      </c>
    </row>
    <row r="68" spans="1:6" ht="15.75" customHeight="1">
      <c r="A68" s="19"/>
    </row>
    <row r="69" spans="1:6" ht="15.75" customHeight="1">
      <c r="A69" s="19"/>
    </row>
    <row r="70" spans="1:6" ht="15.75" customHeight="1">
      <c r="A70" s="19"/>
    </row>
    <row r="111" spans="1:1" ht="15.75" customHeight="1">
      <c r="A111" s="19"/>
    </row>
    <row r="112" spans="1:1" ht="15.75" customHeight="1">
      <c r="A112" s="19"/>
    </row>
    <row r="113" spans="1:1" ht="15.75" customHeight="1">
      <c r="A113" s="19"/>
    </row>
    <row r="114" spans="1:1" ht="15.75" customHeight="1">
      <c r="A114" s="19"/>
    </row>
    <row r="115" spans="1:1" ht="15.75" customHeight="1">
      <c r="A115" s="19"/>
    </row>
    <row r="116" spans="1:1" ht="15.75" customHeight="1">
      <c r="A116" s="19"/>
    </row>
    <row r="117" spans="1:1" ht="15.75" customHeight="1">
      <c r="A117" s="19"/>
    </row>
    <row r="118" spans="1:1" ht="15.75" customHeight="1">
      <c r="A118" s="19"/>
    </row>
    <row r="119" spans="1:1" ht="15.75" customHeight="1">
      <c r="A119" s="19"/>
    </row>
    <row r="120" spans="1:1" ht="15.75" customHeight="1">
      <c r="A120" s="19"/>
    </row>
    <row r="121" spans="1:1" ht="15.75" customHeight="1">
      <c r="A121" s="19"/>
    </row>
    <row r="122" spans="1:1" ht="15.75" customHeight="1">
      <c r="A122" s="19"/>
    </row>
    <row r="123" spans="1:1" ht="15.75" customHeight="1">
      <c r="A123" s="19"/>
    </row>
    <row r="124" spans="1:1" ht="15.75" customHeight="1">
      <c r="A124" s="19"/>
    </row>
    <row r="125" spans="1:1" ht="15.75" customHeight="1">
      <c r="A125" s="19"/>
    </row>
    <row r="126" spans="1:1" ht="15.75" customHeight="1">
      <c r="A126" s="19"/>
    </row>
    <row r="127" spans="1:1" ht="15.75" customHeight="1">
      <c r="A127" s="19"/>
    </row>
    <row r="128" spans="1:1" ht="15.75" customHeight="1">
      <c r="A128" s="19"/>
    </row>
    <row r="129" spans="1:1" ht="15.75" customHeight="1">
      <c r="A129" s="19"/>
    </row>
    <row r="130" spans="1:1" ht="15.75" customHeight="1">
      <c r="A130" s="19"/>
    </row>
    <row r="131" spans="1:1" ht="15.75" customHeight="1">
      <c r="A131" s="19"/>
    </row>
    <row r="132" spans="1:1" ht="15.75" customHeight="1">
      <c r="A132" s="19"/>
    </row>
    <row r="133" spans="1:1" ht="15.75" customHeight="1">
      <c r="A133" s="19"/>
    </row>
    <row r="134" spans="1:1" ht="15.75" customHeight="1">
      <c r="A134" s="19"/>
    </row>
    <row r="135" spans="1:1" ht="15.75" customHeight="1">
      <c r="A135" s="19"/>
    </row>
    <row r="136" spans="1:1" ht="15.75" customHeight="1">
      <c r="A136" s="19"/>
    </row>
    <row r="137" spans="1:1" ht="15.75" customHeight="1">
      <c r="A137" s="19"/>
    </row>
    <row r="138" spans="1:1" ht="15.75" customHeight="1">
      <c r="A138" s="19"/>
    </row>
    <row r="139" spans="1:1" ht="15.75" customHeight="1">
      <c r="A139" s="19"/>
    </row>
    <row r="140" spans="1:1" ht="15.75" customHeight="1">
      <c r="A140" s="19"/>
    </row>
    <row r="141" spans="1:1" ht="15.75" customHeight="1">
      <c r="A141" s="19"/>
    </row>
    <row r="142" spans="1:1" ht="15.75" customHeight="1">
      <c r="A142" s="19"/>
    </row>
    <row r="143" spans="1:1" ht="15.75" customHeight="1">
      <c r="A143" s="19"/>
    </row>
    <row r="144" spans="1:1" ht="15.75" customHeight="1">
      <c r="A144" s="19"/>
    </row>
    <row r="145" spans="1:1" ht="15.75" customHeight="1">
      <c r="A145" s="19"/>
    </row>
    <row r="146" spans="1:1" ht="15.75" customHeight="1">
      <c r="A146" s="19"/>
    </row>
    <row r="147" spans="1:1" ht="15.75" customHeight="1">
      <c r="A147" s="19"/>
    </row>
    <row r="148" spans="1:1" ht="15.75" customHeight="1">
      <c r="A148" s="19"/>
    </row>
    <row r="149" spans="1:1" ht="15.75" customHeight="1">
      <c r="A149" s="19"/>
    </row>
    <row r="150" spans="1:1" ht="15.75" customHeight="1">
      <c r="A150" s="19"/>
    </row>
    <row r="151" spans="1:1" ht="15.75" customHeight="1">
      <c r="A151" s="19"/>
    </row>
    <row r="152" spans="1:1" ht="15.75" customHeight="1">
      <c r="A152" s="19"/>
    </row>
    <row r="153" spans="1:1" ht="15.75" customHeight="1">
      <c r="A153" s="19"/>
    </row>
    <row r="154" spans="1:1" ht="15.75" customHeight="1">
      <c r="A154" s="19"/>
    </row>
    <row r="155" spans="1:1" ht="15.75" customHeight="1">
      <c r="A155" s="19"/>
    </row>
    <row r="156" spans="1:1" ht="15.75" customHeight="1">
      <c r="A156" s="19"/>
    </row>
    <row r="157" spans="1:1" ht="15.75" customHeight="1">
      <c r="A157" s="19"/>
    </row>
    <row r="158" spans="1:1" ht="15.75" customHeight="1">
      <c r="A158" s="19"/>
    </row>
    <row r="159" spans="1:1" ht="15.75" customHeight="1">
      <c r="A159" s="19"/>
    </row>
    <row r="160" spans="1:1" ht="15.75" customHeight="1">
      <c r="A160" s="19"/>
    </row>
    <row r="161" spans="1:1" ht="15.75" customHeight="1">
      <c r="A161" s="19"/>
    </row>
    <row r="162" spans="1:1" ht="15.75" customHeight="1">
      <c r="A162" s="19"/>
    </row>
    <row r="163" spans="1:1" ht="15.75" customHeight="1">
      <c r="A163" s="19"/>
    </row>
    <row r="164" spans="1:1" ht="15.75" customHeight="1">
      <c r="A164" s="19"/>
    </row>
    <row r="165" spans="1:1" ht="15.75" customHeight="1">
      <c r="A165" s="19"/>
    </row>
    <row r="166" spans="1:1" ht="15.75" customHeight="1">
      <c r="A166" s="19"/>
    </row>
    <row r="167" spans="1:1" ht="15.75" customHeight="1">
      <c r="A167" s="19"/>
    </row>
    <row r="168" spans="1:1" ht="15.75" customHeight="1">
      <c r="A168" s="19"/>
    </row>
    <row r="169" spans="1:1" ht="15.75" customHeight="1">
      <c r="A169" s="19"/>
    </row>
    <row r="170" spans="1:1" ht="15.75" customHeight="1">
      <c r="A170" s="19"/>
    </row>
    <row r="171" spans="1:1" ht="15.75" customHeight="1">
      <c r="A171" s="19"/>
    </row>
    <row r="172" spans="1:1" ht="15.75" customHeight="1">
      <c r="A172" s="19"/>
    </row>
    <row r="173" spans="1:1" ht="15.75" customHeight="1">
      <c r="A173" s="19"/>
    </row>
    <row r="174" spans="1:1" ht="15.75" customHeight="1">
      <c r="A174" s="19"/>
    </row>
    <row r="175" spans="1:1" ht="15.75" customHeight="1">
      <c r="A175" s="19"/>
    </row>
    <row r="176" spans="1:1" ht="15.75" customHeight="1">
      <c r="A176" s="19"/>
    </row>
    <row r="177" spans="1:1" ht="15.75" customHeight="1">
      <c r="A177" s="19"/>
    </row>
    <row r="178" spans="1:1" ht="15.75" customHeight="1">
      <c r="A178" s="19"/>
    </row>
    <row r="179" spans="1:1" ht="15.75" customHeight="1">
      <c r="A179" s="19"/>
    </row>
    <row r="180" spans="1:1" ht="15.75" customHeight="1">
      <c r="A180" s="19"/>
    </row>
    <row r="181" spans="1:1" ht="15.75" customHeight="1">
      <c r="A181" s="19"/>
    </row>
    <row r="182" spans="1:1" ht="15.75" customHeight="1">
      <c r="A182" s="19"/>
    </row>
    <row r="183" spans="1:1" ht="15.75" customHeight="1">
      <c r="A183" s="19"/>
    </row>
    <row r="184" spans="1:1" ht="15.75" customHeight="1">
      <c r="A184" s="19"/>
    </row>
    <row r="185" spans="1:1" ht="15.75" customHeight="1">
      <c r="A185" s="19"/>
    </row>
    <row r="186" spans="1:1" ht="15.75" customHeight="1">
      <c r="A186" s="19"/>
    </row>
    <row r="187" spans="1:1" ht="15.75" customHeight="1">
      <c r="A187" s="19"/>
    </row>
    <row r="188" spans="1:1" ht="15.75" customHeight="1">
      <c r="A188" s="19"/>
    </row>
    <row r="189" spans="1:1" ht="15.75" customHeight="1">
      <c r="A189" s="19"/>
    </row>
    <row r="190" spans="1:1" ht="15.75" customHeight="1">
      <c r="A190" s="19"/>
    </row>
    <row r="191" spans="1:1" ht="15.75" customHeight="1">
      <c r="A191" s="19"/>
    </row>
    <row r="192" spans="1:1" ht="15.75" customHeight="1">
      <c r="A192" s="19"/>
    </row>
    <row r="193" spans="1:1" ht="15.75" customHeight="1">
      <c r="A193" s="19"/>
    </row>
    <row r="194" spans="1:1" ht="15.75" customHeight="1">
      <c r="A194" s="19"/>
    </row>
    <row r="195" spans="1:1" ht="15.75" customHeight="1">
      <c r="A195" s="19"/>
    </row>
    <row r="196" spans="1:1" ht="15.75" customHeight="1">
      <c r="A196" s="19"/>
    </row>
    <row r="197" spans="1:1" ht="15.75" customHeight="1">
      <c r="A197" s="19"/>
    </row>
    <row r="198" spans="1:1" ht="15.75" customHeight="1">
      <c r="A198" s="19"/>
    </row>
    <row r="199" spans="1:1" ht="15.75" customHeight="1">
      <c r="A199" s="19"/>
    </row>
    <row r="200" spans="1:1" ht="15.75" customHeight="1">
      <c r="A200" s="19"/>
    </row>
    <row r="201" spans="1:1" ht="15.75" customHeight="1">
      <c r="A201" s="19"/>
    </row>
    <row r="202" spans="1:1" ht="15.75" customHeight="1">
      <c r="A202" s="19"/>
    </row>
    <row r="203" spans="1:1" ht="15.75" customHeight="1">
      <c r="A203" s="19"/>
    </row>
    <row r="204" spans="1:1" ht="15.75" customHeight="1">
      <c r="A204" s="19"/>
    </row>
    <row r="205" spans="1:1" ht="15.75" customHeight="1">
      <c r="A205" s="19"/>
    </row>
    <row r="206" spans="1:1" ht="15.75" customHeight="1">
      <c r="A206" s="19"/>
    </row>
    <row r="207" spans="1:1" ht="15.75" customHeight="1">
      <c r="A207" s="19"/>
    </row>
    <row r="208" spans="1:1" ht="15.75" customHeight="1">
      <c r="A208" s="19"/>
    </row>
    <row r="209" spans="1:1" ht="15.75" customHeight="1">
      <c r="A209" s="19"/>
    </row>
    <row r="210" spans="1:1" ht="15.75" customHeight="1">
      <c r="A210" s="19"/>
    </row>
    <row r="211" spans="1:1" ht="15.75" customHeight="1">
      <c r="A211" s="19"/>
    </row>
    <row r="212" spans="1:1" ht="15.75" customHeight="1">
      <c r="A212" s="19"/>
    </row>
    <row r="213" spans="1:1" ht="15.75" customHeight="1">
      <c r="A213" s="19"/>
    </row>
    <row r="214" spans="1:1" ht="15.75" customHeight="1">
      <c r="A214" s="19"/>
    </row>
    <row r="215" spans="1:1" ht="15.75" customHeight="1">
      <c r="A215" s="19"/>
    </row>
    <row r="216" spans="1:1" ht="15.75" customHeight="1">
      <c r="A216" s="19"/>
    </row>
    <row r="217" spans="1:1" ht="15.75" customHeight="1">
      <c r="A217" s="19"/>
    </row>
    <row r="218" spans="1:1" ht="15.75" customHeight="1">
      <c r="A218" s="19"/>
    </row>
    <row r="219" spans="1:1" ht="15.75" customHeight="1">
      <c r="A219" s="19"/>
    </row>
    <row r="220" spans="1:1" ht="15.75" customHeight="1">
      <c r="A220" s="19"/>
    </row>
    <row r="221" spans="1:1" ht="15.75" customHeight="1">
      <c r="A221" s="19"/>
    </row>
    <row r="222" spans="1:1" ht="15.75" customHeight="1">
      <c r="A222" s="19"/>
    </row>
    <row r="223" spans="1:1" ht="15.75" customHeight="1">
      <c r="A223" s="19"/>
    </row>
    <row r="224" spans="1:1" ht="15.75" customHeight="1">
      <c r="A224" s="19"/>
    </row>
    <row r="225" spans="1:1" ht="15.75" customHeight="1">
      <c r="A225" s="19"/>
    </row>
    <row r="226" spans="1:1" ht="15.75" customHeight="1">
      <c r="A226" s="19"/>
    </row>
    <row r="227" spans="1:1" ht="15.75" customHeight="1">
      <c r="A227" s="19"/>
    </row>
    <row r="228" spans="1:1" ht="15.75" customHeight="1">
      <c r="A228" s="19"/>
    </row>
    <row r="229" spans="1:1" ht="15.75" customHeight="1">
      <c r="A229" s="19"/>
    </row>
    <row r="230" spans="1:1" ht="15.75" customHeight="1">
      <c r="A230" s="19"/>
    </row>
    <row r="231" spans="1:1" ht="15.75" customHeight="1">
      <c r="A231" s="19"/>
    </row>
    <row r="232" spans="1:1" ht="15.75" customHeight="1">
      <c r="A232" s="19"/>
    </row>
    <row r="233" spans="1:1" ht="15.75" customHeight="1">
      <c r="A233" s="19"/>
    </row>
    <row r="234" spans="1:1" ht="15.75" customHeight="1">
      <c r="A234" s="19"/>
    </row>
    <row r="235" spans="1:1" ht="15.75" customHeight="1">
      <c r="A235" s="19"/>
    </row>
    <row r="236" spans="1:1" ht="15.75" customHeight="1">
      <c r="A236" s="19"/>
    </row>
    <row r="237" spans="1:1" ht="15.75" customHeight="1">
      <c r="A237" s="19"/>
    </row>
    <row r="238" spans="1:1" ht="15.75" customHeight="1">
      <c r="A238" s="19"/>
    </row>
    <row r="239" spans="1:1" ht="15.75" customHeight="1">
      <c r="A239" s="19"/>
    </row>
    <row r="240" spans="1:1" ht="15.75" customHeight="1">
      <c r="A240" s="19"/>
    </row>
    <row r="241" spans="1:1" ht="15.75" customHeight="1">
      <c r="A241" s="19"/>
    </row>
    <row r="242" spans="1:1" ht="15.75" customHeight="1">
      <c r="A242" s="19"/>
    </row>
    <row r="243" spans="1:1" ht="15.75" customHeight="1">
      <c r="A243" s="19"/>
    </row>
    <row r="244" spans="1:1" ht="15.75" customHeight="1">
      <c r="A244" s="19"/>
    </row>
    <row r="245" spans="1:1" ht="15.75" customHeight="1">
      <c r="A245" s="19"/>
    </row>
    <row r="246" spans="1:1" ht="15.75" customHeight="1">
      <c r="A246" s="19"/>
    </row>
    <row r="247" spans="1:1" ht="15.75" customHeight="1">
      <c r="A247" s="19"/>
    </row>
    <row r="248" spans="1:1" ht="15.75" customHeight="1">
      <c r="A248" s="19"/>
    </row>
    <row r="249" spans="1:1" ht="15.75" customHeight="1">
      <c r="A249" s="19"/>
    </row>
    <row r="250" spans="1:1" ht="15.75" customHeight="1">
      <c r="A250" s="19"/>
    </row>
    <row r="251" spans="1:1" ht="15.75" customHeight="1">
      <c r="A251" s="19"/>
    </row>
    <row r="252" spans="1:1" ht="15.75" customHeight="1">
      <c r="A252" s="19"/>
    </row>
    <row r="253" spans="1:1" ht="15.75" customHeight="1">
      <c r="A253" s="19"/>
    </row>
    <row r="254" spans="1:1" ht="15.75" customHeight="1">
      <c r="A254" s="19"/>
    </row>
    <row r="255" spans="1:1" ht="15.75" customHeight="1">
      <c r="A255" s="19"/>
    </row>
    <row r="256" spans="1:1" ht="15.75" customHeight="1">
      <c r="A256" s="19"/>
    </row>
    <row r="257" spans="1:1" ht="15.75" customHeight="1">
      <c r="A257" s="19"/>
    </row>
    <row r="258" spans="1:1" ht="15.75" customHeight="1">
      <c r="A258" s="19"/>
    </row>
    <row r="259" spans="1:1" ht="15.75" customHeight="1">
      <c r="A259" s="19"/>
    </row>
    <row r="260" spans="1:1" ht="15.75" customHeight="1">
      <c r="A260" s="19"/>
    </row>
    <row r="261" spans="1:1" ht="15.75" customHeight="1">
      <c r="A261" s="19"/>
    </row>
    <row r="262" spans="1:1" ht="15.75" customHeight="1">
      <c r="A262" s="19"/>
    </row>
    <row r="263" spans="1:1" ht="15.75" customHeight="1">
      <c r="A263" s="19"/>
    </row>
    <row r="264" spans="1:1" ht="15.75" customHeight="1">
      <c r="A264" s="19"/>
    </row>
    <row r="265" spans="1:1" ht="15.75" customHeight="1">
      <c r="A265" s="19"/>
    </row>
    <row r="266" spans="1:1" ht="15.75" customHeight="1">
      <c r="A266" s="19"/>
    </row>
    <row r="267" spans="1:1" ht="15.75" customHeight="1">
      <c r="A267" s="19"/>
    </row>
    <row r="268" spans="1:1" ht="15.75" customHeight="1">
      <c r="A268" s="19"/>
    </row>
    <row r="269" spans="1:1" ht="15.75" customHeight="1">
      <c r="A269" s="19"/>
    </row>
    <row r="270" spans="1:1" ht="15.75" customHeight="1">
      <c r="A270" s="19"/>
    </row>
    <row r="271" spans="1:1" ht="15.75" customHeight="1">
      <c r="A271" s="19"/>
    </row>
    <row r="272" spans="1:1" ht="15.75" customHeight="1">
      <c r="A272" s="19"/>
    </row>
    <row r="273" spans="1:1" ht="15.75" customHeight="1">
      <c r="A273" s="19"/>
    </row>
    <row r="274" spans="1:1" ht="15.75" customHeight="1">
      <c r="A274" s="19"/>
    </row>
    <row r="275" spans="1:1" ht="15.75" customHeight="1">
      <c r="A275" s="19"/>
    </row>
    <row r="276" spans="1:1" ht="15.75" customHeight="1">
      <c r="A276" s="19"/>
    </row>
    <row r="277" spans="1:1" ht="15.75" customHeight="1">
      <c r="A277" s="19"/>
    </row>
    <row r="278" spans="1:1" ht="15.75" customHeight="1">
      <c r="A278" s="19"/>
    </row>
    <row r="279" spans="1:1" ht="15.75" customHeight="1">
      <c r="A279" s="19"/>
    </row>
    <row r="280" spans="1:1" ht="15.75" customHeight="1">
      <c r="A280" s="19"/>
    </row>
    <row r="281" spans="1:1" ht="15.75" customHeight="1">
      <c r="A281" s="19"/>
    </row>
    <row r="282" spans="1:1" ht="15.75" customHeight="1">
      <c r="A282" s="19"/>
    </row>
    <row r="283" spans="1:1" ht="15.75" customHeight="1">
      <c r="A283" s="19"/>
    </row>
    <row r="284" spans="1:1" ht="15.75" customHeight="1">
      <c r="A284" s="19"/>
    </row>
    <row r="285" spans="1:1" ht="15.75" customHeight="1">
      <c r="A285" s="19"/>
    </row>
    <row r="286" spans="1:1" ht="15.75" customHeight="1">
      <c r="A286" s="19"/>
    </row>
    <row r="287" spans="1:1" ht="15.75" customHeight="1">
      <c r="A287" s="19"/>
    </row>
    <row r="288" spans="1:1" ht="15.75" customHeight="1">
      <c r="A288" s="19"/>
    </row>
    <row r="289" spans="1:1" ht="15.75" customHeight="1">
      <c r="A289" s="19"/>
    </row>
    <row r="290" spans="1:1" ht="15.75" customHeight="1">
      <c r="A290" s="19"/>
    </row>
    <row r="291" spans="1:1" ht="15.75" customHeight="1">
      <c r="A291" s="19"/>
    </row>
    <row r="292" spans="1:1" ht="15.75" customHeight="1">
      <c r="A292" s="19"/>
    </row>
    <row r="293" spans="1:1" ht="15.75" customHeight="1">
      <c r="A293" s="19"/>
    </row>
    <row r="294" spans="1:1" ht="15.75" customHeight="1">
      <c r="A294" s="19"/>
    </row>
    <row r="295" spans="1:1" ht="15.75" customHeight="1">
      <c r="A295" s="19"/>
    </row>
    <row r="296" spans="1:1" ht="15.75" customHeight="1">
      <c r="A296" s="19"/>
    </row>
    <row r="297" spans="1:1" ht="15.75" customHeight="1">
      <c r="A297" s="19"/>
    </row>
    <row r="298" spans="1:1" ht="15.75" customHeight="1">
      <c r="A298" s="19"/>
    </row>
    <row r="299" spans="1:1" ht="15.75" customHeight="1">
      <c r="A299" s="19"/>
    </row>
    <row r="300" spans="1:1" ht="15.75" customHeight="1">
      <c r="A300" s="19"/>
    </row>
    <row r="301" spans="1:1" ht="15.75" customHeight="1">
      <c r="A301" s="19"/>
    </row>
    <row r="302" spans="1:1" ht="15.75" customHeight="1">
      <c r="A302" s="19"/>
    </row>
    <row r="303" spans="1:1" ht="15.75" customHeight="1">
      <c r="A303" s="19"/>
    </row>
    <row r="304" spans="1:1" ht="15.75" customHeight="1">
      <c r="A304" s="19"/>
    </row>
    <row r="305" spans="1:1" ht="15.75" customHeight="1">
      <c r="A305" s="19"/>
    </row>
    <row r="306" spans="1:1" ht="15.75" customHeight="1">
      <c r="A306" s="19"/>
    </row>
    <row r="307" spans="1:1" ht="15.75" customHeight="1">
      <c r="A307" s="19"/>
    </row>
    <row r="308" spans="1:1" ht="15.75" customHeight="1">
      <c r="A308" s="19"/>
    </row>
    <row r="309" spans="1:1" ht="15.75" customHeight="1">
      <c r="A309" s="19"/>
    </row>
    <row r="310" spans="1:1" ht="15.75" customHeight="1">
      <c r="A310" s="19"/>
    </row>
    <row r="311" spans="1:1" ht="15.75" customHeight="1">
      <c r="A311" s="19"/>
    </row>
    <row r="312" spans="1:1" ht="15.75" customHeight="1">
      <c r="A312" s="19"/>
    </row>
    <row r="313" spans="1:1" ht="15.75" customHeight="1">
      <c r="A313" s="19"/>
    </row>
    <row r="314" spans="1:1" ht="15.75" customHeight="1">
      <c r="A314" s="19"/>
    </row>
    <row r="315" spans="1:1" ht="15.75" customHeight="1">
      <c r="A315" s="19"/>
    </row>
    <row r="316" spans="1:1" ht="15.75" customHeight="1">
      <c r="A316" s="19"/>
    </row>
    <row r="317" spans="1:1" ht="15.75" customHeight="1">
      <c r="A317" s="19"/>
    </row>
    <row r="318" spans="1:1" ht="15.75" customHeight="1">
      <c r="A318" s="19"/>
    </row>
    <row r="319" spans="1:1" ht="15.75" customHeight="1">
      <c r="A319" s="19"/>
    </row>
    <row r="320" spans="1:1" ht="15.75" customHeight="1">
      <c r="A320" s="19"/>
    </row>
    <row r="321" spans="1:1" ht="15.75" customHeight="1">
      <c r="A321" s="19"/>
    </row>
    <row r="322" spans="1:1" ht="15.75" customHeight="1">
      <c r="A322" s="19"/>
    </row>
    <row r="323" spans="1:1" ht="15.75" customHeight="1">
      <c r="A323" s="19"/>
    </row>
    <row r="324" spans="1:1" ht="15.75" customHeight="1">
      <c r="A324" s="19"/>
    </row>
    <row r="325" spans="1:1" ht="15.75" customHeight="1">
      <c r="A325" s="19"/>
    </row>
    <row r="326" spans="1:1" ht="15.75" customHeight="1">
      <c r="A326" s="19"/>
    </row>
    <row r="327" spans="1:1" ht="15.75" customHeight="1">
      <c r="A327" s="19"/>
    </row>
    <row r="328" spans="1:1" ht="15.75" customHeight="1">
      <c r="A328" s="19"/>
    </row>
    <row r="329" spans="1:1" ht="15.75" customHeight="1">
      <c r="A329" s="19"/>
    </row>
    <row r="330" spans="1:1" ht="15.75" customHeight="1">
      <c r="A330" s="19"/>
    </row>
    <row r="331" spans="1:1" ht="15.75" customHeight="1">
      <c r="A331" s="19"/>
    </row>
    <row r="332" spans="1:1" ht="15.75" customHeight="1">
      <c r="A332" s="19"/>
    </row>
    <row r="333" spans="1:1" ht="15.75" customHeight="1">
      <c r="A333" s="19"/>
    </row>
    <row r="334" spans="1:1" ht="15.75" customHeight="1">
      <c r="A334" s="19"/>
    </row>
    <row r="335" spans="1:1" ht="15.75" customHeight="1">
      <c r="A335" s="19"/>
    </row>
    <row r="336" spans="1:1" ht="15.75" customHeight="1">
      <c r="A336" s="19"/>
    </row>
    <row r="337" spans="1:1" ht="15.75" customHeight="1">
      <c r="A337" s="19"/>
    </row>
    <row r="338" spans="1:1" ht="15.75" customHeight="1">
      <c r="A338" s="19"/>
    </row>
    <row r="339" spans="1:1" ht="15.75" customHeight="1">
      <c r="A339" s="19"/>
    </row>
    <row r="340" spans="1:1" ht="15.75" customHeight="1">
      <c r="A340" s="19"/>
    </row>
    <row r="341" spans="1:1" ht="15.75" customHeight="1">
      <c r="A341" s="19"/>
    </row>
    <row r="342" spans="1:1" ht="15.75" customHeight="1">
      <c r="A342" s="19"/>
    </row>
    <row r="343" spans="1:1" ht="15.75" customHeight="1">
      <c r="A343" s="19"/>
    </row>
    <row r="344" spans="1:1" ht="15.75" customHeight="1">
      <c r="A344" s="19"/>
    </row>
    <row r="345" spans="1:1" ht="15.75" customHeight="1">
      <c r="A345" s="19"/>
    </row>
    <row r="346" spans="1:1" ht="15.75" customHeight="1">
      <c r="A346" s="19"/>
    </row>
    <row r="347" spans="1:1" ht="15.75" customHeight="1">
      <c r="A347" s="19"/>
    </row>
    <row r="348" spans="1:1" ht="15.75" customHeight="1">
      <c r="A348" s="19"/>
    </row>
    <row r="349" spans="1:1" ht="15.75" customHeight="1">
      <c r="A349" s="19"/>
    </row>
    <row r="350" spans="1:1" ht="15.75" customHeight="1">
      <c r="A350" s="19"/>
    </row>
    <row r="351" spans="1:1" ht="15.75" customHeight="1">
      <c r="A351" s="19"/>
    </row>
    <row r="352" spans="1:1" ht="15.75" customHeight="1">
      <c r="A352" s="19"/>
    </row>
    <row r="353" spans="1:1" ht="15.75" customHeight="1">
      <c r="A353" s="19"/>
    </row>
    <row r="354" spans="1:1" ht="15.75" customHeight="1">
      <c r="A354" s="19"/>
    </row>
    <row r="355" spans="1:1" ht="15.75" customHeight="1">
      <c r="A355" s="19"/>
    </row>
    <row r="356" spans="1:1" ht="15.75" customHeight="1">
      <c r="A356" s="19"/>
    </row>
    <row r="357" spans="1:1" ht="15.75" customHeight="1">
      <c r="A357" s="19"/>
    </row>
    <row r="358" spans="1:1" ht="15.75" customHeight="1">
      <c r="A358" s="19"/>
    </row>
    <row r="359" spans="1:1" ht="15.75" customHeight="1">
      <c r="A359" s="19"/>
    </row>
    <row r="360" spans="1:1" ht="15.75" customHeight="1">
      <c r="A360" s="19"/>
    </row>
    <row r="361" spans="1:1" ht="15.75" customHeight="1">
      <c r="A361" s="19"/>
    </row>
    <row r="362" spans="1:1" ht="15.75" customHeight="1">
      <c r="A362" s="19"/>
    </row>
    <row r="363" spans="1:1" ht="15.75" customHeight="1">
      <c r="A363" s="19"/>
    </row>
    <row r="364" spans="1:1" ht="15.75" customHeight="1">
      <c r="A364" s="19"/>
    </row>
    <row r="365" spans="1:1" ht="15.75" customHeight="1">
      <c r="A365" s="19"/>
    </row>
    <row r="366" spans="1:1" ht="15.75" customHeight="1">
      <c r="A366" s="19"/>
    </row>
    <row r="367" spans="1:1" ht="15.75" customHeight="1">
      <c r="A367" s="19"/>
    </row>
    <row r="368" spans="1:1" ht="15.75" customHeight="1">
      <c r="A368" s="19"/>
    </row>
    <row r="369" spans="1:1" ht="15.75" customHeight="1">
      <c r="A369" s="19"/>
    </row>
    <row r="370" spans="1:1" ht="15.75" customHeight="1">
      <c r="A370" s="19"/>
    </row>
    <row r="371" spans="1:1" ht="15.75" customHeight="1">
      <c r="A371" s="19"/>
    </row>
    <row r="372" spans="1:1" ht="15.75" customHeight="1">
      <c r="A372" s="19"/>
    </row>
    <row r="373" spans="1:1" ht="15.75" customHeight="1">
      <c r="A373" s="19"/>
    </row>
    <row r="374" spans="1:1" ht="15.75" customHeight="1">
      <c r="A374" s="19"/>
    </row>
    <row r="375" spans="1:1" ht="15.75" customHeight="1">
      <c r="A375" s="19"/>
    </row>
    <row r="376" spans="1:1" ht="15.75" customHeight="1">
      <c r="A376" s="19"/>
    </row>
    <row r="377" spans="1:1" ht="15.75" customHeight="1">
      <c r="A377" s="19"/>
    </row>
    <row r="378" spans="1:1" ht="15.75" customHeight="1">
      <c r="A378" s="19"/>
    </row>
    <row r="379" spans="1:1" ht="15.75" customHeight="1">
      <c r="A379" s="19"/>
    </row>
    <row r="380" spans="1:1" ht="15.75" customHeight="1">
      <c r="A380" s="19"/>
    </row>
    <row r="381" spans="1:1" ht="15.75" customHeight="1">
      <c r="A381" s="19"/>
    </row>
    <row r="382" spans="1:1" ht="15.75" customHeight="1">
      <c r="A382" s="19"/>
    </row>
    <row r="383" spans="1:1" ht="15.75" customHeight="1">
      <c r="A383" s="19"/>
    </row>
    <row r="384" spans="1:1" ht="15.75" customHeight="1">
      <c r="A384" s="19"/>
    </row>
    <row r="385" spans="1:1" ht="15.75" customHeight="1">
      <c r="A385" s="19"/>
    </row>
    <row r="386" spans="1:1" ht="15.75" customHeight="1">
      <c r="A386" s="19"/>
    </row>
    <row r="387" spans="1:1" ht="15.75" customHeight="1">
      <c r="A387" s="19"/>
    </row>
    <row r="388" spans="1:1" ht="15.75" customHeight="1">
      <c r="A388" s="19"/>
    </row>
    <row r="389" spans="1:1" ht="15.75" customHeight="1">
      <c r="A389" s="19"/>
    </row>
    <row r="390" spans="1:1" ht="15.75" customHeight="1">
      <c r="A390" s="19"/>
    </row>
    <row r="391" spans="1:1" ht="15.75" customHeight="1">
      <c r="A391" s="19"/>
    </row>
    <row r="392" spans="1:1" ht="15.75" customHeight="1">
      <c r="A392" s="19"/>
    </row>
    <row r="393" spans="1:1" ht="15.75" customHeight="1">
      <c r="A393" s="19"/>
    </row>
    <row r="394" spans="1:1" ht="15.75" customHeight="1">
      <c r="A394" s="19"/>
    </row>
    <row r="395" spans="1:1" ht="15.75" customHeight="1">
      <c r="A395" s="19"/>
    </row>
    <row r="396" spans="1:1" ht="15.75" customHeight="1">
      <c r="A396" s="19"/>
    </row>
    <row r="397" spans="1:1" ht="15.75" customHeight="1">
      <c r="A397" s="19"/>
    </row>
    <row r="398" spans="1:1" ht="15.75" customHeight="1">
      <c r="A398" s="19"/>
    </row>
    <row r="399" spans="1:1" ht="15.75" customHeight="1">
      <c r="A399" s="19"/>
    </row>
    <row r="400" spans="1:1" ht="15.75" customHeight="1">
      <c r="A400" s="19"/>
    </row>
    <row r="401" spans="1:1" ht="15.75" customHeight="1">
      <c r="A401" s="19"/>
    </row>
    <row r="402" spans="1:1" ht="15.75" customHeight="1">
      <c r="A402" s="19"/>
    </row>
    <row r="403" spans="1:1" ht="15.75" customHeight="1">
      <c r="A403" s="19"/>
    </row>
    <row r="404" spans="1:1" ht="15.75" customHeight="1">
      <c r="A404" s="19"/>
    </row>
    <row r="405" spans="1:1" ht="15.75" customHeight="1">
      <c r="A405" s="19"/>
    </row>
    <row r="406" spans="1:1" ht="15.75" customHeight="1">
      <c r="A406" s="19"/>
    </row>
    <row r="407" spans="1:1" ht="15.75" customHeight="1">
      <c r="A407" s="19"/>
    </row>
    <row r="408" spans="1:1" ht="15.75" customHeight="1">
      <c r="A408" s="19"/>
    </row>
    <row r="409" spans="1:1" ht="15.75" customHeight="1">
      <c r="A409" s="19"/>
    </row>
    <row r="410" spans="1:1" ht="15.75" customHeight="1">
      <c r="A410" s="19"/>
    </row>
    <row r="411" spans="1:1" ht="15.75" customHeight="1">
      <c r="A411" s="19"/>
    </row>
    <row r="412" spans="1:1" ht="15.75" customHeight="1">
      <c r="A412" s="19"/>
    </row>
    <row r="413" spans="1:1" ht="15.75" customHeight="1">
      <c r="A413" s="19"/>
    </row>
    <row r="414" spans="1:1" ht="15.75" customHeight="1">
      <c r="A414" s="19"/>
    </row>
    <row r="415" spans="1:1" ht="15.75" customHeight="1">
      <c r="A415" s="19"/>
    </row>
    <row r="416" spans="1:1" ht="15.75" customHeight="1">
      <c r="A416" s="19"/>
    </row>
    <row r="417" spans="1:1" ht="15.75" customHeight="1">
      <c r="A417" s="19"/>
    </row>
    <row r="418" spans="1:1" ht="15.75" customHeight="1">
      <c r="A418" s="19"/>
    </row>
    <row r="419" spans="1:1" ht="15.75" customHeight="1">
      <c r="A419" s="19"/>
    </row>
    <row r="420" spans="1:1" ht="15.75" customHeight="1">
      <c r="A420" s="19"/>
    </row>
    <row r="421" spans="1:1" ht="15.75" customHeight="1">
      <c r="A421" s="19"/>
    </row>
    <row r="422" spans="1:1" ht="15.75" customHeight="1">
      <c r="A422" s="19"/>
    </row>
    <row r="423" spans="1:1" ht="15.75" customHeight="1">
      <c r="A423" s="19"/>
    </row>
    <row r="424" spans="1:1" ht="15.75" customHeight="1">
      <c r="A424" s="19"/>
    </row>
    <row r="425" spans="1:1" ht="15.75" customHeight="1">
      <c r="A425" s="19"/>
    </row>
    <row r="426" spans="1:1" ht="15.75" customHeight="1">
      <c r="A426" s="19"/>
    </row>
    <row r="427" spans="1:1" ht="15.75" customHeight="1">
      <c r="A427" s="19"/>
    </row>
    <row r="428" spans="1:1" ht="15.75" customHeight="1">
      <c r="A428" s="19"/>
    </row>
    <row r="429" spans="1:1" ht="15.75" customHeight="1">
      <c r="A429" s="19"/>
    </row>
    <row r="430" spans="1:1" ht="15.75" customHeight="1">
      <c r="A430" s="19"/>
    </row>
    <row r="431" spans="1:1" ht="15.75" customHeight="1">
      <c r="A431" s="19"/>
    </row>
    <row r="432" spans="1:1" ht="15.75" customHeight="1">
      <c r="A432" s="19"/>
    </row>
    <row r="433" spans="1:1" ht="15.75" customHeight="1">
      <c r="A433" s="19"/>
    </row>
    <row r="434" spans="1:1" ht="15.75" customHeight="1">
      <c r="A434" s="19"/>
    </row>
    <row r="435" spans="1:1" ht="15.75" customHeight="1">
      <c r="A435" s="19"/>
    </row>
    <row r="436" spans="1:1" ht="15.75" customHeight="1">
      <c r="A436" s="19"/>
    </row>
    <row r="437" spans="1:1" ht="15.75" customHeight="1">
      <c r="A437" s="19"/>
    </row>
    <row r="438" spans="1:1" ht="15.75" customHeight="1">
      <c r="A438" s="19"/>
    </row>
    <row r="439" spans="1:1" ht="15.75" customHeight="1">
      <c r="A439" s="19"/>
    </row>
    <row r="440" spans="1:1" ht="15.75" customHeight="1">
      <c r="A440" s="19"/>
    </row>
    <row r="441" spans="1:1" ht="15.75" customHeight="1">
      <c r="A441" s="19"/>
    </row>
    <row r="442" spans="1:1" ht="15.75" customHeight="1">
      <c r="A442" s="19"/>
    </row>
    <row r="443" spans="1:1" ht="15.75" customHeight="1">
      <c r="A443" s="19"/>
    </row>
    <row r="444" spans="1:1" ht="15.75" customHeight="1">
      <c r="A444" s="19"/>
    </row>
    <row r="445" spans="1:1" ht="15.75" customHeight="1">
      <c r="A445" s="19"/>
    </row>
    <row r="446" spans="1:1" ht="15.75" customHeight="1">
      <c r="A446" s="19"/>
    </row>
    <row r="447" spans="1:1" ht="15.75" customHeight="1">
      <c r="A447" s="19"/>
    </row>
    <row r="448" spans="1:1" ht="15.75" customHeight="1">
      <c r="A448" s="19"/>
    </row>
    <row r="449" spans="1:1" ht="15.75" customHeight="1">
      <c r="A449" s="19"/>
    </row>
    <row r="450" spans="1:1" ht="15.75" customHeight="1">
      <c r="A450" s="19"/>
    </row>
    <row r="451" spans="1:1" ht="15.75" customHeight="1">
      <c r="A451" s="19"/>
    </row>
    <row r="452" spans="1:1" ht="15.75" customHeight="1">
      <c r="A452" s="19"/>
    </row>
    <row r="453" spans="1:1" ht="15.75" customHeight="1">
      <c r="A453" s="19"/>
    </row>
    <row r="454" spans="1:1" ht="15.75" customHeight="1">
      <c r="A454" s="19"/>
    </row>
    <row r="455" spans="1:1" ht="15.75" customHeight="1">
      <c r="A455" s="19"/>
    </row>
    <row r="456" spans="1:1" ht="15.75" customHeight="1">
      <c r="A456" s="19"/>
    </row>
    <row r="457" spans="1:1" ht="15.75" customHeight="1">
      <c r="A457" s="19"/>
    </row>
    <row r="458" spans="1:1" ht="15.75" customHeight="1">
      <c r="A458" s="19"/>
    </row>
    <row r="459" spans="1:1" ht="15.75" customHeight="1">
      <c r="A459" s="19"/>
    </row>
    <row r="460" spans="1:1" ht="15.75" customHeight="1">
      <c r="A460" s="19"/>
    </row>
    <row r="461" spans="1:1" ht="15.75" customHeight="1">
      <c r="A461" s="19"/>
    </row>
    <row r="462" spans="1:1" ht="15.75" customHeight="1">
      <c r="A462" s="19"/>
    </row>
    <row r="463" spans="1:1" ht="15.75" customHeight="1">
      <c r="A463" s="19"/>
    </row>
    <row r="464" spans="1:1" ht="15.75" customHeight="1">
      <c r="A464" s="19"/>
    </row>
    <row r="465" spans="1:1" ht="15.75" customHeight="1">
      <c r="A465" s="19"/>
    </row>
    <row r="466" spans="1:1" ht="15.75" customHeight="1">
      <c r="A466" s="19"/>
    </row>
    <row r="467" spans="1:1" ht="15.75" customHeight="1">
      <c r="A467" s="19"/>
    </row>
    <row r="468" spans="1:1" ht="15.75" customHeight="1">
      <c r="A468" s="19"/>
    </row>
    <row r="469" spans="1:1" ht="15.75" customHeight="1">
      <c r="A469" s="19"/>
    </row>
    <row r="470" spans="1:1" ht="15.75" customHeight="1">
      <c r="A470" s="19"/>
    </row>
    <row r="471" spans="1:1" ht="15.75" customHeight="1">
      <c r="A471" s="19"/>
    </row>
    <row r="472" spans="1:1" ht="15.75" customHeight="1">
      <c r="A472" s="19"/>
    </row>
    <row r="473" spans="1:1" ht="15.75" customHeight="1">
      <c r="A473" s="19"/>
    </row>
    <row r="474" spans="1:1" ht="15.75" customHeight="1">
      <c r="A474" s="19"/>
    </row>
    <row r="475" spans="1:1" ht="15.75" customHeight="1">
      <c r="A475" s="19"/>
    </row>
    <row r="476" spans="1:1" ht="15.75" customHeight="1">
      <c r="A476" s="19"/>
    </row>
    <row r="477" spans="1:1" ht="15.75" customHeight="1">
      <c r="A477" s="19"/>
    </row>
    <row r="478" spans="1:1" ht="15.75" customHeight="1">
      <c r="A478" s="19"/>
    </row>
    <row r="479" spans="1:1" ht="15.75" customHeight="1">
      <c r="A479" s="19"/>
    </row>
    <row r="480" spans="1:1" ht="15.75" customHeight="1">
      <c r="A480" s="19"/>
    </row>
    <row r="481" spans="1:1" ht="15.75" customHeight="1">
      <c r="A481" s="19"/>
    </row>
    <row r="482" spans="1:1" ht="15.75" customHeight="1">
      <c r="A482" s="19"/>
    </row>
    <row r="483" spans="1:1" ht="15.75" customHeight="1">
      <c r="A483" s="19"/>
    </row>
    <row r="484" spans="1:1" ht="15.75" customHeight="1">
      <c r="A484" s="19"/>
    </row>
    <row r="485" spans="1:1" ht="15.75" customHeight="1">
      <c r="A485" s="19"/>
    </row>
    <row r="486" spans="1:1" ht="15.75" customHeight="1">
      <c r="A486" s="19"/>
    </row>
    <row r="487" spans="1:1" ht="15.75" customHeight="1">
      <c r="A487" s="19"/>
    </row>
    <row r="488" spans="1:1" ht="15.75" customHeight="1">
      <c r="A488" s="19"/>
    </row>
    <row r="489" spans="1:1" ht="15.75" customHeight="1">
      <c r="A489" s="19"/>
    </row>
    <row r="490" spans="1:1" ht="15.75" customHeight="1">
      <c r="A490" s="19"/>
    </row>
    <row r="491" spans="1:1" ht="15.75" customHeight="1">
      <c r="A491" s="19"/>
    </row>
    <row r="492" spans="1:1" ht="15.75" customHeight="1">
      <c r="A492" s="19"/>
    </row>
    <row r="493" spans="1:1" ht="15.75" customHeight="1">
      <c r="A493" s="19"/>
    </row>
    <row r="494" spans="1:1" ht="15.75" customHeight="1">
      <c r="A494" s="19"/>
    </row>
    <row r="495" spans="1:1" ht="15.75" customHeight="1">
      <c r="A495" s="19"/>
    </row>
    <row r="496" spans="1:1" ht="15.75" customHeight="1">
      <c r="A496" s="19"/>
    </row>
    <row r="497" spans="1:1" ht="15.75" customHeight="1">
      <c r="A497" s="19"/>
    </row>
    <row r="498" spans="1:1" ht="15.75" customHeight="1">
      <c r="A498" s="19"/>
    </row>
    <row r="499" spans="1:1" ht="15.75" customHeight="1">
      <c r="A499" s="19"/>
    </row>
    <row r="500" spans="1:1" ht="15.75" customHeight="1">
      <c r="A500" s="19"/>
    </row>
    <row r="501" spans="1:1" ht="15.75" customHeight="1">
      <c r="A501" s="19"/>
    </row>
    <row r="502" spans="1:1" ht="15.75" customHeight="1">
      <c r="A502" s="19"/>
    </row>
    <row r="503" spans="1:1" ht="15.75" customHeight="1">
      <c r="A503" s="19"/>
    </row>
    <row r="504" spans="1:1" ht="15.75" customHeight="1">
      <c r="A504" s="19"/>
    </row>
    <row r="505" spans="1:1" ht="15.75" customHeight="1">
      <c r="A505" s="19"/>
    </row>
    <row r="506" spans="1:1" ht="15.75" customHeight="1">
      <c r="A506" s="19"/>
    </row>
    <row r="507" spans="1:1" ht="15.75" customHeight="1">
      <c r="A507" s="19"/>
    </row>
    <row r="508" spans="1:1" ht="15.75" customHeight="1">
      <c r="A508" s="19"/>
    </row>
    <row r="509" spans="1:1" ht="15.75" customHeight="1">
      <c r="A509" s="19"/>
    </row>
    <row r="510" spans="1:1" ht="15.75" customHeight="1">
      <c r="A510" s="19"/>
    </row>
    <row r="511" spans="1:1" ht="15.75" customHeight="1">
      <c r="A511" s="19"/>
    </row>
    <row r="512" spans="1:1" ht="15.75" customHeight="1">
      <c r="A512" s="19"/>
    </row>
    <row r="513" spans="1:1" ht="15.75" customHeight="1">
      <c r="A513" s="19"/>
    </row>
    <row r="514" spans="1:1" ht="15.75" customHeight="1">
      <c r="A514" s="19"/>
    </row>
    <row r="515" spans="1:1" ht="15.75" customHeight="1">
      <c r="A515" s="19"/>
    </row>
    <row r="516" spans="1:1" ht="15.75" customHeight="1">
      <c r="A516" s="19"/>
    </row>
    <row r="517" spans="1:1" ht="15.75" customHeight="1">
      <c r="A517" s="19"/>
    </row>
    <row r="518" spans="1:1" ht="15.75" customHeight="1">
      <c r="A518" s="19"/>
    </row>
    <row r="519" spans="1:1" ht="15.75" customHeight="1">
      <c r="A519" s="19"/>
    </row>
    <row r="520" spans="1:1" ht="15.75" customHeight="1">
      <c r="A520" s="19"/>
    </row>
    <row r="521" spans="1:1" ht="15.75" customHeight="1">
      <c r="A521" s="19"/>
    </row>
    <row r="522" spans="1:1" ht="15.75" customHeight="1">
      <c r="A522" s="19"/>
    </row>
    <row r="523" spans="1:1" ht="15.75" customHeight="1">
      <c r="A523" s="19"/>
    </row>
    <row r="524" spans="1:1" ht="15.75" customHeight="1">
      <c r="A524" s="19"/>
    </row>
    <row r="525" spans="1:1" ht="15.75" customHeight="1">
      <c r="A525" s="19"/>
    </row>
    <row r="526" spans="1:1" ht="15.75" customHeight="1">
      <c r="A526" s="19"/>
    </row>
    <row r="527" spans="1:1" ht="15.75" customHeight="1">
      <c r="A527" s="19"/>
    </row>
    <row r="528" spans="1:1" ht="15.75" customHeight="1">
      <c r="A528" s="19"/>
    </row>
    <row r="529" spans="1:1" ht="15.75" customHeight="1">
      <c r="A529" s="19"/>
    </row>
    <row r="530" spans="1:1" ht="15.75" customHeight="1">
      <c r="A530" s="19"/>
    </row>
    <row r="531" spans="1:1" ht="15.75" customHeight="1">
      <c r="A531" s="19"/>
    </row>
    <row r="532" spans="1:1" ht="15.75" customHeight="1">
      <c r="A532" s="19"/>
    </row>
    <row r="533" spans="1:1" ht="15.75" customHeight="1">
      <c r="A533" s="19"/>
    </row>
    <row r="534" spans="1:1" ht="15.75" customHeight="1">
      <c r="A534" s="19"/>
    </row>
    <row r="535" spans="1:1" ht="15.75" customHeight="1">
      <c r="A535" s="19"/>
    </row>
    <row r="536" spans="1:1" ht="15.75" customHeight="1">
      <c r="A536" s="19"/>
    </row>
    <row r="537" spans="1:1" ht="15.75" customHeight="1">
      <c r="A537" s="19"/>
    </row>
    <row r="538" spans="1:1" ht="15.75" customHeight="1">
      <c r="A538" s="19"/>
    </row>
    <row r="539" spans="1:1" ht="15.75" customHeight="1">
      <c r="A539" s="19"/>
    </row>
    <row r="540" spans="1:1" ht="15.75" customHeight="1">
      <c r="A540" s="19"/>
    </row>
    <row r="541" spans="1:1" ht="15.75" customHeight="1">
      <c r="A541" s="19"/>
    </row>
    <row r="542" spans="1:1" ht="15.75" customHeight="1">
      <c r="A542" s="19"/>
    </row>
    <row r="543" spans="1:1" ht="15.75" customHeight="1">
      <c r="A543" s="19"/>
    </row>
    <row r="544" spans="1:1" ht="15.75" customHeight="1">
      <c r="A544" s="19"/>
    </row>
    <row r="545" spans="1:1" ht="15.75" customHeight="1">
      <c r="A545" s="19"/>
    </row>
    <row r="546" spans="1:1" ht="15.75" customHeight="1">
      <c r="A546" s="19"/>
    </row>
    <row r="547" spans="1:1" ht="15.75" customHeight="1">
      <c r="A547" s="19"/>
    </row>
    <row r="548" spans="1:1" ht="15.75" customHeight="1">
      <c r="A548" s="19"/>
    </row>
    <row r="549" spans="1:1" ht="15.75" customHeight="1">
      <c r="A549" s="19"/>
    </row>
    <row r="550" spans="1:1" ht="15.75" customHeight="1">
      <c r="A550" s="19"/>
    </row>
    <row r="551" spans="1:1" ht="15.75" customHeight="1">
      <c r="A551" s="19"/>
    </row>
    <row r="552" spans="1:1" ht="15.75" customHeight="1">
      <c r="A552" s="19"/>
    </row>
    <row r="553" spans="1:1" ht="15.75" customHeight="1">
      <c r="A553" s="19"/>
    </row>
    <row r="554" spans="1:1" ht="15.75" customHeight="1">
      <c r="A554" s="19"/>
    </row>
    <row r="555" spans="1:1" ht="15.75" customHeight="1">
      <c r="A555" s="19"/>
    </row>
    <row r="556" spans="1:1" ht="15.75" customHeight="1">
      <c r="A556" s="19"/>
    </row>
    <row r="557" spans="1:1" ht="15.75" customHeight="1">
      <c r="A557" s="19"/>
    </row>
    <row r="558" spans="1:1" ht="15.75" customHeight="1">
      <c r="A558" s="19"/>
    </row>
    <row r="559" spans="1:1" ht="15.75" customHeight="1">
      <c r="A559" s="19"/>
    </row>
    <row r="560" spans="1:1" ht="15.75" customHeight="1">
      <c r="A560" s="19"/>
    </row>
    <row r="561" spans="1:1" ht="15.75" customHeight="1">
      <c r="A561" s="19"/>
    </row>
    <row r="562" spans="1:1" ht="15.75" customHeight="1">
      <c r="A562" s="19"/>
    </row>
    <row r="563" spans="1:1" ht="15.75" customHeight="1">
      <c r="A563" s="19"/>
    </row>
    <row r="564" spans="1:1" ht="15.75" customHeight="1">
      <c r="A564" s="19"/>
    </row>
    <row r="565" spans="1:1" ht="15.75" customHeight="1">
      <c r="A565" s="19"/>
    </row>
    <row r="566" spans="1:1" ht="15.75" customHeight="1">
      <c r="A566" s="19"/>
    </row>
    <row r="567" spans="1:1" ht="15.75" customHeight="1">
      <c r="A567" s="19"/>
    </row>
    <row r="568" spans="1:1" ht="15.75" customHeight="1">
      <c r="A568" s="19"/>
    </row>
    <row r="569" spans="1:1" ht="15.75" customHeight="1">
      <c r="A569" s="19"/>
    </row>
    <row r="570" spans="1:1" ht="15.75" customHeight="1">
      <c r="A570" s="19"/>
    </row>
    <row r="571" spans="1:1" ht="15.75" customHeight="1">
      <c r="A571" s="19"/>
    </row>
    <row r="572" spans="1:1" ht="15.75" customHeight="1">
      <c r="A572" s="19"/>
    </row>
    <row r="573" spans="1:1" ht="15.75" customHeight="1">
      <c r="A573" s="19"/>
    </row>
    <row r="574" spans="1:1" ht="15.75" customHeight="1">
      <c r="A574" s="19"/>
    </row>
    <row r="575" spans="1:1" ht="15.75" customHeight="1">
      <c r="A575" s="19"/>
    </row>
    <row r="576" spans="1:1" ht="15.75" customHeight="1">
      <c r="A576" s="19"/>
    </row>
    <row r="577" spans="1:1" ht="15.75" customHeight="1">
      <c r="A577" s="19"/>
    </row>
    <row r="578" spans="1:1" ht="15.75" customHeight="1">
      <c r="A578" s="19"/>
    </row>
    <row r="579" spans="1:1" ht="15.75" customHeight="1">
      <c r="A579" s="19"/>
    </row>
    <row r="580" spans="1:1" ht="15.75" customHeight="1">
      <c r="A580" s="19"/>
    </row>
    <row r="581" spans="1:1" ht="15.75" customHeight="1">
      <c r="A581" s="19"/>
    </row>
    <row r="582" spans="1:1" ht="15.75" customHeight="1">
      <c r="A582" s="19"/>
    </row>
    <row r="583" spans="1:1" ht="15.75" customHeight="1">
      <c r="A583" s="19"/>
    </row>
    <row r="584" spans="1:1" ht="15.75" customHeight="1">
      <c r="A584" s="19"/>
    </row>
    <row r="585" spans="1:1" ht="15.75" customHeight="1">
      <c r="A585" s="19"/>
    </row>
    <row r="586" spans="1:1" ht="15.75" customHeight="1">
      <c r="A586" s="19"/>
    </row>
    <row r="587" spans="1:1" ht="15.75" customHeight="1">
      <c r="A587" s="19"/>
    </row>
    <row r="588" spans="1:1" ht="15.75" customHeight="1">
      <c r="A588" s="19"/>
    </row>
    <row r="589" spans="1:1" ht="15.75" customHeight="1">
      <c r="A589" s="19"/>
    </row>
    <row r="590" spans="1:1" ht="15.75" customHeight="1">
      <c r="A590" s="19"/>
    </row>
    <row r="591" spans="1:1" ht="15.75" customHeight="1">
      <c r="A591" s="19"/>
    </row>
    <row r="592" spans="1:1" ht="15.75" customHeight="1">
      <c r="A592" s="19"/>
    </row>
    <row r="593" spans="1:1" ht="15.75" customHeight="1">
      <c r="A593" s="19"/>
    </row>
    <row r="594" spans="1:1" ht="15.75" customHeight="1">
      <c r="A594" s="19"/>
    </row>
    <row r="595" spans="1:1" ht="15.75" customHeight="1">
      <c r="A595" s="19"/>
    </row>
    <row r="596" spans="1:1" ht="15.75" customHeight="1">
      <c r="A596" s="19"/>
    </row>
    <row r="597" spans="1:1" ht="15.75" customHeight="1">
      <c r="A597" s="19"/>
    </row>
    <row r="598" spans="1:1" ht="15.75" customHeight="1">
      <c r="A598" s="19"/>
    </row>
    <row r="599" spans="1:1" ht="15.75" customHeight="1">
      <c r="A599" s="19"/>
    </row>
    <row r="600" spans="1:1" ht="15.75" customHeight="1">
      <c r="A600" s="19"/>
    </row>
    <row r="601" spans="1:1" ht="15.75" customHeight="1">
      <c r="A601" s="19"/>
    </row>
    <row r="602" spans="1:1" ht="15.75" customHeight="1">
      <c r="A602" s="19"/>
    </row>
    <row r="603" spans="1:1" ht="15.75" customHeight="1">
      <c r="A603" s="19"/>
    </row>
    <row r="604" spans="1:1" ht="15.75" customHeight="1">
      <c r="A604" s="19"/>
    </row>
    <row r="605" spans="1:1" ht="15.75" customHeight="1">
      <c r="A605" s="19"/>
    </row>
    <row r="606" spans="1:1" ht="15.75" customHeight="1">
      <c r="A606" s="19"/>
    </row>
    <row r="607" spans="1:1" ht="15.75" customHeight="1">
      <c r="A607" s="19"/>
    </row>
    <row r="608" spans="1:1" ht="15.75" customHeight="1">
      <c r="A608" s="19"/>
    </row>
    <row r="609" spans="1:1" ht="15.75" customHeight="1">
      <c r="A609" s="19"/>
    </row>
    <row r="610" spans="1:1" ht="15.75" customHeight="1">
      <c r="A610" s="19"/>
    </row>
    <row r="611" spans="1:1" ht="15.75" customHeight="1">
      <c r="A611" s="19"/>
    </row>
    <row r="612" spans="1:1" ht="15.75" customHeight="1">
      <c r="A612" s="19"/>
    </row>
    <row r="613" spans="1:1" ht="15.75" customHeight="1">
      <c r="A613" s="19"/>
    </row>
    <row r="614" spans="1:1" ht="15.75" customHeight="1">
      <c r="A614" s="19"/>
    </row>
    <row r="615" spans="1:1" ht="15.75" customHeight="1">
      <c r="A615" s="19"/>
    </row>
    <row r="616" spans="1:1" ht="15.75" customHeight="1">
      <c r="A616" s="19"/>
    </row>
    <row r="617" spans="1:1" ht="15.75" customHeight="1">
      <c r="A617" s="19"/>
    </row>
    <row r="618" spans="1:1" ht="15.75" customHeight="1">
      <c r="A618" s="19"/>
    </row>
    <row r="619" spans="1:1" ht="15.75" customHeight="1">
      <c r="A619" s="19"/>
    </row>
    <row r="620" spans="1:1" ht="15.75" customHeight="1">
      <c r="A620" s="19"/>
    </row>
    <row r="621" spans="1:1" ht="15.75" customHeight="1">
      <c r="A621" s="19"/>
    </row>
    <row r="622" spans="1:1" ht="15.75" customHeight="1">
      <c r="A622" s="19"/>
    </row>
    <row r="623" spans="1:1" ht="15.75" customHeight="1">
      <c r="A623" s="19"/>
    </row>
    <row r="624" spans="1:1" ht="15.75" customHeight="1">
      <c r="A624" s="19"/>
    </row>
    <row r="625" spans="1:1" ht="15.75" customHeight="1">
      <c r="A625" s="19"/>
    </row>
    <row r="626" spans="1:1" ht="15.75" customHeight="1">
      <c r="A626" s="19"/>
    </row>
    <row r="627" spans="1:1" ht="15.75" customHeight="1">
      <c r="A627" s="19"/>
    </row>
    <row r="628" spans="1:1" ht="15.75" customHeight="1">
      <c r="A628" s="19"/>
    </row>
    <row r="629" spans="1:1" ht="15.75" customHeight="1">
      <c r="A629" s="19"/>
    </row>
    <row r="630" spans="1:1" ht="15.75" customHeight="1">
      <c r="A630" s="19"/>
    </row>
    <row r="631" spans="1:1" ht="15.75" customHeight="1">
      <c r="A631" s="19"/>
    </row>
    <row r="632" spans="1:1" ht="15.75" customHeight="1">
      <c r="A632" s="19"/>
    </row>
    <row r="633" spans="1:1" ht="15.75" customHeight="1">
      <c r="A633" s="19"/>
    </row>
    <row r="634" spans="1:1" ht="15.75" customHeight="1">
      <c r="A634" s="19"/>
    </row>
    <row r="635" spans="1:1" ht="15.75" customHeight="1">
      <c r="A635" s="19"/>
    </row>
    <row r="636" spans="1:1" ht="15.75" customHeight="1">
      <c r="A636" s="19"/>
    </row>
    <row r="637" spans="1:1" ht="15.75" customHeight="1">
      <c r="A637" s="19"/>
    </row>
    <row r="638" spans="1:1" ht="15.75" customHeight="1">
      <c r="A638" s="19"/>
    </row>
    <row r="639" spans="1:1" ht="15.75" customHeight="1">
      <c r="A639" s="19"/>
    </row>
    <row r="640" spans="1:1" ht="15.75" customHeight="1">
      <c r="A640" s="19"/>
    </row>
    <row r="641" spans="1:1" ht="15.75" customHeight="1">
      <c r="A641" s="19"/>
    </row>
    <row r="642" spans="1:1" ht="15.75" customHeight="1">
      <c r="A642" s="19"/>
    </row>
    <row r="643" spans="1:1" ht="15.75" customHeight="1">
      <c r="A643" s="19"/>
    </row>
    <row r="644" spans="1:1" ht="15.75" customHeight="1">
      <c r="A644" s="19"/>
    </row>
    <row r="645" spans="1:1" ht="15.75" customHeight="1">
      <c r="A645" s="19"/>
    </row>
    <row r="646" spans="1:1" ht="15.75" customHeight="1">
      <c r="A646" s="19"/>
    </row>
    <row r="647" spans="1:1" ht="15.75" customHeight="1">
      <c r="A647" s="19"/>
    </row>
    <row r="648" spans="1:1" ht="15.75" customHeight="1">
      <c r="A648" s="19"/>
    </row>
    <row r="649" spans="1:1" ht="15.75" customHeight="1">
      <c r="A649" s="19"/>
    </row>
    <row r="650" spans="1:1" ht="15.75" customHeight="1">
      <c r="A650" s="19"/>
    </row>
    <row r="651" spans="1:1" ht="15.75" customHeight="1">
      <c r="A651" s="19"/>
    </row>
    <row r="652" spans="1:1" ht="15.75" customHeight="1">
      <c r="A652" s="19"/>
    </row>
    <row r="653" spans="1:1" ht="15.75" customHeight="1">
      <c r="A653" s="19"/>
    </row>
    <row r="654" spans="1:1" ht="15.75" customHeight="1">
      <c r="A654" s="19"/>
    </row>
    <row r="655" spans="1:1" ht="15.75" customHeight="1">
      <c r="A655" s="19"/>
    </row>
    <row r="656" spans="1:1" ht="15.75" customHeight="1">
      <c r="A656" s="19"/>
    </row>
    <row r="657" spans="1:1" ht="15.75" customHeight="1">
      <c r="A657" s="19"/>
    </row>
    <row r="658" spans="1:1" ht="15.75" customHeight="1">
      <c r="A658" s="19"/>
    </row>
    <row r="659" spans="1:1" ht="15.75" customHeight="1">
      <c r="A659" s="19"/>
    </row>
    <row r="660" spans="1:1" ht="15.75" customHeight="1">
      <c r="A660" s="19"/>
    </row>
    <row r="661" spans="1:1" ht="15.75" customHeight="1">
      <c r="A661" s="19"/>
    </row>
    <row r="662" spans="1:1" ht="15.75" customHeight="1">
      <c r="A662" s="19"/>
    </row>
    <row r="663" spans="1:1" ht="15.75" customHeight="1">
      <c r="A663" s="19"/>
    </row>
    <row r="664" spans="1:1" ht="15.75" customHeight="1">
      <c r="A664" s="19"/>
    </row>
    <row r="665" spans="1:1" ht="15.75" customHeight="1">
      <c r="A665" s="19"/>
    </row>
    <row r="666" spans="1:1" ht="15.75" customHeight="1">
      <c r="A666" s="19"/>
    </row>
    <row r="667" spans="1:1" ht="15.75" customHeight="1">
      <c r="A667" s="19"/>
    </row>
    <row r="668" spans="1:1" ht="15.75" customHeight="1">
      <c r="A668" s="19"/>
    </row>
    <row r="669" spans="1:1" ht="15.75" customHeight="1">
      <c r="A669" s="19"/>
    </row>
    <row r="670" spans="1:1" ht="15.75" customHeight="1">
      <c r="A670" s="19"/>
    </row>
    <row r="671" spans="1:1" ht="15.75" customHeight="1">
      <c r="A671" s="19"/>
    </row>
    <row r="672" spans="1:1" ht="15.75" customHeight="1">
      <c r="A672" s="19"/>
    </row>
    <row r="673" spans="1:1" ht="15.75" customHeight="1">
      <c r="A673" s="19"/>
    </row>
    <row r="674" spans="1:1" ht="15.75" customHeight="1">
      <c r="A674" s="19"/>
    </row>
    <row r="675" spans="1:1" ht="15.75" customHeight="1">
      <c r="A675" s="19"/>
    </row>
    <row r="676" spans="1:1" ht="15.75" customHeight="1">
      <c r="A676" s="19"/>
    </row>
    <row r="677" spans="1:1" ht="15.75" customHeight="1">
      <c r="A677" s="19"/>
    </row>
    <row r="678" spans="1:1" ht="15.75" customHeight="1">
      <c r="A678" s="19"/>
    </row>
    <row r="679" spans="1:1" ht="15.75" customHeight="1">
      <c r="A679" s="19"/>
    </row>
    <row r="680" spans="1:1" ht="15.75" customHeight="1">
      <c r="A680" s="19"/>
    </row>
    <row r="681" spans="1:1" ht="15.75" customHeight="1">
      <c r="A681" s="19"/>
    </row>
    <row r="682" spans="1:1" ht="15.75" customHeight="1">
      <c r="A682" s="19"/>
    </row>
    <row r="683" spans="1:1" ht="15.75" customHeight="1">
      <c r="A683" s="19"/>
    </row>
    <row r="684" spans="1:1" ht="15.75" customHeight="1">
      <c r="A684" s="19"/>
    </row>
    <row r="685" spans="1:1" ht="15.75" customHeight="1">
      <c r="A685" s="19"/>
    </row>
    <row r="686" spans="1:1" ht="15.75" customHeight="1">
      <c r="A686" s="19"/>
    </row>
    <row r="687" spans="1:1" ht="15.75" customHeight="1">
      <c r="A687" s="19"/>
    </row>
    <row r="688" spans="1:1" ht="15.75" customHeight="1">
      <c r="A688" s="19"/>
    </row>
    <row r="689" spans="1:1" ht="15.75" customHeight="1">
      <c r="A689" s="19"/>
    </row>
    <row r="690" spans="1:1" ht="15.75" customHeight="1">
      <c r="A690" s="19"/>
    </row>
    <row r="691" spans="1:1" ht="15.75" customHeight="1">
      <c r="A691" s="19"/>
    </row>
    <row r="692" spans="1:1" ht="15.75" customHeight="1">
      <c r="A692" s="19"/>
    </row>
    <row r="693" spans="1:1" ht="15.75" customHeight="1">
      <c r="A693" s="19"/>
    </row>
    <row r="694" spans="1:1" ht="15.75" customHeight="1">
      <c r="A694" s="19"/>
    </row>
    <row r="695" spans="1:1" ht="15.75" customHeight="1">
      <c r="A695" s="19"/>
    </row>
    <row r="696" spans="1:1" ht="15.75" customHeight="1">
      <c r="A696" s="19"/>
    </row>
    <row r="697" spans="1:1" ht="15.75" customHeight="1">
      <c r="A697" s="19"/>
    </row>
    <row r="698" spans="1:1" ht="15.75" customHeight="1">
      <c r="A698" s="19"/>
    </row>
    <row r="699" spans="1:1" ht="15.75" customHeight="1">
      <c r="A699" s="19"/>
    </row>
    <row r="700" spans="1:1" ht="15.75" customHeight="1">
      <c r="A700" s="19"/>
    </row>
    <row r="701" spans="1:1" ht="15.75" customHeight="1">
      <c r="A701" s="19"/>
    </row>
    <row r="702" spans="1:1" ht="15.75" customHeight="1">
      <c r="A702" s="19"/>
    </row>
    <row r="703" spans="1:1" ht="15.75" customHeight="1">
      <c r="A703" s="19"/>
    </row>
    <row r="704" spans="1:1" ht="15.75" customHeight="1">
      <c r="A704" s="19"/>
    </row>
    <row r="705" spans="1:1" ht="15.75" customHeight="1">
      <c r="A705" s="19"/>
    </row>
    <row r="706" spans="1:1" ht="15.75" customHeight="1">
      <c r="A706" s="19"/>
    </row>
    <row r="707" spans="1:1" ht="15.75" customHeight="1">
      <c r="A707" s="19"/>
    </row>
    <row r="708" spans="1:1" ht="15.75" customHeight="1">
      <c r="A708" s="19"/>
    </row>
    <row r="709" spans="1:1" ht="15.75" customHeight="1">
      <c r="A709" s="19"/>
    </row>
    <row r="710" spans="1:1" ht="15.75" customHeight="1">
      <c r="A710" s="19"/>
    </row>
    <row r="711" spans="1:1" ht="15.75" customHeight="1">
      <c r="A711" s="19"/>
    </row>
    <row r="712" spans="1:1" ht="15.75" customHeight="1">
      <c r="A712" s="19"/>
    </row>
    <row r="713" spans="1:1" ht="15.75" customHeight="1">
      <c r="A713" s="19"/>
    </row>
    <row r="714" spans="1:1" ht="15.75" customHeight="1">
      <c r="A714" s="19"/>
    </row>
    <row r="715" spans="1:1" ht="15.75" customHeight="1">
      <c r="A715" s="19"/>
    </row>
    <row r="716" spans="1:1" ht="15.75" customHeight="1">
      <c r="A716" s="19"/>
    </row>
    <row r="717" spans="1:1" ht="15.75" customHeight="1">
      <c r="A717" s="19"/>
    </row>
    <row r="718" spans="1:1" ht="15.75" customHeight="1">
      <c r="A718" s="19"/>
    </row>
    <row r="719" spans="1:1" ht="15.75" customHeight="1">
      <c r="A719" s="19"/>
    </row>
    <row r="720" spans="1:1" ht="15.75" customHeight="1">
      <c r="A720" s="19"/>
    </row>
    <row r="721" spans="1:1" ht="15.75" customHeight="1">
      <c r="A721" s="19"/>
    </row>
    <row r="722" spans="1:1" ht="15.75" customHeight="1">
      <c r="A722" s="19"/>
    </row>
    <row r="723" spans="1:1" ht="15.75" customHeight="1">
      <c r="A723" s="19"/>
    </row>
    <row r="724" spans="1:1" ht="15.75" customHeight="1">
      <c r="A724" s="19"/>
    </row>
    <row r="725" spans="1:1" ht="15.75" customHeight="1">
      <c r="A725" s="19"/>
    </row>
    <row r="726" spans="1:1" ht="15.75" customHeight="1">
      <c r="A726" s="19"/>
    </row>
    <row r="727" spans="1:1" ht="15.75" customHeight="1">
      <c r="A727" s="19"/>
    </row>
    <row r="728" spans="1:1" ht="15.75" customHeight="1">
      <c r="A728" s="19"/>
    </row>
    <row r="729" spans="1:1" ht="15.75" customHeight="1">
      <c r="A729" s="19"/>
    </row>
    <row r="730" spans="1:1" ht="15.75" customHeight="1">
      <c r="A730" s="19"/>
    </row>
    <row r="731" spans="1:1" ht="15.75" customHeight="1">
      <c r="A731" s="19"/>
    </row>
    <row r="732" spans="1:1" ht="15.75" customHeight="1">
      <c r="A732" s="19"/>
    </row>
    <row r="733" spans="1:1" ht="15.75" customHeight="1">
      <c r="A733" s="19"/>
    </row>
    <row r="734" spans="1:1" ht="15.75" customHeight="1">
      <c r="A734" s="19"/>
    </row>
    <row r="735" spans="1:1" ht="15.75" customHeight="1">
      <c r="A735" s="19"/>
    </row>
    <row r="736" spans="1:1" ht="15.75" customHeight="1">
      <c r="A736" s="19"/>
    </row>
    <row r="737" spans="1:1" ht="15.75" customHeight="1">
      <c r="A737" s="19"/>
    </row>
    <row r="738" spans="1:1" ht="15.75" customHeight="1">
      <c r="A738" s="19"/>
    </row>
    <row r="739" spans="1:1" ht="15.75" customHeight="1">
      <c r="A739" s="19"/>
    </row>
    <row r="740" spans="1:1" ht="15.75" customHeight="1">
      <c r="A740" s="19"/>
    </row>
    <row r="741" spans="1:1" ht="15.75" customHeight="1">
      <c r="A741" s="19"/>
    </row>
    <row r="742" spans="1:1" ht="15.75" customHeight="1">
      <c r="A742" s="19"/>
    </row>
    <row r="743" spans="1:1" ht="15.75" customHeight="1">
      <c r="A743" s="19"/>
    </row>
    <row r="744" spans="1:1" ht="15.75" customHeight="1">
      <c r="A744" s="19"/>
    </row>
    <row r="745" spans="1:1" ht="15.75" customHeight="1">
      <c r="A745" s="19"/>
    </row>
    <row r="746" spans="1:1" ht="15.75" customHeight="1">
      <c r="A746" s="19"/>
    </row>
    <row r="747" spans="1:1" ht="15.75" customHeight="1">
      <c r="A747" s="19"/>
    </row>
    <row r="748" spans="1:1" ht="15.75" customHeight="1">
      <c r="A748" s="19"/>
    </row>
    <row r="749" spans="1:1" ht="15.75" customHeight="1">
      <c r="A749" s="19"/>
    </row>
    <row r="750" spans="1:1" ht="15.75" customHeight="1">
      <c r="A750" s="19"/>
    </row>
    <row r="751" spans="1:1" ht="15.75" customHeight="1">
      <c r="A751" s="19"/>
    </row>
    <row r="752" spans="1:1" ht="15.75" customHeight="1">
      <c r="A752" s="19"/>
    </row>
    <row r="753" spans="1:1" ht="15.75" customHeight="1">
      <c r="A753" s="19"/>
    </row>
    <row r="754" spans="1:1" ht="15.75" customHeight="1">
      <c r="A754" s="19"/>
    </row>
    <row r="755" spans="1:1" ht="15.75" customHeight="1">
      <c r="A755" s="19"/>
    </row>
    <row r="756" spans="1:1" ht="15.75" customHeight="1">
      <c r="A756" s="19"/>
    </row>
    <row r="757" spans="1:1" ht="15.75" customHeight="1">
      <c r="A757" s="19"/>
    </row>
    <row r="758" spans="1:1" ht="15.75" customHeight="1">
      <c r="A758" s="19"/>
    </row>
    <row r="759" spans="1:1" ht="15.75" customHeight="1">
      <c r="A759" s="19"/>
    </row>
    <row r="760" spans="1:1" ht="15.75" customHeight="1">
      <c r="A760" s="19"/>
    </row>
    <row r="761" spans="1:1" ht="15.75" customHeight="1">
      <c r="A761" s="19"/>
    </row>
    <row r="762" spans="1:1" ht="15.75" customHeight="1">
      <c r="A762" s="19"/>
    </row>
    <row r="763" spans="1:1" ht="15.75" customHeight="1">
      <c r="A763" s="19"/>
    </row>
    <row r="764" spans="1:1" ht="15.75" customHeight="1">
      <c r="A764" s="19"/>
    </row>
    <row r="765" spans="1:1" ht="15.75" customHeight="1">
      <c r="A765" s="19"/>
    </row>
    <row r="766" spans="1:1" ht="15.75" customHeight="1">
      <c r="A766" s="19"/>
    </row>
    <row r="767" spans="1:1" ht="15.75" customHeight="1">
      <c r="A767" s="19"/>
    </row>
    <row r="768" spans="1:1" ht="15.75" customHeight="1">
      <c r="A768" s="19"/>
    </row>
    <row r="769" spans="1:1" ht="15.75" customHeight="1">
      <c r="A769" s="19"/>
    </row>
    <row r="770" spans="1:1" ht="15.75" customHeight="1">
      <c r="A770" s="19"/>
    </row>
    <row r="771" spans="1:1" ht="15.75" customHeight="1">
      <c r="A771" s="19"/>
    </row>
    <row r="772" spans="1:1" ht="15.75" customHeight="1">
      <c r="A772" s="19"/>
    </row>
    <row r="773" spans="1:1" ht="15.75" customHeight="1">
      <c r="A773" s="19"/>
    </row>
    <row r="774" spans="1:1" ht="15.75" customHeight="1">
      <c r="A774" s="19"/>
    </row>
    <row r="775" spans="1:1" ht="15.75" customHeight="1">
      <c r="A775" s="19"/>
    </row>
    <row r="776" spans="1:1" ht="15.75" customHeight="1">
      <c r="A776" s="19"/>
    </row>
    <row r="777" spans="1:1" ht="15.75" customHeight="1">
      <c r="A777" s="19"/>
    </row>
    <row r="778" spans="1:1" ht="15.75" customHeight="1">
      <c r="A778" s="19"/>
    </row>
    <row r="779" spans="1:1" ht="15.75" customHeight="1">
      <c r="A779" s="19"/>
    </row>
    <row r="780" spans="1:1" ht="15.75" customHeight="1">
      <c r="A780" s="19"/>
    </row>
    <row r="781" spans="1:1" ht="15.75" customHeight="1">
      <c r="A781" s="19"/>
    </row>
    <row r="782" spans="1:1" ht="15.75" customHeight="1">
      <c r="A782" s="19"/>
    </row>
    <row r="783" spans="1:1" ht="15.75" customHeight="1">
      <c r="A783" s="19"/>
    </row>
    <row r="784" spans="1:1" ht="15.75" customHeight="1">
      <c r="A784" s="19"/>
    </row>
    <row r="785" spans="1:1" ht="15.75" customHeight="1">
      <c r="A785" s="19"/>
    </row>
    <row r="786" spans="1:1" ht="15.75" customHeight="1">
      <c r="A786" s="19"/>
    </row>
    <row r="787" spans="1:1" ht="15.75" customHeight="1">
      <c r="A787" s="19"/>
    </row>
    <row r="788" spans="1:1" ht="15.75" customHeight="1">
      <c r="A788" s="19"/>
    </row>
    <row r="789" spans="1:1" ht="15.75" customHeight="1">
      <c r="A789" s="19"/>
    </row>
    <row r="790" spans="1:1" ht="15.75" customHeight="1">
      <c r="A790" s="19"/>
    </row>
    <row r="791" spans="1:1" ht="15.75" customHeight="1">
      <c r="A791" s="19"/>
    </row>
    <row r="792" spans="1:1" ht="15.75" customHeight="1">
      <c r="A792" s="19"/>
    </row>
    <row r="793" spans="1:1" ht="15.75" customHeight="1">
      <c r="A793" s="19"/>
    </row>
    <row r="794" spans="1:1" ht="15.75" customHeight="1">
      <c r="A794" s="19"/>
    </row>
    <row r="795" spans="1:1" ht="15.75" customHeight="1">
      <c r="A795" s="19"/>
    </row>
    <row r="796" spans="1:1" ht="15.75" customHeight="1">
      <c r="A796" s="19"/>
    </row>
    <row r="797" spans="1:1" ht="15.75" customHeight="1">
      <c r="A797" s="19"/>
    </row>
    <row r="798" spans="1:1" ht="15.75" customHeight="1">
      <c r="A798" s="19"/>
    </row>
    <row r="799" spans="1:1" ht="15.75" customHeight="1">
      <c r="A799" s="19"/>
    </row>
    <row r="800" spans="1:1" ht="15.75" customHeight="1">
      <c r="A800" s="19"/>
    </row>
    <row r="801" spans="1:1" ht="15.75" customHeight="1">
      <c r="A801" s="19"/>
    </row>
    <row r="802" spans="1:1" ht="15.75" customHeight="1">
      <c r="A802" s="19"/>
    </row>
    <row r="803" spans="1:1" ht="15.75" customHeight="1">
      <c r="A803" s="19"/>
    </row>
    <row r="804" spans="1:1" ht="15.75" customHeight="1">
      <c r="A804" s="19"/>
    </row>
    <row r="805" spans="1:1" ht="15.75" customHeight="1">
      <c r="A805" s="19"/>
    </row>
    <row r="806" spans="1:1" ht="15.75" customHeight="1">
      <c r="A806" s="19"/>
    </row>
    <row r="807" spans="1:1" ht="15.75" customHeight="1">
      <c r="A807" s="19"/>
    </row>
    <row r="808" spans="1:1" ht="15.75" customHeight="1">
      <c r="A808" s="19"/>
    </row>
    <row r="809" spans="1:1" ht="15.75" customHeight="1">
      <c r="A809" s="19"/>
    </row>
    <row r="810" spans="1:1" ht="15.75" customHeight="1">
      <c r="A810" s="19"/>
    </row>
    <row r="811" spans="1:1" ht="15.75" customHeight="1">
      <c r="A811" s="19"/>
    </row>
    <row r="812" spans="1:1" ht="15.75" customHeight="1">
      <c r="A812" s="19"/>
    </row>
    <row r="813" spans="1:1" ht="15.75" customHeight="1">
      <c r="A813" s="19"/>
    </row>
    <row r="814" spans="1:1" ht="15.75" customHeight="1">
      <c r="A814" s="19"/>
    </row>
    <row r="815" spans="1:1" ht="15.75" customHeight="1">
      <c r="A815" s="19"/>
    </row>
    <row r="816" spans="1:1" ht="15.75" customHeight="1">
      <c r="A816" s="19"/>
    </row>
    <row r="817" spans="1:1" ht="15.75" customHeight="1">
      <c r="A817" s="19"/>
    </row>
    <row r="818" spans="1:1" ht="15.75" customHeight="1">
      <c r="A818" s="19"/>
    </row>
    <row r="819" spans="1:1" ht="15.75" customHeight="1">
      <c r="A819" s="19"/>
    </row>
    <row r="820" spans="1:1" ht="15.75" customHeight="1">
      <c r="A820" s="19"/>
    </row>
    <row r="821" spans="1:1" ht="15.75" customHeight="1">
      <c r="A821" s="19"/>
    </row>
    <row r="822" spans="1:1" ht="15.75" customHeight="1">
      <c r="A822" s="19"/>
    </row>
    <row r="823" spans="1:1" ht="15.75" customHeight="1">
      <c r="A823" s="19"/>
    </row>
    <row r="824" spans="1:1" ht="15.75" customHeight="1">
      <c r="A824" s="19"/>
    </row>
    <row r="825" spans="1:1" ht="15.75" customHeight="1">
      <c r="A825" s="19"/>
    </row>
    <row r="826" spans="1:1" ht="15.75" customHeight="1">
      <c r="A826" s="19"/>
    </row>
    <row r="827" spans="1:1" ht="15.75" customHeight="1">
      <c r="A827" s="19"/>
    </row>
    <row r="828" spans="1:1" ht="15.75" customHeight="1">
      <c r="A828" s="19"/>
    </row>
    <row r="829" spans="1:1" ht="15.75" customHeight="1">
      <c r="A829" s="19"/>
    </row>
    <row r="830" spans="1:1" ht="15.75" customHeight="1">
      <c r="A830" s="19"/>
    </row>
    <row r="831" spans="1:1" ht="15.75" customHeight="1">
      <c r="A831" s="19"/>
    </row>
    <row r="832" spans="1:1" ht="15.75" customHeight="1">
      <c r="A832" s="19"/>
    </row>
    <row r="833" spans="1:1" ht="15.75" customHeight="1">
      <c r="A833" s="19"/>
    </row>
    <row r="834" spans="1:1" ht="15.75" customHeight="1">
      <c r="A834" s="19"/>
    </row>
    <row r="835" spans="1:1" ht="15.75" customHeight="1">
      <c r="A835" s="19"/>
    </row>
    <row r="836" spans="1:1" ht="15.75" customHeight="1">
      <c r="A836" s="19"/>
    </row>
    <row r="837" spans="1:1" ht="15.75" customHeight="1">
      <c r="A837" s="19"/>
    </row>
    <row r="838" spans="1:1" ht="15.75" customHeight="1">
      <c r="A838" s="19"/>
    </row>
    <row r="839" spans="1:1" ht="15.75" customHeight="1">
      <c r="A839" s="19"/>
    </row>
    <row r="840" spans="1:1" ht="15.75" customHeight="1">
      <c r="A840" s="19"/>
    </row>
    <row r="841" spans="1:1" ht="15.75" customHeight="1">
      <c r="A841" s="19"/>
    </row>
    <row r="842" spans="1:1" ht="15.75" customHeight="1">
      <c r="A842" s="19"/>
    </row>
    <row r="843" spans="1:1" ht="15.75" customHeight="1">
      <c r="A843" s="19"/>
    </row>
    <row r="844" spans="1:1" ht="15.75" customHeight="1">
      <c r="A844" s="19"/>
    </row>
    <row r="845" spans="1:1" ht="15.75" customHeight="1">
      <c r="A845" s="19"/>
    </row>
    <row r="846" spans="1:1" ht="15.75" customHeight="1">
      <c r="A846" s="19"/>
    </row>
    <row r="847" spans="1:1" ht="15.75" customHeight="1">
      <c r="A847" s="19"/>
    </row>
    <row r="848" spans="1:1" ht="15.75" customHeight="1">
      <c r="A848" s="19"/>
    </row>
    <row r="849" spans="1:1" ht="15.75" customHeight="1">
      <c r="A849" s="19"/>
    </row>
    <row r="850" spans="1:1" ht="15.75" customHeight="1">
      <c r="A850" s="19"/>
    </row>
    <row r="851" spans="1:1" ht="15.75" customHeight="1">
      <c r="A851" s="19"/>
    </row>
    <row r="852" spans="1:1" ht="15.75" customHeight="1">
      <c r="A852" s="19"/>
    </row>
    <row r="853" spans="1:1" ht="15.75" customHeight="1">
      <c r="A853" s="19"/>
    </row>
    <row r="854" spans="1:1" ht="15.75" customHeight="1">
      <c r="A854" s="19"/>
    </row>
    <row r="855" spans="1:1" ht="15.75" customHeight="1">
      <c r="A855" s="19"/>
    </row>
    <row r="856" spans="1:1" ht="15.75" customHeight="1">
      <c r="A856" s="19"/>
    </row>
    <row r="857" spans="1:1" ht="15.75" customHeight="1">
      <c r="A857" s="19"/>
    </row>
    <row r="858" spans="1:1" ht="15.75" customHeight="1">
      <c r="A858" s="19"/>
    </row>
    <row r="859" spans="1:1" ht="15.75" customHeight="1">
      <c r="A859" s="19"/>
    </row>
    <row r="860" spans="1:1" ht="15.75" customHeight="1">
      <c r="A860" s="19"/>
    </row>
    <row r="861" spans="1:1" ht="15.75" customHeight="1">
      <c r="A861" s="19"/>
    </row>
    <row r="862" spans="1:1" ht="15.75" customHeight="1">
      <c r="A862" s="19"/>
    </row>
    <row r="863" spans="1:1" ht="15.75" customHeight="1">
      <c r="A863" s="19"/>
    </row>
    <row r="864" spans="1:1" ht="15.75" customHeight="1">
      <c r="A864" s="19"/>
    </row>
    <row r="865" spans="1:1" ht="15.75" customHeight="1">
      <c r="A865" s="19"/>
    </row>
    <row r="866" spans="1:1" ht="15.75" customHeight="1">
      <c r="A866" s="19"/>
    </row>
    <row r="867" spans="1:1" ht="15.75" customHeight="1">
      <c r="A867" s="19"/>
    </row>
    <row r="868" spans="1:1" ht="15.75" customHeight="1">
      <c r="A868" s="19"/>
    </row>
    <row r="869" spans="1:1" ht="15.75" customHeight="1">
      <c r="A869" s="19"/>
    </row>
    <row r="870" spans="1:1" ht="15.75" customHeight="1">
      <c r="A870" s="19"/>
    </row>
    <row r="871" spans="1:1" ht="15.75" customHeight="1">
      <c r="A871" s="19"/>
    </row>
    <row r="872" spans="1:1" ht="15.75" customHeight="1">
      <c r="A872" s="19"/>
    </row>
    <row r="873" spans="1:1" ht="15.75" customHeight="1">
      <c r="A873" s="19"/>
    </row>
    <row r="874" spans="1:1" ht="15.75" customHeight="1">
      <c r="A874" s="19"/>
    </row>
    <row r="875" spans="1:1" ht="15.75" customHeight="1">
      <c r="A875" s="19"/>
    </row>
    <row r="876" spans="1:1" ht="15.75" customHeight="1">
      <c r="A876" s="19"/>
    </row>
    <row r="877" spans="1:1" ht="15.75" customHeight="1">
      <c r="A877" s="19"/>
    </row>
    <row r="878" spans="1:1" ht="15.75" customHeight="1">
      <c r="A878" s="19"/>
    </row>
    <row r="879" spans="1:1" ht="15.75" customHeight="1">
      <c r="A879" s="19"/>
    </row>
    <row r="880" spans="1:1" ht="15.75" customHeight="1">
      <c r="A880" s="19"/>
    </row>
    <row r="881" spans="1:1" ht="15.75" customHeight="1">
      <c r="A881" s="19"/>
    </row>
    <row r="882" spans="1:1" ht="15.75" customHeight="1">
      <c r="A882" s="19"/>
    </row>
    <row r="883" spans="1:1" ht="15.75" customHeight="1">
      <c r="A883" s="19"/>
    </row>
    <row r="884" spans="1:1" ht="15.75" customHeight="1">
      <c r="A884" s="19"/>
    </row>
    <row r="885" spans="1:1" ht="15.75" customHeight="1">
      <c r="A885" s="19"/>
    </row>
    <row r="886" spans="1:1" ht="15.75" customHeight="1">
      <c r="A886" s="19"/>
    </row>
    <row r="887" spans="1:1" ht="15.75" customHeight="1">
      <c r="A887" s="19"/>
    </row>
    <row r="888" spans="1:1" ht="15.75" customHeight="1">
      <c r="A888" s="19"/>
    </row>
    <row r="889" spans="1:1" ht="15.75" customHeight="1">
      <c r="A889" s="19"/>
    </row>
    <row r="890" spans="1:1" ht="15.75" customHeight="1">
      <c r="A890" s="19"/>
    </row>
    <row r="891" spans="1:1" ht="15.75" customHeight="1">
      <c r="A891" s="19"/>
    </row>
    <row r="892" spans="1:1" ht="15.75" customHeight="1">
      <c r="A892" s="19"/>
    </row>
    <row r="893" spans="1:1" ht="15.75" customHeight="1">
      <c r="A893" s="19"/>
    </row>
    <row r="894" spans="1:1" ht="15.75" customHeight="1">
      <c r="A894" s="19"/>
    </row>
    <row r="895" spans="1:1" ht="15.75" customHeight="1">
      <c r="A895" s="19"/>
    </row>
    <row r="896" spans="1:1" ht="15.75" customHeight="1">
      <c r="A896" s="19"/>
    </row>
    <row r="897" spans="1:1" ht="15.75" customHeight="1">
      <c r="A897" s="19"/>
    </row>
    <row r="898" spans="1:1" ht="15.75" customHeight="1">
      <c r="A898" s="19"/>
    </row>
    <row r="899" spans="1:1" ht="15.75" customHeight="1">
      <c r="A899" s="19"/>
    </row>
    <row r="900" spans="1:1" ht="15.75" customHeight="1">
      <c r="A900" s="19"/>
    </row>
    <row r="901" spans="1:1" ht="15.75" customHeight="1">
      <c r="A901" s="19"/>
    </row>
    <row r="902" spans="1:1" ht="15.75" customHeight="1">
      <c r="A902" s="19"/>
    </row>
    <row r="903" spans="1:1" ht="15.75" customHeight="1">
      <c r="A903" s="19"/>
    </row>
    <row r="904" spans="1:1" ht="15.75" customHeight="1">
      <c r="A904" s="19"/>
    </row>
    <row r="905" spans="1:1" ht="15.75" customHeight="1">
      <c r="A905" s="19"/>
    </row>
    <row r="906" spans="1:1" ht="15.75" customHeight="1">
      <c r="A906" s="19"/>
    </row>
    <row r="907" spans="1:1" ht="15.75" customHeight="1">
      <c r="A907" s="19"/>
    </row>
    <row r="908" spans="1:1" ht="15.75" customHeight="1">
      <c r="A908" s="19"/>
    </row>
    <row r="909" spans="1:1" ht="15.75" customHeight="1">
      <c r="A909" s="19"/>
    </row>
    <row r="910" spans="1:1" ht="15.75" customHeight="1">
      <c r="A910" s="19"/>
    </row>
    <row r="911" spans="1:1" ht="15.75" customHeight="1">
      <c r="A911" s="19"/>
    </row>
    <row r="912" spans="1:1" ht="15.75" customHeight="1">
      <c r="A912" s="19"/>
    </row>
    <row r="913" spans="1:1" ht="15.75" customHeight="1">
      <c r="A913" s="19"/>
    </row>
    <row r="914" spans="1:1" ht="15.75" customHeight="1">
      <c r="A914" s="19"/>
    </row>
    <row r="915" spans="1:1" ht="15.75" customHeight="1">
      <c r="A915" s="19"/>
    </row>
    <row r="916" spans="1:1" ht="15.75" customHeight="1">
      <c r="A916" s="19"/>
    </row>
    <row r="917" spans="1:1" ht="15.75" customHeight="1">
      <c r="A917" s="19"/>
    </row>
    <row r="918" spans="1:1" ht="15.75" customHeight="1">
      <c r="A918" s="19"/>
    </row>
    <row r="919" spans="1:1" ht="15.75" customHeight="1">
      <c r="A919" s="19"/>
    </row>
    <row r="920" spans="1:1" ht="15.75" customHeight="1">
      <c r="A920" s="19"/>
    </row>
    <row r="921" spans="1:1" ht="15.75" customHeight="1">
      <c r="A921" s="19"/>
    </row>
    <row r="922" spans="1:1" ht="15.75" customHeight="1">
      <c r="A922" s="19"/>
    </row>
    <row r="923" spans="1:1" ht="15.75" customHeight="1">
      <c r="A923" s="19"/>
    </row>
    <row r="924" spans="1:1" ht="15.75" customHeight="1">
      <c r="A924" s="19"/>
    </row>
    <row r="925" spans="1:1" ht="15.75" customHeight="1">
      <c r="A925" s="19"/>
    </row>
    <row r="926" spans="1:1" ht="15.75" customHeight="1">
      <c r="A926" s="19"/>
    </row>
    <row r="927" spans="1:1" ht="15.75" customHeight="1">
      <c r="A927" s="19"/>
    </row>
    <row r="928" spans="1:1" ht="15.75" customHeight="1">
      <c r="A928" s="19"/>
    </row>
    <row r="929" spans="1:1" ht="15.75" customHeight="1">
      <c r="A929" s="19"/>
    </row>
    <row r="930" spans="1:1" ht="15.75" customHeight="1">
      <c r="A930" s="19"/>
    </row>
    <row r="931" spans="1:1" ht="15.75" customHeight="1">
      <c r="A931" s="19"/>
    </row>
    <row r="932" spans="1:1" ht="15.75" customHeight="1">
      <c r="A932" s="19"/>
    </row>
    <row r="933" spans="1:1" ht="15.75" customHeight="1">
      <c r="A933" s="19"/>
    </row>
    <row r="934" spans="1:1" ht="15.75" customHeight="1">
      <c r="A934" s="19"/>
    </row>
    <row r="935" spans="1:1" ht="15.75" customHeight="1">
      <c r="A935" s="19"/>
    </row>
    <row r="936" spans="1:1" ht="15.75" customHeight="1">
      <c r="A936" s="19"/>
    </row>
    <row r="937" spans="1:1" ht="15.75" customHeight="1">
      <c r="A937" s="19"/>
    </row>
    <row r="938" spans="1:1" ht="15.75" customHeight="1">
      <c r="A938" s="19"/>
    </row>
    <row r="939" spans="1:1" ht="15.75" customHeight="1">
      <c r="A939" s="19"/>
    </row>
    <row r="940" spans="1:1" ht="15.75" customHeight="1">
      <c r="A940" s="19"/>
    </row>
    <row r="941" spans="1:1" ht="15.75" customHeight="1">
      <c r="A941" s="19"/>
    </row>
    <row r="942" spans="1:1" ht="15.75" customHeight="1">
      <c r="A942" s="19"/>
    </row>
    <row r="943" spans="1:1" ht="15.75" customHeight="1">
      <c r="A943" s="19"/>
    </row>
    <row r="944" spans="1:1" ht="15.75" customHeight="1">
      <c r="A944" s="19"/>
    </row>
    <row r="945" spans="1:1" ht="15.75" customHeight="1">
      <c r="A945" s="19"/>
    </row>
    <row r="946" spans="1:1" ht="15.75" customHeight="1">
      <c r="A946" s="19"/>
    </row>
    <row r="947" spans="1:1" ht="15.75" customHeight="1">
      <c r="A947" s="19"/>
    </row>
    <row r="948" spans="1:1" ht="15.75" customHeight="1">
      <c r="A948" s="19"/>
    </row>
    <row r="949" spans="1:1" ht="15.75" customHeight="1">
      <c r="A949" s="19"/>
    </row>
    <row r="950" spans="1:1" ht="15.75" customHeight="1">
      <c r="A950" s="19"/>
    </row>
    <row r="951" spans="1:1" ht="15.75" customHeight="1">
      <c r="A951" s="19"/>
    </row>
    <row r="952" spans="1:1" ht="15.75" customHeight="1">
      <c r="A952" s="19"/>
    </row>
    <row r="953" spans="1:1" ht="15.75" customHeight="1">
      <c r="A953" s="19"/>
    </row>
    <row r="954" spans="1:1" ht="15.75" customHeight="1">
      <c r="A954" s="19"/>
    </row>
    <row r="955" spans="1:1" ht="15.75" customHeight="1">
      <c r="A955" s="19"/>
    </row>
    <row r="956" spans="1:1" ht="15.75" customHeight="1">
      <c r="A956" s="19"/>
    </row>
    <row r="957" spans="1:1" ht="15.75" customHeight="1">
      <c r="A957" s="19"/>
    </row>
    <row r="958" spans="1:1" ht="15.75" customHeight="1">
      <c r="A958" s="19"/>
    </row>
    <row r="959" spans="1:1" ht="15.75" customHeight="1">
      <c r="A959" s="19"/>
    </row>
    <row r="960" spans="1:1" ht="15.75" customHeight="1">
      <c r="A960" s="19"/>
    </row>
    <row r="961" spans="1:1" ht="15.75" customHeight="1">
      <c r="A961" s="19"/>
    </row>
    <row r="962" spans="1:1" ht="15.75" customHeight="1">
      <c r="A962" s="19"/>
    </row>
    <row r="963" spans="1:1" ht="15.75" customHeight="1">
      <c r="A963" s="19"/>
    </row>
    <row r="964" spans="1:1" ht="15.75" customHeight="1">
      <c r="A964" s="19"/>
    </row>
    <row r="965" spans="1:1" ht="15.75" customHeight="1">
      <c r="A965" s="19"/>
    </row>
    <row r="966" spans="1:1" ht="15.75" customHeight="1">
      <c r="A966" s="19"/>
    </row>
    <row r="967" spans="1:1" ht="15.75" customHeight="1">
      <c r="A967" s="19"/>
    </row>
    <row r="968" spans="1:1" ht="15.75" customHeight="1">
      <c r="A968" s="19"/>
    </row>
    <row r="969" spans="1:1" ht="15.75" customHeight="1">
      <c r="A969" s="19"/>
    </row>
    <row r="970" spans="1:1" ht="15.75" customHeight="1">
      <c r="A970" s="19"/>
    </row>
    <row r="971" spans="1:1" ht="15.75" customHeight="1">
      <c r="A971" s="19"/>
    </row>
    <row r="972" spans="1:1" ht="15.75" customHeight="1">
      <c r="A972" s="19"/>
    </row>
    <row r="973" spans="1:1" ht="15.75" customHeight="1">
      <c r="A973" s="19"/>
    </row>
    <row r="974" spans="1:1" ht="15.75" customHeight="1">
      <c r="A974" s="19"/>
    </row>
    <row r="975" spans="1:1" ht="15.75" customHeight="1">
      <c r="A975" s="19"/>
    </row>
    <row r="976" spans="1:1" ht="15.75" customHeight="1">
      <c r="A976" s="19"/>
    </row>
    <row r="977" spans="1:1" ht="15.75" customHeight="1">
      <c r="A977" s="19"/>
    </row>
    <row r="978" spans="1:1" ht="15.75" customHeight="1">
      <c r="A978" s="19"/>
    </row>
    <row r="979" spans="1:1" ht="15.75" customHeight="1">
      <c r="A979" s="19"/>
    </row>
    <row r="980" spans="1:1" ht="15.75" customHeight="1">
      <c r="A980" s="19"/>
    </row>
    <row r="981" spans="1:1" ht="15.75" customHeight="1">
      <c r="A981" s="19"/>
    </row>
    <row r="982" spans="1:1" ht="15.75" customHeight="1">
      <c r="A982" s="19"/>
    </row>
    <row r="983" spans="1:1" ht="15.75" customHeight="1">
      <c r="A983" s="19"/>
    </row>
    <row r="984" spans="1:1" ht="15.75" customHeight="1">
      <c r="A984" s="19"/>
    </row>
    <row r="985" spans="1:1" ht="15.75" customHeight="1">
      <c r="A985" s="19"/>
    </row>
    <row r="986" spans="1:1" ht="15.75" customHeight="1">
      <c r="A986" s="19"/>
    </row>
    <row r="987" spans="1:1" ht="15.75" customHeight="1">
      <c r="A987" s="19"/>
    </row>
    <row r="988" spans="1:1" ht="15.75" customHeight="1">
      <c r="A988" s="19"/>
    </row>
    <row r="989" spans="1:1" ht="15.75" customHeight="1">
      <c r="A989" s="19"/>
    </row>
    <row r="990" spans="1:1" ht="15.75" customHeight="1">
      <c r="A990" s="19"/>
    </row>
    <row r="991" spans="1:1" ht="15.75" customHeight="1">
      <c r="A991" s="19"/>
    </row>
    <row r="992" spans="1:1" ht="15.75" customHeight="1">
      <c r="A992" s="19"/>
    </row>
    <row r="993" spans="1:1" ht="15.75" customHeight="1">
      <c r="A993" s="19"/>
    </row>
    <row r="994" spans="1:1" ht="15.75" customHeight="1">
      <c r="A994" s="19"/>
    </row>
    <row r="995" spans="1:1" ht="15.75" customHeight="1">
      <c r="A995" s="19"/>
    </row>
    <row r="996" spans="1:1" ht="15.75" customHeight="1">
      <c r="A996" s="19"/>
    </row>
    <row r="997" spans="1:1" ht="15.75" customHeight="1">
      <c r="A997" s="19"/>
    </row>
    <row r="998" spans="1:1" ht="15.75" customHeight="1">
      <c r="A998" s="19"/>
    </row>
    <row r="999" spans="1:1" ht="15.75" customHeight="1">
      <c r="A999" s="19"/>
    </row>
    <row r="1000" spans="1:1" ht="15.75" customHeight="1">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99976A-A153-47D6-BDE7-A7DFBE24173B}"/>
</file>

<file path=customXml/itemProps2.xml><?xml version="1.0" encoding="utf-8"?>
<ds:datastoreItem xmlns:ds="http://schemas.openxmlformats.org/officeDocument/2006/customXml" ds:itemID="{9928E847-F28A-4B93-8924-362FB0BDE7AB}"/>
</file>

<file path=customXml/itemProps3.xml><?xml version="1.0" encoding="utf-8"?>
<ds:datastoreItem xmlns:ds="http://schemas.openxmlformats.org/officeDocument/2006/customXml" ds:itemID="{77F24BD9-5459-4237-BB08-C0910670372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2024-08-21T15:15:40Z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