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2.xml" ContentType="application/vnd.openxmlformats-officedocument.spreadsheetml.comment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730"/>
  <workbookPr/>
  <mc:AlternateContent xmlns:mc="http://schemas.openxmlformats.org/markup-compatibility/2006">
    <mc:Choice Requires="x15">
      <x15ac:absPath xmlns:x15ac="http://schemas.microsoft.com/office/spreadsheetml/2010/11/ac" url="C:\Users\Gerard Kelly\Downloads\"/>
    </mc:Choice>
  </mc:AlternateContent>
  <xr:revisionPtr revIDLastSave="0" documentId="13_ncr:1_{1F119CD8-5A77-42A0-B1BF-0E98B411B6C3}" xr6:coauthVersionLast="45" xr6:coauthVersionMax="45" xr10:uidLastSave="{00000000-0000-0000-0000-000000000000}"/>
  <bookViews>
    <workbookView xWindow="-98" yWindow="-98" windowWidth="20715" windowHeight="13425" xr2:uid="{00000000-000D-0000-FFFF-FFFF00000000}"/>
  </bookViews>
  <sheets>
    <sheet name="Welcome" sheetId="1" r:id="rId1"/>
    <sheet name="Info" sheetId="6" r:id="rId2"/>
    <sheet name="Comps" sheetId="7" r:id="rId3"/>
    <sheet name="Valuation" sheetId="2" r:id="rId4"/>
    <sheet name="Earnings" sheetId="9" r:id="rId5"/>
  </sheets>
  <definedNames>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"01/29/2016 15:32:18"</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s>
  <calcPr calcId="191029" calcMode="autoNoTable"/>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87" i="2" l="1"/>
  <c r="C649" i="2" l="1"/>
  <c r="C629" i="2"/>
  <c r="C697" i="2" l="1"/>
  <c r="C372" i="9" l="1"/>
  <c r="C472" i="9" l="1"/>
  <c r="D373" i="9"/>
  <c r="C373" i="9"/>
  <c r="D372" i="9"/>
  <c r="D371" i="9"/>
  <c r="C371" i="9"/>
  <c r="A7" i="1" l="1"/>
  <c r="C655" i="2" l="1"/>
  <c r="B655" i="2"/>
  <c r="C530" i="9" l="1"/>
  <c r="C529" i="9"/>
  <c r="C528" i="9"/>
  <c r="C510" i="9"/>
  <c r="C509" i="9"/>
  <c r="B529" i="9"/>
  <c r="B530" i="9"/>
  <c r="B528" i="9"/>
  <c r="C521" i="9"/>
  <c r="C520" i="9"/>
  <c r="D364" i="9" l="1"/>
  <c r="C364" i="9"/>
  <c r="B161" i="9"/>
  <c r="C161" i="9"/>
  <c r="C76" i="9"/>
  <c r="C695" i="2" l="1"/>
  <c r="C673" i="2"/>
  <c r="C672" i="2"/>
  <c r="C646" i="2" l="1"/>
  <c r="C643" i="2"/>
  <c r="C642" i="2"/>
  <c r="C514" i="2"/>
  <c r="C515" i="2" s="1"/>
  <c r="C644" i="2" l="1"/>
  <c r="C285" i="2"/>
  <c r="C234" i="2" l="1"/>
  <c r="C233" i="2"/>
  <c r="C235" i="2" s="1"/>
  <c r="C236" i="2" s="1"/>
  <c r="C185" i="2" l="1"/>
  <c r="E98" i="2"/>
  <c r="C76" i="2"/>
  <c r="C724" i="2" l="1"/>
  <c r="B724" i="2"/>
  <c r="C731" i="2"/>
  <c r="C730" i="2"/>
  <c r="C729" i="2"/>
  <c r="C728" i="2"/>
  <c r="C727" i="2"/>
  <c r="B731" i="2"/>
  <c r="B730" i="2"/>
  <c r="B729" i="2"/>
  <c r="B728" i="2"/>
  <c r="B727" i="2"/>
  <c r="C726" i="2"/>
  <c r="B726" i="2"/>
  <c r="C725" i="2"/>
  <c r="B725" i="2"/>
  <c r="C722" i="2"/>
  <c r="B722" i="2"/>
  <c r="C718" i="2"/>
  <c r="B718" i="2"/>
  <c r="C720" i="2"/>
  <c r="C719" i="2"/>
  <c r="C93" i="7"/>
  <c r="C92" i="7"/>
  <c r="C91" i="7"/>
  <c r="C721" i="2" l="1"/>
  <c r="C723" i="2" s="1"/>
  <c r="C732" i="2" s="1"/>
  <c r="C80" i="7"/>
  <c r="D80" i="7" s="1"/>
  <c r="B80" i="7"/>
  <c r="D78" i="7"/>
  <c r="C78" i="7"/>
  <c r="B78" i="7"/>
  <c r="D76" i="7"/>
  <c r="C76" i="7"/>
  <c r="C75" i="7"/>
  <c r="D75" i="7"/>
  <c r="C491" i="9"/>
  <c r="C490" i="9"/>
  <c r="C481" i="9"/>
  <c r="C483" i="9" s="1"/>
  <c r="C487" i="9" s="1"/>
  <c r="C474" i="9"/>
  <c r="C486" i="9" s="1"/>
  <c r="C384" i="9"/>
  <c r="C385" i="9" s="1"/>
  <c r="C393" i="9" s="1"/>
  <c r="E454" i="9"/>
  <c r="D454" i="9"/>
  <c r="C454" i="9"/>
  <c r="C160" i="9"/>
  <c r="B160" i="9"/>
  <c r="B159" i="9"/>
  <c r="C156" i="9"/>
  <c r="B156" i="9"/>
  <c r="C154" i="9"/>
  <c r="C163" i="9" s="1"/>
  <c r="C153" i="9"/>
  <c r="C162" i="9" s="1"/>
  <c r="B154" i="9"/>
  <c r="B163" i="9" s="1"/>
  <c r="B153" i="9"/>
  <c r="B162" i="9" s="1"/>
  <c r="B152" i="9"/>
  <c r="C131" i="9"/>
  <c r="C133" i="9" s="1"/>
  <c r="B373" i="9"/>
  <c r="B372" i="9"/>
  <c r="B371" i="9"/>
  <c r="D367" i="9"/>
  <c r="C367" i="9"/>
  <c r="C492" i="9" l="1"/>
  <c r="C488" i="9"/>
  <c r="C374" i="9"/>
  <c r="C376" i="9" s="1"/>
  <c r="C456" i="9"/>
  <c r="C77" i="7"/>
  <c r="C79" i="7" s="1"/>
  <c r="C81" i="7" s="1"/>
  <c r="D77" i="7"/>
  <c r="D79" i="7" s="1"/>
  <c r="D81" i="7" s="1"/>
  <c r="C394" i="9"/>
  <c r="C387" i="9"/>
  <c r="C389" i="9" s="1"/>
  <c r="D374" i="9"/>
  <c r="D376" i="9" s="1"/>
  <c r="D385" i="9"/>
  <c r="E385" i="9"/>
  <c r="C152" i="9"/>
  <c r="C155" i="9" s="1"/>
  <c r="C157" i="9" s="1"/>
  <c r="C136" i="9"/>
  <c r="C138" i="9" s="1"/>
  <c r="C141" i="9" s="1"/>
  <c r="B245" i="9"/>
  <c r="B244" i="9"/>
  <c r="B243" i="9"/>
  <c r="B242" i="9"/>
  <c r="D241" i="9"/>
  <c r="C241" i="9"/>
  <c r="D237" i="9"/>
  <c r="C237" i="9"/>
  <c r="D232" i="9"/>
  <c r="D235" i="9" s="1"/>
  <c r="C232" i="9"/>
  <c r="C235" i="9" s="1"/>
  <c r="C122" i="9"/>
  <c r="B119" i="9"/>
  <c r="B123" i="9" s="1"/>
  <c r="C119" i="9"/>
  <c r="C118" i="9"/>
  <c r="B118" i="9"/>
  <c r="C79" i="9"/>
  <c r="C22" i="9"/>
  <c r="B22" i="9"/>
  <c r="C20" i="9"/>
  <c r="B20" i="9"/>
  <c r="B19" i="9"/>
  <c r="C9" i="9"/>
  <c r="C12" i="9" s="1"/>
  <c r="C14" i="9" s="1"/>
  <c r="C493" i="9" l="1"/>
  <c r="C243" i="9"/>
  <c r="C244" i="9"/>
  <c r="C245" i="9"/>
  <c r="C242" i="9"/>
  <c r="D243" i="9"/>
  <c r="D244" i="9"/>
  <c r="D245" i="9"/>
  <c r="D242" i="9"/>
  <c r="D387" i="9"/>
  <c r="D389" i="9" s="1"/>
  <c r="D393" i="9"/>
  <c r="D394" i="9" s="1"/>
  <c r="E387" i="9"/>
  <c r="E389" i="9" s="1"/>
  <c r="E393" i="9"/>
  <c r="C159" i="9"/>
  <c r="C164" i="9" s="1"/>
  <c r="C165" i="9" s="1"/>
  <c r="C143" i="9"/>
  <c r="C120" i="9"/>
  <c r="C123" i="9"/>
  <c r="C19" i="9"/>
  <c r="C21" i="9" s="1"/>
  <c r="C23" i="9" s="1"/>
  <c r="D17" i="7"/>
  <c r="D25" i="7" s="1"/>
  <c r="E17" i="7"/>
  <c r="C17" i="7"/>
  <c r="C16" i="7"/>
  <c r="D16" i="7"/>
  <c r="E16" i="7"/>
  <c r="D15" i="7"/>
  <c r="E15" i="7"/>
  <c r="C15" i="7"/>
  <c r="D23" i="7" s="1"/>
  <c r="D14" i="7"/>
  <c r="E14" i="7"/>
  <c r="C14" i="7"/>
  <c r="D246" i="9" l="1"/>
  <c r="D248" i="9" s="1"/>
  <c r="C246" i="9"/>
  <c r="C248" i="9" s="1"/>
  <c r="E23" i="7"/>
  <c r="D28" i="7"/>
  <c r="E28" i="7"/>
  <c r="E25" i="7"/>
  <c r="D24" i="7"/>
  <c r="E394" i="9"/>
  <c r="C397" i="9" s="1"/>
  <c r="C396" i="9"/>
  <c r="C124" i="9"/>
  <c r="D22" i="7"/>
  <c r="E27" i="7"/>
  <c r="E24" i="7"/>
  <c r="D27" i="7"/>
  <c r="C28" i="7"/>
  <c r="C27" i="7"/>
  <c r="E22" i="7"/>
  <c r="C692" i="2"/>
  <c r="C693" i="2"/>
  <c r="B693" i="2"/>
  <c r="C691" i="2"/>
  <c r="C675" i="2"/>
  <c r="C676" i="2"/>
  <c r="C677" i="2"/>
  <c r="B675" i="2"/>
  <c r="B676" i="2"/>
  <c r="B677" i="2"/>
  <c r="B673" i="2"/>
  <c r="C671" i="2"/>
  <c r="C654" i="2"/>
  <c r="C653" i="2"/>
  <c r="C652" i="2"/>
  <c r="B656" i="2"/>
  <c r="B653" i="2"/>
  <c r="B654" i="2"/>
  <c r="B652" i="2"/>
  <c r="B645" i="2"/>
  <c r="B644" i="2"/>
  <c r="C641" i="2"/>
  <c r="B641" i="2"/>
  <c r="C640" i="2"/>
  <c r="B640" i="2"/>
  <c r="B639" i="2"/>
  <c r="C621" i="2"/>
  <c r="C626" i="2" s="1"/>
  <c r="C627" i="2" s="1"/>
  <c r="C534" i="2"/>
  <c r="C535" i="2" s="1"/>
  <c r="C545" i="2"/>
  <c r="C540" i="2"/>
  <c r="C645" i="2" l="1"/>
  <c r="C678" i="2"/>
  <c r="C694" i="2"/>
  <c r="C698" i="2" s="1"/>
  <c r="C674" i="2"/>
  <c r="C628" i="2"/>
  <c r="C634" i="2" s="1"/>
  <c r="C650" i="2" l="1"/>
  <c r="C651" i="2" s="1"/>
  <c r="C656" i="2" s="1"/>
  <c r="C516" i="2"/>
  <c r="C445" i="2"/>
  <c r="C451" i="2" s="1"/>
  <c r="B445" i="2"/>
  <c r="C393" i="2"/>
  <c r="C392" i="2"/>
  <c r="B393" i="2"/>
  <c r="B392" i="2"/>
  <c r="C397" i="2" l="1"/>
  <c r="C517" i="2"/>
  <c r="C522" i="2" s="1"/>
  <c r="C346" i="2"/>
  <c r="B346" i="2"/>
  <c r="C344" i="2"/>
  <c r="C343" i="2"/>
  <c r="C342" i="2"/>
  <c r="B342" i="2"/>
  <c r="B344" i="2"/>
  <c r="B343" i="2"/>
  <c r="C341" i="2"/>
  <c r="C325" i="2"/>
  <c r="C323" i="2"/>
  <c r="B323" i="2"/>
  <c r="C322" i="2"/>
  <c r="B322" i="2"/>
  <c r="C321" i="2"/>
  <c r="B321" i="2"/>
  <c r="C320" i="2"/>
  <c r="B320" i="2"/>
  <c r="C319" i="2"/>
  <c r="C304" i="2"/>
  <c r="C303" i="2"/>
  <c r="C302" i="2"/>
  <c r="C301" i="2"/>
  <c r="B304" i="2"/>
  <c r="B303" i="2"/>
  <c r="B302" i="2"/>
  <c r="B301" i="2"/>
  <c r="C300" i="2"/>
  <c r="C282" i="2"/>
  <c r="C288" i="2" l="1"/>
  <c r="C345" i="2"/>
  <c r="C348" i="2" s="1"/>
  <c r="C305" i="2"/>
  <c r="C306" i="2" s="1"/>
  <c r="C324" i="2"/>
  <c r="C326" i="2" s="1"/>
  <c r="C146" i="2"/>
  <c r="C144" i="2"/>
  <c r="C141" i="2"/>
  <c r="C138" i="2"/>
  <c r="C107" i="2"/>
  <c r="C104" i="2"/>
  <c r="E99" i="2"/>
  <c r="E100" i="2"/>
  <c r="E101" i="2"/>
  <c r="C145" i="2" l="1"/>
  <c r="C147" i="2" s="1"/>
  <c r="E102" i="2"/>
  <c r="C105" i="2" s="1"/>
  <c r="C106" i="2" s="1"/>
  <c r="C108" i="2" s="1"/>
  <c r="C153" i="2"/>
  <c r="C182" i="2" s="1"/>
  <c r="C229" i="2"/>
  <c r="C227" i="2"/>
  <c r="C226" i="2"/>
  <c r="C187" i="2" l="1"/>
  <c r="C188" i="2" s="1"/>
  <c r="C228" i="2"/>
  <c r="C230" i="2" s="1"/>
  <c r="C237" i="2" s="1"/>
  <c r="C73" i="2"/>
  <c r="C77" i="2" s="1"/>
  <c r="C78" i="2" s="1"/>
  <c r="C50" i="2"/>
  <c r="C51" i="2" s="1"/>
  <c r="C52" i="2" s="1"/>
  <c r="C44" i="2"/>
  <c r="C42" i="2"/>
  <c r="C43" i="2" s="1"/>
  <c r="C38" i="2"/>
  <c r="C37" i="2"/>
  <c r="C26" i="2"/>
  <c r="C11" i="2"/>
  <c r="C39" i="2" l="1"/>
  <c r="C45" i="2"/>
  <c r="C46" i="2" s="1"/>
  <c r="C47" i="2" s="1"/>
  <c r="C13" i="2" l="1"/>
  <c r="A1" i="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author>
  </authors>
  <commentList>
    <comment ref="B305" authorId="0" shapeId="0" xr:uid="{00000000-0006-0000-0300-000001000000}">
      <text>
        <r>
          <rPr>
            <b/>
            <sz val="9"/>
            <color indexed="81"/>
            <rFont val="Tahoma"/>
            <family val="2"/>
          </rPr>
          <t>FE:</t>
        </r>
        <r>
          <rPr>
            <sz val="9"/>
            <color indexed="81"/>
            <rFont val="Tahoma"/>
            <family val="2"/>
          </rPr>
          <t xml:space="preserve">
Some include NCI in net debt.</t>
        </r>
      </text>
    </comment>
    <comment ref="B324" authorId="0" shapeId="0" xr:uid="{00000000-0006-0000-0300-000002000000}">
      <text>
        <r>
          <rPr>
            <b/>
            <sz val="9"/>
            <color indexed="81"/>
            <rFont val="Tahoma"/>
            <family val="2"/>
          </rPr>
          <t>FE:</t>
        </r>
        <r>
          <rPr>
            <sz val="9"/>
            <color indexed="81"/>
            <rFont val="Tahoma"/>
            <family val="2"/>
          </rPr>
          <t xml:space="preserve">
Some include NCI in net debt.</t>
        </r>
      </text>
    </comment>
    <comment ref="B325" authorId="0" shapeId="0" xr:uid="{00000000-0006-0000-0300-000003000000}">
      <text>
        <r>
          <rPr>
            <b/>
            <sz val="9"/>
            <color indexed="81"/>
            <rFont val="Tahoma"/>
            <family val="2"/>
          </rPr>
          <t>FE:</t>
        </r>
        <r>
          <rPr>
            <sz val="9"/>
            <color indexed="81"/>
            <rFont val="Tahoma"/>
            <family val="2"/>
          </rPr>
          <t xml:space="preserve">
May be included in net debt.</t>
        </r>
      </text>
    </comment>
    <comment ref="B345" authorId="0" shapeId="0" xr:uid="{00000000-0006-0000-0300-000004000000}">
      <text>
        <r>
          <rPr>
            <b/>
            <sz val="9"/>
            <color indexed="81"/>
            <rFont val="Tahoma"/>
            <family val="2"/>
          </rPr>
          <t>FE:</t>
        </r>
        <r>
          <rPr>
            <sz val="9"/>
            <color indexed="81"/>
            <rFont val="Tahoma"/>
            <family val="2"/>
          </rPr>
          <t xml:space="preserve">
Some include NCI in net debt.</t>
        </r>
      </text>
    </comment>
    <comment ref="B346" authorId="0" shapeId="0" xr:uid="{00000000-0006-0000-0300-000005000000}">
      <text>
        <r>
          <rPr>
            <b/>
            <sz val="9"/>
            <color indexed="81"/>
            <rFont val="Tahoma"/>
            <family val="2"/>
          </rPr>
          <t>FE:</t>
        </r>
        <r>
          <rPr>
            <sz val="9"/>
            <color indexed="81"/>
            <rFont val="Tahoma"/>
            <family val="2"/>
          </rPr>
          <t xml:space="preserve">
May be included in net debt.</t>
        </r>
      </text>
    </comment>
    <comment ref="B451" authorId="0" shapeId="0" xr:uid="{00000000-0006-0000-0300-000006000000}">
      <text>
        <r>
          <rPr>
            <b/>
            <sz val="9"/>
            <color indexed="81"/>
            <rFont val="Tahoma"/>
            <family val="2"/>
          </rPr>
          <t>FE:</t>
        </r>
        <r>
          <rPr>
            <sz val="9"/>
            <color indexed="81"/>
            <rFont val="Tahoma"/>
            <family val="2"/>
          </rPr>
          <t xml:space="preserve">
Includes non marketable investments listed in non current assets on the balance sheet. Consider valuation of these separately from EV.</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FE</author>
  </authors>
  <commentList>
    <comment ref="B337" authorId="0" shapeId="0" xr:uid="{00000000-0006-0000-0400-000001000000}">
      <text>
        <r>
          <rPr>
            <b/>
            <sz val="9"/>
            <color indexed="81"/>
            <rFont val="Tahoma"/>
            <family val="2"/>
          </rPr>
          <t>FE:</t>
        </r>
        <r>
          <rPr>
            <sz val="9"/>
            <color indexed="81"/>
            <rFont val="Tahoma"/>
            <family val="2"/>
          </rPr>
          <t xml:space="preserve">
Some include NCI in net debt.</t>
        </r>
      </text>
    </comment>
    <comment ref="B363" authorId="0" shapeId="0" xr:uid="{00000000-0006-0000-0400-000002000000}">
      <text>
        <r>
          <rPr>
            <b/>
            <sz val="9"/>
            <color indexed="81"/>
            <rFont val="Tahoma"/>
            <family val="2"/>
          </rPr>
          <t>FE:</t>
        </r>
        <r>
          <rPr>
            <sz val="9"/>
            <color indexed="81"/>
            <rFont val="Tahoma"/>
            <family val="2"/>
          </rPr>
          <t xml:space="preserve">
Severance and employee benefits of 13.7, and asset write off 0.7 in restructuring are included in other income/expense.</t>
        </r>
      </text>
    </comment>
  </commentList>
</comments>
</file>

<file path=xl/sharedStrings.xml><?xml version="1.0" encoding="utf-8"?>
<sst xmlns="http://schemas.openxmlformats.org/spreadsheetml/2006/main" count="719" uniqueCount="443">
  <si>
    <t>Features</t>
  </si>
  <si>
    <t>◦</t>
  </si>
  <si>
    <t>Model Details</t>
  </si>
  <si>
    <t>Company name</t>
  </si>
  <si>
    <t>Date</t>
  </si>
  <si>
    <t>Currency</t>
  </si>
  <si>
    <t>Units</t>
  </si>
  <si>
    <t>Analyst Name</t>
  </si>
  <si>
    <t>Circular Switch</t>
  </si>
  <si>
    <t>Firstname Lastname</t>
  </si>
  <si>
    <t>This document is for training purposes only. Financial Edge accepts no responsibility or liability for any other purpose or usage.</t>
  </si>
  <si>
    <t>Formatting</t>
  </si>
  <si>
    <t>Input</t>
  </si>
  <si>
    <t>Hard coded</t>
  </si>
  <si>
    <t>Formulas</t>
  </si>
  <si>
    <t>Tab Structure</t>
  </si>
  <si>
    <t>Workout 1</t>
  </si>
  <si>
    <t>Valuation</t>
  </si>
  <si>
    <t>NA</t>
  </si>
  <si>
    <t>EV</t>
  </si>
  <si>
    <t>EV/EBITDA</t>
  </si>
  <si>
    <t>Workout 2</t>
  </si>
  <si>
    <t>Workout 3</t>
  </si>
  <si>
    <t>Workout 4</t>
  </si>
  <si>
    <t>Workout 5</t>
  </si>
  <si>
    <t>Workout 6</t>
  </si>
  <si>
    <t>Workout 7</t>
  </si>
  <si>
    <t>Workout 8</t>
  </si>
  <si>
    <t>Workout 9</t>
  </si>
  <si>
    <t>Workout 10</t>
  </si>
  <si>
    <t>Equity</t>
  </si>
  <si>
    <t>Equity value</t>
  </si>
  <si>
    <t>Enterprise value</t>
  </si>
  <si>
    <t>Workout 11</t>
  </si>
  <si>
    <t>Workout 12</t>
  </si>
  <si>
    <t>Workout 13</t>
  </si>
  <si>
    <t>Workout 14</t>
  </si>
  <si>
    <t>EBIT</t>
  </si>
  <si>
    <t>EBITDA</t>
  </si>
  <si>
    <t>Share price</t>
  </si>
  <si>
    <t>EV/EBIT</t>
  </si>
  <si>
    <t xml:space="preserve"> </t>
  </si>
  <si>
    <t>Net debt</t>
  </si>
  <si>
    <t>Common A shares outstanding</t>
  </si>
  <si>
    <t>Common B shares outstanding</t>
  </si>
  <si>
    <t>Shares outstanding</t>
  </si>
  <si>
    <t>Short term debt</t>
  </si>
  <si>
    <t>Long term debt</t>
  </si>
  <si>
    <t>Cash and cash equivalents</t>
  </si>
  <si>
    <t>Financial assets</t>
  </si>
  <si>
    <t>Debt</t>
  </si>
  <si>
    <t>Market capitalization</t>
  </si>
  <si>
    <t>Workout 15</t>
  </si>
  <si>
    <t>Workout 17</t>
  </si>
  <si>
    <t>Workout 18</t>
  </si>
  <si>
    <t>Workout 19</t>
  </si>
  <si>
    <t>End</t>
  </si>
  <si>
    <t>Workout 20</t>
  </si>
  <si>
    <t>Trading Comparables Valuation</t>
  </si>
  <si>
    <t>Using the following information about Santander Inc, calculate equity value.</t>
  </si>
  <si>
    <t>ADR price</t>
  </si>
  <si>
    <t>Using the following information about Bilbao Inc, calculate equity value.</t>
  </si>
  <si>
    <t>Diluted shares outstanding</t>
  </si>
  <si>
    <t>Weighted average common shares outstanding</t>
  </si>
  <si>
    <t>Weighted average diluted shares outstanding</t>
  </si>
  <si>
    <t>Preferred shares outstanding</t>
  </si>
  <si>
    <t>Share price - common</t>
  </si>
  <si>
    <t>Share price - preferred</t>
  </si>
  <si>
    <t>Calculate equity value using the information below.</t>
  </si>
  <si>
    <t>Stock options outstanding</t>
  </si>
  <si>
    <t>Strike or exercise price</t>
  </si>
  <si>
    <t>Intrinsic value of options</t>
  </si>
  <si>
    <t>Diluted equity value</t>
  </si>
  <si>
    <t>Treasury method</t>
  </si>
  <si>
    <t>Cash raised by options exercise</t>
  </si>
  <si>
    <t>Number of shares bought back to support the issue</t>
  </si>
  <si>
    <t xml:space="preserve">Number of shares issued </t>
  </si>
  <si>
    <t>Net increase in share count</t>
  </si>
  <si>
    <t>Treasury method - the quick way</t>
  </si>
  <si>
    <t>Basic shares outstanding</t>
  </si>
  <si>
    <t>Basic shares outstanding MM</t>
  </si>
  <si>
    <t>The footnote for stock options shows the following:</t>
  </si>
  <si>
    <t>Latest year</t>
  </si>
  <si>
    <t>Earliest year</t>
  </si>
  <si>
    <t>Number of stock options MM</t>
  </si>
  <si>
    <t>Strike price</t>
  </si>
  <si>
    <t>Diluted shares outstanding MM</t>
  </si>
  <si>
    <t>Using the following information, calculate the diluted equity value.</t>
  </si>
  <si>
    <t>Class A shares outstanding MM</t>
  </si>
  <si>
    <t>Class B shares outstanding MM</t>
  </si>
  <si>
    <t>Class C shares outstanding MM</t>
  </si>
  <si>
    <t>Class C share price</t>
  </si>
  <si>
    <t>Class A share price</t>
  </si>
  <si>
    <t>1 vote per share</t>
  </si>
  <si>
    <t>0 votes per share</t>
  </si>
  <si>
    <t>Employee stock based compensation is for C shares</t>
  </si>
  <si>
    <t>Class A price</t>
  </si>
  <si>
    <t>Class A and B shares outstanding MM</t>
  </si>
  <si>
    <t>Net new shares from options MM</t>
  </si>
  <si>
    <t>Net new shares from RSUs MM</t>
  </si>
  <si>
    <t>Class C diluted shares outstanding MM</t>
  </si>
  <si>
    <t>Class A and B equity value MM</t>
  </si>
  <si>
    <t>Class C diluted equity value MM</t>
  </si>
  <si>
    <t>Total diluted equity value MM</t>
  </si>
  <si>
    <t>Shares outstanding MM</t>
  </si>
  <si>
    <t>Footnote information below in thousands</t>
  </si>
  <si>
    <t>Net new shares from RSU's MM</t>
  </si>
  <si>
    <t>Diluted equity value MM</t>
  </si>
  <si>
    <t>Mattel</t>
  </si>
  <si>
    <t>Google</t>
  </si>
  <si>
    <t>Tranche 1</t>
  </si>
  <si>
    <t>Tranche 2</t>
  </si>
  <si>
    <t>Tranche 3</t>
  </si>
  <si>
    <t>Tranche 4</t>
  </si>
  <si>
    <t>Number</t>
  </si>
  <si>
    <t>Strike</t>
  </si>
  <si>
    <t>Net new shares</t>
  </si>
  <si>
    <t>Safilo</t>
  </si>
  <si>
    <t>Number of stock options MM - 2010 - 2013 plan</t>
  </si>
  <si>
    <t>Strike price - 2010 - 2013 plan</t>
  </si>
  <si>
    <t>Net new shares from options - 2010 - 2013 plan</t>
  </si>
  <si>
    <t>Number of stock options MM - 2014 - 2016 plan</t>
  </si>
  <si>
    <t>Strike price - 2014 - 2016 plan</t>
  </si>
  <si>
    <t>Net new shares from options - 2014 - 2016 plan</t>
  </si>
  <si>
    <t>Leapfrog</t>
  </si>
  <si>
    <t>BuildABear</t>
  </si>
  <si>
    <t>Calculate enterprise value using the information below.</t>
  </si>
  <si>
    <t>Debt - carrying value</t>
  </si>
  <si>
    <t>Debt - market value</t>
  </si>
  <si>
    <t>Financial assets - carrying value</t>
  </si>
  <si>
    <t>Financial assets - market value</t>
  </si>
  <si>
    <t>Short term borrowings</t>
  </si>
  <si>
    <t>From workout 8 above - Google</t>
  </si>
  <si>
    <t>Marketable securities</t>
  </si>
  <si>
    <t>Colgate Palmolive</t>
  </si>
  <si>
    <t>Financial statement information below in millions</t>
  </si>
  <si>
    <t>RSUs</t>
  </si>
  <si>
    <t>Stock options - net new shares</t>
  </si>
  <si>
    <t>Notes and loans payable</t>
  </si>
  <si>
    <t>Current portion of long term debt</t>
  </si>
  <si>
    <t>Workout 16</t>
  </si>
  <si>
    <t>Lisbon Plc has a convertible bond on the balance sheet for 100.0 but when you look up the footnotes you find the following:</t>
  </si>
  <si>
    <t>Issue price</t>
  </si>
  <si>
    <t>Issue price for a similar bond without convert</t>
  </si>
  <si>
    <t>Conversion share price</t>
  </si>
  <si>
    <t>Current share price</t>
  </si>
  <si>
    <t>How should the bond be included in the valuation?</t>
  </si>
  <si>
    <t>Current share price &gt; conversion price : "in the money".</t>
  </si>
  <si>
    <t>Include as part of equity value.</t>
  </si>
  <si>
    <t>Be careful not to double count by including in both debt and equity.</t>
  </si>
  <si>
    <t>What will be included in the valuation if the current share price were 8.00?</t>
  </si>
  <si>
    <t>Include as part of debt</t>
  </si>
  <si>
    <t>Financial statement information below in thousands.</t>
  </si>
  <si>
    <t>Financial statement information below in millions.</t>
  </si>
  <si>
    <t>Where is this bond on the balance sheet?</t>
  </si>
  <si>
    <t>RSUs MM</t>
  </si>
  <si>
    <t>Convertible debt</t>
  </si>
  <si>
    <t>Capital leases - short term</t>
  </si>
  <si>
    <t>Capital leases - long term</t>
  </si>
  <si>
    <t>How would the answer from the previous question change if the share price was 90.00?</t>
  </si>
  <si>
    <t>Number of shares from convertible debt</t>
  </si>
  <si>
    <t>Diluted shares outstanding including from converts MM</t>
  </si>
  <si>
    <t>Twitter</t>
  </si>
  <si>
    <t>Share price - 20th November</t>
  </si>
  <si>
    <t>Debt - market value, 10Q 30th September</t>
  </si>
  <si>
    <t>Cash and cash equivalents - 10Q 30th September</t>
  </si>
  <si>
    <t>Marketable securities - 10Q 30th September</t>
  </si>
  <si>
    <t>Net new shares from dilution - 10Q 30th September</t>
  </si>
  <si>
    <t>The business had a 7 for 1 share split on the 30th of October.</t>
  </si>
  <si>
    <t>Actual</t>
  </si>
  <si>
    <t>Year 1 Est.</t>
  </si>
  <si>
    <t>Year 2 Est.</t>
  </si>
  <si>
    <t>Enterprise value MM</t>
  </si>
  <si>
    <t>Sales</t>
  </si>
  <si>
    <t>Diluted EPS</t>
  </si>
  <si>
    <t>EV/Sales</t>
  </si>
  <si>
    <t>Implied growth in sales</t>
  </si>
  <si>
    <t>Implied growth in EBIT</t>
  </si>
  <si>
    <t>Implied growth in EBITDA</t>
  </si>
  <si>
    <t>Implied growth in EPS</t>
  </si>
  <si>
    <t>Implied EBIT margin</t>
  </si>
  <si>
    <t>Implied EBITDA margin</t>
  </si>
  <si>
    <t>What is happening to the multiples over time?</t>
  </si>
  <si>
    <t>They are all going down.</t>
  </si>
  <si>
    <t>Is this pattern commonly observed and why it is happening?</t>
  </si>
  <si>
    <t xml:space="preserve">This is very common and is caused by using today's value compared to forward value drivers. </t>
  </si>
  <si>
    <t>Growth in sales and earnings is commonly forecast causing the downward multiples trend.</t>
  </si>
  <si>
    <t>The matrix below gives information regarding 5 competitors operating in the same space. Comment on comparability.</t>
  </si>
  <si>
    <t>Business A</t>
  </si>
  <si>
    <t>Business B</t>
  </si>
  <si>
    <t>Business C</t>
  </si>
  <si>
    <t>Business D</t>
  </si>
  <si>
    <t>Business E</t>
  </si>
  <si>
    <t>Sales growth</t>
  </si>
  <si>
    <t>EBIT margin</t>
  </si>
  <si>
    <t>nm</t>
  </si>
  <si>
    <t>Using the following information calculate EBIT and EBITDA for CornFlakes Co.</t>
  </si>
  <si>
    <t>Income statement</t>
  </si>
  <si>
    <t>Cost of good sold</t>
  </si>
  <si>
    <t xml:space="preserve">SG&amp;A </t>
  </si>
  <si>
    <t>Operating profit</t>
  </si>
  <si>
    <t>Interest expense</t>
  </si>
  <si>
    <t>Interest income</t>
  </si>
  <si>
    <t>Profit before tax</t>
  </si>
  <si>
    <t>Tax expense</t>
  </si>
  <si>
    <t>Net income</t>
  </si>
  <si>
    <t>Depreciation and amortization</t>
  </si>
  <si>
    <t>Non-recurring restructuring expense in SG&amp;A</t>
  </si>
  <si>
    <t>Cash flow statement</t>
  </si>
  <si>
    <t>Operating income</t>
  </si>
  <si>
    <t>Gains on dispositions of PP&amp;E</t>
  </si>
  <si>
    <t>Depreciation, depletion and amortization</t>
  </si>
  <si>
    <t>Using information below calculate EBIT and EBITDA for Timber Products Co.</t>
  </si>
  <si>
    <t>Acquisition costs in SG&amp;A</t>
  </si>
  <si>
    <t>Accelerated depreciation and amortization charge</t>
  </si>
  <si>
    <t>Assume other operating expense (income) is non-recurring.</t>
  </si>
  <si>
    <t>Other operating expense</t>
  </si>
  <si>
    <t>Restructuring charges</t>
  </si>
  <si>
    <t>Depreciation and amortization as reported</t>
  </si>
  <si>
    <t>Tax footnote</t>
  </si>
  <si>
    <t>Loss on early extinguishment of debt</t>
  </si>
  <si>
    <t xml:space="preserve">Integration/restructuring costs </t>
  </si>
  <si>
    <t>Pension plan settlement charge</t>
  </si>
  <si>
    <t>Other expense — net</t>
  </si>
  <si>
    <t>Income (loss) from discontinued operations</t>
  </si>
  <si>
    <t>Marginal tax rate</t>
  </si>
  <si>
    <t>Continuing net income</t>
  </si>
  <si>
    <t>Calculate EBIT, EBITDA and recurring EPS for 2015 and 2014 using financial extracts for Groundwood Inc.</t>
  </si>
  <si>
    <t>Diluted weighted average shares outstanding</t>
  </si>
  <si>
    <t>Recurring EPS</t>
  </si>
  <si>
    <t>Restructuring footnote.</t>
  </si>
  <si>
    <t xml:space="preserve">Other (income)/expense </t>
  </si>
  <si>
    <t>Earnings before interest and taxes</t>
  </si>
  <si>
    <t>Calculate EBIT, EBITDA and recurring EPS for 2014 and 2015 for HealthyFoods Inc.</t>
  </si>
  <si>
    <t>Other (income) / expenses</t>
  </si>
  <si>
    <t>Contract termination costs in COGS</t>
  </si>
  <si>
    <t>Other exit costs in SG&amp;A</t>
  </si>
  <si>
    <t>Net income attributable to shareholders</t>
  </si>
  <si>
    <t>Recurring net income</t>
  </si>
  <si>
    <t>Weighted average shares outstanding</t>
  </si>
  <si>
    <t>Recurring diluted EPS</t>
  </si>
  <si>
    <t>Calculate the EBIT, EBITDA and recurring diluted EPS.</t>
  </si>
  <si>
    <t>COGS</t>
  </si>
  <si>
    <t>SG&amp;A</t>
  </si>
  <si>
    <t>Other income (expenses)</t>
  </si>
  <si>
    <t>Net interest expense</t>
  </si>
  <si>
    <t>Net income to common shareholders</t>
  </si>
  <si>
    <t>Gross profit</t>
  </si>
  <si>
    <t>Profit after tax</t>
  </si>
  <si>
    <t>Impairment expense in SG&amp;A</t>
  </si>
  <si>
    <t>Restructuring charge in COGS</t>
  </si>
  <si>
    <t>Yearly income statement</t>
  </si>
  <si>
    <t>Quarterly income statement</t>
  </si>
  <si>
    <t>Assume other expense / (income) is non recurring.</t>
  </si>
  <si>
    <t>Other expense / (income)</t>
  </si>
  <si>
    <t>LTM EBIT</t>
  </si>
  <si>
    <t>Year ending</t>
  </si>
  <si>
    <t>Operating expense</t>
  </si>
  <si>
    <t>LTM EBITDA</t>
  </si>
  <si>
    <t>Using the information below calculate the company's pro-forma EV/EBITDA multiple.</t>
  </si>
  <si>
    <t>Total debt</t>
  </si>
  <si>
    <t>Cash</t>
  </si>
  <si>
    <t>Revenues</t>
  </si>
  <si>
    <t>SG&amp;A costs</t>
  </si>
  <si>
    <t>Reported EBITDA</t>
  </si>
  <si>
    <t>Add half year of target EBITDA</t>
  </si>
  <si>
    <t>EV / Pro-forma EBITDA</t>
  </si>
  <si>
    <t>Pro-forma EBITDA</t>
  </si>
  <si>
    <t>Company 1</t>
  </si>
  <si>
    <t>Company 2</t>
  </si>
  <si>
    <t>Company 3</t>
  </si>
  <si>
    <t>Company 4</t>
  </si>
  <si>
    <t>Company 5</t>
  </si>
  <si>
    <t>Company X</t>
  </si>
  <si>
    <t>Diluted number of shares outstanding</t>
  </si>
  <si>
    <t>Basic number of shares outstanding</t>
  </si>
  <si>
    <t>FWY 1</t>
  </si>
  <si>
    <t>EV/ EBITDA</t>
  </si>
  <si>
    <t>LTM</t>
  </si>
  <si>
    <t>Max</t>
  </si>
  <si>
    <t>Min</t>
  </si>
  <si>
    <t>Establish a share price valuation range for company X using comparables valuation. Use minimum and maximum EV/FWY 1 EBITDA to derive your answer.</t>
  </si>
  <si>
    <t>Multiple</t>
  </si>
  <si>
    <t>Air Berlin</t>
  </si>
  <si>
    <t xml:space="preserve">Air France-KLM </t>
  </si>
  <si>
    <t xml:space="preserve">Delta Air Lines </t>
  </si>
  <si>
    <t xml:space="preserve">easyJet </t>
  </si>
  <si>
    <t>Ryanair</t>
  </si>
  <si>
    <t xml:space="preserve">American Airlines Group </t>
  </si>
  <si>
    <t>IAG</t>
  </si>
  <si>
    <t>Qantas</t>
  </si>
  <si>
    <t>China Southern Airlines H</t>
  </si>
  <si>
    <t>China Eastern Airlines H</t>
  </si>
  <si>
    <t xml:space="preserve">Korean Air Lines </t>
  </si>
  <si>
    <t xml:space="preserve">LATAM Airlines Group </t>
  </si>
  <si>
    <t>Aeroflot-Russian Airlines</t>
  </si>
  <si>
    <t>SAS</t>
  </si>
  <si>
    <t xml:space="preserve">China Airlines </t>
  </si>
  <si>
    <t xml:space="preserve">El Al Israel Airlines </t>
  </si>
  <si>
    <t xml:space="preserve">AAR </t>
  </si>
  <si>
    <t>Wizz Air Holdings</t>
  </si>
  <si>
    <t xml:space="preserve">Pegasus Airlines </t>
  </si>
  <si>
    <t xml:space="preserve">Hanjin Heavy Industries </t>
  </si>
  <si>
    <t xml:space="preserve">Flybe Group </t>
  </si>
  <si>
    <t xml:space="preserve">Multiplus </t>
  </si>
  <si>
    <t>Bangkok Airways</t>
  </si>
  <si>
    <t xml:space="preserve">TAT Technologies </t>
  </si>
  <si>
    <t>Price</t>
  </si>
  <si>
    <t>EV / EBITDA</t>
  </si>
  <si>
    <t>Market Cap</t>
  </si>
  <si>
    <t>NM</t>
  </si>
  <si>
    <t xml:space="preserve">400 routes and over 120 destinations. It has a fleet of over 80 jet aircrafts, including Boeings 737-800, Boeings 787-8 Dreamliners, Boeings 737 MAX8 and Airbuses A320neo. </t>
  </si>
  <si>
    <t xml:space="preserve">It has a route portfolio that stretches across Europe into North Africa and the Middle East, as well as Thailand and the US. The Company operates approximately </t>
  </si>
  <si>
    <t>State what parameters you used to choose the comparables.</t>
  </si>
  <si>
    <t>Norwegian Air Shuttle's 2015 sales (in USD)</t>
  </si>
  <si>
    <t>Norwegian Air Shuttle's 2015 EBITDA (in USD)</t>
  </si>
  <si>
    <t>Norwegian Air Shuttle's 2015 EBIT (in USD)</t>
  </si>
  <si>
    <t>There is no right or wrong answer to this question.</t>
  </si>
  <si>
    <t>Choose a set of comparable companies for a valuation assignment of Norwegian Air Shuttle. You can use as many or as few comparables in your answer.</t>
  </si>
  <si>
    <t>Point to point versus hub airlines is another differentiating factor.</t>
  </si>
  <si>
    <t>Geography is also key, with North American airlines varying widely from their European or Asian counter parts.</t>
  </si>
  <si>
    <t>The challenge with finding a set of comparables for Norwegian is that it spans across a number of categories.</t>
  </si>
  <si>
    <t>Regional vs international airlines.</t>
  </si>
  <si>
    <t>There is no clear cut set of comps and multiple sets of comparables could be used to value the Company.</t>
  </si>
  <si>
    <t>Workout 21</t>
  </si>
  <si>
    <t>Options outstanding</t>
  </si>
  <si>
    <t>Options strike price</t>
  </si>
  <si>
    <t>Cash and equivalents</t>
  </si>
  <si>
    <t>Non-core assets</t>
  </si>
  <si>
    <t>Equity affiliates (MV)</t>
  </si>
  <si>
    <t>Equity affiliates (BV)</t>
  </si>
  <si>
    <t>Preference shares</t>
  </si>
  <si>
    <t>Operating leases, valued at</t>
  </si>
  <si>
    <t>Pension deficit, valued at</t>
  </si>
  <si>
    <t>Dilution from options</t>
  </si>
  <si>
    <t>Dilution from RSU's</t>
  </si>
  <si>
    <t>Fully diluted market cap</t>
  </si>
  <si>
    <t>Establishing comparables set</t>
  </si>
  <si>
    <t>Value calculations</t>
  </si>
  <si>
    <t>Earnings calculations</t>
  </si>
  <si>
    <t>Tab 1</t>
  </si>
  <si>
    <t>Tab 2</t>
  </si>
  <si>
    <t>Tab 3</t>
  </si>
  <si>
    <t>Comps</t>
  </si>
  <si>
    <t>Earnings</t>
  </si>
  <si>
    <t xml:space="preserve">Calculate the PE, sales, EBIT and EBITDA multiples for Averiro Inc given the following information. </t>
  </si>
  <si>
    <t>Using the information in the previous question calculate implied growth rates for sales, EBIT, EBITDA and EPS, and margins for EBIT and EBITDA.</t>
  </si>
  <si>
    <t>Business E looks like it has come out of restructuring, with very low EV, accompanied by negative sales growth and non meaningful EBIT margin in the actual year.</t>
  </si>
  <si>
    <t>Followed by extremely high forecast EBIT margin for Year 1. Probably not comparable to the rest of the companies.</t>
  </si>
  <si>
    <t>Probably not comparable to the rest of the companies.</t>
  </si>
  <si>
    <t xml:space="preserve">Business A has sales growth in line with peers, but EBIT margin seems to grow fast from actual year to Year 1. If this were a retailer, an increase like this would be unusual. </t>
  </si>
  <si>
    <t>It is also much larger in size, from looking at EV, although difference in size does not necessarily make it non comparable.</t>
  </si>
  <si>
    <t>On balance, Business A may be comparable to business B.</t>
  </si>
  <si>
    <t>There are multiple parameters that can be used to choose the comparables set.</t>
  </si>
  <si>
    <t>It is important to differentiate between low cost airlines (Ryanair, Southwest) and legacy airlines (Delta, Air France and etc.)</t>
  </si>
  <si>
    <t>Freight versus passenger is one of the obvious differentiating factors as well.</t>
  </si>
  <si>
    <r>
      <t>Norwegian is the third largest </t>
    </r>
    <r>
      <rPr>
        <sz val="11"/>
        <color rgb="FF0B0080"/>
        <rFont val="Arial"/>
        <family val="2"/>
      </rPr>
      <t>low-cost carrier</t>
    </r>
    <r>
      <rPr>
        <sz val="11"/>
        <color rgb="FF252525"/>
        <rFont val="Arial"/>
        <family val="2"/>
      </rPr>
      <t> in Europe, the second-largest</t>
    </r>
    <r>
      <rPr>
        <sz val="11"/>
        <color rgb="FF0B0080"/>
        <rFont val="Arial"/>
        <family val="2"/>
      </rPr>
      <t xml:space="preserve"> airline</t>
    </r>
    <r>
      <rPr>
        <sz val="11"/>
        <color rgb="FF252525"/>
        <rFont val="Arial"/>
        <family val="2"/>
      </rPr>
      <t> in </t>
    </r>
    <r>
      <rPr>
        <sz val="11"/>
        <color rgb="FF0B0080"/>
        <rFont val="Arial"/>
        <family val="2"/>
      </rPr>
      <t>Scandinavia</t>
    </r>
    <r>
      <rPr>
        <sz val="11"/>
        <color rgb="FF252525"/>
        <rFont val="Arial"/>
        <family val="2"/>
      </rPr>
      <t>, and the ninth-largest airline in </t>
    </r>
    <r>
      <rPr>
        <sz val="11"/>
        <color rgb="FF0B0080"/>
        <rFont val="Arial"/>
        <family val="2"/>
      </rPr>
      <t>Europe</t>
    </r>
    <r>
      <rPr>
        <sz val="11"/>
        <color rgb="FF252525"/>
        <rFont val="Arial"/>
        <family val="2"/>
      </rPr>
      <t> in terms of passenger numbers.</t>
    </r>
  </si>
  <si>
    <t>In conclusion, it is often the case that finding comparables is challenging. When assigning a multiple to a company it is important to think about the drivers of multiples - returns, growth and risk.</t>
  </si>
  <si>
    <t>Business D seems to be a high growth company, with sales growth over 20.0% for 2 years in a row, and relatively high margins in comparison to companies A to C.</t>
  </si>
  <si>
    <t xml:space="preserve">Business C has negative EBIT margin in actual year, followed by high EBIT margin in Year 1. It also has low sales growth in actual year followed by very high sales growth in the following year. </t>
  </si>
  <si>
    <t xml:space="preserve">Norwegian Air Shuttle ASA is a Norway based company active in the low cost airline industry. It operates scheduled services with additional charter services. </t>
  </si>
  <si>
    <t>Some of the obvious ones are margins and cost structure. Cost structure specifically is an important factor for defining a comps set in the airlines industry.</t>
  </si>
  <si>
    <t>ADRs outstanding</t>
  </si>
  <si>
    <t>Common B shares have super voting rights and on transfer convert into low voting shares.</t>
  </si>
  <si>
    <t>Option intrinsic value methodology</t>
  </si>
  <si>
    <t xml:space="preserve"> = (share price - strike price) / share price * number of options</t>
  </si>
  <si>
    <t>Non controlling interests</t>
  </si>
  <si>
    <t>Non controlling interests - carrying value</t>
  </si>
  <si>
    <t>Non controlling interests - market value</t>
  </si>
  <si>
    <t>Calculate enterprise value for DogBox Inc. using the information below.</t>
  </si>
  <si>
    <t>Number of options</t>
  </si>
  <si>
    <t xml:space="preserve">Non operating provisions </t>
  </si>
  <si>
    <t>x</t>
  </si>
  <si>
    <t>Number of options outstanding</t>
  </si>
  <si>
    <t>Latest</t>
  </si>
  <si>
    <t>Earliest</t>
  </si>
  <si>
    <t>Convertible debt principal MM</t>
  </si>
  <si>
    <t>Conversion: notional principal</t>
  </si>
  <si>
    <t>Conversion: shares per notional principal</t>
  </si>
  <si>
    <t>Number of new shares per 1, after split</t>
  </si>
  <si>
    <t>Debt issuance</t>
  </si>
  <si>
    <t>10 votes per share. Held by insiders and converted to A shares, 1 for 1, prior to any sale.</t>
  </si>
  <si>
    <t>Non marketable securities</t>
  </si>
  <si>
    <t>Par value</t>
  </si>
  <si>
    <t>Short term investments</t>
  </si>
  <si>
    <t>2014</t>
  </si>
  <si>
    <t>2015</t>
  </si>
  <si>
    <t>Assume the company does not regularly dispose of PP&amp;E.</t>
  </si>
  <si>
    <t>Impairment of intangible asset</t>
  </si>
  <si>
    <t>Accelerated depreciation and amortization charge is reported within depreciation, amortization and depletion.</t>
  </si>
  <si>
    <t>In the MD&amp;A and notes to the accounts you find the following information:</t>
  </si>
  <si>
    <t>Assume other expense net is non-recurring. Assume asset dispositions are recurring.</t>
  </si>
  <si>
    <t>Assume foreign exchange losses, marketable securities gains and asset disposals are non core and non recurring items.</t>
  </si>
  <si>
    <t>Calculate LTM EBIT for GoodieFoodie Inc for period ending 27 September 2015.</t>
  </si>
  <si>
    <t>Termination fee received</t>
  </si>
  <si>
    <t>Dec 2030</t>
  </si>
  <si>
    <t>Target</t>
  </si>
  <si>
    <t>Year ended</t>
  </si>
  <si>
    <t>A company publishes financial statements quarterly to the end of March, June, September and December.</t>
  </si>
  <si>
    <t>Forecast</t>
  </si>
  <si>
    <t>Sept Q3Y1</t>
  </si>
  <si>
    <t>Mar Q1Y1</t>
  </si>
  <si>
    <t>Jun Q2Y1</t>
  </si>
  <si>
    <t>Mar Q1Y2</t>
  </si>
  <si>
    <t>Jun Q2Y2</t>
  </si>
  <si>
    <t>Sep Q3Y2</t>
  </si>
  <si>
    <t xml:space="preserve">Calendarized </t>
  </si>
  <si>
    <t>Nov Y2</t>
  </si>
  <si>
    <t>Months per annum</t>
  </si>
  <si>
    <t>Months to include from Y1</t>
  </si>
  <si>
    <t>Months to include from Y2</t>
  </si>
  <si>
    <t>Dec Yr 1</t>
  </si>
  <si>
    <t>Dec Yr 2</t>
  </si>
  <si>
    <t>Oct Yr 2</t>
  </si>
  <si>
    <t>Months to include from Q4Y1</t>
  </si>
  <si>
    <t>Months to include from Q4Y2</t>
  </si>
  <si>
    <t>Months per quarter</t>
  </si>
  <si>
    <t>Dec Q4Y1</t>
  </si>
  <si>
    <t>Dec Q4Y2</t>
  </si>
  <si>
    <t>Actual figures are available for Year 1. Forecast figures are available for Year 2.</t>
  </si>
  <si>
    <t>P/E</t>
  </si>
  <si>
    <t>Adjusted continuing net income</t>
  </si>
  <si>
    <t>Nine months ending</t>
  </si>
  <si>
    <t>Combo</t>
  </si>
  <si>
    <t>A company closed an acquisition halfway through 2030. Assume the acquisition had no seasonality in its numbers.</t>
  </si>
  <si>
    <t>Other income (expenses) primarily relates to a one off gain relating to an acquisition which closed the prior year.</t>
  </si>
  <si>
    <t>Income/(loss) from discontinued operations</t>
  </si>
  <si>
    <t>Six months ending</t>
  </si>
  <si>
    <t>Calculate calendarized sales, EBIT and net income to end November Year 2.</t>
  </si>
  <si>
    <t xml:space="preserve">Basic shares outstanding - front of 10Q, 30th September </t>
  </si>
  <si>
    <t>Share price - 10th March Year 2</t>
  </si>
  <si>
    <t>Basic shares outstanding - front page of 10K, 9th February Year 2</t>
  </si>
  <si>
    <t>Net new shares from dilution - 10K 31st December Year 1</t>
  </si>
  <si>
    <t>Debt - 10K 31st December Year 1</t>
  </si>
  <si>
    <t>Cash and cash equivalents - 10K 31st December Year 1</t>
  </si>
  <si>
    <t>Cash equivalents - 10K 31st Dec plus cash from debt issuance</t>
  </si>
  <si>
    <t>Using the financial statements extracts below calculate EBIT and EBITDA for Energy Inc.</t>
  </si>
  <si>
    <t>Calculate LTM EBIT and EBITDA for MayLing Co for 12 months ending 30-Jun-51.</t>
  </si>
  <si>
    <t>A company publishes annual financial statements to year end December. Calculate calendarized sales and EBITDA to 31st October Year 2.</t>
  </si>
  <si>
    <t>The business issued 25,000.0 debt on February 20th Year 2, to finance an acquisition which has not closed yet.</t>
  </si>
  <si>
    <t>Equity component of convertible debt not included as out of the money</t>
  </si>
  <si>
    <t xml:space="preserve">The principal (carrying amount + discount ) of the convertible debt is included in the EV equity bridge. </t>
  </si>
  <si>
    <t>Nonvested restricted stock units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</si>
</sst>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409]d\-mmm\-yy;@"/>
    <numFmt numFmtId="169" formatCode="0.0"/>
    <numFmt numFmtId="170" formatCode="#,##0.0_);\(#,##0.0\)\,0.0_);@_)"/>
    <numFmt numFmtId="171" formatCode="#,##0.0\ \x_);\(#,##0.0\ \x\);"/>
    <numFmt numFmtId="172" formatCode="0.0%_);\(0.0%\)"/>
    <numFmt numFmtId="173" formatCode=";;;"/>
    <numFmt numFmtId="174" formatCode="#,##0.0_);\(#,##0.0\);0.0_);@_)"/>
    <numFmt numFmtId="175" formatCode="#,##0.00_);\(#,##0.00\);0.00_);@_)"/>
    <numFmt numFmtId="176" formatCode="0.0%"/>
    <numFmt numFmtId="177" formatCode="#,##0.000_);\(#,##0.000\);0.000_);@_)"/>
    <numFmt numFmtId="178" formatCode="#,##0_);\(#,##0\);0_);@_)"/>
  </numFmts>
  <fonts count="39" x14ac:knownFonts="1">
    <font>
      <sz val="11"/>
      <color theme="1" tint="0.24994659260841701"/>
      <name val="Calibri"/>
      <family val="2"/>
      <scheme val="minor"/>
    </font>
    <font>
      <sz val="18"/>
      <color theme="1"/>
      <name val="Calibri"/>
      <family val="2"/>
      <scheme val="minor"/>
    </font>
    <font>
      <sz val="11"/>
      <color theme="1" tint="0.249977111117893"/>
      <name val="Calibri"/>
      <family val="2"/>
      <scheme val="minor"/>
    </font>
    <font>
      <sz val="11"/>
      <color rgb="FF085393"/>
      <name val="Calibri"/>
      <family val="2"/>
      <scheme val="minor"/>
    </font>
    <font>
      <b/>
      <sz val="12"/>
      <color rgb="FF163260"/>
      <name val="Calibri"/>
      <family val="2"/>
      <scheme val="minor"/>
    </font>
    <font>
      <sz val="10"/>
      <color rgb="FF085393"/>
      <name val="Calibri"/>
      <family val="2"/>
      <scheme val="minor"/>
    </font>
    <font>
      <u/>
      <sz val="11"/>
      <color rgb="FF085393"/>
      <name val="Calibri"/>
      <family val="2"/>
      <scheme val="minor"/>
    </font>
    <font>
      <u/>
      <sz val="14"/>
      <color rgb="FF085393"/>
      <name val="Calibri"/>
      <family val="2"/>
      <scheme val="minor"/>
    </font>
    <font>
      <sz val="16"/>
      <color theme="0"/>
      <name val="Calibri Light"/>
      <family val="2"/>
      <scheme val="maj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8"/>
      <color rgb="FF006100"/>
      <name val="Calibri"/>
      <family val="2"/>
      <scheme val="minor"/>
    </font>
    <font>
      <sz val="18"/>
      <color rgb="FF9C0006"/>
      <name val="Calibri"/>
      <family val="2"/>
      <scheme val="minor"/>
    </font>
    <font>
      <sz val="18"/>
      <color rgb="FF9C6500"/>
      <name val="Calibri"/>
      <family val="2"/>
      <scheme val="minor"/>
    </font>
    <font>
      <sz val="18"/>
      <color rgb="FF3F3F76"/>
      <name val="Calibri"/>
      <family val="2"/>
      <scheme val="minor"/>
    </font>
    <font>
      <b/>
      <sz val="18"/>
      <color rgb="FF3F3F3F"/>
      <name val="Calibri"/>
      <family val="2"/>
      <scheme val="minor"/>
    </font>
    <font>
      <b/>
      <sz val="18"/>
      <color rgb="FFFA7D00"/>
      <name val="Calibri"/>
      <family val="2"/>
      <scheme val="minor"/>
    </font>
    <font>
      <sz val="18"/>
      <color rgb="FFFA7D00"/>
      <name val="Calibri"/>
      <family val="2"/>
      <scheme val="minor"/>
    </font>
    <font>
      <b/>
      <sz val="18"/>
      <color theme="0"/>
      <name val="Calibri"/>
      <family val="2"/>
      <scheme val="minor"/>
    </font>
    <font>
      <sz val="18"/>
      <color rgb="FFFF0000"/>
      <name val="Calibri"/>
      <family val="2"/>
      <scheme val="minor"/>
    </font>
    <font>
      <i/>
      <sz val="18"/>
      <color rgb="FF7F7F7F"/>
      <name val="Calibri"/>
      <family val="2"/>
      <scheme val="minor"/>
    </font>
    <font>
      <b/>
      <sz val="18"/>
      <color theme="1"/>
      <name val="Calibri"/>
      <family val="2"/>
      <scheme val="minor"/>
    </font>
    <font>
      <sz val="18"/>
      <color theme="0"/>
      <name val="Calibri"/>
      <family val="2"/>
      <scheme val="minor"/>
    </font>
    <font>
      <sz val="14"/>
      <color theme="0"/>
      <name val="Calibri"/>
      <family val="2"/>
      <scheme val="minor"/>
    </font>
    <font>
      <sz val="11"/>
      <color theme="0"/>
      <name val="Calibri"/>
      <family val="2"/>
      <scheme val="minor"/>
    </font>
    <font>
      <sz val="9"/>
      <color theme="0"/>
      <name val="Calibri"/>
      <family val="2"/>
      <scheme val="minor"/>
    </font>
    <font>
      <sz val="11"/>
      <name val="Calibri"/>
      <family val="2"/>
      <scheme val="minor"/>
    </font>
    <font>
      <sz val="11"/>
      <color rgb="FF0000FF"/>
      <name val="Calibri"/>
      <family val="2"/>
      <scheme val="minor"/>
    </font>
    <font>
      <sz val="9"/>
      <color rgb="FF085393"/>
      <name val="Calibri"/>
      <family val="2"/>
      <scheme val="minor"/>
    </font>
    <font>
      <sz val="22"/>
      <color theme="0"/>
      <name val="Calibri Light"/>
      <family val="2"/>
      <scheme val="major"/>
    </font>
    <font>
      <b/>
      <sz val="11"/>
      <color rgb="FFFF0000"/>
      <name val="Calibri"/>
      <family val="2"/>
      <scheme val="minor"/>
    </font>
    <font>
      <sz val="9"/>
      <color indexed="81"/>
      <name val="Tahoma"/>
      <family val="2"/>
    </font>
    <font>
      <b/>
      <sz val="9"/>
      <color indexed="81"/>
      <name val="Tahoma"/>
      <family val="2"/>
    </font>
    <font>
      <b/>
      <sz val="11"/>
      <color rgb="FF085393"/>
      <name val="Calibri"/>
      <family val="2"/>
      <scheme val="minor"/>
    </font>
    <font>
      <sz val="11"/>
      <color rgb="FF252525"/>
      <name val="Arial"/>
      <family val="2"/>
    </font>
    <font>
      <sz val="11"/>
      <color rgb="FF0B0080"/>
      <name val="Arial"/>
      <family val="2"/>
    </font>
  </fonts>
  <fills count="39">
    <fill>
      <patternFill patternType="none"/>
    </fill>
    <fill>
      <patternFill patternType="gray125"/>
    </fill>
    <fill>
      <patternFill patternType="solid">
        <fgColor rgb="FF163260"/>
        <bgColor indexed="64"/>
      </patternFill>
    </fill>
    <fill>
      <patternFill patternType="solid">
        <fgColor rgb="FF085393"/>
        <bgColor indexed="64"/>
      </patternFill>
    </fill>
    <fill>
      <patternFill patternType="solid">
        <fgColor theme="0"/>
        <bgColor indexed="64"/>
      </patternFill>
    </fill>
    <fill>
      <patternFill patternType="solid">
        <fgColor theme="0" tint="-4.9989318521683403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0F8FE"/>
        <bgColor indexed="64"/>
      </patternFill>
    </fill>
    <fill>
      <patternFill patternType="solid">
        <fgColor theme="7"/>
        <bgColor indexed="64"/>
      </patternFill>
    </fill>
  </fills>
  <borders count="13">
    <border>
      <left/>
      <right/>
      <top/>
      <bottom/>
      <diagonal/>
    </border>
    <border>
      <left/>
      <right/>
      <top/>
      <bottom style="medium">
        <color theme="0" tint="-0.1499984740745262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BBDEFB"/>
      </left>
      <right style="thin">
        <color rgb="FFBBDEFB"/>
      </right>
      <top style="thin">
        <color rgb="FFBBDEFB"/>
      </top>
      <bottom style="thin">
        <color rgb="FFBBDEFB"/>
      </bottom>
      <diagonal/>
    </border>
    <border>
      <left/>
      <right/>
      <top/>
      <bottom style="medium">
        <color theme="0" tint="-0.14996795556505021"/>
      </bottom>
      <diagonal/>
    </border>
  </borders>
  <cellStyleXfs count="65">
    <xf numFmtId="174" fontId="0" fillId="0" borderId="0"/>
    <xf numFmtId="0" fontId="6" fillId="0" borderId="0" applyNumberFormat="0" applyFill="0" applyBorder="0" applyAlignment="0" applyProtection="0"/>
    <xf numFmtId="167" fontId="9" fillId="0" borderId="0" applyFont="0" applyFill="0" applyBorder="0" applyAlignment="0" applyProtection="0"/>
    <xf numFmtId="165" fontId="9" fillId="0" borderId="0" applyFont="0" applyFill="0" applyBorder="0" applyAlignment="0" applyProtection="0"/>
    <xf numFmtId="166" fontId="9" fillId="0" borderId="0" applyFont="0" applyFill="0" applyBorder="0" applyAlignment="0" applyProtection="0"/>
    <xf numFmtId="164" fontId="9" fillId="0" borderId="0" applyFont="0" applyFill="0" applyBorder="0" applyAlignment="0" applyProtection="0"/>
    <xf numFmtId="9" fontId="9" fillId="0" borderId="0" applyFont="0" applyFill="0" applyBorder="0" applyAlignment="0" applyProtection="0"/>
    <xf numFmtId="0" fontId="10" fillId="0" borderId="0" applyNumberFormat="0" applyFill="0" applyBorder="0" applyAlignment="0" applyProtection="0"/>
    <xf numFmtId="0" fontId="11" fillId="0" borderId="2" applyNumberFormat="0" applyFill="0" applyAlignment="0" applyProtection="0"/>
    <xf numFmtId="0" fontId="12" fillId="0" borderId="3" applyNumberFormat="0" applyFill="0" applyAlignment="0" applyProtection="0"/>
    <xf numFmtId="0" fontId="13" fillId="0" borderId="4" applyNumberFormat="0" applyFill="0" applyAlignment="0" applyProtection="0"/>
    <xf numFmtId="0" fontId="13" fillId="0" borderId="0" applyNumberFormat="0" applyFill="0" applyBorder="0" applyAlignment="0" applyProtection="0"/>
    <xf numFmtId="0" fontId="14" fillId="6" borderId="0" applyNumberFormat="0" applyBorder="0" applyAlignment="0" applyProtection="0"/>
    <xf numFmtId="0" fontId="15" fillId="7" borderId="0" applyNumberFormat="0" applyBorder="0" applyAlignment="0" applyProtection="0"/>
    <xf numFmtId="0" fontId="16" fillId="8" borderId="0" applyNumberFormat="0" applyBorder="0" applyAlignment="0" applyProtection="0"/>
    <xf numFmtId="0" fontId="17" fillId="9" borderId="5" applyNumberFormat="0" applyAlignment="0" applyProtection="0"/>
    <xf numFmtId="0" fontId="18" fillId="10" borderId="6" applyNumberFormat="0" applyAlignment="0" applyProtection="0"/>
    <xf numFmtId="0" fontId="19" fillId="10" borderId="5" applyNumberFormat="0" applyAlignment="0" applyProtection="0"/>
    <xf numFmtId="0" fontId="20" fillId="0" borderId="7" applyNumberFormat="0" applyFill="0" applyAlignment="0" applyProtection="0"/>
    <xf numFmtId="0" fontId="21" fillId="11" borderId="8" applyNumberFormat="0" applyAlignment="0" applyProtection="0"/>
    <xf numFmtId="0" fontId="22" fillId="0" borderId="0" applyNumberFormat="0" applyFill="0" applyBorder="0" applyAlignment="0" applyProtection="0"/>
    <xf numFmtId="0" fontId="9" fillId="12" borderId="9" applyNumberFormat="0" applyFont="0" applyAlignment="0" applyProtection="0"/>
    <xf numFmtId="0" fontId="23" fillId="0" borderId="0" applyNumberFormat="0" applyFill="0" applyBorder="0" applyAlignment="0" applyProtection="0"/>
    <xf numFmtId="0" fontId="24" fillId="0" borderId="10" applyNumberFormat="0" applyFill="0" applyAlignment="0" applyProtection="0"/>
    <xf numFmtId="0" fontId="25"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5" fillId="16" borderId="0" applyNumberFormat="0" applyBorder="0" applyAlignment="0" applyProtection="0"/>
    <xf numFmtId="0" fontId="25"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5" fillId="20" borderId="0" applyNumberFormat="0" applyBorder="0" applyAlignment="0" applyProtection="0"/>
    <xf numFmtId="0" fontId="25"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5" fillId="24" borderId="0" applyNumberFormat="0" applyBorder="0" applyAlignment="0" applyProtection="0"/>
    <xf numFmtId="0" fontId="25"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5" fillId="28" borderId="0" applyNumberFormat="0" applyBorder="0" applyAlignment="0" applyProtection="0"/>
    <xf numFmtId="0" fontId="25"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5" fillId="32" borderId="0" applyNumberFormat="0" applyBorder="0" applyAlignment="0" applyProtection="0"/>
    <xf numFmtId="0" fontId="25" fillId="33" borderId="0" applyNumberFormat="0" applyBorder="0" applyAlignment="0" applyProtection="0"/>
    <xf numFmtId="0" fontId="1" fillId="34" borderId="0" applyNumberFormat="0" applyBorder="0" applyAlignment="0" applyProtection="0"/>
    <xf numFmtId="0" fontId="1" fillId="35" borderId="0" applyNumberFormat="0" applyBorder="0" applyAlignment="0" applyProtection="0"/>
    <xf numFmtId="0" fontId="25" fillId="36" borderId="0" applyNumberFormat="0" applyBorder="0" applyAlignment="0" applyProtection="0"/>
    <xf numFmtId="0" fontId="32" fillId="2" borderId="0" applyNumberFormat="0">
      <alignment horizontal="left"/>
    </xf>
    <xf numFmtId="0" fontId="8" fillId="3" borderId="0" applyNumberFormat="0" applyAlignment="0">
      <alignment horizontal="left"/>
    </xf>
    <xf numFmtId="0" fontId="4" fillId="0" borderId="0" applyNumberFormat="0" applyFill="0" applyBorder="0">
      <alignment horizontal="left" vertical="center"/>
    </xf>
    <xf numFmtId="0" fontId="2" fillId="5" borderId="0" applyNumberFormat="0" applyFont="0" applyAlignment="0" applyProtection="0">
      <alignment vertical="top"/>
    </xf>
    <xf numFmtId="168" fontId="28" fillId="3" borderId="0">
      <alignment horizontal="center"/>
    </xf>
    <xf numFmtId="170" fontId="27" fillId="2" borderId="0">
      <alignment horizontal="center"/>
    </xf>
    <xf numFmtId="170" fontId="3" fillId="0" borderId="0">
      <alignment vertical="top"/>
    </xf>
    <xf numFmtId="168" fontId="29" fillId="0" borderId="0" applyFont="0" applyFill="0" applyBorder="0" applyAlignment="0" applyProtection="0"/>
    <xf numFmtId="171" fontId="9" fillId="0" borderId="0" applyFont="0" applyFill="0" applyBorder="0" applyAlignment="0" applyProtection="0"/>
    <xf numFmtId="172" fontId="29" fillId="2" borderId="0" applyFont="0" applyFill="0" applyBorder="0" applyAlignment="0" applyProtection="0"/>
    <xf numFmtId="170" fontId="30" fillId="2" borderId="0" applyNumberFormat="0" applyFill="0" applyBorder="0" applyAlignment="0" applyProtection="0"/>
    <xf numFmtId="170" fontId="31" fillId="0" borderId="0" applyNumberFormat="0" applyFill="0" applyBorder="0" applyAlignment="0">
      <alignment vertical="top"/>
    </xf>
    <xf numFmtId="173" fontId="29" fillId="2" borderId="0" applyFont="0" applyFill="0" applyBorder="0" applyAlignment="0" applyProtection="0"/>
    <xf numFmtId="171" fontId="30" fillId="37" borderId="11" applyNumberFormat="0">
      <protection locked="0"/>
    </xf>
    <xf numFmtId="0" fontId="2" fillId="5" borderId="12" applyFont="0" applyAlignment="0" applyProtection="0">
      <alignment vertical="top"/>
    </xf>
    <xf numFmtId="170" fontId="32" fillId="3" borderId="0" applyNumberFormat="0" applyBorder="0">
      <alignment horizontal="center" vertical="top"/>
    </xf>
    <xf numFmtId="170" fontId="3" fillId="38" borderId="0" applyNumberFormat="0" applyFont="0" applyBorder="0" applyAlignment="0" applyProtection="0">
      <alignment vertical="top"/>
    </xf>
  </cellStyleXfs>
  <cellXfs count="115">
    <xf numFmtId="174" fontId="0" fillId="0" borderId="0" xfId="0"/>
    <xf numFmtId="174" fontId="2" fillId="5" borderId="0" xfId="0" applyFont="1" applyFill="1" applyBorder="1"/>
    <xf numFmtId="174" fontId="2" fillId="4" borderId="0" xfId="0" applyFont="1" applyFill="1" applyBorder="1"/>
    <xf numFmtId="174" fontId="2" fillId="5" borderId="0" xfId="0" applyFont="1" applyFill="1" applyBorder="1" applyAlignment="1">
      <alignment vertical="top" wrapText="1"/>
    </xf>
    <xf numFmtId="174" fontId="2" fillId="5" borderId="1" xfId="0" applyFont="1" applyFill="1" applyBorder="1" applyAlignment="1">
      <alignment vertical="top"/>
    </xf>
    <xf numFmtId="170" fontId="32" fillId="2" borderId="0" xfId="48" applyNumberFormat="1">
      <alignment horizontal="left"/>
    </xf>
    <xf numFmtId="174" fontId="25" fillId="2" borderId="0" xfId="0" applyFont="1" applyFill="1" applyBorder="1" applyAlignment="1"/>
    <xf numFmtId="174" fontId="26" fillId="3" borderId="0" xfId="0" applyFont="1" applyFill="1" applyBorder="1" applyAlignment="1"/>
    <xf numFmtId="174" fontId="3" fillId="5" borderId="0" xfId="0" applyFont="1" applyFill="1" applyBorder="1" applyAlignment="1">
      <alignment horizontal="center" vertical="top"/>
    </xf>
    <xf numFmtId="174" fontId="3" fillId="5" borderId="0" xfId="0" applyFont="1" applyFill="1" applyBorder="1" applyAlignment="1">
      <alignment vertical="top"/>
    </xf>
    <xf numFmtId="174" fontId="25" fillId="2" borderId="0" xfId="0" applyFont="1" applyFill="1" applyBorder="1" applyAlignment="1">
      <alignment vertical="center"/>
    </xf>
    <xf numFmtId="168" fontId="28" fillId="3" borderId="0" xfId="52">
      <alignment horizontal="center"/>
    </xf>
    <xf numFmtId="170" fontId="27" fillId="2" borderId="0" xfId="53">
      <alignment horizontal="center"/>
    </xf>
    <xf numFmtId="170" fontId="32" fillId="2" borderId="0" xfId="48" applyNumberFormat="1" applyAlignment="1"/>
    <xf numFmtId="170" fontId="8" fillId="3" borderId="0" xfId="49" applyNumberFormat="1" applyAlignment="1"/>
    <xf numFmtId="170" fontId="4" fillId="0" borderId="0" xfId="50" applyNumberFormat="1">
      <alignment horizontal="left" vertical="center"/>
    </xf>
    <xf numFmtId="170" fontId="3" fillId="0" borderId="0" xfId="54">
      <alignment vertical="top"/>
    </xf>
    <xf numFmtId="174" fontId="2" fillId="5" borderId="0" xfId="0" applyFont="1" applyFill="1" applyBorder="1" applyAlignment="1">
      <alignment horizontal="left" vertical="top"/>
    </xf>
    <xf numFmtId="174" fontId="2" fillId="5" borderId="0" xfId="0" applyFont="1" applyFill="1" applyBorder="1" applyAlignment="1">
      <alignment vertical="top"/>
    </xf>
    <xf numFmtId="174" fontId="2" fillId="0" borderId="0" xfId="0" applyFont="1" applyFill="1" applyBorder="1" applyAlignment="1">
      <alignment vertical="top" wrapText="1"/>
    </xf>
    <xf numFmtId="174" fontId="3" fillId="0" borderId="0" xfId="0" applyFont="1" applyFill="1" applyBorder="1" applyAlignment="1">
      <alignment vertical="top"/>
    </xf>
    <xf numFmtId="174" fontId="2" fillId="0" borderId="0" xfId="0" applyFont="1" applyFill="1" applyBorder="1" applyAlignment="1">
      <alignment horizontal="left" wrapText="1"/>
    </xf>
    <xf numFmtId="174" fontId="2" fillId="0" borderId="0" xfId="0" applyFont="1" applyFill="1" applyBorder="1" applyAlignment="1">
      <alignment vertical="top"/>
    </xf>
    <xf numFmtId="174" fontId="2" fillId="0" borderId="0" xfId="0" applyFont="1" applyFill="1" applyBorder="1"/>
    <xf numFmtId="174" fontId="4" fillId="0" borderId="0" xfId="0" applyFont="1" applyFill="1" applyBorder="1" applyAlignment="1">
      <alignment vertical="center"/>
    </xf>
    <xf numFmtId="174" fontId="5" fillId="0" borderId="0" xfId="0" applyFont="1" applyFill="1" applyBorder="1" applyAlignment="1">
      <alignment vertical="center" wrapText="1"/>
    </xf>
    <xf numFmtId="174" fontId="2" fillId="0" borderId="0" xfId="0" applyFont="1" applyFill="1" applyBorder="1" applyAlignment="1">
      <alignment horizontal="left" vertical="top"/>
    </xf>
    <xf numFmtId="174" fontId="3" fillId="0" borderId="0" xfId="0" applyFont="1" applyFill="1" applyBorder="1" applyAlignment="1">
      <alignment horizontal="center" vertical="top"/>
    </xf>
    <xf numFmtId="174" fontId="7" fillId="0" borderId="0" xfId="0" applyFont="1" applyFill="1" applyBorder="1" applyAlignment="1">
      <alignment vertical="center" wrapText="1"/>
    </xf>
    <xf numFmtId="168" fontId="2" fillId="0" borderId="0" xfId="0" applyNumberFormat="1" applyFont="1" applyFill="1" applyBorder="1" applyAlignment="1">
      <alignment horizontal="left"/>
    </xf>
    <xf numFmtId="174" fontId="2" fillId="0" borderId="0" xfId="0" applyFont="1" applyFill="1" applyBorder="1" applyAlignment="1">
      <alignment horizontal="left"/>
    </xf>
    <xf numFmtId="169" fontId="2" fillId="0" borderId="0" xfId="0" applyNumberFormat="1" applyFont="1" applyFill="1" applyBorder="1" applyAlignment="1">
      <alignment horizontal="left"/>
    </xf>
    <xf numFmtId="174" fontId="0" fillId="0" borderId="0" xfId="0" applyFill="1"/>
    <xf numFmtId="174" fontId="3" fillId="0" borderId="0" xfId="0" applyFont="1" applyFill="1" applyBorder="1" applyAlignment="1">
      <alignment horizontal="left" vertical="top"/>
    </xf>
    <xf numFmtId="174" fontId="3" fillId="0" borderId="0" xfId="0" applyFont="1" applyFill="1" applyBorder="1"/>
    <xf numFmtId="174" fontId="0" fillId="0" borderId="0" xfId="0" applyFill="1" applyBorder="1"/>
    <xf numFmtId="174" fontId="25" fillId="0" borderId="0" xfId="0" applyFont="1" applyFill="1" applyBorder="1" applyAlignment="1"/>
    <xf numFmtId="174" fontId="26" fillId="0" borderId="0" xfId="0" applyFont="1" applyFill="1" applyBorder="1" applyAlignment="1"/>
    <xf numFmtId="170" fontId="30" fillId="0" borderId="0" xfId="58" applyFill="1" applyBorder="1" applyAlignment="1">
      <alignment vertical="top"/>
    </xf>
    <xf numFmtId="170" fontId="2" fillId="5" borderId="0" xfId="51" applyNumberFormat="1" applyFont="1" applyBorder="1" applyAlignment="1">
      <alignment horizontal="left" vertical="top"/>
    </xf>
    <xf numFmtId="170" fontId="3" fillId="5" borderId="0" xfId="51" applyNumberFormat="1" applyFont="1" applyBorder="1" applyAlignment="1">
      <alignment horizontal="center" vertical="top"/>
    </xf>
    <xf numFmtId="170" fontId="2" fillId="5" borderId="0" xfId="51" applyNumberFormat="1" applyFont="1" applyBorder="1" applyAlignment="1"/>
    <xf numFmtId="170" fontId="5" fillId="5" borderId="0" xfId="51" applyNumberFormat="1" applyFont="1" applyBorder="1" applyAlignment="1">
      <alignment vertical="center" wrapText="1"/>
    </xf>
    <xf numFmtId="170" fontId="2" fillId="5" borderId="0" xfId="51" applyNumberFormat="1" applyFont="1" applyAlignment="1">
      <alignment vertical="top"/>
    </xf>
    <xf numFmtId="170" fontId="2" fillId="5" borderId="0" xfId="51" applyNumberFormat="1" applyFont="1" applyAlignment="1"/>
    <xf numFmtId="170" fontId="5" fillId="5" borderId="0" xfId="51" applyNumberFormat="1" applyFont="1" applyAlignment="1">
      <alignment vertical="center" wrapText="1"/>
    </xf>
    <xf numFmtId="0" fontId="2" fillId="5" borderId="12" xfId="62" applyFont="1" applyAlignment="1">
      <alignment vertical="top"/>
    </xf>
    <xf numFmtId="0" fontId="3" fillId="5" borderId="12" xfId="62" applyFont="1" applyAlignment="1">
      <alignment horizontal="center" vertical="top"/>
    </xf>
    <xf numFmtId="0" fontId="2" fillId="5" borderId="12" xfId="62" applyFont="1" applyAlignment="1"/>
    <xf numFmtId="0" fontId="5" fillId="5" borderId="12" xfId="62" applyFont="1" applyAlignment="1">
      <alignment vertical="center" wrapText="1"/>
    </xf>
    <xf numFmtId="174" fontId="25" fillId="0" borderId="0" xfId="0" applyFont="1" applyFill="1" applyBorder="1" applyAlignment="1">
      <alignment vertical="center"/>
    </xf>
    <xf numFmtId="170" fontId="7" fillId="5" borderId="0" xfId="51" applyNumberFormat="1" applyFont="1" applyAlignment="1">
      <alignment vertical="center" wrapText="1"/>
    </xf>
    <xf numFmtId="0" fontId="3" fillId="5" borderId="12" xfId="62" applyFont="1" applyAlignment="1"/>
    <xf numFmtId="0" fontId="2" fillId="5" borderId="12" xfId="62" applyFont="1" applyAlignment="1">
      <alignment horizontal="left"/>
    </xf>
    <xf numFmtId="0" fontId="7" fillId="5" borderId="12" xfId="62" applyFont="1" applyAlignment="1">
      <alignment horizontal="center" vertical="center" wrapText="1"/>
    </xf>
    <xf numFmtId="0" fontId="7" fillId="5" borderId="12" xfId="62" applyFont="1" applyAlignment="1">
      <alignment vertical="center" wrapText="1"/>
    </xf>
    <xf numFmtId="170" fontId="30" fillId="37" borderId="11" xfId="61" applyNumberFormat="1">
      <protection locked="0"/>
    </xf>
    <xf numFmtId="170" fontId="2" fillId="0" borderId="0" xfId="51" applyNumberFormat="1" applyFont="1" applyFill="1" applyAlignment="1"/>
    <xf numFmtId="0" fontId="2" fillId="0" borderId="0" xfId="62" applyFont="1" applyFill="1" applyBorder="1" applyAlignment="1"/>
    <xf numFmtId="174" fontId="0" fillId="5" borderId="0" xfId="51" applyNumberFormat="1" applyFont="1" applyAlignment="1"/>
    <xf numFmtId="174" fontId="2" fillId="5" borderId="0" xfId="51" applyNumberFormat="1" applyFont="1" applyAlignment="1">
      <alignment vertical="top"/>
    </xf>
    <xf numFmtId="0" fontId="0" fillId="5" borderId="12" xfId="62" applyFont="1" applyAlignment="1"/>
    <xf numFmtId="174" fontId="4" fillId="5" borderId="0" xfId="51" applyNumberFormat="1" applyFont="1" applyAlignment="1">
      <alignment vertical="center"/>
    </xf>
    <xf numFmtId="0" fontId="3" fillId="5" borderId="12" xfId="62" applyFont="1" applyAlignment="1">
      <alignment horizontal="left" vertical="top"/>
    </xf>
    <xf numFmtId="174" fontId="4" fillId="0" borderId="0" xfId="50" applyNumberFormat="1" applyFill="1">
      <alignment horizontal="left" vertical="center"/>
    </xf>
    <xf numFmtId="174" fontId="30" fillId="0" borderId="0" xfId="58" applyNumberFormat="1" applyFill="1"/>
    <xf numFmtId="175" fontId="30" fillId="0" borderId="0" xfId="58" applyNumberFormat="1" applyFill="1"/>
    <xf numFmtId="175" fontId="0" fillId="0" borderId="0" xfId="0" applyNumberFormat="1"/>
    <xf numFmtId="171" fontId="30" fillId="0" borderId="0" xfId="56" applyFont="1" applyFill="1"/>
    <xf numFmtId="172" fontId="30" fillId="0" borderId="0" xfId="57" applyFont="1" applyFill="1"/>
    <xf numFmtId="171" fontId="0" fillId="0" borderId="0" xfId="56" applyFont="1"/>
    <xf numFmtId="9" fontId="0" fillId="0" borderId="0" xfId="0" applyNumberFormat="1"/>
    <xf numFmtId="176" fontId="0" fillId="0" borderId="0" xfId="0" applyNumberFormat="1"/>
    <xf numFmtId="174" fontId="33" fillId="0" borderId="0" xfId="0" applyFont="1"/>
    <xf numFmtId="172" fontId="0" fillId="0" borderId="0" xfId="57" applyFont="1" applyFill="1"/>
    <xf numFmtId="170" fontId="36" fillId="0" borderId="0" xfId="54" applyFont="1">
      <alignment vertical="top"/>
    </xf>
    <xf numFmtId="174" fontId="0" fillId="0" borderId="0" xfId="0" applyNumberFormat="1"/>
    <xf numFmtId="174" fontId="0" fillId="0" borderId="0" xfId="0" applyAlignment="1">
      <alignment horizontal="centerContinuous"/>
    </xf>
    <xf numFmtId="172" fontId="30" fillId="0" borderId="0" xfId="58" applyNumberFormat="1" applyFill="1"/>
    <xf numFmtId="172" fontId="30" fillId="0" borderId="0" xfId="58" applyNumberFormat="1" applyFill="1" applyAlignment="1">
      <alignment horizontal="right"/>
    </xf>
    <xf numFmtId="174" fontId="31" fillId="0" borderId="0" xfId="59" applyNumberFormat="1" applyAlignment="1">
      <alignment horizontal="center"/>
    </xf>
    <xf numFmtId="174" fontId="31" fillId="0" borderId="0" xfId="59" applyNumberFormat="1" applyAlignment="1">
      <alignment horizontal="centerContinuous"/>
    </xf>
    <xf numFmtId="15" fontId="31" fillId="0" borderId="0" xfId="59" applyNumberFormat="1" applyAlignment="1">
      <alignment horizontal="center"/>
    </xf>
    <xf numFmtId="174" fontId="30" fillId="0" borderId="0" xfId="58" applyNumberFormat="1" applyFill="1" applyAlignment="1">
      <alignment horizontal="right"/>
    </xf>
    <xf numFmtId="171" fontId="30" fillId="0" borderId="0" xfId="58" applyNumberFormat="1" applyFill="1"/>
    <xf numFmtId="170" fontId="30" fillId="0" borderId="0" xfId="58" applyFill="1" applyAlignment="1">
      <alignment vertical="top"/>
    </xf>
    <xf numFmtId="171" fontId="30" fillId="0" borderId="0" xfId="58" applyNumberFormat="1" applyFill="1" applyAlignment="1">
      <alignment horizontal="right"/>
    </xf>
    <xf numFmtId="175" fontId="30" fillId="0" borderId="0" xfId="58" applyNumberFormat="1" applyFill="1" applyAlignment="1">
      <alignment vertical="top"/>
    </xf>
    <xf numFmtId="171" fontId="0" fillId="0" borderId="0" xfId="56" applyNumberFormat="1" applyFont="1"/>
    <xf numFmtId="177" fontId="0" fillId="0" borderId="0" xfId="0" applyNumberFormat="1"/>
    <xf numFmtId="174" fontId="3" fillId="0" borderId="0" xfId="59" applyNumberFormat="1" applyFont="1" applyAlignment="1">
      <alignment horizontal="center"/>
    </xf>
    <xf numFmtId="174" fontId="3" fillId="0" borderId="0" xfId="59" applyNumberFormat="1" applyFont="1" applyFill="1" applyAlignment="1"/>
    <xf numFmtId="174" fontId="3" fillId="0" borderId="0" xfId="59" applyNumberFormat="1" applyFont="1" applyAlignment="1"/>
    <xf numFmtId="174" fontId="3" fillId="0" borderId="0" xfId="59" applyNumberFormat="1" applyFont="1" applyAlignment="1">
      <alignment horizontal="centerContinuous"/>
    </xf>
    <xf numFmtId="174" fontId="0" fillId="0" borderId="0" xfId="0" applyAlignment="1">
      <alignment horizontal="center"/>
    </xf>
    <xf numFmtId="178" fontId="0" fillId="0" borderId="0" xfId="0" quotePrefix="1" applyNumberFormat="1" applyAlignment="1">
      <alignment horizontal="right"/>
    </xf>
    <xf numFmtId="168" fontId="0" fillId="0" borderId="0" xfId="55" applyFont="1"/>
    <xf numFmtId="175" fontId="3" fillId="0" borderId="0" xfId="59" applyNumberFormat="1" applyFont="1" applyFill="1" applyAlignment="1">
      <alignment horizontal="centerContinuous"/>
    </xf>
    <xf numFmtId="175" fontId="3" fillId="0" borderId="0" xfId="59" applyNumberFormat="1" applyFont="1" applyFill="1" applyAlignment="1">
      <alignment horizontal="left"/>
    </xf>
    <xf numFmtId="174" fontId="3" fillId="0" borderId="0" xfId="59" quotePrefix="1" applyNumberFormat="1" applyFont="1" applyAlignment="1">
      <alignment horizontal="center"/>
    </xf>
    <xf numFmtId="174" fontId="0" fillId="0" borderId="0" xfId="0" applyAlignment="1">
      <alignment horizontal="right"/>
    </xf>
    <xf numFmtId="174" fontId="0" fillId="0" borderId="0" xfId="0" applyFont="1" applyAlignment="1">
      <alignment horizontal="right"/>
    </xf>
    <xf numFmtId="170" fontId="32" fillId="2" borderId="0" xfId="48" applyNumberFormat="1" applyFill="1" applyAlignment="1">
      <alignment horizontal="center"/>
    </xf>
    <xf numFmtId="174" fontId="5" fillId="0" borderId="0" xfId="0" applyFont="1" applyFill="1" applyBorder="1" applyAlignment="1">
      <alignment horizontal="center" vertical="center" wrapText="1"/>
    </xf>
    <xf numFmtId="170" fontId="2" fillId="5" borderId="0" xfId="51" applyNumberFormat="1" applyFont="1" applyBorder="1" applyAlignment="1">
      <alignment horizontal="left" vertical="top"/>
    </xf>
    <xf numFmtId="170" fontId="32" fillId="3" borderId="0" xfId="49" applyNumberFormat="1" applyFont="1" applyAlignment="1">
      <alignment horizontal="center" vertical="center"/>
    </xf>
    <xf numFmtId="170" fontId="31" fillId="5" borderId="0" xfId="59" applyNumberFormat="1" applyFill="1" applyBorder="1" applyAlignment="1">
      <alignment horizontal="center" vertical="center" wrapText="1"/>
    </xf>
    <xf numFmtId="174" fontId="7" fillId="0" borderId="0" xfId="0" applyFont="1" applyFill="1" applyBorder="1" applyAlignment="1">
      <alignment horizontal="center" vertical="center" wrapText="1"/>
    </xf>
    <xf numFmtId="174" fontId="0" fillId="5" borderId="0" xfId="51" applyNumberFormat="1" applyFont="1" applyAlignment="1">
      <alignment horizontal="left"/>
    </xf>
    <xf numFmtId="174" fontId="4" fillId="5" borderId="0" xfId="0" applyFont="1" applyFill="1" applyBorder="1" applyAlignment="1">
      <alignment horizontal="left" vertical="center"/>
    </xf>
    <xf numFmtId="174" fontId="4" fillId="5" borderId="0" xfId="50" applyNumberFormat="1" applyFill="1" applyAlignment="1">
      <alignment horizontal="left" vertical="center"/>
    </xf>
    <xf numFmtId="170" fontId="2" fillId="5" borderId="0" xfId="51" applyNumberFormat="1" applyFont="1" applyAlignment="1">
      <alignment horizontal="left"/>
    </xf>
    <xf numFmtId="168" fontId="2" fillId="5" borderId="0" xfId="51" applyNumberFormat="1" applyFont="1" applyAlignment="1">
      <alignment horizontal="left"/>
    </xf>
    <xf numFmtId="169" fontId="2" fillId="5" borderId="0" xfId="51" applyNumberFormat="1" applyFont="1" applyAlignment="1">
      <alignment horizontal="left"/>
    </xf>
    <xf numFmtId="174" fontId="0" fillId="0" borderId="0" xfId="0" applyAlignment="1">
      <alignment horizontal="center"/>
    </xf>
  </cellXfs>
  <cellStyles count="65">
    <cellStyle name="20% - Accent1" xfId="25" builtinId="30" hidden="1"/>
    <cellStyle name="20% - Accent2" xfId="29" builtinId="34" hidden="1"/>
    <cellStyle name="20% - Accent3" xfId="33" builtinId="38" hidden="1"/>
    <cellStyle name="20% - Accent4" xfId="37" builtinId="42" hidden="1"/>
    <cellStyle name="20% - Accent5" xfId="41" builtinId="46" hidden="1"/>
    <cellStyle name="20% - Accent6" xfId="45" builtinId="50" hidden="1"/>
    <cellStyle name="40% - Accent1" xfId="26" builtinId="31" hidden="1"/>
    <cellStyle name="40% - Accent2" xfId="30" builtinId="35" hidden="1"/>
    <cellStyle name="40% - Accent3" xfId="34" builtinId="39" hidden="1"/>
    <cellStyle name="40% - Accent4" xfId="38" builtinId="43" hidden="1"/>
    <cellStyle name="40% - Accent5" xfId="42" builtinId="47" hidden="1"/>
    <cellStyle name="40% - Accent6" xfId="46" builtinId="51" hidden="1"/>
    <cellStyle name="60% - Accent1" xfId="27" builtinId="32" hidden="1"/>
    <cellStyle name="60% - Accent2" xfId="31" builtinId="36" hidden="1"/>
    <cellStyle name="60% - Accent3" xfId="35" builtinId="40" hidden="1"/>
    <cellStyle name="60% - Accent4" xfId="39" builtinId="44" hidden="1"/>
    <cellStyle name="60% - Accent5" xfId="43" builtinId="48" hidden="1"/>
    <cellStyle name="60% - Accent6" xfId="47" builtinId="52" hidden="1"/>
    <cellStyle name="Accent1" xfId="24" builtinId="29" hidden="1"/>
    <cellStyle name="Accent2" xfId="28" builtinId="33" hidden="1"/>
    <cellStyle name="Accent3" xfId="32" builtinId="37" hidden="1"/>
    <cellStyle name="Accent4" xfId="36" builtinId="41" hidden="1"/>
    <cellStyle name="Accent5" xfId="40" builtinId="45" hidden="1"/>
    <cellStyle name="Accent6" xfId="44" builtinId="49" hidden="1"/>
    <cellStyle name="Background Fill" xfId="51" xr:uid="{00000000-0005-0000-0000-000018000000}"/>
    <cellStyle name="Bad" xfId="13" builtinId="27" hidden="1"/>
    <cellStyle name="BG Border" xfId="62" xr:uid="{00000000-0005-0000-0000-00001A000000}"/>
    <cellStyle name="Blank" xfId="60" xr:uid="{00000000-0005-0000-0000-00001B000000}"/>
    <cellStyle name="Calculation" xfId="17" builtinId="22" hidden="1"/>
    <cellStyle name="Check Cell" xfId="19" builtinId="23" hidden="1"/>
    <cellStyle name="Comma" xfId="2" builtinId="3" hidden="1"/>
    <cellStyle name="Comma [0]" xfId="3" builtinId="6" hidden="1"/>
    <cellStyle name="Cover Title" xfId="63" xr:uid="{00000000-0005-0000-0000-000020000000}"/>
    <cellStyle name="Currency" xfId="4" builtinId="4" hidden="1"/>
    <cellStyle name="Currency [0]" xfId="5" builtinId="7" hidden="1"/>
    <cellStyle name="Date" xfId="55" xr:uid="{00000000-0005-0000-0000-000023000000}"/>
    <cellStyle name="Date Heading" xfId="52" xr:uid="{00000000-0005-0000-0000-000024000000}"/>
    <cellStyle name="Explanatory Text" xfId="22" builtinId="53" hidden="1"/>
    <cellStyle name="Good" xfId="12" builtinId="26" hidden="1"/>
    <cellStyle name="Hard Coded Number" xfId="58" xr:uid="{00000000-0005-0000-0000-000027000000}"/>
    <cellStyle name="Heading 1" xfId="8" builtinId="16" hidden="1"/>
    <cellStyle name="Heading 2" xfId="9" builtinId="17" hidden="1"/>
    <cellStyle name="Heading 3" xfId="10" builtinId="18" hidden="1"/>
    <cellStyle name="Heading 4" xfId="11" builtinId="19" hidden="1"/>
    <cellStyle name="Highlight" xfId="64" xr:uid="{00000000-0005-0000-0000-00002C000000}"/>
    <cellStyle name="Hist Proj Title" xfId="53" xr:uid="{00000000-0005-0000-0000-00002D000000}"/>
    <cellStyle name="Hyperlink" xfId="1" builtinId="8" hidden="1" customBuiltin="1"/>
    <cellStyle name="Input" xfId="15" builtinId="20" hidden="1"/>
    <cellStyle name="Input" xfId="61" builtinId="20" customBuiltin="1"/>
    <cellStyle name="Linked Cell" xfId="18" builtinId="24" hidden="1"/>
    <cellStyle name="Multiple" xfId="56" xr:uid="{00000000-0005-0000-0000-000032000000}"/>
    <cellStyle name="Neutral" xfId="14" builtinId="28" hidden="1"/>
    <cellStyle name="Normal" xfId="0" builtinId="0" customBuiltin="1"/>
    <cellStyle name="Note" xfId="21" builtinId="10" hidden="1"/>
    <cellStyle name="Notes and Comments" xfId="59" xr:uid="{00000000-0005-0000-0000-000036000000}"/>
    <cellStyle name="Output" xfId="16" builtinId="21" hidden="1"/>
    <cellStyle name="Percent" xfId="6" builtinId="5" hidden="1"/>
    <cellStyle name="Percent" xfId="57" builtinId="5" customBuiltin="1"/>
    <cellStyle name="Primary Title" xfId="48" xr:uid="{00000000-0005-0000-0000-00003A000000}"/>
    <cellStyle name="Row Label" xfId="54" xr:uid="{00000000-0005-0000-0000-00003B000000}"/>
    <cellStyle name="Secondary Title" xfId="49" xr:uid="{00000000-0005-0000-0000-00003C000000}"/>
    <cellStyle name="Tertiary Title" xfId="50" xr:uid="{00000000-0005-0000-0000-00003D000000}"/>
    <cellStyle name="Title" xfId="7" builtinId="15" hidden="1"/>
    <cellStyle name="Total" xfId="23" builtinId="25" hidden="1"/>
    <cellStyle name="Warning Text" xfId="20" builtinId="11" hidden="1"/>
  </cellStyles>
  <dxfs count="0"/>
  <tableStyles count="0" defaultTableStyle="TableStyleMedium2" defaultPivotStyle="PivotStyleLight16"/>
  <colors>
    <mruColors>
      <color rgb="FF163260"/>
      <color rgb="FF085393"/>
      <color rgb="FFBBDEFB"/>
      <color rgb="FFF0F8FE"/>
      <color rgb="FF0000FF"/>
      <color rgb="FFEBF1FB"/>
      <color rgb="FFD3E0F5"/>
      <color rgb="FFC9D9F3"/>
      <color rgb="FFE2F1FE"/>
      <color rgb="FFC4E3F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1.png"/><Relationship Id="rId13" Type="http://schemas.openxmlformats.org/officeDocument/2006/relationships/image" Target="../media/image16.png"/><Relationship Id="rId18" Type="http://schemas.openxmlformats.org/officeDocument/2006/relationships/image" Target="../media/image21.png"/><Relationship Id="rId3" Type="http://schemas.openxmlformats.org/officeDocument/2006/relationships/image" Target="../media/image6.png"/><Relationship Id="rId7" Type="http://schemas.openxmlformats.org/officeDocument/2006/relationships/image" Target="../media/image10.png"/><Relationship Id="rId12" Type="http://schemas.openxmlformats.org/officeDocument/2006/relationships/image" Target="../media/image15.png"/><Relationship Id="rId17" Type="http://schemas.openxmlformats.org/officeDocument/2006/relationships/image" Target="../media/image20.png"/><Relationship Id="rId2" Type="http://schemas.openxmlformats.org/officeDocument/2006/relationships/image" Target="../media/image5.png"/><Relationship Id="rId16" Type="http://schemas.openxmlformats.org/officeDocument/2006/relationships/image" Target="../media/image19.png"/><Relationship Id="rId20" Type="http://schemas.openxmlformats.org/officeDocument/2006/relationships/image" Target="../media/image23.png"/><Relationship Id="rId1" Type="http://schemas.openxmlformats.org/officeDocument/2006/relationships/image" Target="../media/image4.png"/><Relationship Id="rId6" Type="http://schemas.openxmlformats.org/officeDocument/2006/relationships/image" Target="../media/image9.png"/><Relationship Id="rId11" Type="http://schemas.openxmlformats.org/officeDocument/2006/relationships/image" Target="../media/image14.png"/><Relationship Id="rId5" Type="http://schemas.openxmlformats.org/officeDocument/2006/relationships/image" Target="../media/image8.png"/><Relationship Id="rId15" Type="http://schemas.openxmlformats.org/officeDocument/2006/relationships/image" Target="../media/image18.png"/><Relationship Id="rId10" Type="http://schemas.openxmlformats.org/officeDocument/2006/relationships/image" Target="../media/image13.png"/><Relationship Id="rId19" Type="http://schemas.openxmlformats.org/officeDocument/2006/relationships/image" Target="../media/image22.png"/><Relationship Id="rId4" Type="http://schemas.openxmlformats.org/officeDocument/2006/relationships/image" Target="../media/image7.png"/><Relationship Id="rId9" Type="http://schemas.openxmlformats.org/officeDocument/2006/relationships/image" Target="../media/image12.png"/><Relationship Id="rId14" Type="http://schemas.openxmlformats.org/officeDocument/2006/relationships/image" Target="../media/image17.png"/></Relationships>
</file>

<file path=xl/drawings/_rels/drawing4.xml.rels><?xml version="1.0" encoding="UTF-8" standalone="yes"?>
<Relationships xmlns="http://schemas.openxmlformats.org/package/2006/relationships"><Relationship Id="rId8" Type="http://schemas.openxmlformats.org/officeDocument/2006/relationships/image" Target="../media/image31.png"/><Relationship Id="rId13" Type="http://schemas.openxmlformats.org/officeDocument/2006/relationships/image" Target="../media/image36.png"/><Relationship Id="rId3" Type="http://schemas.openxmlformats.org/officeDocument/2006/relationships/image" Target="../media/image26.png"/><Relationship Id="rId7" Type="http://schemas.openxmlformats.org/officeDocument/2006/relationships/image" Target="../media/image30.png"/><Relationship Id="rId12" Type="http://schemas.openxmlformats.org/officeDocument/2006/relationships/image" Target="../media/image35.png"/><Relationship Id="rId2" Type="http://schemas.openxmlformats.org/officeDocument/2006/relationships/image" Target="../media/image25.png"/><Relationship Id="rId1" Type="http://schemas.openxmlformats.org/officeDocument/2006/relationships/image" Target="../media/image24.png"/><Relationship Id="rId6" Type="http://schemas.openxmlformats.org/officeDocument/2006/relationships/image" Target="../media/image29.png"/><Relationship Id="rId11" Type="http://schemas.openxmlformats.org/officeDocument/2006/relationships/image" Target="../media/image34.png"/><Relationship Id="rId5" Type="http://schemas.openxmlformats.org/officeDocument/2006/relationships/image" Target="../media/image28.png"/><Relationship Id="rId10" Type="http://schemas.openxmlformats.org/officeDocument/2006/relationships/image" Target="../media/image33.png"/><Relationship Id="rId4" Type="http://schemas.openxmlformats.org/officeDocument/2006/relationships/image" Target="../media/image27.png"/><Relationship Id="rId9" Type="http://schemas.openxmlformats.org/officeDocument/2006/relationships/image" Target="../media/image3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4</xdr:col>
      <xdr:colOff>19050</xdr:colOff>
      <xdr:row>0</xdr:row>
      <xdr:rowOff>1019175</xdr:rowOff>
    </xdr:from>
    <xdr:to>
      <xdr:col>9</xdr:col>
      <xdr:colOff>457200</xdr:colOff>
      <xdr:row>0</xdr:row>
      <xdr:rowOff>1503980</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95550" y="1019175"/>
          <a:ext cx="3533775" cy="48480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15</xdr:col>
      <xdr:colOff>1931713</xdr:colOff>
      <xdr:row>0</xdr:row>
      <xdr:rowOff>123826</xdr:rowOff>
    </xdr:from>
    <xdr:to>
      <xdr:col>16</xdr:col>
      <xdr:colOff>161849</xdr:colOff>
      <xdr:row>0</xdr:row>
      <xdr:rowOff>466726</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227738" y="123826"/>
          <a:ext cx="401836" cy="3429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6659</xdr:colOff>
      <xdr:row>60</xdr:row>
      <xdr:rowOff>34294</xdr:rowOff>
    </xdr:from>
    <xdr:to>
      <xdr:col>5</xdr:col>
      <xdr:colOff>611639</xdr:colOff>
      <xdr:row>71</xdr:row>
      <xdr:rowOff>19291</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105719" y="12035794"/>
          <a:ext cx="6480000" cy="2080497"/>
        </a:xfrm>
        <a:prstGeom prst="rect">
          <a:avLst/>
        </a:prstGeom>
        <a:ln>
          <a:solidFill>
            <a:schemeClr val="tx2"/>
          </a:solidFill>
        </a:ln>
      </xdr:spPr>
    </xdr:pic>
    <xdr:clientData/>
  </xdr:twoCellAnchor>
  <xdr:twoCellAnchor editAs="oneCell">
    <xdr:from>
      <xdr:col>1</xdr:col>
      <xdr:colOff>0</xdr:colOff>
      <xdr:row>199</xdr:row>
      <xdr:rowOff>0</xdr:rowOff>
    </xdr:from>
    <xdr:to>
      <xdr:col>5</xdr:col>
      <xdr:colOff>427425</xdr:colOff>
      <xdr:row>211</xdr:row>
      <xdr:rowOff>122612</xdr:rowOff>
    </xdr:to>
    <xdr:pic>
      <xdr:nvPicPr>
        <xdr:cNvPr id="4" name="Picture 3">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2"/>
        <a:stretch>
          <a:fillRect/>
        </a:stretch>
      </xdr:blipFill>
      <xdr:spPr>
        <a:xfrm>
          <a:off x="104775" y="17907000"/>
          <a:ext cx="6552000" cy="2408612"/>
        </a:xfrm>
        <a:prstGeom prst="rect">
          <a:avLst/>
        </a:prstGeom>
        <a:ln>
          <a:solidFill>
            <a:schemeClr val="tx2"/>
          </a:solidFill>
        </a:ln>
      </xdr:spPr>
    </xdr:pic>
    <xdr:clientData/>
  </xdr:twoCellAnchor>
  <xdr:twoCellAnchor editAs="oneCell">
    <xdr:from>
      <xdr:col>1</xdr:col>
      <xdr:colOff>19051</xdr:colOff>
      <xdr:row>211</xdr:row>
      <xdr:rowOff>180974</xdr:rowOff>
    </xdr:from>
    <xdr:to>
      <xdr:col>5</xdr:col>
      <xdr:colOff>446476</xdr:colOff>
      <xdr:row>223</xdr:row>
      <xdr:rowOff>153281</xdr:rowOff>
    </xdr:to>
    <xdr:pic>
      <xdr:nvPicPr>
        <xdr:cNvPr id="5" name="Picture 4">
          <a:extLst>
            <a:ext uri="{FF2B5EF4-FFF2-40B4-BE49-F238E27FC236}">
              <a16:creationId xmlns:a16="http://schemas.microsoft.com/office/drawing/2014/main" id="{00000000-0008-0000-0300-000005000000}"/>
            </a:ext>
          </a:extLst>
        </xdr:cNvPr>
        <xdr:cNvPicPr>
          <a:picLocks noChangeAspect="1"/>
        </xdr:cNvPicPr>
      </xdr:nvPicPr>
      <xdr:blipFill>
        <a:blip xmlns:r="http://schemas.openxmlformats.org/officeDocument/2006/relationships" r:embed="rId3"/>
        <a:stretch>
          <a:fillRect/>
        </a:stretch>
      </xdr:blipFill>
      <xdr:spPr>
        <a:xfrm>
          <a:off x="123826" y="20373974"/>
          <a:ext cx="6552000" cy="2258307"/>
        </a:xfrm>
        <a:prstGeom prst="rect">
          <a:avLst/>
        </a:prstGeom>
        <a:ln>
          <a:solidFill>
            <a:schemeClr val="tx2"/>
          </a:solidFill>
        </a:ln>
      </xdr:spPr>
    </xdr:pic>
    <xdr:clientData/>
  </xdr:twoCellAnchor>
  <xdr:twoCellAnchor editAs="oneCell">
    <xdr:from>
      <xdr:col>1</xdr:col>
      <xdr:colOff>28578</xdr:colOff>
      <xdr:row>155</xdr:row>
      <xdr:rowOff>0</xdr:rowOff>
    </xdr:from>
    <xdr:to>
      <xdr:col>5</xdr:col>
      <xdr:colOff>672003</xdr:colOff>
      <xdr:row>165</xdr:row>
      <xdr:rowOff>137358</xdr:rowOff>
    </xdr:to>
    <xdr:pic>
      <xdr:nvPicPr>
        <xdr:cNvPr id="6" name="Picture 5">
          <a:extLst>
            <a:ext uri="{FF2B5EF4-FFF2-40B4-BE49-F238E27FC236}">
              <a16:creationId xmlns:a16="http://schemas.microsoft.com/office/drawing/2014/main" id="{00000000-0008-0000-0300-000006000000}"/>
            </a:ext>
          </a:extLst>
        </xdr:cNvPr>
        <xdr:cNvPicPr>
          <a:picLocks noChangeAspect="1"/>
        </xdr:cNvPicPr>
      </xdr:nvPicPr>
      <xdr:blipFill>
        <a:blip xmlns:r="http://schemas.openxmlformats.org/officeDocument/2006/relationships" r:embed="rId4"/>
        <a:stretch>
          <a:fillRect/>
        </a:stretch>
      </xdr:blipFill>
      <xdr:spPr>
        <a:xfrm>
          <a:off x="133353" y="26289000"/>
          <a:ext cx="6768000" cy="2042358"/>
        </a:xfrm>
        <a:prstGeom prst="rect">
          <a:avLst/>
        </a:prstGeom>
        <a:ln>
          <a:solidFill>
            <a:schemeClr val="tx2"/>
          </a:solidFill>
        </a:ln>
      </xdr:spPr>
    </xdr:pic>
    <xdr:clientData/>
  </xdr:twoCellAnchor>
  <xdr:twoCellAnchor editAs="oneCell">
    <xdr:from>
      <xdr:col>1</xdr:col>
      <xdr:colOff>28578</xdr:colOff>
      <xdr:row>166</xdr:row>
      <xdr:rowOff>0</xdr:rowOff>
    </xdr:from>
    <xdr:to>
      <xdr:col>5</xdr:col>
      <xdr:colOff>672003</xdr:colOff>
      <xdr:row>179</xdr:row>
      <xdr:rowOff>176865</xdr:rowOff>
    </xdr:to>
    <xdr:pic>
      <xdr:nvPicPr>
        <xdr:cNvPr id="7" name="Picture 6">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5"/>
        <a:stretch>
          <a:fillRect/>
        </a:stretch>
      </xdr:blipFill>
      <xdr:spPr>
        <a:xfrm>
          <a:off x="133353" y="32194500"/>
          <a:ext cx="6763238" cy="2653365"/>
        </a:xfrm>
        <a:prstGeom prst="rect">
          <a:avLst/>
        </a:prstGeom>
        <a:ln>
          <a:solidFill>
            <a:schemeClr val="tx2"/>
          </a:solidFill>
        </a:ln>
      </xdr:spPr>
    </xdr:pic>
    <xdr:clientData/>
  </xdr:twoCellAnchor>
  <xdr:twoCellAnchor editAs="oneCell">
    <xdr:from>
      <xdr:col>1</xdr:col>
      <xdr:colOff>14289</xdr:colOff>
      <xdr:row>85</xdr:row>
      <xdr:rowOff>190497</xdr:rowOff>
    </xdr:from>
    <xdr:to>
      <xdr:col>6</xdr:col>
      <xdr:colOff>159901</xdr:colOff>
      <xdr:row>95</xdr:row>
      <xdr:rowOff>91559</xdr:rowOff>
    </xdr:to>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6"/>
        <a:stretch>
          <a:fillRect/>
        </a:stretch>
      </xdr:blipFill>
      <xdr:spPr>
        <a:xfrm>
          <a:off x="119064" y="17144997"/>
          <a:ext cx="7056000" cy="1806062"/>
        </a:xfrm>
        <a:prstGeom prst="rect">
          <a:avLst/>
        </a:prstGeom>
        <a:ln>
          <a:solidFill>
            <a:schemeClr val="tx2"/>
          </a:solidFill>
        </a:ln>
      </xdr:spPr>
    </xdr:pic>
    <xdr:clientData/>
  </xdr:twoCellAnchor>
  <xdr:twoCellAnchor editAs="oneCell">
    <xdr:from>
      <xdr:col>1</xdr:col>
      <xdr:colOff>33341</xdr:colOff>
      <xdr:row>116</xdr:row>
      <xdr:rowOff>0</xdr:rowOff>
    </xdr:from>
    <xdr:to>
      <xdr:col>4</xdr:col>
      <xdr:colOff>194578</xdr:colOff>
      <xdr:row>136</xdr:row>
      <xdr:rowOff>16667</xdr:rowOff>
    </xdr:to>
    <xdr:pic>
      <xdr:nvPicPr>
        <xdr:cNvPr id="8" name="Picture 7">
          <a:extLst>
            <a:ext uri="{FF2B5EF4-FFF2-40B4-BE49-F238E27FC236}">
              <a16:creationId xmlns:a16="http://schemas.microsoft.com/office/drawing/2014/main" id="{00000000-0008-0000-0300-000008000000}"/>
            </a:ext>
          </a:extLst>
        </xdr:cNvPr>
        <xdr:cNvPicPr>
          <a:picLocks noChangeAspect="1"/>
        </xdr:cNvPicPr>
      </xdr:nvPicPr>
      <xdr:blipFill>
        <a:blip xmlns:r="http://schemas.openxmlformats.org/officeDocument/2006/relationships" r:embed="rId7"/>
        <a:stretch>
          <a:fillRect/>
        </a:stretch>
      </xdr:blipFill>
      <xdr:spPr>
        <a:xfrm>
          <a:off x="138116" y="22860000"/>
          <a:ext cx="5500000" cy="3826667"/>
        </a:xfrm>
        <a:prstGeom prst="rect">
          <a:avLst/>
        </a:prstGeom>
        <a:ln>
          <a:solidFill>
            <a:schemeClr val="tx2"/>
          </a:solidFill>
        </a:ln>
      </xdr:spPr>
    </xdr:pic>
    <xdr:clientData/>
  </xdr:twoCellAnchor>
  <xdr:twoCellAnchor editAs="oneCell">
    <xdr:from>
      <xdr:col>0</xdr:col>
      <xdr:colOff>95250</xdr:colOff>
      <xdr:row>246</xdr:row>
      <xdr:rowOff>33342</xdr:rowOff>
    </xdr:from>
    <xdr:to>
      <xdr:col>9</xdr:col>
      <xdr:colOff>637752</xdr:colOff>
      <xdr:row>276</xdr:row>
      <xdr:rowOff>100013</xdr:rowOff>
    </xdr:to>
    <xdr:pic>
      <xdr:nvPicPr>
        <xdr:cNvPr id="9" name="Picture 8">
          <a:extLst>
            <a:ext uri="{FF2B5EF4-FFF2-40B4-BE49-F238E27FC236}">
              <a16:creationId xmlns:a16="http://schemas.microsoft.com/office/drawing/2014/main" id="{00000000-0008-0000-0300-000009000000}"/>
            </a:ext>
          </a:extLst>
        </xdr:cNvPr>
        <xdr:cNvPicPr>
          <a:picLocks noChangeAspect="1"/>
        </xdr:cNvPicPr>
      </xdr:nvPicPr>
      <xdr:blipFill>
        <a:blip xmlns:r="http://schemas.openxmlformats.org/officeDocument/2006/relationships" r:embed="rId8"/>
        <a:stretch>
          <a:fillRect/>
        </a:stretch>
      </xdr:blipFill>
      <xdr:spPr>
        <a:xfrm>
          <a:off x="95250" y="47467842"/>
          <a:ext cx="10577090" cy="5781671"/>
        </a:xfrm>
        <a:prstGeom prst="rect">
          <a:avLst/>
        </a:prstGeom>
        <a:ln>
          <a:solidFill>
            <a:schemeClr val="tx2"/>
          </a:solidFill>
        </a:ln>
      </xdr:spPr>
    </xdr:pic>
    <xdr:clientData/>
  </xdr:twoCellAnchor>
  <xdr:twoCellAnchor editAs="oneCell">
    <xdr:from>
      <xdr:col>1</xdr:col>
      <xdr:colOff>38104</xdr:colOff>
      <xdr:row>355</xdr:row>
      <xdr:rowOff>185737</xdr:rowOff>
    </xdr:from>
    <xdr:to>
      <xdr:col>5</xdr:col>
      <xdr:colOff>33529</xdr:colOff>
      <xdr:row>389</xdr:row>
      <xdr:rowOff>62067</xdr:rowOff>
    </xdr:to>
    <xdr:pic>
      <xdr:nvPicPr>
        <xdr:cNvPr id="11" name="Picture 10">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9"/>
        <a:stretch>
          <a:fillRect/>
        </a:stretch>
      </xdr:blipFill>
      <xdr:spPr>
        <a:xfrm>
          <a:off x="142879" y="67241737"/>
          <a:ext cx="6120000" cy="6353330"/>
        </a:xfrm>
        <a:prstGeom prst="rect">
          <a:avLst/>
        </a:prstGeom>
        <a:ln>
          <a:solidFill>
            <a:schemeClr val="tx2"/>
          </a:solidFill>
        </a:ln>
      </xdr:spPr>
    </xdr:pic>
    <xdr:clientData/>
  </xdr:twoCellAnchor>
  <xdr:twoCellAnchor editAs="oneCell">
    <xdr:from>
      <xdr:col>1</xdr:col>
      <xdr:colOff>28577</xdr:colOff>
      <xdr:row>457</xdr:row>
      <xdr:rowOff>38104</xdr:rowOff>
    </xdr:from>
    <xdr:to>
      <xdr:col>6</xdr:col>
      <xdr:colOff>68702</xdr:colOff>
      <xdr:row>478</xdr:row>
      <xdr:rowOff>124075</xdr:rowOff>
    </xdr:to>
    <xdr:pic>
      <xdr:nvPicPr>
        <xdr:cNvPr id="13" name="Picture 12">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10"/>
        <a:stretch>
          <a:fillRect/>
        </a:stretch>
      </xdr:blipFill>
      <xdr:spPr>
        <a:xfrm>
          <a:off x="123827" y="87477604"/>
          <a:ext cx="6660000" cy="4086471"/>
        </a:xfrm>
        <a:prstGeom prst="rect">
          <a:avLst/>
        </a:prstGeom>
        <a:ln>
          <a:solidFill>
            <a:schemeClr val="tx2"/>
          </a:solidFill>
        </a:ln>
      </xdr:spPr>
    </xdr:pic>
    <xdr:clientData/>
  </xdr:twoCellAnchor>
  <xdr:twoCellAnchor editAs="oneCell">
    <xdr:from>
      <xdr:col>1</xdr:col>
      <xdr:colOff>28577</xdr:colOff>
      <xdr:row>479</xdr:row>
      <xdr:rowOff>47719</xdr:rowOff>
    </xdr:from>
    <xdr:to>
      <xdr:col>6</xdr:col>
      <xdr:colOff>68702</xdr:colOff>
      <xdr:row>491</xdr:row>
      <xdr:rowOff>113150</xdr:rowOff>
    </xdr:to>
    <xdr:pic>
      <xdr:nvPicPr>
        <xdr:cNvPr id="14" name="Picture 13">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11"/>
        <a:stretch>
          <a:fillRect/>
        </a:stretch>
      </xdr:blipFill>
      <xdr:spPr>
        <a:xfrm>
          <a:off x="123827" y="91678219"/>
          <a:ext cx="6660000" cy="2351431"/>
        </a:xfrm>
        <a:prstGeom prst="rect">
          <a:avLst/>
        </a:prstGeom>
        <a:ln>
          <a:solidFill>
            <a:schemeClr val="tx2"/>
          </a:solidFill>
        </a:ln>
      </xdr:spPr>
    </xdr:pic>
    <xdr:clientData/>
  </xdr:twoCellAnchor>
  <xdr:twoCellAnchor editAs="oneCell">
    <xdr:from>
      <xdr:col>1</xdr:col>
      <xdr:colOff>28577</xdr:colOff>
      <xdr:row>492</xdr:row>
      <xdr:rowOff>36794</xdr:rowOff>
    </xdr:from>
    <xdr:to>
      <xdr:col>6</xdr:col>
      <xdr:colOff>68702</xdr:colOff>
      <xdr:row>506</xdr:row>
      <xdr:rowOff>4881</xdr:rowOff>
    </xdr:to>
    <xdr:pic>
      <xdr:nvPicPr>
        <xdr:cNvPr id="15" name="Picture 14">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12"/>
        <a:stretch>
          <a:fillRect/>
        </a:stretch>
      </xdr:blipFill>
      <xdr:spPr>
        <a:xfrm>
          <a:off x="123827" y="94143794"/>
          <a:ext cx="6660000" cy="2635087"/>
        </a:xfrm>
        <a:prstGeom prst="rect">
          <a:avLst/>
        </a:prstGeom>
        <a:ln>
          <a:solidFill>
            <a:schemeClr val="tx2"/>
          </a:solidFill>
        </a:ln>
      </xdr:spPr>
    </xdr:pic>
    <xdr:clientData/>
  </xdr:twoCellAnchor>
  <xdr:twoCellAnchor editAs="oneCell">
    <xdr:from>
      <xdr:col>1</xdr:col>
      <xdr:colOff>28577</xdr:colOff>
      <xdr:row>506</xdr:row>
      <xdr:rowOff>119024</xdr:rowOff>
    </xdr:from>
    <xdr:to>
      <xdr:col>6</xdr:col>
      <xdr:colOff>68702</xdr:colOff>
      <xdr:row>508</xdr:row>
      <xdr:rowOff>3748</xdr:rowOff>
    </xdr:to>
    <xdr:pic>
      <xdr:nvPicPr>
        <xdr:cNvPr id="16" name="Picture 15">
          <a:extLst>
            <a:ext uri="{FF2B5EF4-FFF2-40B4-BE49-F238E27FC236}">
              <a16:creationId xmlns:a16="http://schemas.microsoft.com/office/drawing/2014/main" id="{00000000-0008-0000-0300-000010000000}"/>
            </a:ext>
          </a:extLst>
        </xdr:cNvPr>
        <xdr:cNvPicPr>
          <a:picLocks noChangeAspect="1"/>
        </xdr:cNvPicPr>
      </xdr:nvPicPr>
      <xdr:blipFill>
        <a:blip xmlns:r="http://schemas.openxmlformats.org/officeDocument/2006/relationships" r:embed="rId13"/>
        <a:stretch>
          <a:fillRect/>
        </a:stretch>
      </xdr:blipFill>
      <xdr:spPr>
        <a:xfrm>
          <a:off x="123827" y="96893024"/>
          <a:ext cx="6660000" cy="265724"/>
        </a:xfrm>
        <a:prstGeom prst="rect">
          <a:avLst/>
        </a:prstGeom>
        <a:ln>
          <a:solidFill>
            <a:schemeClr val="tx2"/>
          </a:solidFill>
        </a:ln>
      </xdr:spPr>
    </xdr:pic>
    <xdr:clientData/>
  </xdr:twoCellAnchor>
  <xdr:twoCellAnchor editAs="oneCell">
    <xdr:from>
      <xdr:col>1</xdr:col>
      <xdr:colOff>23816</xdr:colOff>
      <xdr:row>551</xdr:row>
      <xdr:rowOff>32659</xdr:rowOff>
    </xdr:from>
    <xdr:to>
      <xdr:col>6</xdr:col>
      <xdr:colOff>205428</xdr:colOff>
      <xdr:row>575</xdr:row>
      <xdr:rowOff>133314</xdr:rowOff>
    </xdr:to>
    <xdr:pic>
      <xdr:nvPicPr>
        <xdr:cNvPr id="17" name="Picture 16">
          <a:extLst>
            <a:ext uri="{FF2B5EF4-FFF2-40B4-BE49-F238E27FC236}">
              <a16:creationId xmlns:a16="http://schemas.microsoft.com/office/drawing/2014/main" id="{00000000-0008-0000-0300-000011000000}"/>
            </a:ext>
          </a:extLst>
        </xdr:cNvPr>
        <xdr:cNvPicPr>
          <a:picLocks noChangeAspect="1"/>
        </xdr:cNvPicPr>
      </xdr:nvPicPr>
      <xdr:blipFill>
        <a:blip xmlns:r="http://schemas.openxmlformats.org/officeDocument/2006/relationships" r:embed="rId14"/>
        <a:stretch>
          <a:fillRect/>
        </a:stretch>
      </xdr:blipFill>
      <xdr:spPr>
        <a:xfrm>
          <a:off x="121787" y="108171345"/>
          <a:ext cx="6800127" cy="4803284"/>
        </a:xfrm>
        <a:prstGeom prst="rect">
          <a:avLst/>
        </a:prstGeom>
        <a:ln>
          <a:solidFill>
            <a:schemeClr val="tx2"/>
          </a:solidFill>
        </a:ln>
      </xdr:spPr>
    </xdr:pic>
    <xdr:clientData/>
  </xdr:twoCellAnchor>
  <xdr:twoCellAnchor editAs="oneCell">
    <xdr:from>
      <xdr:col>1</xdr:col>
      <xdr:colOff>23816</xdr:colOff>
      <xdr:row>576</xdr:row>
      <xdr:rowOff>66003</xdr:rowOff>
    </xdr:from>
    <xdr:to>
      <xdr:col>6</xdr:col>
      <xdr:colOff>205428</xdr:colOff>
      <xdr:row>577</xdr:row>
      <xdr:rowOff>119318</xdr:rowOff>
    </xdr:to>
    <xdr:pic>
      <xdr:nvPicPr>
        <xdr:cNvPr id="18" name="Picture 17">
          <a:extLst>
            <a:ext uri="{FF2B5EF4-FFF2-40B4-BE49-F238E27FC236}">
              <a16:creationId xmlns:a16="http://schemas.microsoft.com/office/drawing/2014/main" id="{00000000-0008-0000-0300-000012000000}"/>
            </a:ext>
          </a:extLst>
        </xdr:cNvPr>
        <xdr:cNvPicPr>
          <a:picLocks noChangeAspect="1"/>
        </xdr:cNvPicPr>
      </xdr:nvPicPr>
      <xdr:blipFill>
        <a:blip xmlns:r="http://schemas.openxmlformats.org/officeDocument/2006/relationships" r:embed="rId15"/>
        <a:stretch>
          <a:fillRect/>
        </a:stretch>
      </xdr:blipFill>
      <xdr:spPr>
        <a:xfrm>
          <a:off x="121787" y="113103260"/>
          <a:ext cx="6800127" cy="249258"/>
        </a:xfrm>
        <a:prstGeom prst="rect">
          <a:avLst/>
        </a:prstGeom>
        <a:ln>
          <a:solidFill>
            <a:schemeClr val="tx2"/>
          </a:solidFill>
        </a:ln>
      </xdr:spPr>
    </xdr:pic>
    <xdr:clientData/>
  </xdr:twoCellAnchor>
  <xdr:twoCellAnchor editAs="oneCell">
    <xdr:from>
      <xdr:col>1</xdr:col>
      <xdr:colOff>23816</xdr:colOff>
      <xdr:row>578</xdr:row>
      <xdr:rowOff>52006</xdr:rowOff>
    </xdr:from>
    <xdr:to>
      <xdr:col>6</xdr:col>
      <xdr:colOff>205428</xdr:colOff>
      <xdr:row>591</xdr:row>
      <xdr:rowOff>53205</xdr:rowOff>
    </xdr:to>
    <xdr:pic>
      <xdr:nvPicPr>
        <xdr:cNvPr id="19" name="Picture 18">
          <a:extLst>
            <a:ext uri="{FF2B5EF4-FFF2-40B4-BE49-F238E27FC236}">
              <a16:creationId xmlns:a16="http://schemas.microsoft.com/office/drawing/2014/main" id="{00000000-0008-0000-0300-000013000000}"/>
            </a:ext>
          </a:extLst>
        </xdr:cNvPr>
        <xdr:cNvPicPr>
          <a:picLocks noChangeAspect="1"/>
        </xdr:cNvPicPr>
      </xdr:nvPicPr>
      <xdr:blipFill>
        <a:blip xmlns:r="http://schemas.openxmlformats.org/officeDocument/2006/relationships" r:embed="rId16"/>
        <a:stretch>
          <a:fillRect/>
        </a:stretch>
      </xdr:blipFill>
      <xdr:spPr>
        <a:xfrm>
          <a:off x="121787" y="113481149"/>
          <a:ext cx="6800127" cy="2548456"/>
        </a:xfrm>
        <a:prstGeom prst="rect">
          <a:avLst/>
        </a:prstGeom>
        <a:ln>
          <a:solidFill>
            <a:schemeClr val="tx2"/>
          </a:solidFill>
        </a:ln>
      </xdr:spPr>
    </xdr:pic>
    <xdr:clientData/>
  </xdr:twoCellAnchor>
  <xdr:twoCellAnchor editAs="oneCell">
    <xdr:from>
      <xdr:col>1</xdr:col>
      <xdr:colOff>23816</xdr:colOff>
      <xdr:row>591</xdr:row>
      <xdr:rowOff>181836</xdr:rowOff>
    </xdr:from>
    <xdr:to>
      <xdr:col>6</xdr:col>
      <xdr:colOff>205428</xdr:colOff>
      <xdr:row>602</xdr:row>
      <xdr:rowOff>132846</xdr:rowOff>
    </xdr:to>
    <xdr:pic>
      <xdr:nvPicPr>
        <xdr:cNvPr id="20" name="Picture 19">
          <a:extLst>
            <a:ext uri="{FF2B5EF4-FFF2-40B4-BE49-F238E27FC236}">
              <a16:creationId xmlns:a16="http://schemas.microsoft.com/office/drawing/2014/main" id="{00000000-0008-0000-0300-000014000000}"/>
            </a:ext>
          </a:extLst>
        </xdr:cNvPr>
        <xdr:cNvPicPr>
          <a:picLocks noChangeAspect="1"/>
        </xdr:cNvPicPr>
      </xdr:nvPicPr>
      <xdr:blipFill>
        <a:blip xmlns:r="http://schemas.openxmlformats.org/officeDocument/2006/relationships" r:embed="rId17"/>
        <a:stretch>
          <a:fillRect/>
        </a:stretch>
      </xdr:blipFill>
      <xdr:spPr>
        <a:xfrm>
          <a:off x="121787" y="116158236"/>
          <a:ext cx="6800127" cy="2106381"/>
        </a:xfrm>
        <a:prstGeom prst="rect">
          <a:avLst/>
        </a:prstGeom>
        <a:ln>
          <a:solidFill>
            <a:schemeClr val="tx2"/>
          </a:solidFill>
        </a:ln>
      </xdr:spPr>
    </xdr:pic>
    <xdr:clientData/>
  </xdr:twoCellAnchor>
  <xdr:twoCellAnchor editAs="oneCell">
    <xdr:from>
      <xdr:col>1</xdr:col>
      <xdr:colOff>23816</xdr:colOff>
      <xdr:row>614</xdr:row>
      <xdr:rowOff>29239</xdr:rowOff>
    </xdr:from>
    <xdr:to>
      <xdr:col>6</xdr:col>
      <xdr:colOff>205428</xdr:colOff>
      <xdr:row>618</xdr:row>
      <xdr:rowOff>134</xdr:rowOff>
    </xdr:to>
    <xdr:pic>
      <xdr:nvPicPr>
        <xdr:cNvPr id="21" name="Picture 20">
          <a:extLst>
            <a:ext uri="{FF2B5EF4-FFF2-40B4-BE49-F238E27FC236}">
              <a16:creationId xmlns:a16="http://schemas.microsoft.com/office/drawing/2014/main" id="{00000000-0008-0000-0300-000015000000}"/>
            </a:ext>
          </a:extLst>
        </xdr:cNvPr>
        <xdr:cNvPicPr>
          <a:picLocks noChangeAspect="1"/>
        </xdr:cNvPicPr>
      </xdr:nvPicPr>
      <xdr:blipFill>
        <a:blip xmlns:r="http://schemas.openxmlformats.org/officeDocument/2006/relationships" r:embed="rId18"/>
        <a:stretch>
          <a:fillRect/>
        </a:stretch>
      </xdr:blipFill>
      <xdr:spPr>
        <a:xfrm>
          <a:off x="121787" y="120512325"/>
          <a:ext cx="6800127" cy="746983"/>
        </a:xfrm>
        <a:prstGeom prst="rect">
          <a:avLst/>
        </a:prstGeom>
        <a:ln>
          <a:solidFill>
            <a:schemeClr val="tx2"/>
          </a:solidFill>
        </a:ln>
      </xdr:spPr>
    </xdr:pic>
    <xdr:clientData/>
  </xdr:twoCellAnchor>
  <xdr:twoCellAnchor editAs="oneCell">
    <xdr:from>
      <xdr:col>1</xdr:col>
      <xdr:colOff>23816</xdr:colOff>
      <xdr:row>603</xdr:row>
      <xdr:rowOff>65534</xdr:rowOff>
    </xdr:from>
    <xdr:to>
      <xdr:col>6</xdr:col>
      <xdr:colOff>205428</xdr:colOff>
      <xdr:row>613</xdr:row>
      <xdr:rowOff>96551</xdr:rowOff>
    </xdr:to>
    <xdr:pic>
      <xdr:nvPicPr>
        <xdr:cNvPr id="22" name="Picture 21">
          <a:extLst>
            <a:ext uri="{FF2B5EF4-FFF2-40B4-BE49-F238E27FC236}">
              <a16:creationId xmlns:a16="http://schemas.microsoft.com/office/drawing/2014/main" id="{00000000-0008-0000-0300-000016000000}"/>
            </a:ext>
          </a:extLst>
        </xdr:cNvPr>
        <xdr:cNvPicPr>
          <a:picLocks noChangeAspect="1"/>
        </xdr:cNvPicPr>
      </xdr:nvPicPr>
      <xdr:blipFill>
        <a:blip xmlns:r="http://schemas.openxmlformats.org/officeDocument/2006/relationships" r:embed="rId19"/>
        <a:stretch>
          <a:fillRect/>
        </a:stretch>
      </xdr:blipFill>
      <xdr:spPr>
        <a:xfrm>
          <a:off x="121787" y="118393248"/>
          <a:ext cx="6800127" cy="1990446"/>
        </a:xfrm>
        <a:prstGeom prst="rect">
          <a:avLst/>
        </a:prstGeom>
        <a:ln>
          <a:solidFill>
            <a:schemeClr val="tx2"/>
          </a:solidFill>
        </a:ln>
      </xdr:spPr>
    </xdr:pic>
    <xdr:clientData/>
  </xdr:twoCellAnchor>
  <xdr:twoCellAnchor editAs="oneCell">
    <xdr:from>
      <xdr:col>1</xdr:col>
      <xdr:colOff>22860</xdr:colOff>
      <xdr:row>403</xdr:row>
      <xdr:rowOff>68580</xdr:rowOff>
    </xdr:from>
    <xdr:to>
      <xdr:col>5</xdr:col>
      <xdr:colOff>753401</xdr:colOff>
      <xdr:row>442</xdr:row>
      <xdr:rowOff>120201</xdr:rowOff>
    </xdr:to>
    <xdr:pic>
      <xdr:nvPicPr>
        <xdr:cNvPr id="23" name="Picture 22">
          <a:extLst>
            <a:ext uri="{FF2B5EF4-FFF2-40B4-BE49-F238E27FC236}">
              <a16:creationId xmlns:a16="http://schemas.microsoft.com/office/drawing/2014/main" id="{A4AF8763-DF04-4CA1-9535-AA87F385D680}"/>
            </a:ext>
          </a:extLst>
        </xdr:cNvPr>
        <xdr:cNvPicPr>
          <a:picLocks noChangeAspect="1"/>
        </xdr:cNvPicPr>
      </xdr:nvPicPr>
      <xdr:blipFill>
        <a:blip xmlns:r="http://schemas.openxmlformats.org/officeDocument/2006/relationships" r:embed="rId20"/>
        <a:stretch>
          <a:fillRect/>
        </a:stretch>
      </xdr:blipFill>
      <xdr:spPr>
        <a:xfrm>
          <a:off x="121920" y="77411580"/>
          <a:ext cx="6605561" cy="7481121"/>
        </a:xfrm>
        <a:prstGeom prst="rect">
          <a:avLst/>
        </a:prstGeom>
        <a:ln>
          <a:solidFill>
            <a:schemeClr val="tx2"/>
          </a:solid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10887</xdr:colOff>
      <xdr:row>29</xdr:row>
      <xdr:rowOff>104774</xdr:rowOff>
    </xdr:from>
    <xdr:to>
      <xdr:col>5</xdr:col>
      <xdr:colOff>745315</xdr:colOff>
      <xdr:row>49</xdr:row>
      <xdr:rowOff>45815</xdr:rowOff>
    </xdr:to>
    <xdr:pic>
      <xdr:nvPicPr>
        <xdr:cNvPr id="6" name="Picture 5">
          <a:extLst>
            <a:ext uri="{FF2B5EF4-FFF2-40B4-BE49-F238E27FC236}">
              <a16:creationId xmlns:a16="http://schemas.microsoft.com/office/drawing/2014/main" id="{00000000-0008-0000-0400-000006000000}"/>
            </a:ext>
          </a:extLst>
        </xdr:cNvPr>
        <xdr:cNvPicPr>
          <a:picLocks noChangeAspect="1"/>
        </xdr:cNvPicPr>
      </xdr:nvPicPr>
      <xdr:blipFill>
        <a:blip xmlns:r="http://schemas.openxmlformats.org/officeDocument/2006/relationships" r:embed="rId1"/>
        <a:stretch>
          <a:fillRect/>
        </a:stretch>
      </xdr:blipFill>
      <xdr:spPr>
        <a:xfrm>
          <a:off x="108858" y="6353174"/>
          <a:ext cx="6120000" cy="3863708"/>
        </a:xfrm>
        <a:prstGeom prst="rect">
          <a:avLst/>
        </a:prstGeom>
        <a:ln>
          <a:solidFill>
            <a:schemeClr val="tx2"/>
          </a:solidFill>
        </a:ln>
      </xdr:spPr>
    </xdr:pic>
    <xdr:clientData/>
  </xdr:twoCellAnchor>
  <xdr:twoCellAnchor editAs="oneCell">
    <xdr:from>
      <xdr:col>1</xdr:col>
      <xdr:colOff>10886</xdr:colOff>
      <xdr:row>51</xdr:row>
      <xdr:rowOff>133351</xdr:rowOff>
    </xdr:from>
    <xdr:to>
      <xdr:col>5</xdr:col>
      <xdr:colOff>745314</xdr:colOff>
      <xdr:row>70</xdr:row>
      <xdr:rowOff>143784</xdr:rowOff>
    </xdr:to>
    <xdr:pic>
      <xdr:nvPicPr>
        <xdr:cNvPr id="8" name="Picture 7">
          <a:extLst>
            <a:ext uri="{FF2B5EF4-FFF2-40B4-BE49-F238E27FC236}">
              <a16:creationId xmlns:a16="http://schemas.microsoft.com/office/drawing/2014/main" id="{00000000-0008-0000-0400-000008000000}"/>
            </a:ext>
          </a:extLst>
        </xdr:cNvPr>
        <xdr:cNvPicPr>
          <a:picLocks noChangeAspect="1"/>
        </xdr:cNvPicPr>
      </xdr:nvPicPr>
      <xdr:blipFill rotWithShape="1">
        <a:blip xmlns:r="http://schemas.openxmlformats.org/officeDocument/2006/relationships" r:embed="rId2"/>
        <a:srcRect b="2077"/>
        <a:stretch/>
      </xdr:blipFill>
      <xdr:spPr>
        <a:xfrm>
          <a:off x="108857" y="10692494"/>
          <a:ext cx="6120000" cy="3734300"/>
        </a:xfrm>
        <a:prstGeom prst="rect">
          <a:avLst/>
        </a:prstGeom>
        <a:ln>
          <a:solidFill>
            <a:schemeClr val="tx2"/>
          </a:solidFill>
        </a:ln>
      </xdr:spPr>
    </xdr:pic>
    <xdr:clientData/>
  </xdr:twoCellAnchor>
  <xdr:twoCellAnchor editAs="oneCell">
    <xdr:from>
      <xdr:col>1</xdr:col>
      <xdr:colOff>10887</xdr:colOff>
      <xdr:row>91</xdr:row>
      <xdr:rowOff>0</xdr:rowOff>
    </xdr:from>
    <xdr:to>
      <xdr:col>2</xdr:col>
      <xdr:colOff>273363</xdr:colOff>
      <xdr:row>113</xdr:row>
      <xdr:rowOff>48047</xdr:rowOff>
    </xdr:to>
    <xdr:pic>
      <xdr:nvPicPr>
        <xdr:cNvPr id="10" name="Picture 9">
          <a:extLst>
            <a:ext uri="{FF2B5EF4-FFF2-40B4-BE49-F238E27FC236}">
              <a16:creationId xmlns:a16="http://schemas.microsoft.com/office/drawing/2014/main" id="{00000000-0008-0000-0400-00000A000000}"/>
            </a:ext>
          </a:extLst>
        </xdr:cNvPr>
        <xdr:cNvPicPr>
          <a:picLocks noChangeAspect="1"/>
        </xdr:cNvPicPr>
      </xdr:nvPicPr>
      <xdr:blipFill>
        <a:blip xmlns:r="http://schemas.openxmlformats.org/officeDocument/2006/relationships" r:embed="rId3"/>
        <a:stretch>
          <a:fillRect/>
        </a:stretch>
      </xdr:blipFill>
      <xdr:spPr>
        <a:xfrm>
          <a:off x="108858" y="27214286"/>
          <a:ext cx="3401372" cy="4357838"/>
        </a:xfrm>
        <a:prstGeom prst="rect">
          <a:avLst/>
        </a:prstGeom>
        <a:ln>
          <a:solidFill>
            <a:schemeClr val="tx2"/>
          </a:solidFill>
        </a:ln>
      </xdr:spPr>
    </xdr:pic>
    <xdr:clientData/>
  </xdr:twoCellAnchor>
  <xdr:twoCellAnchor editAs="oneCell">
    <xdr:from>
      <xdr:col>1</xdr:col>
      <xdr:colOff>10886</xdr:colOff>
      <xdr:row>170</xdr:row>
      <xdr:rowOff>19050</xdr:rowOff>
    </xdr:from>
    <xdr:to>
      <xdr:col>5</xdr:col>
      <xdr:colOff>745314</xdr:colOff>
      <xdr:row>196</xdr:row>
      <xdr:rowOff>1490</xdr:rowOff>
    </xdr:to>
    <xdr:pic>
      <xdr:nvPicPr>
        <xdr:cNvPr id="13" name="Picture 12">
          <a:extLst>
            <a:ext uri="{FF2B5EF4-FFF2-40B4-BE49-F238E27FC236}">
              <a16:creationId xmlns:a16="http://schemas.microsoft.com/office/drawing/2014/main" id="{00000000-0008-0000-0400-00000D000000}"/>
            </a:ext>
          </a:extLst>
        </xdr:cNvPr>
        <xdr:cNvPicPr>
          <a:picLocks noChangeAspect="1"/>
        </xdr:cNvPicPr>
      </xdr:nvPicPr>
      <xdr:blipFill rotWithShape="1">
        <a:blip xmlns:r="http://schemas.openxmlformats.org/officeDocument/2006/relationships" r:embed="rId4"/>
        <a:srcRect b="1960"/>
        <a:stretch/>
      </xdr:blipFill>
      <xdr:spPr>
        <a:xfrm>
          <a:off x="108857" y="33895393"/>
          <a:ext cx="6120000" cy="5076954"/>
        </a:xfrm>
        <a:prstGeom prst="rect">
          <a:avLst/>
        </a:prstGeom>
        <a:ln>
          <a:solidFill>
            <a:schemeClr val="tx2"/>
          </a:solidFill>
        </a:ln>
      </xdr:spPr>
    </xdr:pic>
    <xdr:clientData/>
  </xdr:twoCellAnchor>
  <xdr:twoCellAnchor editAs="oneCell">
    <xdr:from>
      <xdr:col>1</xdr:col>
      <xdr:colOff>10886</xdr:colOff>
      <xdr:row>197</xdr:row>
      <xdr:rowOff>9525</xdr:rowOff>
    </xdr:from>
    <xdr:to>
      <xdr:col>5</xdr:col>
      <xdr:colOff>745314</xdr:colOff>
      <xdr:row>212</xdr:row>
      <xdr:rowOff>53421</xdr:rowOff>
    </xdr:to>
    <xdr:pic>
      <xdr:nvPicPr>
        <xdr:cNvPr id="14" name="Picture 13">
          <a:extLst>
            <a:ext uri="{FF2B5EF4-FFF2-40B4-BE49-F238E27FC236}">
              <a16:creationId xmlns:a16="http://schemas.microsoft.com/office/drawing/2014/main" id="{00000000-0008-0000-0400-00000E000000}"/>
            </a:ext>
          </a:extLst>
        </xdr:cNvPr>
        <xdr:cNvPicPr>
          <a:picLocks noChangeAspect="1"/>
        </xdr:cNvPicPr>
      </xdr:nvPicPr>
      <xdr:blipFill>
        <a:blip xmlns:r="http://schemas.openxmlformats.org/officeDocument/2006/relationships" r:embed="rId5"/>
        <a:stretch>
          <a:fillRect/>
        </a:stretch>
      </xdr:blipFill>
      <xdr:spPr>
        <a:xfrm>
          <a:off x="108857" y="39176325"/>
          <a:ext cx="6120000" cy="2981135"/>
        </a:xfrm>
        <a:prstGeom prst="rect">
          <a:avLst/>
        </a:prstGeom>
        <a:ln>
          <a:solidFill>
            <a:schemeClr val="tx2"/>
          </a:solidFill>
        </a:ln>
      </xdr:spPr>
    </xdr:pic>
    <xdr:clientData/>
  </xdr:twoCellAnchor>
  <xdr:twoCellAnchor editAs="oneCell">
    <xdr:from>
      <xdr:col>1</xdr:col>
      <xdr:colOff>10887</xdr:colOff>
      <xdr:row>214</xdr:row>
      <xdr:rowOff>0</xdr:rowOff>
    </xdr:from>
    <xdr:to>
      <xdr:col>5</xdr:col>
      <xdr:colOff>745315</xdr:colOff>
      <xdr:row>223</xdr:row>
      <xdr:rowOff>96909</xdr:rowOff>
    </xdr:to>
    <xdr:pic>
      <xdr:nvPicPr>
        <xdr:cNvPr id="15" name="Picture 14">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6"/>
        <a:stretch>
          <a:fillRect/>
        </a:stretch>
      </xdr:blipFill>
      <xdr:spPr>
        <a:xfrm>
          <a:off x="108858" y="42497829"/>
          <a:ext cx="6120000" cy="1862300"/>
        </a:xfrm>
        <a:prstGeom prst="rect">
          <a:avLst/>
        </a:prstGeom>
        <a:ln>
          <a:solidFill>
            <a:schemeClr val="tx2"/>
          </a:solidFill>
        </a:ln>
      </xdr:spPr>
    </xdr:pic>
    <xdr:clientData/>
  </xdr:twoCellAnchor>
  <xdr:twoCellAnchor editAs="oneCell">
    <xdr:from>
      <xdr:col>1</xdr:col>
      <xdr:colOff>10887</xdr:colOff>
      <xdr:row>254</xdr:row>
      <xdr:rowOff>19050</xdr:rowOff>
    </xdr:from>
    <xdr:to>
      <xdr:col>8</xdr:col>
      <xdr:colOff>578066</xdr:colOff>
      <xdr:row>280</xdr:row>
      <xdr:rowOff>184425</xdr:rowOff>
    </xdr:to>
    <xdr:pic>
      <xdr:nvPicPr>
        <xdr:cNvPr id="17" name="Picture 16">
          <a:extLst>
            <a:ext uri="{FF2B5EF4-FFF2-40B4-BE49-F238E27FC236}">
              <a16:creationId xmlns:a16="http://schemas.microsoft.com/office/drawing/2014/main" id="{00000000-0008-0000-0400-000011000000}"/>
            </a:ext>
          </a:extLst>
        </xdr:cNvPr>
        <xdr:cNvPicPr>
          <a:picLocks noChangeAspect="1"/>
        </xdr:cNvPicPr>
      </xdr:nvPicPr>
      <xdr:blipFill>
        <a:blip xmlns:r="http://schemas.openxmlformats.org/officeDocument/2006/relationships" r:embed="rId7"/>
        <a:stretch>
          <a:fillRect/>
        </a:stretch>
      </xdr:blipFill>
      <xdr:spPr>
        <a:xfrm>
          <a:off x="108858" y="50158650"/>
          <a:ext cx="8208000" cy="5260842"/>
        </a:xfrm>
        <a:prstGeom prst="rect">
          <a:avLst/>
        </a:prstGeom>
        <a:ln>
          <a:solidFill>
            <a:schemeClr val="tx2"/>
          </a:solidFill>
        </a:ln>
      </xdr:spPr>
    </xdr:pic>
    <xdr:clientData/>
  </xdr:twoCellAnchor>
  <xdr:twoCellAnchor editAs="oneCell">
    <xdr:from>
      <xdr:col>1</xdr:col>
      <xdr:colOff>10887</xdr:colOff>
      <xdr:row>283</xdr:row>
      <xdr:rowOff>28575</xdr:rowOff>
    </xdr:from>
    <xdr:to>
      <xdr:col>8</xdr:col>
      <xdr:colOff>578066</xdr:colOff>
      <xdr:row>302</xdr:row>
      <xdr:rowOff>43423</xdr:rowOff>
    </xdr:to>
    <xdr:pic>
      <xdr:nvPicPr>
        <xdr:cNvPr id="19" name="Picture 18">
          <a:extLst>
            <a:ext uri="{FF2B5EF4-FFF2-40B4-BE49-F238E27FC236}">
              <a16:creationId xmlns:a16="http://schemas.microsoft.com/office/drawing/2014/main" id="{00000000-0008-0000-0400-000013000000}"/>
            </a:ext>
          </a:extLst>
        </xdr:cNvPr>
        <xdr:cNvPicPr>
          <a:picLocks noChangeAspect="1"/>
        </xdr:cNvPicPr>
      </xdr:nvPicPr>
      <xdr:blipFill rotWithShape="1">
        <a:blip xmlns:r="http://schemas.openxmlformats.org/officeDocument/2006/relationships" r:embed="rId8"/>
        <a:srcRect b="1006"/>
        <a:stretch/>
      </xdr:blipFill>
      <xdr:spPr>
        <a:xfrm>
          <a:off x="108858" y="55850518"/>
          <a:ext cx="8208000" cy="3741572"/>
        </a:xfrm>
        <a:prstGeom prst="rect">
          <a:avLst/>
        </a:prstGeom>
        <a:ln>
          <a:solidFill>
            <a:schemeClr val="tx2"/>
          </a:solidFill>
        </a:ln>
      </xdr:spPr>
    </xdr:pic>
    <xdr:clientData/>
  </xdr:twoCellAnchor>
  <xdr:twoCellAnchor editAs="oneCell">
    <xdr:from>
      <xdr:col>1</xdr:col>
      <xdr:colOff>10887</xdr:colOff>
      <xdr:row>305</xdr:row>
      <xdr:rowOff>0</xdr:rowOff>
    </xdr:from>
    <xdr:to>
      <xdr:col>8</xdr:col>
      <xdr:colOff>578066</xdr:colOff>
      <xdr:row>323</xdr:row>
      <xdr:rowOff>153965</xdr:rowOff>
    </xdr:to>
    <xdr:pic>
      <xdr:nvPicPr>
        <xdr:cNvPr id="20" name="Picture 19">
          <a:extLst>
            <a:ext uri="{FF2B5EF4-FFF2-40B4-BE49-F238E27FC236}">
              <a16:creationId xmlns:a16="http://schemas.microsoft.com/office/drawing/2014/main" id="{00000000-0008-0000-0400-000014000000}"/>
            </a:ext>
          </a:extLst>
        </xdr:cNvPr>
        <xdr:cNvPicPr>
          <a:picLocks noChangeAspect="1"/>
        </xdr:cNvPicPr>
      </xdr:nvPicPr>
      <xdr:blipFill>
        <a:blip xmlns:r="http://schemas.openxmlformats.org/officeDocument/2006/relationships" r:embed="rId9"/>
        <a:stretch>
          <a:fillRect/>
        </a:stretch>
      </xdr:blipFill>
      <xdr:spPr>
        <a:xfrm>
          <a:off x="108858" y="60132686"/>
          <a:ext cx="8208000" cy="3680936"/>
        </a:xfrm>
        <a:prstGeom prst="rect">
          <a:avLst/>
        </a:prstGeom>
        <a:ln>
          <a:solidFill>
            <a:schemeClr val="tx2"/>
          </a:solidFill>
        </a:ln>
      </xdr:spPr>
    </xdr:pic>
    <xdr:clientData/>
  </xdr:twoCellAnchor>
  <xdr:twoCellAnchor editAs="oneCell">
    <xdr:from>
      <xdr:col>1</xdr:col>
      <xdr:colOff>10887</xdr:colOff>
      <xdr:row>326</xdr:row>
      <xdr:rowOff>19050</xdr:rowOff>
    </xdr:from>
    <xdr:to>
      <xdr:col>8</xdr:col>
      <xdr:colOff>578066</xdr:colOff>
      <xdr:row>344</xdr:row>
      <xdr:rowOff>24296</xdr:rowOff>
    </xdr:to>
    <xdr:pic>
      <xdr:nvPicPr>
        <xdr:cNvPr id="21" name="Picture 20">
          <a:extLst>
            <a:ext uri="{FF2B5EF4-FFF2-40B4-BE49-F238E27FC236}">
              <a16:creationId xmlns:a16="http://schemas.microsoft.com/office/drawing/2014/main" id="{00000000-0008-0000-0400-000015000000}"/>
            </a:ext>
          </a:extLst>
        </xdr:cNvPr>
        <xdr:cNvPicPr>
          <a:picLocks noChangeAspect="1"/>
        </xdr:cNvPicPr>
      </xdr:nvPicPr>
      <xdr:blipFill>
        <a:blip xmlns:r="http://schemas.openxmlformats.org/officeDocument/2006/relationships" r:embed="rId10"/>
        <a:stretch>
          <a:fillRect/>
        </a:stretch>
      </xdr:blipFill>
      <xdr:spPr>
        <a:xfrm>
          <a:off x="108858" y="64266536"/>
          <a:ext cx="8208000" cy="3524597"/>
        </a:xfrm>
        <a:prstGeom prst="rect">
          <a:avLst/>
        </a:prstGeom>
        <a:ln>
          <a:solidFill>
            <a:schemeClr val="tx2"/>
          </a:solidFill>
        </a:ln>
      </xdr:spPr>
    </xdr:pic>
    <xdr:clientData/>
  </xdr:twoCellAnchor>
  <xdr:twoCellAnchor editAs="oneCell">
    <xdr:from>
      <xdr:col>1</xdr:col>
      <xdr:colOff>10887</xdr:colOff>
      <xdr:row>346</xdr:row>
      <xdr:rowOff>9526</xdr:rowOff>
    </xdr:from>
    <xdr:to>
      <xdr:col>8</xdr:col>
      <xdr:colOff>578066</xdr:colOff>
      <xdr:row>357</xdr:row>
      <xdr:rowOff>121334</xdr:rowOff>
    </xdr:to>
    <xdr:pic>
      <xdr:nvPicPr>
        <xdr:cNvPr id="18" name="Picture 17">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11"/>
        <a:stretch>
          <a:fillRect/>
        </a:stretch>
      </xdr:blipFill>
      <xdr:spPr>
        <a:xfrm>
          <a:off x="108858" y="68175869"/>
          <a:ext cx="8208000" cy="2266227"/>
        </a:xfrm>
        <a:prstGeom prst="rect">
          <a:avLst/>
        </a:prstGeom>
        <a:ln>
          <a:solidFill>
            <a:schemeClr val="tx2"/>
          </a:solidFill>
        </a:ln>
      </xdr:spPr>
    </xdr:pic>
    <xdr:clientData/>
  </xdr:twoCellAnchor>
  <xdr:twoCellAnchor editAs="oneCell">
    <xdr:from>
      <xdr:col>1</xdr:col>
      <xdr:colOff>10886</xdr:colOff>
      <xdr:row>403</xdr:row>
      <xdr:rowOff>104776</xdr:rowOff>
    </xdr:from>
    <xdr:to>
      <xdr:col>5</xdr:col>
      <xdr:colOff>20550</xdr:colOff>
      <xdr:row>424</xdr:row>
      <xdr:rowOff>14743</xdr:rowOff>
    </xdr:to>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12"/>
        <a:stretch>
          <a:fillRect/>
        </a:stretch>
      </xdr:blipFill>
      <xdr:spPr>
        <a:xfrm>
          <a:off x="108857" y="79635805"/>
          <a:ext cx="5400000" cy="4022863"/>
        </a:xfrm>
        <a:prstGeom prst="rect">
          <a:avLst/>
        </a:prstGeom>
        <a:ln>
          <a:solidFill>
            <a:schemeClr val="tx2"/>
          </a:solidFill>
        </a:ln>
      </xdr:spPr>
    </xdr:pic>
    <xdr:clientData/>
  </xdr:twoCellAnchor>
  <xdr:twoCellAnchor editAs="oneCell">
    <xdr:from>
      <xdr:col>1</xdr:col>
      <xdr:colOff>10886</xdr:colOff>
      <xdr:row>426</xdr:row>
      <xdr:rowOff>32658</xdr:rowOff>
    </xdr:from>
    <xdr:to>
      <xdr:col>8</xdr:col>
      <xdr:colOff>578065</xdr:colOff>
      <xdr:row>447</xdr:row>
      <xdr:rowOff>70741</xdr:rowOff>
    </xdr:to>
    <xdr:pic>
      <xdr:nvPicPr>
        <xdr:cNvPr id="5" name="Picture 4">
          <a:extLst>
            <a:ext uri="{FF2B5EF4-FFF2-40B4-BE49-F238E27FC236}">
              <a16:creationId xmlns:a16="http://schemas.microsoft.com/office/drawing/2014/main" id="{00000000-0008-0000-0400-000005000000}"/>
            </a:ext>
          </a:extLst>
        </xdr:cNvPr>
        <xdr:cNvPicPr>
          <a:picLocks noChangeAspect="1"/>
        </xdr:cNvPicPr>
      </xdr:nvPicPr>
      <xdr:blipFill>
        <a:blip xmlns:r="http://schemas.openxmlformats.org/officeDocument/2006/relationships" r:embed="rId13"/>
        <a:stretch>
          <a:fillRect/>
        </a:stretch>
      </xdr:blipFill>
      <xdr:spPr>
        <a:xfrm>
          <a:off x="108857" y="84070372"/>
          <a:ext cx="8208000" cy="4153836"/>
        </a:xfrm>
        <a:prstGeom prst="rect">
          <a:avLst/>
        </a:prstGeom>
        <a:ln>
          <a:solidFill>
            <a:schemeClr val="tx2"/>
          </a:solid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3.xml"/><Relationship Id="rId1" Type="http://schemas.openxmlformats.org/officeDocument/2006/relationships/printerSettings" Target="../printerSettings/printerSettings4.bin"/><Relationship Id="rId5" Type="http://schemas.openxmlformats.org/officeDocument/2006/relationships/comments" Target="../comments1.xml"/><Relationship Id="rId4" Type="http://schemas.openxmlformats.org/officeDocument/2006/relationships/vmlDrawing" Target="../drawings/vmlDrawing5.v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4.xml"/><Relationship Id="rId1" Type="http://schemas.openxmlformats.org/officeDocument/2006/relationships/printerSettings" Target="../printerSettings/printerSettings5.bin"/><Relationship Id="rId5" Type="http://schemas.openxmlformats.org/officeDocument/2006/relationships/comments" Target="../comments2.xml"/><Relationship Id="rId4" Type="http://schemas.openxmlformats.org/officeDocument/2006/relationships/vmlDrawing" Target="../drawings/vmlDrawing7.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1"/>
  <sheetViews>
    <sheetView showGridLines="0" tabSelected="1" zoomScaleNormal="100" workbookViewId="0">
      <selection sqref="A1:N1"/>
    </sheetView>
  </sheetViews>
  <sheetFormatPr defaultColWidth="9.1328125" defaultRowHeight="14.25" x14ac:dyDescent="0.45"/>
  <cols>
    <col min="1" max="1" width="9.86328125" style="32" customWidth="1"/>
    <col min="2" max="13" width="9.33203125" style="32" customWidth="1"/>
    <col min="14" max="14" width="9.86328125" style="32" customWidth="1"/>
    <col min="15" max="26" width="9.1328125" style="32" customWidth="1"/>
    <col min="27" max="16384" width="9.1328125" style="32"/>
  </cols>
  <sheetData>
    <row r="1" spans="1:14" s="36" customFormat="1" ht="189.75" customHeight="1" x14ac:dyDescent="0.85">
      <c r="A1" s="102"/>
      <c r="B1" s="102"/>
      <c r="C1" s="102"/>
      <c r="D1" s="102"/>
      <c r="E1" s="102"/>
      <c r="F1" s="102"/>
      <c r="G1" s="102"/>
      <c r="H1" s="102"/>
      <c r="I1" s="102"/>
      <c r="J1" s="102"/>
      <c r="K1" s="102"/>
      <c r="L1" s="102"/>
      <c r="M1" s="102"/>
      <c r="N1" s="102"/>
    </row>
    <row r="2" spans="1:14" s="22" customFormat="1" ht="75" customHeight="1" x14ac:dyDescent="0.45">
      <c r="A2" s="105" t="s">
        <v>58</v>
      </c>
      <c r="B2" s="105"/>
      <c r="C2" s="105"/>
      <c r="D2" s="105"/>
      <c r="E2" s="105"/>
      <c r="F2" s="105"/>
      <c r="G2" s="105"/>
      <c r="H2" s="105"/>
      <c r="I2" s="105"/>
      <c r="J2" s="105"/>
      <c r="K2" s="105"/>
      <c r="L2" s="105"/>
      <c r="M2" s="105"/>
      <c r="N2" s="105"/>
    </row>
    <row r="3" spans="1:14" s="23" customFormat="1" ht="7.5" customHeight="1" x14ac:dyDescent="0.45">
      <c r="B3" s="24"/>
      <c r="C3" s="24"/>
      <c r="F3" s="25"/>
      <c r="G3" s="25"/>
      <c r="H3" s="25"/>
      <c r="I3" s="25"/>
      <c r="J3" s="25"/>
      <c r="K3" s="25"/>
    </row>
    <row r="4" spans="1:14" s="23" customFormat="1" ht="15" customHeight="1" x14ac:dyDescent="0.45">
      <c r="A4" s="39"/>
      <c r="B4" s="40"/>
      <c r="C4" s="104"/>
      <c r="D4" s="104"/>
      <c r="E4" s="41"/>
      <c r="F4" s="42"/>
      <c r="G4" s="42"/>
      <c r="H4" s="42"/>
      <c r="I4" s="42"/>
      <c r="J4" s="42"/>
      <c r="K4" s="42"/>
      <c r="L4" s="41"/>
      <c r="M4" s="41"/>
      <c r="N4" s="41"/>
    </row>
    <row r="5" spans="1:14" s="23" customFormat="1" ht="15" customHeight="1" x14ac:dyDescent="0.45">
      <c r="A5" s="106" t="s">
        <v>10</v>
      </c>
      <c r="B5" s="106"/>
      <c r="C5" s="106"/>
      <c r="D5" s="106"/>
      <c r="E5" s="106"/>
      <c r="F5" s="106"/>
      <c r="G5" s="106"/>
      <c r="H5" s="106"/>
      <c r="I5" s="106"/>
      <c r="J5" s="106"/>
      <c r="K5" s="106"/>
      <c r="L5" s="106"/>
      <c r="M5" s="106"/>
      <c r="N5" s="106"/>
    </row>
    <row r="6" spans="1:14" s="23" customFormat="1" ht="15" customHeight="1" x14ac:dyDescent="0.45">
      <c r="A6" s="106"/>
      <c r="B6" s="106"/>
      <c r="C6" s="106"/>
      <c r="D6" s="106"/>
      <c r="E6" s="106"/>
      <c r="F6" s="106"/>
      <c r="G6" s="106"/>
      <c r="H6" s="106"/>
      <c r="I6" s="106"/>
      <c r="J6" s="106"/>
      <c r="K6" s="106"/>
      <c r="L6" s="106"/>
      <c r="M6" s="106"/>
      <c r="N6" s="106"/>
    </row>
    <row r="7" spans="1:14" s="23" customFormat="1" ht="15" customHeight="1" x14ac:dyDescent="0.45">
      <c r="A7" s="106" t="str">
        <f ca="1">"© "&amp;YEAR(TODAY())&amp;" Financial Edge Training"</f>
        <v>© 2020 Financial Edge Training</v>
      </c>
      <c r="B7" s="106"/>
      <c r="C7" s="106"/>
      <c r="D7" s="106"/>
      <c r="E7" s="106"/>
      <c r="F7" s="106"/>
      <c r="G7" s="106"/>
      <c r="H7" s="106"/>
      <c r="I7" s="106"/>
      <c r="J7" s="106"/>
      <c r="K7" s="106"/>
      <c r="L7" s="106"/>
      <c r="M7" s="106"/>
      <c r="N7" s="106"/>
    </row>
    <row r="8" spans="1:14" s="23" customFormat="1" ht="15" customHeight="1" thickBot="1" x14ac:dyDescent="0.5">
      <c r="A8" s="46"/>
      <c r="B8" s="47"/>
      <c r="C8" s="46"/>
      <c r="D8" s="46"/>
      <c r="E8" s="48"/>
      <c r="F8" s="49"/>
      <c r="G8" s="49"/>
      <c r="H8" s="49"/>
      <c r="I8" s="49"/>
      <c r="J8" s="49"/>
      <c r="K8" s="49"/>
      <c r="L8" s="48"/>
      <c r="M8" s="48"/>
      <c r="N8" s="48"/>
    </row>
    <row r="9" spans="1:14" s="23" customFormat="1" ht="15" customHeight="1" x14ac:dyDescent="0.45">
      <c r="F9" s="28"/>
      <c r="G9" s="107"/>
      <c r="H9" s="107"/>
      <c r="I9" s="107"/>
      <c r="J9" s="107"/>
      <c r="K9" s="28"/>
    </row>
    <row r="10" spans="1:14" s="23" customFormat="1" ht="15" customHeight="1" x14ac:dyDescent="0.45">
      <c r="B10" s="24"/>
      <c r="C10" s="24"/>
      <c r="F10" s="28"/>
      <c r="G10" s="107"/>
      <c r="H10" s="107"/>
      <c r="I10" s="107"/>
      <c r="J10" s="107"/>
      <c r="K10" s="28"/>
    </row>
    <row r="11" spans="1:14" s="23" customFormat="1" ht="15" customHeight="1" x14ac:dyDescent="0.45">
      <c r="B11" s="20"/>
      <c r="C11" s="20"/>
      <c r="D11" s="21"/>
      <c r="F11" s="25"/>
      <c r="G11" s="25"/>
      <c r="H11" s="25"/>
      <c r="I11" s="25"/>
      <c r="J11" s="25"/>
      <c r="K11" s="25"/>
    </row>
    <row r="12" spans="1:14" s="23" customFormat="1" ht="15" customHeight="1" x14ac:dyDescent="0.45">
      <c r="A12" s="26"/>
      <c r="B12" s="20"/>
      <c r="C12" s="20"/>
      <c r="D12" s="29"/>
      <c r="F12" s="25"/>
      <c r="G12" s="103"/>
      <c r="H12" s="103"/>
      <c r="I12" s="103"/>
      <c r="J12" s="103"/>
      <c r="K12" s="25"/>
    </row>
    <row r="13" spans="1:14" s="23" customFormat="1" ht="15" customHeight="1" x14ac:dyDescent="0.45">
      <c r="A13" s="19"/>
      <c r="B13" s="20"/>
      <c r="C13" s="20"/>
      <c r="D13" s="30"/>
      <c r="F13" s="25"/>
      <c r="G13" s="103"/>
      <c r="H13" s="103"/>
      <c r="I13" s="103"/>
      <c r="J13" s="103"/>
      <c r="K13" s="25"/>
    </row>
    <row r="14" spans="1:14" s="23" customFormat="1" ht="15" customHeight="1" x14ac:dyDescent="0.45">
      <c r="A14" s="22"/>
      <c r="B14" s="20"/>
      <c r="C14" s="20"/>
      <c r="D14" s="30"/>
      <c r="F14" s="25"/>
      <c r="G14" s="103"/>
      <c r="H14" s="103"/>
      <c r="I14" s="103"/>
      <c r="J14" s="103"/>
      <c r="K14" s="25"/>
    </row>
    <row r="15" spans="1:14" s="23" customFormat="1" ht="15" customHeight="1" x14ac:dyDescent="0.45">
      <c r="A15" s="22"/>
      <c r="B15" s="20"/>
      <c r="C15" s="20"/>
      <c r="D15" s="30"/>
      <c r="F15" s="25"/>
      <c r="G15" s="25"/>
      <c r="H15" s="25"/>
      <c r="I15" s="25"/>
      <c r="J15" s="25"/>
      <c r="K15" s="25"/>
    </row>
    <row r="16" spans="1:14" s="23" customFormat="1" ht="15" customHeight="1" x14ac:dyDescent="0.45">
      <c r="A16" s="22"/>
      <c r="B16" s="20"/>
      <c r="C16" s="20"/>
      <c r="D16" s="31"/>
      <c r="F16" s="25"/>
      <c r="G16" s="103"/>
      <c r="H16" s="103"/>
      <c r="I16" s="103"/>
      <c r="J16" s="103"/>
      <c r="K16" s="25"/>
    </row>
    <row r="17" spans="1:12" s="23" customFormat="1" ht="15" customHeight="1" x14ac:dyDescent="0.45">
      <c r="A17" s="22"/>
      <c r="B17" s="33"/>
      <c r="C17" s="34"/>
      <c r="D17" s="31"/>
      <c r="F17" s="25"/>
      <c r="G17" s="25"/>
      <c r="H17" s="25"/>
      <c r="I17" s="25"/>
      <c r="J17" s="25"/>
      <c r="K17" s="25"/>
    </row>
    <row r="18" spans="1:12" ht="15" customHeight="1" x14ac:dyDescent="0.45">
      <c r="A18" s="35"/>
      <c r="B18" s="35"/>
      <c r="C18" s="35"/>
      <c r="D18" s="35"/>
      <c r="E18" s="35"/>
      <c r="F18" s="35"/>
      <c r="G18" s="35"/>
      <c r="H18" s="35"/>
      <c r="I18" s="35"/>
      <c r="J18" s="35"/>
      <c r="K18" s="35"/>
      <c r="L18" s="35"/>
    </row>
    <row r="19" spans="1:12" x14ac:dyDescent="0.45">
      <c r="A19" s="35"/>
      <c r="B19" s="35"/>
      <c r="C19" s="35"/>
      <c r="D19" s="35"/>
      <c r="E19" s="35"/>
      <c r="F19" s="35"/>
      <c r="G19" s="35"/>
      <c r="H19" s="35"/>
      <c r="I19" s="35"/>
      <c r="J19" s="35"/>
      <c r="K19" s="35"/>
      <c r="L19" s="35"/>
    </row>
    <row r="20" spans="1:12" x14ac:dyDescent="0.45">
      <c r="A20" s="35"/>
      <c r="B20" s="35"/>
      <c r="C20" s="35"/>
      <c r="D20" s="35"/>
      <c r="E20" s="35"/>
      <c r="F20" s="35"/>
      <c r="G20" s="35"/>
      <c r="H20" s="35"/>
      <c r="I20" s="35"/>
      <c r="J20" s="35"/>
      <c r="K20" s="35"/>
      <c r="L20" s="35"/>
    </row>
    <row r="21" spans="1:12" x14ac:dyDescent="0.45">
      <c r="A21" s="35"/>
      <c r="B21" s="35"/>
      <c r="C21" s="35"/>
      <c r="D21" s="35"/>
      <c r="E21" s="35"/>
      <c r="F21" s="35"/>
      <c r="G21" s="35"/>
      <c r="H21" s="35"/>
      <c r="I21" s="35"/>
      <c r="J21" s="35"/>
      <c r="K21" s="35"/>
      <c r="L21" s="35"/>
    </row>
  </sheetData>
  <mergeCells count="8">
    <mergeCell ref="A1:N1"/>
    <mergeCell ref="G16:J16"/>
    <mergeCell ref="G12:J14"/>
    <mergeCell ref="C4:D4"/>
    <mergeCell ref="A2:N2"/>
    <mergeCell ref="A5:N6"/>
    <mergeCell ref="A7:N7"/>
    <mergeCell ref="G9:J10"/>
  </mergeCells>
  <pageMargins left="0.7" right="0.7" top="0.75" bottom="0.75" header="0.3" footer="0.3"/>
  <pageSetup paperSize="9" orientation="landscape" verticalDpi="0" r:id="rId1"/>
  <headerFooter>
    <oddHeader xml:space="preserve">&amp;R&amp;10&amp;F 
&amp;A
</oddHeader>
    <oddFooter>&amp;L&amp;10© 2016&amp;C&amp;10Page &amp;P of &amp;N&amp;R&amp;G</oddFooter>
  </headerFooter>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R26"/>
  <sheetViews>
    <sheetView showGridLines="0" zoomScaleNormal="100" workbookViewId="0"/>
  </sheetViews>
  <sheetFormatPr defaultColWidth="9.1328125" defaultRowHeight="14.25" x14ac:dyDescent="0.45"/>
  <cols>
    <col min="1" max="1" width="1.46484375" customWidth="1"/>
    <col min="2" max="2" width="2.86328125" customWidth="1"/>
    <col min="3" max="3" width="13.33203125" customWidth="1"/>
    <col min="4" max="4" width="2.86328125" customWidth="1"/>
    <col min="5" max="7" width="1.46484375" customWidth="1"/>
    <col min="8" max="8" width="2.86328125" customWidth="1"/>
    <col min="9" max="9" width="42.6640625" customWidth="1"/>
    <col min="10" max="11" width="1.46484375" customWidth="1"/>
    <col min="12" max="12" width="15.53125" bestFit="1" customWidth="1"/>
    <col min="13" max="14" width="1.46484375" customWidth="1"/>
    <col min="15" max="15" width="2.86328125" customWidth="1"/>
    <col min="16" max="16" width="32.53125" customWidth="1"/>
    <col min="17" max="17" width="2.86328125" customWidth="1"/>
    <col min="18" max="18" width="1.46484375" customWidth="1"/>
    <col min="23" max="23" width="17.6640625" bestFit="1" customWidth="1"/>
  </cols>
  <sheetData>
    <row r="1" spans="1:18" s="36" customFormat="1" ht="45" customHeight="1" x14ac:dyDescent="0.85">
      <c r="A1" s="13" t="str">
        <f>Welcome!A2</f>
        <v>Trading Comparables Valuation</v>
      </c>
      <c r="B1" s="13"/>
      <c r="C1" s="13"/>
      <c r="D1" s="13"/>
      <c r="E1" s="13"/>
      <c r="F1" s="13"/>
      <c r="G1" s="13"/>
      <c r="H1" s="13"/>
      <c r="I1" s="13"/>
      <c r="J1" s="6"/>
      <c r="K1" s="6"/>
      <c r="L1" s="6"/>
      <c r="M1" s="6"/>
      <c r="N1" s="6"/>
      <c r="O1" s="6"/>
      <c r="P1" s="6"/>
      <c r="Q1" s="6"/>
      <c r="R1" s="6"/>
    </row>
    <row r="2" spans="1:18" s="37" customFormat="1" ht="30" customHeight="1" x14ac:dyDescent="0.65">
      <c r="A2" s="14" t="s">
        <v>58</v>
      </c>
      <c r="B2" s="14"/>
      <c r="C2" s="14"/>
      <c r="D2" s="14"/>
      <c r="E2" s="14"/>
      <c r="F2" s="14"/>
      <c r="G2" s="14"/>
      <c r="H2" s="14"/>
      <c r="I2" s="14"/>
      <c r="J2" s="7"/>
      <c r="K2" s="7"/>
      <c r="L2" s="7"/>
      <c r="M2" s="7"/>
      <c r="N2" s="7"/>
      <c r="O2" s="7"/>
      <c r="P2" s="7"/>
      <c r="Q2" s="7"/>
      <c r="R2" s="7"/>
    </row>
    <row r="3" spans="1:18" s="2" customFormat="1" ht="7.5" customHeight="1" x14ac:dyDescent="0.45"/>
    <row r="4" spans="1:18" s="2" customFormat="1" ht="22.5" customHeight="1" x14ac:dyDescent="0.45">
      <c r="A4" s="1"/>
      <c r="B4" s="109" t="s">
        <v>0</v>
      </c>
      <c r="C4" s="109"/>
      <c r="D4" s="109"/>
      <c r="E4" s="109"/>
      <c r="F4" s="109"/>
      <c r="G4" s="109"/>
      <c r="H4" s="109"/>
      <c r="I4" s="109"/>
      <c r="K4" s="1"/>
      <c r="L4" s="109" t="s">
        <v>2</v>
      </c>
      <c r="M4" s="109"/>
      <c r="N4" s="109"/>
      <c r="O4" s="109"/>
      <c r="P4" s="109"/>
      <c r="Q4" s="45"/>
      <c r="R4" s="45"/>
    </row>
    <row r="5" spans="1:18" s="2" customFormat="1" ht="15" customHeight="1" x14ac:dyDescent="0.45">
      <c r="A5" s="17"/>
      <c r="B5" s="8" t="s">
        <v>1</v>
      </c>
      <c r="C5" s="59" t="s">
        <v>337</v>
      </c>
      <c r="D5" s="18"/>
      <c r="E5" s="18"/>
      <c r="F5" s="18"/>
      <c r="G5" s="18"/>
      <c r="H5" s="18"/>
      <c r="I5" s="18"/>
      <c r="K5" s="1"/>
      <c r="L5" s="9" t="s">
        <v>3</v>
      </c>
      <c r="M5" s="9"/>
      <c r="N5" s="111" t="s">
        <v>18</v>
      </c>
      <c r="O5" s="111"/>
      <c r="P5" s="111"/>
      <c r="Q5" s="111"/>
      <c r="R5" s="45"/>
    </row>
    <row r="6" spans="1:18" s="2" customFormat="1" ht="15" customHeight="1" x14ac:dyDescent="0.45">
      <c r="A6" s="3"/>
      <c r="B6" s="8" t="s">
        <v>1</v>
      </c>
      <c r="C6" s="18" t="s">
        <v>338</v>
      </c>
      <c r="D6" s="18"/>
      <c r="E6" s="18"/>
      <c r="F6" s="18"/>
      <c r="G6" s="18"/>
      <c r="H6" s="18"/>
      <c r="I6" s="18"/>
      <c r="K6" s="17"/>
      <c r="L6" s="9" t="s">
        <v>4</v>
      </c>
      <c r="M6" s="9"/>
      <c r="N6" s="112">
        <v>42369</v>
      </c>
      <c r="O6" s="112"/>
      <c r="P6" s="112"/>
      <c r="Q6" s="112"/>
      <c r="R6" s="45"/>
    </row>
    <row r="7" spans="1:18" s="2" customFormat="1" ht="15" customHeight="1" x14ac:dyDescent="0.45">
      <c r="A7" s="18"/>
      <c r="B7" s="8" t="s">
        <v>1</v>
      </c>
      <c r="C7" s="18" t="s">
        <v>339</v>
      </c>
      <c r="D7" s="18"/>
      <c r="E7" s="18"/>
      <c r="F7" s="18"/>
      <c r="G7" s="18"/>
      <c r="H7" s="18"/>
      <c r="I7" s="18"/>
      <c r="K7" s="3"/>
      <c r="L7" s="9" t="s">
        <v>5</v>
      </c>
      <c r="M7" s="9"/>
      <c r="N7" s="111"/>
      <c r="O7" s="111"/>
      <c r="P7" s="111"/>
      <c r="Q7" s="111"/>
      <c r="R7" s="45"/>
    </row>
    <row r="8" spans="1:18" s="2" customFormat="1" ht="15" customHeight="1" x14ac:dyDescent="0.45">
      <c r="A8" s="18"/>
      <c r="B8" s="8"/>
      <c r="C8" s="18"/>
      <c r="D8" s="18"/>
      <c r="E8" s="18"/>
      <c r="F8" s="18"/>
      <c r="G8" s="18"/>
      <c r="H8" s="18"/>
      <c r="I8" s="18"/>
      <c r="K8" s="18"/>
      <c r="L8" s="9" t="s">
        <v>6</v>
      </c>
      <c r="M8" s="9"/>
      <c r="N8" s="111"/>
      <c r="O8" s="111"/>
      <c r="P8" s="111"/>
      <c r="Q8" s="111"/>
      <c r="R8" s="45"/>
    </row>
    <row r="9" spans="1:18" s="2" customFormat="1" ht="15" customHeight="1" x14ac:dyDescent="0.45">
      <c r="A9" s="43"/>
      <c r="B9" s="8"/>
      <c r="C9" s="43"/>
      <c r="D9" s="43"/>
      <c r="E9" s="43"/>
      <c r="F9" s="43"/>
      <c r="G9" s="43"/>
      <c r="H9" s="43"/>
      <c r="I9" s="43"/>
      <c r="K9" s="18"/>
      <c r="L9" s="9" t="s">
        <v>7</v>
      </c>
      <c r="M9" s="9"/>
      <c r="N9" s="111" t="s">
        <v>9</v>
      </c>
      <c r="O9" s="111"/>
      <c r="P9" s="111"/>
      <c r="Q9" s="111"/>
      <c r="R9" s="45"/>
    </row>
    <row r="10" spans="1:18" s="2" customFormat="1" ht="15" customHeight="1" x14ac:dyDescent="0.45">
      <c r="A10" s="44"/>
      <c r="B10" s="8"/>
      <c r="C10" s="44"/>
      <c r="D10" s="44"/>
      <c r="E10" s="44"/>
      <c r="F10" s="44"/>
      <c r="G10" s="44"/>
      <c r="H10" s="44"/>
      <c r="I10" s="44"/>
      <c r="K10" s="18"/>
      <c r="L10" s="9" t="s">
        <v>8</v>
      </c>
      <c r="M10" s="9"/>
      <c r="N10" s="113">
        <v>0</v>
      </c>
      <c r="O10" s="113"/>
      <c r="P10" s="113"/>
      <c r="Q10" s="113"/>
      <c r="R10" s="51"/>
    </row>
    <row r="11" spans="1:18" s="2" customFormat="1" ht="15" customHeight="1" thickBot="1" x14ac:dyDescent="0.5">
      <c r="A11" s="48"/>
      <c r="B11" s="48"/>
      <c r="C11" s="48"/>
      <c r="D11" s="48"/>
      <c r="E11" s="48"/>
      <c r="F11" s="48"/>
      <c r="G11" s="48"/>
      <c r="H11" s="48"/>
      <c r="I11" s="48"/>
      <c r="K11" s="4"/>
      <c r="L11" s="63"/>
      <c r="M11" s="63"/>
      <c r="N11" s="52"/>
      <c r="O11" s="53"/>
      <c r="P11" s="53"/>
      <c r="Q11" s="54"/>
      <c r="R11" s="55"/>
    </row>
    <row r="12" spans="1:18" s="2" customFormat="1" ht="7.5" customHeight="1" x14ac:dyDescent="0.45">
      <c r="K12" s="25"/>
      <c r="L12" s="25"/>
      <c r="M12" s="25"/>
      <c r="N12" s="25"/>
      <c r="O12" s="25"/>
      <c r="P12" s="25"/>
      <c r="Q12" s="25"/>
      <c r="R12" s="25"/>
    </row>
    <row r="13" spans="1:18" s="2" customFormat="1" ht="22.5" customHeight="1" x14ac:dyDescent="0.45">
      <c r="A13" s="59"/>
      <c r="B13" s="110" t="s">
        <v>15</v>
      </c>
      <c r="C13" s="110"/>
      <c r="D13" s="110"/>
      <c r="E13" s="110"/>
      <c r="F13" s="110"/>
      <c r="G13" s="110"/>
      <c r="H13" s="110"/>
      <c r="I13" s="110"/>
      <c r="J13" s="110"/>
      <c r="K13" s="110"/>
      <c r="L13" s="110"/>
      <c r="N13" s="1"/>
      <c r="O13" s="109" t="s">
        <v>11</v>
      </c>
      <c r="P13" s="109"/>
      <c r="Q13" s="109"/>
      <c r="R13" s="62"/>
    </row>
    <row r="14" spans="1:18" s="2" customFormat="1" ht="15" customHeight="1" x14ac:dyDescent="0.45">
      <c r="A14" s="60"/>
      <c r="B14" s="108" t="s">
        <v>340</v>
      </c>
      <c r="C14" s="108"/>
      <c r="D14" s="108" t="s">
        <v>343</v>
      </c>
      <c r="E14" s="108"/>
      <c r="F14" s="108"/>
      <c r="G14" s="108"/>
      <c r="H14" s="108"/>
      <c r="I14" s="108"/>
      <c r="J14" s="108"/>
      <c r="K14" s="108"/>
      <c r="L14" s="108"/>
      <c r="N14" s="17"/>
      <c r="O14" s="27"/>
      <c r="P14" s="22"/>
      <c r="Q14" s="22"/>
      <c r="R14" s="60"/>
    </row>
    <row r="15" spans="1:18" s="2" customFormat="1" ht="15" customHeight="1" x14ac:dyDescent="0.45">
      <c r="A15" s="60"/>
      <c r="B15" s="108" t="s">
        <v>341</v>
      </c>
      <c r="C15" s="108"/>
      <c r="D15" s="108" t="s">
        <v>17</v>
      </c>
      <c r="E15" s="108"/>
      <c r="F15" s="108"/>
      <c r="G15" s="108"/>
      <c r="H15" s="108"/>
      <c r="I15" s="108"/>
      <c r="J15" s="108"/>
      <c r="K15" s="108"/>
      <c r="L15" s="108"/>
      <c r="N15" s="3"/>
      <c r="O15" s="27"/>
      <c r="P15" s="56" t="s">
        <v>12</v>
      </c>
      <c r="Q15" s="22"/>
      <c r="R15" s="60"/>
    </row>
    <row r="16" spans="1:18" s="2" customFormat="1" ht="15" customHeight="1" x14ac:dyDescent="0.45">
      <c r="A16" s="60"/>
      <c r="B16" s="108" t="s">
        <v>342</v>
      </c>
      <c r="C16" s="108"/>
      <c r="D16" s="108" t="s">
        <v>344</v>
      </c>
      <c r="E16" s="108"/>
      <c r="F16" s="108"/>
      <c r="G16" s="108"/>
      <c r="H16" s="108"/>
      <c r="I16" s="108"/>
      <c r="J16" s="108"/>
      <c r="K16" s="108"/>
      <c r="L16" s="108"/>
      <c r="N16" s="18"/>
      <c r="O16" s="27"/>
      <c r="P16" s="38" t="s">
        <v>13</v>
      </c>
      <c r="Q16" s="22"/>
      <c r="R16" s="60"/>
    </row>
    <row r="17" spans="1:18" s="2" customFormat="1" ht="15" customHeight="1" x14ac:dyDescent="0.45">
      <c r="A17" s="60"/>
      <c r="B17" s="108"/>
      <c r="C17" s="108"/>
      <c r="D17" s="108"/>
      <c r="E17" s="108"/>
      <c r="F17" s="108"/>
      <c r="G17" s="108"/>
      <c r="H17" s="108"/>
      <c r="I17" s="108"/>
      <c r="J17" s="108"/>
      <c r="K17" s="108"/>
      <c r="L17" s="108"/>
      <c r="N17" s="18"/>
      <c r="O17" s="27"/>
      <c r="P17" t="s">
        <v>14</v>
      </c>
      <c r="Q17" s="22"/>
      <c r="R17" s="60"/>
    </row>
    <row r="18" spans="1:18" s="2" customFormat="1" ht="15" customHeight="1" x14ac:dyDescent="0.45">
      <c r="A18" s="44"/>
      <c r="B18" s="108"/>
      <c r="C18" s="108"/>
      <c r="D18" s="108"/>
      <c r="E18" s="108"/>
      <c r="F18" s="108"/>
      <c r="G18" s="108"/>
      <c r="H18" s="108"/>
      <c r="I18" s="108"/>
      <c r="J18" s="108"/>
      <c r="K18" s="108"/>
      <c r="L18" s="108"/>
      <c r="N18" s="44"/>
      <c r="O18" s="57"/>
      <c r="P18" s="57"/>
      <c r="Q18" s="57"/>
      <c r="R18" s="44"/>
    </row>
    <row r="19" spans="1:18" ht="14.65" thickBot="1" x14ac:dyDescent="0.5">
      <c r="A19" s="48"/>
      <c r="B19" s="48"/>
      <c r="C19" s="48"/>
      <c r="D19" s="61"/>
      <c r="E19" s="61"/>
      <c r="F19" s="61"/>
      <c r="G19" s="61"/>
      <c r="H19" s="61"/>
      <c r="I19" s="61"/>
      <c r="J19" s="61"/>
      <c r="K19" s="61"/>
      <c r="L19" s="61"/>
      <c r="N19" s="48"/>
      <c r="O19" s="48"/>
      <c r="P19" s="48"/>
      <c r="Q19" s="48"/>
      <c r="R19" s="48"/>
    </row>
    <row r="20" spans="1:18" x14ac:dyDescent="0.45">
      <c r="Q20" s="58"/>
      <c r="R20" s="35"/>
    </row>
    <row r="21" spans="1:18" x14ac:dyDescent="0.45">
      <c r="F21" s="35"/>
      <c r="G21" s="35"/>
      <c r="H21" s="35"/>
      <c r="I21" s="35"/>
      <c r="J21" s="35"/>
      <c r="K21" s="35"/>
      <c r="L21" s="35"/>
      <c r="M21" s="35"/>
      <c r="N21" s="35"/>
      <c r="O21" s="35"/>
      <c r="P21" s="35"/>
      <c r="Q21" s="35"/>
      <c r="R21" s="35"/>
    </row>
    <row r="22" spans="1:18" x14ac:dyDescent="0.45">
      <c r="F22" s="35"/>
      <c r="G22" s="35"/>
      <c r="H22" s="35"/>
      <c r="I22" s="35"/>
      <c r="J22" s="35"/>
      <c r="K22" s="35"/>
      <c r="L22" s="35"/>
      <c r="M22" s="35"/>
      <c r="N22" s="35"/>
      <c r="O22" s="35"/>
      <c r="P22" s="35"/>
      <c r="Q22" s="35"/>
      <c r="R22" s="35"/>
    </row>
    <row r="23" spans="1:18" x14ac:dyDescent="0.45">
      <c r="F23" s="35"/>
      <c r="G23" s="35"/>
      <c r="H23" s="35"/>
      <c r="I23" s="35"/>
      <c r="J23" s="35"/>
      <c r="K23" s="35"/>
      <c r="L23" s="35"/>
      <c r="M23" s="35"/>
      <c r="N23" s="32"/>
      <c r="O23" s="32"/>
      <c r="P23" s="32"/>
      <c r="Q23" s="32"/>
    </row>
    <row r="24" spans="1:18" x14ac:dyDescent="0.45">
      <c r="F24" s="32"/>
      <c r="G24" s="32"/>
      <c r="H24" s="32"/>
      <c r="I24" s="32"/>
      <c r="J24" s="32"/>
      <c r="K24" s="32"/>
      <c r="L24" s="32"/>
      <c r="M24" s="32"/>
      <c r="N24" s="32"/>
      <c r="O24" s="32"/>
      <c r="P24" s="32"/>
      <c r="Q24" s="32"/>
    </row>
    <row r="25" spans="1:18" x14ac:dyDescent="0.45">
      <c r="F25" s="32"/>
      <c r="G25" s="32"/>
      <c r="H25" s="32"/>
      <c r="I25" s="32"/>
      <c r="J25" s="32"/>
      <c r="K25" s="32"/>
      <c r="L25" s="32"/>
      <c r="M25" s="32"/>
      <c r="N25" s="32"/>
      <c r="O25" s="32"/>
      <c r="P25" s="32"/>
      <c r="Q25" s="32"/>
    </row>
    <row r="26" spans="1:18" x14ac:dyDescent="0.45">
      <c r="F26" s="32"/>
      <c r="G26" s="32"/>
      <c r="H26" s="32"/>
      <c r="I26" s="32"/>
      <c r="J26" s="32"/>
      <c r="K26" s="32"/>
      <c r="L26" s="32"/>
      <c r="M26" s="32"/>
      <c r="N26" s="32"/>
      <c r="O26" s="32"/>
      <c r="P26" s="32"/>
      <c r="Q26" s="32"/>
    </row>
  </sheetData>
  <mergeCells count="20">
    <mergeCell ref="L4:P4"/>
    <mergeCell ref="B4:I4"/>
    <mergeCell ref="B13:L13"/>
    <mergeCell ref="B18:C18"/>
    <mergeCell ref="D16:L16"/>
    <mergeCell ref="D17:L17"/>
    <mergeCell ref="D18:L18"/>
    <mergeCell ref="N5:Q5"/>
    <mergeCell ref="N6:Q6"/>
    <mergeCell ref="N7:Q7"/>
    <mergeCell ref="N8:Q8"/>
    <mergeCell ref="N9:Q9"/>
    <mergeCell ref="N10:Q10"/>
    <mergeCell ref="O13:Q13"/>
    <mergeCell ref="D14:L14"/>
    <mergeCell ref="D15:L15"/>
    <mergeCell ref="B14:C14"/>
    <mergeCell ref="B15:C15"/>
    <mergeCell ref="B16:C16"/>
    <mergeCell ref="B17:C17"/>
  </mergeCells>
  <pageMargins left="0.7" right="0.7" top="0.75" bottom="0.75" header="0.3" footer="0.3"/>
  <pageSetup paperSize="9" orientation="landscape" verticalDpi="0" r:id="rId1"/>
  <headerFooter>
    <oddHeader xml:space="preserve">&amp;R&amp;10&amp;F 
&amp;A
</oddHeader>
    <oddFooter>&amp;L&amp;10© 2016&amp;C&amp;10Page &amp;P of &amp;N&amp;R&amp;G</oddFooter>
  </headerFooter>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274"/>
  <sheetViews>
    <sheetView zoomScaleNormal="100" workbookViewId="0"/>
  </sheetViews>
  <sheetFormatPr defaultColWidth="9.1328125" defaultRowHeight="15" customHeight="1" x14ac:dyDescent="0.45"/>
  <cols>
    <col min="1" max="1" width="1.46484375" style="15" customWidth="1"/>
    <col min="2" max="2" width="49.1328125" style="16" customWidth="1"/>
    <col min="3" max="11" width="11" customWidth="1"/>
    <col min="12" max="12" width="9.33203125" customWidth="1"/>
  </cols>
  <sheetData>
    <row r="1" spans="1:10" s="50" customFormat="1" ht="45" customHeight="1" x14ac:dyDescent="0.85">
      <c r="A1" s="5" t="s">
        <v>58</v>
      </c>
      <c r="B1" s="10"/>
      <c r="C1" s="12"/>
      <c r="D1" s="12"/>
      <c r="E1" s="12"/>
      <c r="F1" s="12"/>
      <c r="G1" s="12"/>
      <c r="H1" s="12"/>
      <c r="I1" s="12"/>
      <c r="J1" s="12"/>
    </row>
    <row r="2" spans="1:10" s="37" customFormat="1" ht="30" customHeight="1" x14ac:dyDescent="0.65">
      <c r="A2" s="14"/>
      <c r="B2" s="7"/>
      <c r="C2" s="11"/>
      <c r="D2" s="11"/>
      <c r="E2" s="11"/>
      <c r="F2" s="11"/>
      <c r="G2" s="11"/>
      <c r="H2" s="11"/>
      <c r="I2" s="11"/>
      <c r="J2" s="11"/>
    </row>
    <row r="3" spans="1:10" ht="15" customHeight="1" x14ac:dyDescent="0.45">
      <c r="A3" s="15" t="s">
        <v>16</v>
      </c>
    </row>
    <row r="4" spans="1:10" ht="15" customHeight="1" x14ac:dyDescent="0.45">
      <c r="B4" s="16" t="s">
        <v>345</v>
      </c>
      <c r="C4" s="65"/>
    </row>
    <row r="5" spans="1:10" ht="15" customHeight="1" x14ac:dyDescent="0.45">
      <c r="C5" s="69"/>
    </row>
    <row r="6" spans="1:10" ht="15" customHeight="1" x14ac:dyDescent="0.45">
      <c r="C6" t="s">
        <v>169</v>
      </c>
      <c r="D6" t="s">
        <v>170</v>
      </c>
      <c r="E6" t="s">
        <v>171</v>
      </c>
    </row>
    <row r="7" spans="1:10" ht="15" customHeight="1" x14ac:dyDescent="0.45">
      <c r="B7" s="16" t="s">
        <v>39</v>
      </c>
      <c r="C7" s="65">
        <v>33.159999999999997</v>
      </c>
      <c r="D7" s="65">
        <v>38.133999999999993</v>
      </c>
      <c r="E7" s="65">
        <v>41.566059999999993</v>
      </c>
    </row>
    <row r="8" spans="1:10" ht="15" customHeight="1" x14ac:dyDescent="0.45">
      <c r="A8" s="64"/>
      <c r="B8" s="16" t="s">
        <v>172</v>
      </c>
      <c r="C8" s="65">
        <v>34.747</v>
      </c>
      <c r="D8" s="65">
        <v>40.65399</v>
      </c>
      <c r="E8" s="65">
        <v>45.125928900000005</v>
      </c>
    </row>
    <row r="9" spans="1:10" ht="15" customHeight="1" x14ac:dyDescent="0.45">
      <c r="B9" s="16" t="s">
        <v>173</v>
      </c>
      <c r="C9" s="65">
        <v>11.993</v>
      </c>
      <c r="D9" s="65">
        <v>12.705</v>
      </c>
      <c r="E9" s="65">
        <v>13.775</v>
      </c>
    </row>
    <row r="10" spans="1:10" ht="15" customHeight="1" x14ac:dyDescent="0.45">
      <c r="B10" s="16" t="s">
        <v>37</v>
      </c>
      <c r="C10" s="65">
        <v>1.7749999999999999</v>
      </c>
      <c r="D10" s="65">
        <v>1.921</v>
      </c>
      <c r="E10" s="65">
        <v>2.1739999999999999</v>
      </c>
    </row>
    <row r="11" spans="1:10" ht="15" customHeight="1" x14ac:dyDescent="0.45">
      <c r="B11" s="16" t="s">
        <v>38</v>
      </c>
      <c r="C11" s="66">
        <v>1.9910000000000001</v>
      </c>
      <c r="D11" s="65">
        <v>2.1989999999999998</v>
      </c>
      <c r="E11" s="65">
        <v>2.4590000000000001</v>
      </c>
    </row>
    <row r="12" spans="1:10" ht="15" customHeight="1" x14ac:dyDescent="0.45">
      <c r="B12" s="16" t="s">
        <v>174</v>
      </c>
      <c r="C12" s="66">
        <v>2.94</v>
      </c>
      <c r="D12" s="66">
        <v>3.22</v>
      </c>
      <c r="E12" s="66">
        <v>3.71</v>
      </c>
    </row>
    <row r="13" spans="1:10" ht="15" customHeight="1" x14ac:dyDescent="0.45">
      <c r="D13" s="74"/>
    </row>
    <row r="14" spans="1:10" ht="15" customHeight="1" x14ac:dyDescent="0.45">
      <c r="B14" s="16" t="s">
        <v>175</v>
      </c>
      <c r="C14" s="88">
        <f t="shared" ref="C14:E16" si="0">$C$8/C9</f>
        <v>2.8972734094888684</v>
      </c>
      <c r="D14" s="88">
        <f t="shared" si="0"/>
        <v>2.7349075167256984</v>
      </c>
      <c r="E14" s="88">
        <f t="shared" si="0"/>
        <v>2.5224682395644282</v>
      </c>
    </row>
    <row r="15" spans="1:10" ht="15" customHeight="1" x14ac:dyDescent="0.45">
      <c r="B15" s="16" t="s">
        <v>40</v>
      </c>
      <c r="C15" s="70">
        <f t="shared" si="0"/>
        <v>19.575774647887325</v>
      </c>
      <c r="D15" s="70">
        <f t="shared" si="0"/>
        <v>18.087975013014056</v>
      </c>
      <c r="E15" s="70">
        <f t="shared" si="0"/>
        <v>15.982980680772769</v>
      </c>
    </row>
    <row r="16" spans="1:10" ht="15" customHeight="1" x14ac:dyDescent="0.45">
      <c r="B16" s="16" t="s">
        <v>20</v>
      </c>
      <c r="C16" s="70">
        <f t="shared" si="0"/>
        <v>17.45203415369161</v>
      </c>
      <c r="D16" s="70">
        <f t="shared" si="0"/>
        <v>15.801273306048206</v>
      </c>
      <c r="E16" s="70">
        <f t="shared" si="0"/>
        <v>14.130540870272467</v>
      </c>
    </row>
    <row r="17" spans="1:5" ht="15" customHeight="1" x14ac:dyDescent="0.45">
      <c r="B17" s="16" t="s">
        <v>420</v>
      </c>
      <c r="C17" s="70">
        <f>$C$7/C12</f>
        <v>11.278911564625849</v>
      </c>
      <c r="D17" s="70">
        <f>$C$7/D12</f>
        <v>10.298136645962732</v>
      </c>
      <c r="E17" s="70">
        <f>$C$7/E12</f>
        <v>8.9380053908355794</v>
      </c>
    </row>
    <row r="19" spans="1:5" ht="15" customHeight="1" x14ac:dyDescent="0.45">
      <c r="A19" s="15" t="s">
        <v>21</v>
      </c>
    </row>
    <row r="20" spans="1:5" ht="15" customHeight="1" x14ac:dyDescent="0.45">
      <c r="B20" s="16" t="s">
        <v>346</v>
      </c>
    </row>
    <row r="21" spans="1:5" ht="15" customHeight="1" x14ac:dyDescent="0.45">
      <c r="D21" s="89"/>
      <c r="E21" s="89"/>
    </row>
    <row r="22" spans="1:5" ht="15" customHeight="1" x14ac:dyDescent="0.45">
      <c r="B22" s="16" t="s">
        <v>176</v>
      </c>
      <c r="C22" s="66"/>
      <c r="D22" s="74">
        <f t="shared" ref="D22:E25" si="1">C14/D14-1</f>
        <v>5.9367964646043436E-2</v>
      </c>
      <c r="E22" s="74">
        <f t="shared" si="1"/>
        <v>8.4218811491538759E-2</v>
      </c>
    </row>
    <row r="23" spans="1:5" ht="15" customHeight="1" x14ac:dyDescent="0.45">
      <c r="B23" s="16" t="s">
        <v>177</v>
      </c>
      <c r="C23" s="66"/>
      <c r="D23" s="74">
        <f t="shared" si="1"/>
        <v>8.2253521126760543E-2</v>
      </c>
      <c r="E23" s="74">
        <f t="shared" si="1"/>
        <v>0.13170223841749085</v>
      </c>
    </row>
    <row r="24" spans="1:5" ht="15" customHeight="1" x14ac:dyDescent="0.45">
      <c r="B24" s="16" t="s">
        <v>178</v>
      </c>
      <c r="C24" s="65"/>
      <c r="D24" s="74">
        <f t="shared" si="1"/>
        <v>0.10447011551983909</v>
      </c>
      <c r="E24" s="74">
        <f t="shared" si="1"/>
        <v>0.11823556161891791</v>
      </c>
    </row>
    <row r="25" spans="1:5" ht="15" customHeight="1" x14ac:dyDescent="0.45">
      <c r="B25" s="16" t="s">
        <v>179</v>
      </c>
      <c r="C25" s="65"/>
      <c r="D25" s="74">
        <f t="shared" si="1"/>
        <v>9.5238095238095344E-2</v>
      </c>
      <c r="E25" s="74">
        <f t="shared" si="1"/>
        <v>0.15217391304347805</v>
      </c>
    </row>
    <row r="26" spans="1:5" ht="15" customHeight="1" x14ac:dyDescent="0.45">
      <c r="C26" s="65"/>
    </row>
    <row r="27" spans="1:5" ht="15" customHeight="1" x14ac:dyDescent="0.45">
      <c r="B27" s="16" t="s">
        <v>180</v>
      </c>
      <c r="C27" s="74">
        <f>C14/C15</f>
        <v>0.14800300175102141</v>
      </c>
      <c r="D27" s="74">
        <f>D14/D15</f>
        <v>0.15120031483667845</v>
      </c>
      <c r="E27" s="74">
        <f>E14/E15</f>
        <v>0.15782214156079855</v>
      </c>
    </row>
    <row r="28" spans="1:5" ht="15" customHeight="1" x14ac:dyDescent="0.45">
      <c r="B28" s="16" t="s">
        <v>181</v>
      </c>
      <c r="C28" s="74">
        <f>C14/C16</f>
        <v>0.16601350787959646</v>
      </c>
      <c r="D28" s="74">
        <f>D14/D16</f>
        <v>0.17308146399055488</v>
      </c>
      <c r="E28" s="74">
        <f>E14/E16</f>
        <v>0.17851179673321235</v>
      </c>
    </row>
    <row r="29" spans="1:5" ht="15" customHeight="1" x14ac:dyDescent="0.45">
      <c r="C29" s="65"/>
    </row>
    <row r="30" spans="1:5" ht="15" customHeight="1" x14ac:dyDescent="0.45">
      <c r="B30" s="16" t="s">
        <v>182</v>
      </c>
      <c r="C30" t="s">
        <v>183</v>
      </c>
    </row>
    <row r="31" spans="1:5" ht="15" customHeight="1" x14ac:dyDescent="0.45">
      <c r="B31" s="16" t="s">
        <v>184</v>
      </c>
      <c r="C31" t="s">
        <v>185</v>
      </c>
    </row>
    <row r="32" spans="1:5" ht="15" customHeight="1" x14ac:dyDescent="0.45">
      <c r="C32" t="s">
        <v>186</v>
      </c>
    </row>
    <row r="34" spans="1:8" ht="15" customHeight="1" x14ac:dyDescent="0.45">
      <c r="A34" s="15" t="s">
        <v>22</v>
      </c>
    </row>
    <row r="35" spans="1:8" ht="15" customHeight="1" x14ac:dyDescent="0.45">
      <c r="B35" s="16" t="s">
        <v>187</v>
      </c>
      <c r="C35" s="65"/>
    </row>
    <row r="36" spans="1:8" ht="15" customHeight="1" x14ac:dyDescent="0.45">
      <c r="C36" s="65"/>
    </row>
    <row r="37" spans="1:8" ht="15" customHeight="1" x14ac:dyDescent="0.45">
      <c r="C37" s="91"/>
      <c r="D37" s="92"/>
      <c r="E37" s="93" t="s">
        <v>193</v>
      </c>
      <c r="F37" s="93"/>
      <c r="G37" s="93" t="s">
        <v>194</v>
      </c>
      <c r="H37" s="93"/>
    </row>
    <row r="38" spans="1:8" ht="15" customHeight="1" x14ac:dyDescent="0.45">
      <c r="C38" s="90" t="s">
        <v>31</v>
      </c>
      <c r="D38" s="90" t="s">
        <v>19</v>
      </c>
      <c r="E38" s="90" t="s">
        <v>169</v>
      </c>
      <c r="F38" s="90" t="s">
        <v>170</v>
      </c>
      <c r="G38" s="90" t="s">
        <v>169</v>
      </c>
      <c r="H38" s="90" t="s">
        <v>170</v>
      </c>
    </row>
    <row r="39" spans="1:8" ht="15" customHeight="1" x14ac:dyDescent="0.45">
      <c r="B39" s="16" t="s">
        <v>188</v>
      </c>
      <c r="C39" s="66">
        <v>33.159999999999997</v>
      </c>
      <c r="D39" s="66">
        <v>34.75</v>
      </c>
      <c r="E39" s="78">
        <v>5.8999999999999997E-2</v>
      </c>
      <c r="F39" s="78">
        <v>8.4000000000000005E-2</v>
      </c>
      <c r="G39" s="78">
        <v>8.2000000000000003E-2</v>
      </c>
      <c r="H39" s="78">
        <v>0.13200000000000001</v>
      </c>
    </row>
    <row r="40" spans="1:8" ht="15" customHeight="1" x14ac:dyDescent="0.45">
      <c r="B40" s="16" t="s">
        <v>189</v>
      </c>
      <c r="C40" s="66">
        <v>4.1500000000000004</v>
      </c>
      <c r="D40" s="66">
        <v>3.72</v>
      </c>
      <c r="E40" s="78">
        <v>8.5000000000000006E-2</v>
      </c>
      <c r="F40" s="78">
        <v>7.1999999999999995E-2</v>
      </c>
      <c r="G40" s="78">
        <v>0.112</v>
      </c>
      <c r="H40" s="78">
        <v>0.112</v>
      </c>
    </row>
    <row r="41" spans="1:8" ht="15" customHeight="1" x14ac:dyDescent="0.45">
      <c r="B41" s="16" t="s">
        <v>190</v>
      </c>
      <c r="C41" s="66">
        <v>9.16</v>
      </c>
      <c r="D41" s="66">
        <v>8.51</v>
      </c>
      <c r="E41" s="78">
        <v>3.7999999999999999E-2</v>
      </c>
      <c r="F41" s="78">
        <v>0.14299999999999999</v>
      </c>
      <c r="G41" s="78">
        <v>-1.7000000000000001E-2</v>
      </c>
      <c r="H41" s="78">
        <v>0.12</v>
      </c>
    </row>
    <row r="42" spans="1:8" ht="15" customHeight="1" x14ac:dyDescent="0.45">
      <c r="B42" s="16" t="s">
        <v>191</v>
      </c>
      <c r="C42" s="66">
        <v>17.37</v>
      </c>
      <c r="D42" s="66">
        <v>17.02</v>
      </c>
      <c r="E42" s="78">
        <v>0.23499999999999999</v>
      </c>
      <c r="F42" s="78">
        <v>0.22900000000000001</v>
      </c>
      <c r="G42" s="78">
        <v>0.183</v>
      </c>
      <c r="H42" s="78">
        <v>0.27300000000000002</v>
      </c>
    </row>
    <row r="43" spans="1:8" ht="15" customHeight="1" x14ac:dyDescent="0.45">
      <c r="B43" s="16" t="s">
        <v>192</v>
      </c>
      <c r="C43" s="66">
        <v>0.37</v>
      </c>
      <c r="D43" s="66">
        <v>1.1000000000000001</v>
      </c>
      <c r="E43" s="78">
        <v>-6.6000000000000003E-2</v>
      </c>
      <c r="F43" s="78">
        <v>2.7E-2</v>
      </c>
      <c r="G43" s="79" t="s">
        <v>195</v>
      </c>
      <c r="H43" s="78">
        <v>0.83699999999999997</v>
      </c>
    </row>
    <row r="44" spans="1:8" ht="15" customHeight="1" x14ac:dyDescent="0.45">
      <c r="C44" s="66"/>
      <c r="D44" s="66"/>
      <c r="E44" s="78"/>
      <c r="F44" s="78"/>
      <c r="G44" s="79"/>
      <c r="H44" s="78"/>
    </row>
    <row r="45" spans="1:8" ht="15" customHeight="1" x14ac:dyDescent="0.45">
      <c r="B45" s="16" t="s">
        <v>347</v>
      </c>
      <c r="C45" s="66"/>
      <c r="D45" s="66"/>
      <c r="E45" s="78"/>
      <c r="F45" s="78"/>
      <c r="G45" s="79"/>
      <c r="H45" s="78"/>
    </row>
    <row r="46" spans="1:8" ht="15" customHeight="1" x14ac:dyDescent="0.45">
      <c r="B46" s="16" t="s">
        <v>348</v>
      </c>
      <c r="C46" s="66"/>
      <c r="D46" s="66"/>
      <c r="E46" s="78"/>
      <c r="F46" s="78"/>
      <c r="G46" s="79"/>
      <c r="H46" s="78"/>
    </row>
    <row r="47" spans="1:8" ht="15" customHeight="1" x14ac:dyDescent="0.45">
      <c r="B47" s="16" t="s">
        <v>358</v>
      </c>
      <c r="C47" s="66"/>
      <c r="D47" s="66"/>
      <c r="E47" s="78"/>
      <c r="F47" s="78"/>
      <c r="G47" s="79"/>
      <c r="H47" s="78"/>
    </row>
    <row r="48" spans="1:8" ht="15" customHeight="1" x14ac:dyDescent="0.45">
      <c r="B48" s="16" t="s">
        <v>349</v>
      </c>
      <c r="C48" s="66"/>
      <c r="D48" s="66"/>
      <c r="E48" s="78"/>
      <c r="F48" s="78"/>
      <c r="G48" s="79"/>
      <c r="H48" s="78"/>
    </row>
    <row r="49" spans="1:14" ht="15" customHeight="1" x14ac:dyDescent="0.45">
      <c r="B49" s="16" t="s">
        <v>350</v>
      </c>
      <c r="C49" s="66"/>
      <c r="D49" s="66"/>
      <c r="E49" s="78"/>
      <c r="F49" s="78"/>
      <c r="G49" s="79"/>
      <c r="H49" s="78"/>
    </row>
    <row r="50" spans="1:14" ht="15" customHeight="1" x14ac:dyDescent="0.45">
      <c r="B50" s="16" t="s">
        <v>351</v>
      </c>
      <c r="C50" s="66"/>
      <c r="D50" s="66"/>
      <c r="E50" s="78"/>
      <c r="F50" s="78"/>
      <c r="G50" s="79"/>
      <c r="H50" s="78"/>
    </row>
    <row r="51" spans="1:14" ht="15" customHeight="1" x14ac:dyDescent="0.45">
      <c r="B51" s="16" t="s">
        <v>352</v>
      </c>
      <c r="C51" s="66"/>
      <c r="D51" s="66"/>
      <c r="E51" s="78"/>
      <c r="F51" s="78"/>
      <c r="G51" s="79"/>
      <c r="H51" s="78"/>
    </row>
    <row r="52" spans="1:14" ht="15" customHeight="1" x14ac:dyDescent="0.45">
      <c r="B52" s="16" t="s">
        <v>359</v>
      </c>
      <c r="C52" s="66"/>
      <c r="D52" s="66"/>
      <c r="E52" s="78"/>
      <c r="F52" s="78"/>
      <c r="G52" s="79"/>
      <c r="H52" s="78"/>
    </row>
    <row r="53" spans="1:14" ht="15" customHeight="1" x14ac:dyDescent="0.45">
      <c r="C53" s="66"/>
      <c r="D53" s="66"/>
      <c r="E53" s="78"/>
      <c r="F53" s="78"/>
      <c r="G53" s="79"/>
      <c r="H53" s="78"/>
    </row>
    <row r="54" spans="1:14" ht="15" customHeight="1" x14ac:dyDescent="0.45">
      <c r="B54" s="16" t="s">
        <v>357</v>
      </c>
      <c r="C54" s="66"/>
      <c r="D54" s="66"/>
      <c r="E54" s="78"/>
      <c r="F54" s="78"/>
      <c r="G54" s="79"/>
      <c r="H54" s="78"/>
    </row>
    <row r="56" spans="1:14" ht="15" customHeight="1" x14ac:dyDescent="0.45">
      <c r="A56" s="15" t="s">
        <v>23</v>
      </c>
    </row>
    <row r="57" spans="1:14" ht="15" customHeight="1" x14ac:dyDescent="0.45">
      <c r="B57" s="16" t="s">
        <v>281</v>
      </c>
    </row>
    <row r="59" spans="1:14" ht="15" customHeight="1" x14ac:dyDescent="0.45">
      <c r="B59" s="16" t="s">
        <v>273</v>
      </c>
      <c r="C59" s="94" t="s">
        <v>278</v>
      </c>
      <c r="D59" s="94" t="s">
        <v>276</v>
      </c>
      <c r="M59" s="32"/>
      <c r="N59" s="32"/>
    </row>
    <row r="60" spans="1:14" ht="15" customHeight="1" x14ac:dyDescent="0.45">
      <c r="B60" s="16" t="s">
        <v>275</v>
      </c>
      <c r="C60" s="65">
        <v>100</v>
      </c>
      <c r="D60" s="65">
        <v>95</v>
      </c>
    </row>
    <row r="61" spans="1:14" ht="15" customHeight="1" x14ac:dyDescent="0.45">
      <c r="B61" s="16" t="s">
        <v>274</v>
      </c>
      <c r="C61" s="65">
        <v>102</v>
      </c>
      <c r="D61" s="65">
        <v>98</v>
      </c>
    </row>
    <row r="62" spans="1:14" ht="15" customHeight="1" x14ac:dyDescent="0.45">
      <c r="B62" s="16" t="s">
        <v>42</v>
      </c>
      <c r="C62" s="65">
        <v>3500</v>
      </c>
      <c r="D62" s="65">
        <v>3300</v>
      </c>
    </row>
    <row r="63" spans="1:14" ht="15" customHeight="1" x14ac:dyDescent="0.45">
      <c r="B63" s="16" t="s">
        <v>38</v>
      </c>
      <c r="C63" s="65">
        <v>1200</v>
      </c>
      <c r="D63" s="65">
        <v>1450</v>
      </c>
    </row>
    <row r="64" spans="1:14" ht="15" customHeight="1" x14ac:dyDescent="0.45">
      <c r="C64" s="65"/>
      <c r="D64" s="65"/>
    </row>
    <row r="65" spans="2:4" ht="15" customHeight="1" x14ac:dyDescent="0.45">
      <c r="C65" s="114" t="s">
        <v>277</v>
      </c>
      <c r="D65" s="114"/>
    </row>
    <row r="66" spans="2:4" ht="15" customHeight="1" x14ac:dyDescent="0.45">
      <c r="C66" s="94" t="s">
        <v>278</v>
      </c>
      <c r="D66" s="94" t="s">
        <v>276</v>
      </c>
    </row>
    <row r="67" spans="2:4" ht="15" customHeight="1" x14ac:dyDescent="0.45">
      <c r="B67" s="16" t="s">
        <v>268</v>
      </c>
      <c r="C67" s="68">
        <v>7</v>
      </c>
      <c r="D67" s="68">
        <v>6.6</v>
      </c>
    </row>
    <row r="68" spans="2:4" ht="15" customHeight="1" x14ac:dyDescent="0.45">
      <c r="B68" s="16" t="s">
        <v>269</v>
      </c>
      <c r="C68" s="68">
        <v>6.7</v>
      </c>
      <c r="D68" s="68">
        <v>6.4</v>
      </c>
    </row>
    <row r="69" spans="2:4" ht="15" customHeight="1" x14ac:dyDescent="0.45">
      <c r="B69" s="16" t="s">
        <v>270</v>
      </c>
      <c r="C69" s="68">
        <v>6.5</v>
      </c>
      <c r="D69" s="68">
        <v>6.2</v>
      </c>
    </row>
    <row r="70" spans="2:4" ht="15" customHeight="1" x14ac:dyDescent="0.45">
      <c r="B70" s="16" t="s">
        <v>271</v>
      </c>
      <c r="C70" s="68">
        <v>6.3</v>
      </c>
      <c r="D70" s="68">
        <v>6</v>
      </c>
    </row>
    <row r="71" spans="2:4" ht="15" customHeight="1" x14ac:dyDescent="0.45">
      <c r="B71" s="16" t="s">
        <v>272</v>
      </c>
      <c r="C71" s="68">
        <v>6</v>
      </c>
      <c r="D71" s="68">
        <v>5.8</v>
      </c>
    </row>
    <row r="73" spans="2:4" ht="15" customHeight="1" x14ac:dyDescent="0.45">
      <c r="C73" s="114" t="s">
        <v>276</v>
      </c>
      <c r="D73" s="114"/>
    </row>
    <row r="74" spans="2:4" ht="15" customHeight="1" x14ac:dyDescent="0.45">
      <c r="C74" s="94" t="s">
        <v>280</v>
      </c>
      <c r="D74" s="94" t="s">
        <v>279</v>
      </c>
    </row>
    <row r="75" spans="2:4" ht="15" customHeight="1" x14ac:dyDescent="0.45">
      <c r="B75" s="16" t="s">
        <v>282</v>
      </c>
      <c r="C75" s="70">
        <f>MIN(D67:D71)</f>
        <v>5.8</v>
      </c>
      <c r="D75" s="70">
        <f>MAX(D67:D71)</f>
        <v>6.6</v>
      </c>
    </row>
    <row r="76" spans="2:4" ht="15" customHeight="1" x14ac:dyDescent="0.45">
      <c r="B76" s="16" t="s">
        <v>38</v>
      </c>
      <c r="C76">
        <f>D63</f>
        <v>1450</v>
      </c>
      <c r="D76">
        <f>D63</f>
        <v>1450</v>
      </c>
    </row>
    <row r="77" spans="2:4" ht="15" customHeight="1" x14ac:dyDescent="0.45">
      <c r="B77" s="16" t="s">
        <v>32</v>
      </c>
      <c r="C77">
        <f>C76*C75</f>
        <v>8410</v>
      </c>
      <c r="D77">
        <f>D76*D75</f>
        <v>9570</v>
      </c>
    </row>
    <row r="78" spans="2:4" ht="15" customHeight="1" x14ac:dyDescent="0.45">
      <c r="B78" s="16" t="str">
        <f>B62</f>
        <v>Net debt</v>
      </c>
      <c r="C78">
        <f>$C$62</f>
        <v>3500</v>
      </c>
      <c r="D78">
        <f>$C$62</f>
        <v>3500</v>
      </c>
    </row>
    <row r="79" spans="2:4" ht="15" customHeight="1" x14ac:dyDescent="0.45">
      <c r="B79" s="16" t="s">
        <v>31</v>
      </c>
      <c r="C79">
        <f>C77-C78</f>
        <v>4910</v>
      </c>
      <c r="D79">
        <f>D77-D78</f>
        <v>6070</v>
      </c>
    </row>
    <row r="80" spans="2:4" ht="15" customHeight="1" x14ac:dyDescent="0.45">
      <c r="B80" s="16" t="str">
        <f>B61</f>
        <v>Diluted number of shares outstanding</v>
      </c>
      <c r="C80">
        <f>C61</f>
        <v>102</v>
      </c>
      <c r="D80">
        <f>C80</f>
        <v>102</v>
      </c>
    </row>
    <row r="81" spans="1:10" ht="15" customHeight="1" x14ac:dyDescent="0.45">
      <c r="B81" s="16" t="s">
        <v>39</v>
      </c>
      <c r="C81" s="67">
        <f>C79/C80</f>
        <v>48.137254901960787</v>
      </c>
      <c r="D81" s="67">
        <f>D79/D80</f>
        <v>59.509803921568626</v>
      </c>
    </row>
    <row r="83" spans="1:10" ht="15" customHeight="1" x14ac:dyDescent="0.45">
      <c r="A83" s="15" t="s">
        <v>24</v>
      </c>
    </row>
    <row r="84" spans="1:10" ht="15" customHeight="1" x14ac:dyDescent="0.45">
      <c r="B84" s="16" t="s">
        <v>318</v>
      </c>
    </row>
    <row r="85" spans="1:10" ht="15" customHeight="1" x14ac:dyDescent="0.45">
      <c r="B85" s="16" t="s">
        <v>313</v>
      </c>
    </row>
    <row r="87" spans="1:10" ht="15" customHeight="1" x14ac:dyDescent="0.45">
      <c r="B87" s="16" t="s">
        <v>360</v>
      </c>
    </row>
    <row r="88" spans="1:10" ht="15" customHeight="1" x14ac:dyDescent="0.45">
      <c r="B88" s="16" t="s">
        <v>312</v>
      </c>
    </row>
    <row r="89" spans="1:10" ht="15" customHeight="1" x14ac:dyDescent="0.45">
      <c r="B89" s="16" t="s">
        <v>311</v>
      </c>
    </row>
    <row r="91" spans="1:10" ht="15" customHeight="1" x14ac:dyDescent="0.45">
      <c r="B91" s="16" t="s">
        <v>314</v>
      </c>
      <c r="C91" s="65">
        <f>22491/8</f>
        <v>2811.375</v>
      </c>
    </row>
    <row r="92" spans="1:10" ht="15" customHeight="1" x14ac:dyDescent="0.45">
      <c r="B92" s="16" t="s">
        <v>315</v>
      </c>
      <c r="C92" s="65">
        <f>1481/8</f>
        <v>185.125</v>
      </c>
      <c r="D92" s="71"/>
    </row>
    <row r="93" spans="1:10" ht="15" customHeight="1" x14ac:dyDescent="0.45">
      <c r="B93" s="16" t="s">
        <v>316</v>
      </c>
      <c r="C93" s="65">
        <f>348/8</f>
        <v>43.5</v>
      </c>
    </row>
    <row r="95" spans="1:10" ht="15" customHeight="1" x14ac:dyDescent="0.45">
      <c r="C95" s="80" t="s">
        <v>307</v>
      </c>
      <c r="D95" s="80" t="s">
        <v>309</v>
      </c>
      <c r="E95" s="80" t="s">
        <v>19</v>
      </c>
      <c r="F95" s="80" t="s">
        <v>173</v>
      </c>
      <c r="G95" s="80" t="s">
        <v>37</v>
      </c>
      <c r="H95" s="80" t="s">
        <v>38</v>
      </c>
      <c r="I95" s="80" t="s">
        <v>40</v>
      </c>
      <c r="J95" s="80" t="s">
        <v>308</v>
      </c>
    </row>
    <row r="96" spans="1:10" ht="15" customHeight="1" x14ac:dyDescent="0.45">
      <c r="B96" s="16" t="s">
        <v>283</v>
      </c>
      <c r="C96" s="66">
        <v>0.71599999999999997</v>
      </c>
      <c r="D96" s="65">
        <v>83.629199999999997</v>
      </c>
      <c r="E96" s="65">
        <v>1166.5</v>
      </c>
      <c r="F96" s="65">
        <v>4105.5349999999999</v>
      </c>
      <c r="G96" s="65">
        <v>-263.38200000000001</v>
      </c>
      <c r="H96" s="65">
        <v>-208.94800000000001</v>
      </c>
      <c r="I96" s="83" t="s">
        <v>310</v>
      </c>
      <c r="J96" s="83" t="s">
        <v>310</v>
      </c>
    </row>
    <row r="97" spans="2:11" ht="15" customHeight="1" x14ac:dyDescent="0.45">
      <c r="B97" s="16" t="s">
        <v>284</v>
      </c>
      <c r="C97" s="66">
        <v>8.0500000000000007</v>
      </c>
      <c r="D97" s="65">
        <v>2416.77</v>
      </c>
      <c r="E97" s="65">
        <v>7517.77</v>
      </c>
      <c r="F97" s="65">
        <v>26059</v>
      </c>
      <c r="G97" s="65">
        <v>101</v>
      </c>
      <c r="H97" s="65">
        <v>1732</v>
      </c>
      <c r="I97" s="84">
        <v>74.433300000000003</v>
      </c>
      <c r="J97" s="84">
        <v>4.3405100000000001</v>
      </c>
      <c r="K97" s="71"/>
    </row>
    <row r="98" spans="2:11" ht="15" customHeight="1" x14ac:dyDescent="0.45">
      <c r="B98" s="16" t="s">
        <v>285</v>
      </c>
      <c r="C98" s="66">
        <v>37.878900000000002</v>
      </c>
      <c r="D98" s="65">
        <v>29226.7</v>
      </c>
      <c r="E98" s="65">
        <v>32173.4</v>
      </c>
      <c r="F98" s="65">
        <v>36672.011567831003</v>
      </c>
      <c r="G98" s="65">
        <v>7362.6714928150204</v>
      </c>
      <c r="H98" s="65">
        <v>9039.7949155569095</v>
      </c>
      <c r="I98" s="84">
        <v>4.3697999999999997</v>
      </c>
      <c r="J98" s="84">
        <v>3.5590899999999999</v>
      </c>
      <c r="K98" s="71"/>
    </row>
    <row r="99" spans="2:11" ht="15" customHeight="1" x14ac:dyDescent="0.45">
      <c r="B99" s="16" t="s">
        <v>286</v>
      </c>
      <c r="C99" s="66">
        <v>19.514900000000001</v>
      </c>
      <c r="D99" s="65">
        <v>7751.48</v>
      </c>
      <c r="E99" s="65">
        <v>6979.35</v>
      </c>
      <c r="F99" s="65">
        <v>6318.8699612617502</v>
      </c>
      <c r="G99" s="65">
        <v>927.73848342895496</v>
      </c>
      <c r="H99" s="65">
        <v>1113.8255629539501</v>
      </c>
      <c r="I99" s="84">
        <v>7.5229699999999999</v>
      </c>
      <c r="J99" s="84">
        <v>6.2661100000000003</v>
      </c>
      <c r="K99" s="71"/>
    </row>
    <row r="100" spans="2:11" ht="15" customHeight="1" x14ac:dyDescent="0.45">
      <c r="B100" s="16" t="s">
        <v>287</v>
      </c>
      <c r="C100" s="87">
        <v>13.535</v>
      </c>
      <c r="D100" s="85">
        <v>17312.400000000001</v>
      </c>
      <c r="E100" s="65">
        <v>16491.400000000001</v>
      </c>
      <c r="F100" s="65">
        <v>6354</v>
      </c>
      <c r="G100" s="65">
        <v>1424.4</v>
      </c>
      <c r="H100" s="65">
        <v>1834.4</v>
      </c>
      <c r="I100" s="84">
        <v>11.5778</v>
      </c>
      <c r="J100" s="84">
        <v>8.9900800000000007</v>
      </c>
      <c r="K100" s="71"/>
    </row>
    <row r="101" spans="2:11" ht="15" customHeight="1" x14ac:dyDescent="0.45">
      <c r="B101" s="16" t="s">
        <v>288</v>
      </c>
      <c r="C101" s="66">
        <v>31.7897</v>
      </c>
      <c r="D101" s="65">
        <v>18379.900000000001</v>
      </c>
      <c r="E101" s="65">
        <v>30773.4</v>
      </c>
      <c r="F101" s="65">
        <v>36784.363434076302</v>
      </c>
      <c r="G101" s="65">
        <v>6538.1537647247296</v>
      </c>
      <c r="H101" s="65">
        <v>7964.2976152896899</v>
      </c>
      <c r="I101" s="84">
        <v>4.7067399999999999</v>
      </c>
      <c r="J101" s="84">
        <v>3.8639199999999998</v>
      </c>
      <c r="K101" s="71"/>
    </row>
    <row r="102" spans="2:11" ht="15" customHeight="1" x14ac:dyDescent="0.45">
      <c r="B102" s="16" t="s">
        <v>289</v>
      </c>
      <c r="C102" s="66">
        <v>7.0975000000000001</v>
      </c>
      <c r="D102" s="65">
        <v>14367.2</v>
      </c>
      <c r="E102" s="65">
        <v>17424.2</v>
      </c>
      <c r="F102" s="65">
        <v>22844.535459617699</v>
      </c>
      <c r="G102" s="65">
        <v>2335.9551445234702</v>
      </c>
      <c r="H102" s="65">
        <v>3641.71855975364</v>
      </c>
      <c r="I102" s="84">
        <v>7.4591099999999999</v>
      </c>
      <c r="J102" s="84">
        <v>4.7846000000000002</v>
      </c>
      <c r="K102" s="71"/>
    </row>
    <row r="103" spans="2:11" ht="15" customHeight="1" x14ac:dyDescent="0.45">
      <c r="B103" s="16" t="s">
        <v>290</v>
      </c>
      <c r="C103" s="66">
        <v>2.2038899999999999</v>
      </c>
      <c r="D103" s="65">
        <v>4545.3</v>
      </c>
      <c r="E103" s="65">
        <v>6306.75</v>
      </c>
      <c r="F103" s="65">
        <v>10967.589325904801</v>
      </c>
      <c r="G103" s="65">
        <v>1076.5939423441901</v>
      </c>
      <c r="H103" s="65">
        <v>1850.03635346889</v>
      </c>
      <c r="I103" s="84">
        <v>5.85806</v>
      </c>
      <c r="J103" s="84">
        <v>3.4089900000000002</v>
      </c>
      <c r="K103" s="71"/>
    </row>
    <row r="104" spans="2:11" ht="15" customHeight="1" x14ac:dyDescent="0.45">
      <c r="B104" s="16" t="s">
        <v>291</v>
      </c>
      <c r="C104" s="66">
        <v>0.55709200000000003</v>
      </c>
      <c r="D104" s="65">
        <v>7398.66</v>
      </c>
      <c r="E104" s="65">
        <v>22658.7</v>
      </c>
      <c r="F104" s="65">
        <v>15973.495989055</v>
      </c>
      <c r="G104" s="65">
        <v>1428.5261140411401</v>
      </c>
      <c r="H104" s="65">
        <v>3152.0909329393799</v>
      </c>
      <c r="I104" s="84">
        <v>15.861599999999999</v>
      </c>
      <c r="J104" s="84">
        <v>7.1884499999999996</v>
      </c>
      <c r="K104" s="71"/>
    </row>
    <row r="105" spans="2:11" ht="15" customHeight="1" x14ac:dyDescent="0.45">
      <c r="B105" s="16" t="s">
        <v>292</v>
      </c>
      <c r="C105" s="66">
        <v>0.49898999999999999</v>
      </c>
      <c r="D105" s="65">
        <v>9437.4699999999993</v>
      </c>
      <c r="E105" s="65">
        <v>25709.1</v>
      </c>
      <c r="F105" s="65">
        <v>13457.6523289615</v>
      </c>
      <c r="G105" s="65">
        <v>1057.2973162252899</v>
      </c>
      <c r="H105" s="65">
        <v>2614.5137936010601</v>
      </c>
      <c r="I105" s="84">
        <v>24.315899999999999</v>
      </c>
      <c r="J105" s="84">
        <v>9.8332200000000007</v>
      </c>
      <c r="K105" s="71"/>
    </row>
    <row r="106" spans="2:11" ht="15" customHeight="1" x14ac:dyDescent="0.45">
      <c r="B106" s="16" t="s">
        <v>293</v>
      </c>
      <c r="C106" s="66">
        <v>22.558499999999999</v>
      </c>
      <c r="D106" s="65">
        <v>1654.33</v>
      </c>
      <c r="E106" s="65">
        <v>13588</v>
      </c>
      <c r="F106" s="65">
        <v>9198.4795636634608</v>
      </c>
      <c r="G106" s="65">
        <v>669.58927139449702</v>
      </c>
      <c r="H106" s="65">
        <v>1984.98297912515</v>
      </c>
      <c r="I106" s="84">
        <v>20.292999999999999</v>
      </c>
      <c r="J106" s="84">
        <v>6.8453999999999997</v>
      </c>
      <c r="K106" s="71"/>
    </row>
    <row r="107" spans="2:11" ht="15" customHeight="1" x14ac:dyDescent="0.45">
      <c r="B107" s="16" t="s">
        <v>294</v>
      </c>
      <c r="C107" s="66">
        <v>6.4549399999999997</v>
      </c>
      <c r="D107" s="65">
        <v>3521.55</v>
      </c>
      <c r="E107" s="65">
        <v>10691.6</v>
      </c>
      <c r="F107" s="65">
        <v>8763.1591277443094</v>
      </c>
      <c r="G107" s="65">
        <v>109.664654627194</v>
      </c>
      <c r="H107" s="65">
        <v>950.98959735288099</v>
      </c>
      <c r="I107" s="84">
        <v>97.493700000000004</v>
      </c>
      <c r="J107" s="84">
        <v>11.242599999999999</v>
      </c>
      <c r="K107" s="71"/>
    </row>
    <row r="108" spans="2:11" ht="15" customHeight="1" x14ac:dyDescent="0.45">
      <c r="B108" s="16" t="s">
        <v>295</v>
      </c>
      <c r="C108" s="66">
        <v>1.04088</v>
      </c>
      <c r="D108" s="65">
        <v>1156.01</v>
      </c>
      <c r="E108" s="65">
        <v>3463.43</v>
      </c>
      <c r="F108" s="83" t="s">
        <v>18</v>
      </c>
      <c r="G108" s="83" t="s">
        <v>18</v>
      </c>
      <c r="H108" s="83" t="s">
        <v>18</v>
      </c>
      <c r="I108" s="83" t="s">
        <v>18</v>
      </c>
      <c r="J108" s="83" t="s">
        <v>18</v>
      </c>
      <c r="K108" s="71"/>
    </row>
    <row r="109" spans="2:11" ht="15" customHeight="1" x14ac:dyDescent="0.45">
      <c r="B109" s="16" t="s">
        <v>296</v>
      </c>
      <c r="C109" s="66">
        <v>2.5769899999999999</v>
      </c>
      <c r="D109" s="65">
        <v>850.62</v>
      </c>
      <c r="E109" s="65">
        <v>1227.8399999999999</v>
      </c>
      <c r="F109" s="65">
        <v>4232.88069269061</v>
      </c>
      <c r="G109" s="65">
        <v>209.21478874981401</v>
      </c>
      <c r="H109" s="65">
        <v>372.41302549839003</v>
      </c>
      <c r="I109" s="84">
        <v>5.8687800000000001</v>
      </c>
      <c r="J109" s="84">
        <v>3.29697</v>
      </c>
      <c r="K109" s="71"/>
    </row>
    <row r="110" spans="2:11" ht="15" customHeight="1" x14ac:dyDescent="0.45">
      <c r="B110" s="16" t="s">
        <v>297</v>
      </c>
      <c r="C110" s="66">
        <v>0.29055999999999998</v>
      </c>
      <c r="D110" s="65">
        <v>1589.62</v>
      </c>
      <c r="E110" s="65">
        <v>4034.71</v>
      </c>
      <c r="F110" s="65">
        <v>4119.4233989286804</v>
      </c>
      <c r="G110" s="65">
        <v>230.85949040226799</v>
      </c>
      <c r="H110" s="65">
        <v>723.062317789389</v>
      </c>
      <c r="I110" s="84">
        <v>17.476900000000001</v>
      </c>
      <c r="J110" s="84">
        <v>5.5800299999999998</v>
      </c>
      <c r="K110" s="71"/>
    </row>
    <row r="111" spans="2:11" ht="15" customHeight="1" x14ac:dyDescent="0.45">
      <c r="B111" s="16" t="s">
        <v>298</v>
      </c>
      <c r="C111" s="66">
        <v>0.6754</v>
      </c>
      <c r="D111" s="65">
        <v>334.80799999999999</v>
      </c>
      <c r="E111" s="65">
        <v>741.55399999999997</v>
      </c>
      <c r="F111" s="65">
        <v>1850.10379060746</v>
      </c>
      <c r="G111" s="65">
        <v>154.54889205948399</v>
      </c>
      <c r="H111" s="65">
        <v>299.84737053978603</v>
      </c>
      <c r="I111" s="84">
        <v>4.79819</v>
      </c>
      <c r="J111" s="84">
        <v>2.4731100000000001</v>
      </c>
      <c r="K111" s="71"/>
    </row>
    <row r="112" spans="2:11" ht="15" customHeight="1" x14ac:dyDescent="0.45">
      <c r="B112" s="16" t="s">
        <v>299</v>
      </c>
      <c r="C112" s="66">
        <v>21.405200000000001</v>
      </c>
      <c r="D112" s="65">
        <v>743.78800000000001</v>
      </c>
      <c r="E112" s="65">
        <v>877.51400000000001</v>
      </c>
      <c r="F112" s="65">
        <v>1471.5857197165501</v>
      </c>
      <c r="G112" s="65">
        <v>-21.253614270687098</v>
      </c>
      <c r="H112" s="65">
        <v>27.339050835371001</v>
      </c>
      <c r="I112" s="86" t="s">
        <v>310</v>
      </c>
      <c r="J112" s="84">
        <v>32.097499999999997</v>
      </c>
      <c r="K112" s="71"/>
    </row>
    <row r="113" spans="2:11" ht="15" customHeight="1" x14ac:dyDescent="0.45">
      <c r="B113" s="16" t="s">
        <v>300</v>
      </c>
      <c r="C113" s="66">
        <v>24.461300000000001</v>
      </c>
      <c r="D113" s="65">
        <v>1392.39</v>
      </c>
      <c r="E113" s="65">
        <v>940.78899999999999</v>
      </c>
      <c r="F113" s="65">
        <v>1327.6373287105901</v>
      </c>
      <c r="G113" s="65">
        <v>210.83772314864899</v>
      </c>
      <c r="H113" s="65">
        <v>235.24369732823101</v>
      </c>
      <c r="I113" s="84">
        <v>4.4621399999999998</v>
      </c>
      <c r="J113" s="84">
        <v>3.9992100000000002</v>
      </c>
      <c r="K113" s="71"/>
    </row>
    <row r="114" spans="2:11" ht="15" customHeight="1" x14ac:dyDescent="0.45">
      <c r="B114" s="16" t="s">
        <v>301</v>
      </c>
      <c r="C114" s="66">
        <v>5.1551999999999998</v>
      </c>
      <c r="D114" s="65">
        <v>527.23299999999995</v>
      </c>
      <c r="E114" s="65">
        <v>670.86300000000006</v>
      </c>
      <c r="F114" s="65">
        <v>1153.3498967595301</v>
      </c>
      <c r="G114" s="65">
        <v>58.288787611904098</v>
      </c>
      <c r="H114" s="65">
        <v>116.468259843255</v>
      </c>
      <c r="I114" s="84">
        <v>11.5093</v>
      </c>
      <c r="J114" s="84">
        <v>5.7600499999999997</v>
      </c>
      <c r="K114" s="71"/>
    </row>
    <row r="115" spans="2:11" ht="15" customHeight="1" x14ac:dyDescent="0.45">
      <c r="B115" s="16" t="s">
        <v>302</v>
      </c>
      <c r="C115" s="66">
        <v>4.2787499999999996</v>
      </c>
      <c r="D115" s="65">
        <v>126.351</v>
      </c>
      <c r="E115" s="65">
        <v>979.66800000000001</v>
      </c>
      <c r="F115" s="65">
        <v>1029.5316636323701</v>
      </c>
      <c r="G115" s="65">
        <v>12.475694902008399</v>
      </c>
      <c r="H115" s="65">
        <v>55.6434477501316</v>
      </c>
      <c r="I115" s="84">
        <v>78.526200000000003</v>
      </c>
      <c r="J115" s="84">
        <v>17.606200000000001</v>
      </c>
      <c r="K115" s="71"/>
    </row>
    <row r="116" spans="2:11" ht="15" customHeight="1" x14ac:dyDescent="0.45">
      <c r="B116" s="16" t="s">
        <v>303</v>
      </c>
      <c r="C116" s="66">
        <v>0.74388500000000002</v>
      </c>
      <c r="D116" s="65">
        <v>161.16800000000001</v>
      </c>
      <c r="E116" s="65">
        <v>48.808300000000003</v>
      </c>
      <c r="F116" s="83" t="s">
        <v>18</v>
      </c>
      <c r="G116" s="83" t="s">
        <v>18</v>
      </c>
      <c r="H116" s="83" t="s">
        <v>18</v>
      </c>
      <c r="I116" s="83" t="s">
        <v>18</v>
      </c>
      <c r="J116" s="83" t="s">
        <v>18</v>
      </c>
      <c r="K116" s="71"/>
    </row>
    <row r="117" spans="2:11" ht="15" customHeight="1" x14ac:dyDescent="0.45">
      <c r="B117" s="16" t="s">
        <v>304</v>
      </c>
      <c r="C117" s="66">
        <v>9.8260000000000005</v>
      </c>
      <c r="D117" s="65">
        <v>1594.24</v>
      </c>
      <c r="E117" s="65">
        <v>1247.2</v>
      </c>
      <c r="F117" s="65">
        <v>610.59966006314801</v>
      </c>
      <c r="G117" s="65">
        <v>134.15464839685001</v>
      </c>
      <c r="H117" s="65">
        <v>143.807334099293</v>
      </c>
      <c r="I117" s="84">
        <v>9.2967300000000002</v>
      </c>
      <c r="J117" s="84">
        <v>8.6727100000000004</v>
      </c>
      <c r="K117" s="71"/>
    </row>
    <row r="118" spans="2:11" ht="15" customHeight="1" x14ac:dyDescent="0.45">
      <c r="B118" s="16" t="s">
        <v>305</v>
      </c>
      <c r="C118" s="66">
        <v>0.63722199999999996</v>
      </c>
      <c r="D118" s="65">
        <v>1338.17</v>
      </c>
      <c r="E118" s="65">
        <v>1370.24</v>
      </c>
      <c r="F118" s="65">
        <v>608.151430959702</v>
      </c>
      <c r="G118" s="65">
        <v>37.2180937004089</v>
      </c>
      <c r="H118" s="65">
        <v>59.162986297607397</v>
      </c>
      <c r="I118" s="84">
        <v>36.816499999999998</v>
      </c>
      <c r="J118" s="84">
        <v>23.160399999999999</v>
      </c>
      <c r="K118" s="71"/>
    </row>
    <row r="119" spans="2:11" ht="15" customHeight="1" x14ac:dyDescent="0.45">
      <c r="B119" s="16" t="s">
        <v>306</v>
      </c>
      <c r="C119" s="66">
        <v>6.25509</v>
      </c>
      <c r="D119" s="65">
        <v>55.097000000000001</v>
      </c>
      <c r="E119" s="65">
        <v>30.416899999999998</v>
      </c>
      <c r="F119" s="65">
        <v>77.189843752535594</v>
      </c>
      <c r="G119" s="65">
        <v>2.6951367825841301</v>
      </c>
      <c r="H119" s="83" t="s">
        <v>18</v>
      </c>
      <c r="I119" s="84">
        <v>11.2859</v>
      </c>
      <c r="J119" s="83" t="s">
        <v>18</v>
      </c>
      <c r="K119" s="71"/>
    </row>
    <row r="121" spans="2:11" ht="15" customHeight="1" x14ac:dyDescent="0.45">
      <c r="B121" s="16" t="s">
        <v>317</v>
      </c>
    </row>
    <row r="122" spans="2:11" ht="15" customHeight="1" x14ac:dyDescent="0.45">
      <c r="B122" s="16" t="s">
        <v>353</v>
      </c>
      <c r="C122" s="66"/>
    </row>
    <row r="123" spans="2:11" ht="15" customHeight="1" x14ac:dyDescent="0.45">
      <c r="B123" s="16" t="s">
        <v>361</v>
      </c>
      <c r="C123" s="65"/>
    </row>
    <row r="124" spans="2:11" ht="15" customHeight="1" x14ac:dyDescent="0.45">
      <c r="B124" s="16" t="s">
        <v>354</v>
      </c>
    </row>
    <row r="125" spans="2:11" ht="15" customHeight="1" x14ac:dyDescent="0.45">
      <c r="B125" s="16" t="s">
        <v>319</v>
      </c>
    </row>
    <row r="126" spans="2:11" ht="15" customHeight="1" x14ac:dyDescent="0.45">
      <c r="B126" s="16" t="s">
        <v>322</v>
      </c>
    </row>
    <row r="127" spans="2:11" ht="15" customHeight="1" x14ac:dyDescent="0.45">
      <c r="B127" s="16" t="s">
        <v>320</v>
      </c>
    </row>
    <row r="128" spans="2:11" ht="15" customHeight="1" x14ac:dyDescent="0.45">
      <c r="B128" s="16" t="s">
        <v>355</v>
      </c>
    </row>
    <row r="129" spans="1:4" ht="15" customHeight="1" x14ac:dyDescent="0.45">
      <c r="B129" s="16" t="s">
        <v>321</v>
      </c>
    </row>
    <row r="130" spans="1:4" ht="15" customHeight="1" x14ac:dyDescent="0.45">
      <c r="B130" s="16" t="s">
        <v>356</v>
      </c>
    </row>
    <row r="131" spans="1:4" ht="15" customHeight="1" x14ac:dyDescent="0.45">
      <c r="B131" s="16" t="s">
        <v>323</v>
      </c>
    </row>
    <row r="133" spans="1:4" ht="15" customHeight="1" x14ac:dyDescent="0.45">
      <c r="A133" s="15" t="s">
        <v>56</v>
      </c>
    </row>
    <row r="139" spans="1:4" ht="15" customHeight="1" x14ac:dyDescent="0.45">
      <c r="C139" s="65"/>
      <c r="D139" s="66"/>
    </row>
    <row r="140" spans="1:4" ht="15" customHeight="1" x14ac:dyDescent="0.45">
      <c r="C140" s="65"/>
      <c r="D140" s="66"/>
    </row>
    <row r="141" spans="1:4" ht="15" customHeight="1" x14ac:dyDescent="0.45">
      <c r="C141" s="65"/>
      <c r="D141" s="66"/>
    </row>
    <row r="142" spans="1:4" ht="15" customHeight="1" x14ac:dyDescent="0.45">
      <c r="C142" s="65"/>
      <c r="D142" s="66"/>
    </row>
    <row r="148" spans="3:3" ht="15" customHeight="1" x14ac:dyDescent="0.45">
      <c r="C148" s="67"/>
    </row>
    <row r="154" spans="3:3" ht="15" customHeight="1" x14ac:dyDescent="0.45">
      <c r="C154" s="66"/>
    </row>
    <row r="155" spans="3:3" ht="15" customHeight="1" x14ac:dyDescent="0.45">
      <c r="C155" s="65"/>
    </row>
    <row r="156" spans="3:3" ht="15" customHeight="1" x14ac:dyDescent="0.45">
      <c r="C156" s="65"/>
    </row>
    <row r="157" spans="3:3" ht="15" customHeight="1" x14ac:dyDescent="0.45">
      <c r="C157" s="65"/>
    </row>
    <row r="180" spans="3:3" ht="15" customHeight="1" x14ac:dyDescent="0.45">
      <c r="C180" s="65"/>
    </row>
    <row r="181" spans="3:3" ht="15" customHeight="1" x14ac:dyDescent="0.45">
      <c r="C181" s="66"/>
    </row>
    <row r="183" spans="3:3" ht="15" customHeight="1" x14ac:dyDescent="0.45">
      <c r="C183" s="65"/>
    </row>
    <row r="184" spans="3:3" ht="15" customHeight="1" x14ac:dyDescent="0.45">
      <c r="C184" s="66"/>
    </row>
    <row r="187" spans="3:3" ht="15" customHeight="1" x14ac:dyDescent="0.45">
      <c r="C187" s="67"/>
    </row>
    <row r="193" spans="3:3" ht="15" customHeight="1" x14ac:dyDescent="0.45">
      <c r="C193" s="66"/>
    </row>
    <row r="194" spans="3:3" ht="15" customHeight="1" x14ac:dyDescent="0.45">
      <c r="C194" s="65"/>
    </row>
    <row r="195" spans="3:3" ht="15" customHeight="1" x14ac:dyDescent="0.45">
      <c r="C195" s="65"/>
    </row>
    <row r="196" spans="3:3" ht="15" customHeight="1" x14ac:dyDescent="0.45">
      <c r="C196" s="65"/>
    </row>
    <row r="197" spans="3:3" ht="15" customHeight="1" x14ac:dyDescent="0.45">
      <c r="C197" s="65"/>
    </row>
    <row r="198" spans="3:3" ht="15" customHeight="1" x14ac:dyDescent="0.45">
      <c r="C198" s="65"/>
    </row>
    <row r="199" spans="3:3" ht="15" customHeight="1" x14ac:dyDescent="0.45">
      <c r="C199" s="65"/>
    </row>
    <row r="200" spans="3:3" ht="15" customHeight="1" x14ac:dyDescent="0.45">
      <c r="C200" s="65"/>
    </row>
    <row r="207" spans="3:3" ht="15" customHeight="1" x14ac:dyDescent="0.45">
      <c r="C207" s="66"/>
    </row>
    <row r="208" spans="3:3" ht="15" customHeight="1" x14ac:dyDescent="0.45">
      <c r="C208" s="65"/>
    </row>
    <row r="209" spans="3:3" ht="15" customHeight="1" x14ac:dyDescent="0.45">
      <c r="C209" s="65"/>
    </row>
    <row r="210" spans="3:3" ht="15" customHeight="1" x14ac:dyDescent="0.45">
      <c r="C210" s="65"/>
    </row>
    <row r="211" spans="3:3" ht="15" customHeight="1" x14ac:dyDescent="0.45">
      <c r="C211" s="65"/>
    </row>
    <row r="212" spans="3:3" ht="15" customHeight="1" x14ac:dyDescent="0.45">
      <c r="C212" s="65"/>
    </row>
    <row r="213" spans="3:3" ht="15" customHeight="1" x14ac:dyDescent="0.45">
      <c r="C213" s="65"/>
    </row>
    <row r="214" spans="3:3" ht="15" customHeight="1" x14ac:dyDescent="0.45">
      <c r="C214" s="65"/>
    </row>
    <row r="215" spans="3:3" ht="15" customHeight="1" x14ac:dyDescent="0.45">
      <c r="C215" s="65"/>
    </row>
    <row r="216" spans="3:3" ht="15" customHeight="1" x14ac:dyDescent="0.45">
      <c r="C216" s="65"/>
    </row>
    <row r="217" spans="3:3" ht="15" customHeight="1" x14ac:dyDescent="0.45">
      <c r="C217" s="65"/>
    </row>
    <row r="218" spans="3:3" ht="15" customHeight="1" x14ac:dyDescent="0.45">
      <c r="C218" s="65"/>
    </row>
    <row r="219" spans="3:3" ht="15" customHeight="1" x14ac:dyDescent="0.45">
      <c r="C219" s="65"/>
    </row>
    <row r="220" spans="3:3" ht="15" customHeight="1" x14ac:dyDescent="0.45">
      <c r="C220" s="65"/>
    </row>
    <row r="221" spans="3:3" ht="15" customHeight="1" x14ac:dyDescent="0.45">
      <c r="C221" s="65"/>
    </row>
    <row r="222" spans="3:3" ht="15" customHeight="1" x14ac:dyDescent="0.45">
      <c r="C222" s="65"/>
    </row>
    <row r="225" spans="3:3" ht="15" customHeight="1" x14ac:dyDescent="0.45">
      <c r="C225" s="65"/>
    </row>
    <row r="232" spans="3:3" ht="15" customHeight="1" x14ac:dyDescent="0.45">
      <c r="C232" s="65"/>
    </row>
    <row r="233" spans="3:3" ht="15" customHeight="1" x14ac:dyDescent="0.45">
      <c r="C233" s="65"/>
    </row>
    <row r="234" spans="3:3" ht="15" customHeight="1" x14ac:dyDescent="0.45">
      <c r="C234" s="65"/>
    </row>
    <row r="235" spans="3:3" ht="15" customHeight="1" x14ac:dyDescent="0.45">
      <c r="C235" s="66"/>
    </row>
    <row r="236" spans="3:3" ht="15" customHeight="1" x14ac:dyDescent="0.45">
      <c r="C236" s="66"/>
    </row>
    <row r="237" spans="3:3" ht="15" customHeight="1" x14ac:dyDescent="0.45">
      <c r="C237" s="66"/>
    </row>
    <row r="268" spans="3:3" ht="15" customHeight="1" x14ac:dyDescent="0.45">
      <c r="C268" s="67"/>
    </row>
    <row r="274" spans="5:5" ht="15" customHeight="1" x14ac:dyDescent="0.45">
      <c r="E274" s="73"/>
    </row>
  </sheetData>
  <mergeCells count="2">
    <mergeCell ref="C65:D65"/>
    <mergeCell ref="C73:D73"/>
  </mergeCells>
  <pageMargins left="0.7" right="0.7" top="0.75" bottom="0.75" header="0.3" footer="0.3"/>
  <pageSetup paperSize="9" scale="68" orientation="landscape" r:id="rId1"/>
  <headerFooter>
    <oddHeader xml:space="preserve">&amp;R&amp;10&amp;F 
&amp;A
</oddHeader>
    <oddFooter>&amp;L&amp;10© 2016&amp;C&amp;10Page &amp;P of &amp;N&amp;R&amp;G</oddFooter>
  </headerFooter>
  <rowBreaks count="1" manualBreakCount="1">
    <brk id="82" max="16383" man="1"/>
  </rowBreaks>
  <legacyDrawingHF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738"/>
  <sheetViews>
    <sheetView zoomScaleNormal="100" workbookViewId="0"/>
  </sheetViews>
  <sheetFormatPr defaultColWidth="9.1328125" defaultRowHeight="15" customHeight="1" x14ac:dyDescent="0.45"/>
  <cols>
    <col min="1" max="1" width="1.46484375" style="15" customWidth="1"/>
    <col min="2" max="2" width="52.6640625" style="16" customWidth="1"/>
    <col min="3" max="7" width="11" customWidth="1"/>
    <col min="8" max="9" width="15.6640625" customWidth="1"/>
    <col min="10" max="10" width="11" customWidth="1"/>
    <col min="11" max="11" width="29.6640625" customWidth="1"/>
    <col min="12" max="12" width="9.33203125" customWidth="1"/>
  </cols>
  <sheetData>
    <row r="1" spans="1:10" s="50" customFormat="1" ht="45" customHeight="1" x14ac:dyDescent="0.85">
      <c r="A1" s="5" t="s">
        <v>58</v>
      </c>
      <c r="B1" s="10"/>
      <c r="C1" s="12"/>
      <c r="D1" s="12"/>
      <c r="E1" s="12"/>
      <c r="F1" s="12"/>
      <c r="G1" s="12"/>
      <c r="H1" s="12"/>
      <c r="I1" s="12"/>
      <c r="J1" s="12"/>
    </row>
    <row r="2" spans="1:10" s="37" customFormat="1" ht="30" customHeight="1" x14ac:dyDescent="0.65">
      <c r="A2" s="14"/>
      <c r="B2" s="7"/>
      <c r="C2" s="11"/>
      <c r="D2" s="11"/>
      <c r="E2" s="11"/>
      <c r="F2" s="11"/>
      <c r="G2" s="11"/>
      <c r="H2" s="11"/>
      <c r="I2" s="11"/>
      <c r="J2" s="11"/>
    </row>
    <row r="3" spans="1:10" ht="15" customHeight="1" x14ac:dyDescent="0.45">
      <c r="A3" s="15" t="s">
        <v>16</v>
      </c>
    </row>
    <row r="4" spans="1:10" ht="15" customHeight="1" x14ac:dyDescent="0.45">
      <c r="B4" s="16" t="s">
        <v>59</v>
      </c>
      <c r="C4" s="65"/>
      <c r="E4" t="s">
        <v>41</v>
      </c>
    </row>
    <row r="5" spans="1:10" ht="15" customHeight="1" x14ac:dyDescent="0.45">
      <c r="C5" s="69"/>
    </row>
    <row r="6" spans="1:10" ht="15" customHeight="1" x14ac:dyDescent="0.45">
      <c r="B6" s="16" t="s">
        <v>39</v>
      </c>
      <c r="C6" s="66">
        <v>4</v>
      </c>
    </row>
    <row r="7" spans="1:10" ht="15" customHeight="1" x14ac:dyDescent="0.45">
      <c r="B7" s="16" t="s">
        <v>43</v>
      </c>
      <c r="C7" s="65">
        <v>962542</v>
      </c>
    </row>
    <row r="8" spans="1:10" ht="15" customHeight="1" x14ac:dyDescent="0.45">
      <c r="A8" s="64"/>
      <c r="B8" s="16" t="s">
        <v>44</v>
      </c>
      <c r="C8" s="65">
        <v>53600</v>
      </c>
    </row>
    <row r="9" spans="1:10" ht="15" customHeight="1" x14ac:dyDescent="0.45">
      <c r="B9" s="16" t="s">
        <v>363</v>
      </c>
      <c r="C9" s="65"/>
    </row>
    <row r="10" spans="1:10" ht="15" customHeight="1" x14ac:dyDescent="0.45">
      <c r="B10" s="16" t="s">
        <v>362</v>
      </c>
      <c r="C10" s="65">
        <v>96254.2</v>
      </c>
    </row>
    <row r="11" spans="1:10" ht="15" customHeight="1" x14ac:dyDescent="0.45">
      <c r="B11" s="16" t="s">
        <v>60</v>
      </c>
      <c r="C11" s="66">
        <f>C6*1.2*3</f>
        <v>14.399999999999999</v>
      </c>
    </row>
    <row r="13" spans="1:10" ht="15" customHeight="1" x14ac:dyDescent="0.45">
      <c r="B13" s="16" t="s">
        <v>31</v>
      </c>
      <c r="C13">
        <f>C6*(C7+C8)</f>
        <v>4064568</v>
      </c>
    </row>
    <row r="15" spans="1:10" ht="15" customHeight="1" x14ac:dyDescent="0.45">
      <c r="A15" s="15" t="s">
        <v>21</v>
      </c>
    </row>
    <row r="16" spans="1:10" ht="15" customHeight="1" x14ac:dyDescent="0.45">
      <c r="B16" s="16" t="s">
        <v>61</v>
      </c>
    </row>
    <row r="18" spans="1:3" ht="15" customHeight="1" x14ac:dyDescent="0.45">
      <c r="B18" s="16" t="s">
        <v>66</v>
      </c>
      <c r="C18" s="66">
        <v>9.1999999999999993</v>
      </c>
    </row>
    <row r="19" spans="1:3" ht="15" customHeight="1" x14ac:dyDescent="0.45">
      <c r="B19" s="16" t="s">
        <v>67</v>
      </c>
      <c r="C19" s="66">
        <v>1.22</v>
      </c>
    </row>
    <row r="20" spans="1:3" ht="15" customHeight="1" x14ac:dyDescent="0.45">
      <c r="B20" s="16" t="s">
        <v>45</v>
      </c>
      <c r="C20" s="65">
        <v>962542</v>
      </c>
    </row>
    <row r="21" spans="1:3" ht="15" customHeight="1" x14ac:dyDescent="0.45">
      <c r="B21" s="16" t="s">
        <v>62</v>
      </c>
      <c r="C21" s="65">
        <v>1026430</v>
      </c>
    </row>
    <row r="22" spans="1:3" ht="15" customHeight="1" x14ac:dyDescent="0.45">
      <c r="B22" s="16" t="s">
        <v>63</v>
      </c>
      <c r="C22" s="65">
        <v>952344</v>
      </c>
    </row>
    <row r="23" spans="1:3" ht="15" customHeight="1" x14ac:dyDescent="0.45">
      <c r="B23" s="16" t="s">
        <v>64</v>
      </c>
      <c r="C23" s="65">
        <v>1025624</v>
      </c>
    </row>
    <row r="24" spans="1:3" ht="15" customHeight="1" x14ac:dyDescent="0.45">
      <c r="B24" s="16" t="s">
        <v>65</v>
      </c>
      <c r="C24" s="65">
        <v>22400</v>
      </c>
    </row>
    <row r="25" spans="1:3" ht="15" customHeight="1" x14ac:dyDescent="0.45">
      <c r="C25" s="65"/>
    </row>
    <row r="26" spans="1:3" ht="15" customHeight="1" x14ac:dyDescent="0.45">
      <c r="B26" s="16" t="s">
        <v>31</v>
      </c>
      <c r="C26">
        <f>C18*C21</f>
        <v>9443156</v>
      </c>
    </row>
    <row r="28" spans="1:3" ht="15" customHeight="1" x14ac:dyDescent="0.45">
      <c r="A28" s="15" t="s">
        <v>22</v>
      </c>
    </row>
    <row r="29" spans="1:3" ht="15" customHeight="1" x14ac:dyDescent="0.45">
      <c r="B29" s="16" t="s">
        <v>68</v>
      </c>
      <c r="C29" s="65"/>
    </row>
    <row r="30" spans="1:3" ht="15" customHeight="1" x14ac:dyDescent="0.45">
      <c r="C30" s="65"/>
    </row>
    <row r="31" spans="1:3" ht="15" customHeight="1" x14ac:dyDescent="0.45">
      <c r="B31" s="16" t="s">
        <v>39</v>
      </c>
      <c r="C31" s="66">
        <v>7.5</v>
      </c>
    </row>
    <row r="32" spans="1:3" ht="15" customHeight="1" x14ac:dyDescent="0.45">
      <c r="B32" s="16" t="s">
        <v>45</v>
      </c>
      <c r="C32" s="65">
        <v>10000</v>
      </c>
    </row>
    <row r="33" spans="2:3" ht="15" customHeight="1" x14ac:dyDescent="0.45">
      <c r="B33" s="16" t="s">
        <v>69</v>
      </c>
      <c r="C33" s="65">
        <v>1000</v>
      </c>
    </row>
    <row r="34" spans="2:3" ht="15" customHeight="1" x14ac:dyDescent="0.45">
      <c r="B34" s="16" t="s">
        <v>70</v>
      </c>
      <c r="C34" s="66">
        <v>5</v>
      </c>
    </row>
    <row r="36" spans="2:3" ht="15" customHeight="1" x14ac:dyDescent="0.45">
      <c r="B36" s="16" t="s">
        <v>364</v>
      </c>
    </row>
    <row r="37" spans="2:3" ht="15" customHeight="1" x14ac:dyDescent="0.45">
      <c r="B37" s="16" t="s">
        <v>71</v>
      </c>
      <c r="C37">
        <f>(C31-C34)*C33</f>
        <v>2500</v>
      </c>
    </row>
    <row r="38" spans="2:3" ht="15" customHeight="1" x14ac:dyDescent="0.45">
      <c r="B38" s="16" t="s">
        <v>51</v>
      </c>
      <c r="C38">
        <f>C32*C31</f>
        <v>75000</v>
      </c>
    </row>
    <row r="39" spans="2:3" ht="15" customHeight="1" x14ac:dyDescent="0.45">
      <c r="B39" s="16" t="s">
        <v>72</v>
      </c>
      <c r="C39">
        <f>SUM(C37:C38)</f>
        <v>77500</v>
      </c>
    </row>
    <row r="41" spans="2:3" ht="15" customHeight="1" x14ac:dyDescent="0.45">
      <c r="B41" s="16" t="s">
        <v>73</v>
      </c>
    </row>
    <row r="42" spans="2:3" ht="15" customHeight="1" x14ac:dyDescent="0.45">
      <c r="B42" s="16" t="s">
        <v>74</v>
      </c>
      <c r="C42">
        <f>C33*C34</f>
        <v>5000</v>
      </c>
    </row>
    <row r="43" spans="2:3" ht="15" customHeight="1" x14ac:dyDescent="0.45">
      <c r="B43" s="16" t="s">
        <v>75</v>
      </c>
      <c r="C43">
        <f>C42/C31</f>
        <v>666.66666666666663</v>
      </c>
    </row>
    <row r="44" spans="2:3" ht="15" customHeight="1" x14ac:dyDescent="0.45">
      <c r="B44" s="16" t="s">
        <v>76</v>
      </c>
      <c r="C44">
        <f>C33</f>
        <v>1000</v>
      </c>
    </row>
    <row r="45" spans="2:3" ht="15" customHeight="1" x14ac:dyDescent="0.45">
      <c r="B45" s="16" t="s">
        <v>77</v>
      </c>
      <c r="C45">
        <f>C44-C43</f>
        <v>333.33333333333337</v>
      </c>
    </row>
    <row r="46" spans="2:3" ht="15" customHeight="1" x14ac:dyDescent="0.45">
      <c r="B46" s="16" t="s">
        <v>62</v>
      </c>
      <c r="C46">
        <f>C32+C45</f>
        <v>10333.333333333334</v>
      </c>
    </row>
    <row r="47" spans="2:3" ht="15" customHeight="1" x14ac:dyDescent="0.45">
      <c r="B47" s="16" t="s">
        <v>72</v>
      </c>
      <c r="C47">
        <f>C46*C31</f>
        <v>77500</v>
      </c>
    </row>
    <row r="49" spans="1:6" ht="15" customHeight="1" x14ac:dyDescent="0.45">
      <c r="B49" s="16" t="s">
        <v>78</v>
      </c>
    </row>
    <row r="50" spans="1:6" ht="15" customHeight="1" x14ac:dyDescent="0.45">
      <c r="B50" s="16" t="s">
        <v>77</v>
      </c>
      <c r="C50">
        <f>(C31-C34)/C31*C33</f>
        <v>333.33333333333331</v>
      </c>
      <c r="D50" t="s">
        <v>365</v>
      </c>
    </row>
    <row r="51" spans="1:6" ht="15" customHeight="1" x14ac:dyDescent="0.45">
      <c r="B51" s="16" t="s">
        <v>62</v>
      </c>
      <c r="C51">
        <f>C50+C32</f>
        <v>10333.333333333334</v>
      </c>
    </row>
    <row r="52" spans="1:6" ht="15" customHeight="1" x14ac:dyDescent="0.45">
      <c r="B52" s="16" t="s">
        <v>72</v>
      </c>
      <c r="C52">
        <f>C51*C31</f>
        <v>77500</v>
      </c>
    </row>
    <row r="54" spans="1:6" ht="15" customHeight="1" x14ac:dyDescent="0.45">
      <c r="A54" s="15" t="s">
        <v>23</v>
      </c>
    </row>
    <row r="55" spans="1:6" ht="15" customHeight="1" x14ac:dyDescent="0.45">
      <c r="B55" s="16" t="s">
        <v>87</v>
      </c>
      <c r="E55" t="s">
        <v>108</v>
      </c>
    </row>
    <row r="57" spans="1:6" ht="15" customHeight="1" x14ac:dyDescent="0.45">
      <c r="B57" s="16" t="s">
        <v>39</v>
      </c>
      <c r="C57" s="66">
        <v>31.17</v>
      </c>
    </row>
    <row r="58" spans="1:6" ht="15" customHeight="1" x14ac:dyDescent="0.45">
      <c r="B58" s="16" t="s">
        <v>80</v>
      </c>
      <c r="C58" s="65">
        <v>338.25402100000002</v>
      </c>
    </row>
    <row r="59" spans="1:6" ht="15" customHeight="1" x14ac:dyDescent="0.45">
      <c r="B59" s="16" t="s">
        <v>81</v>
      </c>
      <c r="C59" s="65"/>
    </row>
    <row r="60" spans="1:6" ht="15" customHeight="1" x14ac:dyDescent="0.45">
      <c r="C60" s="16" t="s">
        <v>82</v>
      </c>
      <c r="D60" s="16"/>
      <c r="E60" s="16"/>
      <c r="F60" s="16" t="s">
        <v>83</v>
      </c>
    </row>
    <row r="61" spans="1:6" ht="15" customHeight="1" x14ac:dyDescent="0.45">
      <c r="C61" s="66"/>
    </row>
    <row r="62" spans="1:6" ht="15" customHeight="1" x14ac:dyDescent="0.45">
      <c r="C62" s="66"/>
    </row>
    <row r="63" spans="1:6" ht="15" customHeight="1" x14ac:dyDescent="0.45">
      <c r="C63" s="66"/>
    </row>
    <row r="64" spans="1:6" ht="15" customHeight="1" x14ac:dyDescent="0.45">
      <c r="C64" s="66"/>
    </row>
    <row r="65" spans="1:3" ht="15" customHeight="1" x14ac:dyDescent="0.45">
      <c r="C65" s="66"/>
    </row>
    <row r="66" spans="1:3" ht="15" customHeight="1" x14ac:dyDescent="0.45">
      <c r="C66" s="66"/>
    </row>
    <row r="67" spans="1:3" ht="15" customHeight="1" x14ac:dyDescent="0.45">
      <c r="C67" s="66"/>
    </row>
    <row r="68" spans="1:3" ht="15" customHeight="1" x14ac:dyDescent="0.45">
      <c r="C68" s="66"/>
    </row>
    <row r="73" spans="1:3" ht="15" customHeight="1" x14ac:dyDescent="0.45">
      <c r="B73" s="16" t="s">
        <v>80</v>
      </c>
      <c r="C73">
        <f>C58</f>
        <v>338.25402100000002</v>
      </c>
    </row>
    <row r="74" spans="1:3" ht="15" customHeight="1" x14ac:dyDescent="0.45">
      <c r="B74" s="16" t="s">
        <v>84</v>
      </c>
      <c r="C74" s="65">
        <v>10.523</v>
      </c>
    </row>
    <row r="75" spans="1:3" ht="15" customHeight="1" x14ac:dyDescent="0.45">
      <c r="B75" s="16" t="s">
        <v>85</v>
      </c>
      <c r="C75" s="66">
        <v>30.77</v>
      </c>
    </row>
    <row r="76" spans="1:3" ht="15" customHeight="1" x14ac:dyDescent="0.45">
      <c r="B76" s="16" t="s">
        <v>98</v>
      </c>
      <c r="C76">
        <f>(C57-C75)/C57*C74</f>
        <v>0.13504010266281752</v>
      </c>
    </row>
    <row r="77" spans="1:3" ht="15" customHeight="1" x14ac:dyDescent="0.45">
      <c r="B77" s="16" t="s">
        <v>86</v>
      </c>
      <c r="C77">
        <f>C76+C73</f>
        <v>338.38906110266282</v>
      </c>
    </row>
    <row r="78" spans="1:3" ht="15" customHeight="1" x14ac:dyDescent="0.45">
      <c r="B78" s="16" t="s">
        <v>72</v>
      </c>
      <c r="C78">
        <f>C77*C57</f>
        <v>10547.58703457</v>
      </c>
    </row>
    <row r="80" spans="1:3" ht="15" customHeight="1" x14ac:dyDescent="0.45">
      <c r="A80" s="15" t="s">
        <v>24</v>
      </c>
    </row>
    <row r="81" spans="2:3" ht="15" customHeight="1" x14ac:dyDescent="0.45">
      <c r="B81" s="16" t="s">
        <v>87</v>
      </c>
    </row>
    <row r="83" spans="2:3" ht="15" customHeight="1" x14ac:dyDescent="0.45">
      <c r="B83" s="16" t="s">
        <v>39</v>
      </c>
      <c r="C83" s="66">
        <v>30.93</v>
      </c>
    </row>
    <row r="84" spans="2:3" ht="15" customHeight="1" x14ac:dyDescent="0.45">
      <c r="B84" s="16" t="s">
        <v>80</v>
      </c>
      <c r="C84" s="65">
        <v>107.76871300000001</v>
      </c>
    </row>
    <row r="85" spans="2:3" ht="15" customHeight="1" x14ac:dyDescent="0.45">
      <c r="B85" s="16" t="s">
        <v>81</v>
      </c>
    </row>
    <row r="97" spans="1:5" ht="15" customHeight="1" x14ac:dyDescent="0.45">
      <c r="C97" t="s">
        <v>114</v>
      </c>
      <c r="D97" t="s">
        <v>115</v>
      </c>
      <c r="E97" t="s">
        <v>116</v>
      </c>
    </row>
    <row r="98" spans="1:5" ht="15" customHeight="1" x14ac:dyDescent="0.45">
      <c r="B98" s="16" t="s">
        <v>110</v>
      </c>
      <c r="C98" s="65">
        <v>0.1</v>
      </c>
      <c r="D98" s="66">
        <v>10.130000000000001</v>
      </c>
      <c r="E98">
        <f>MAX(($C$83-D98)/$C$83*C98,0)</f>
        <v>6.724862592951826E-2</v>
      </c>
    </row>
    <row r="99" spans="1:5" ht="15" customHeight="1" x14ac:dyDescent="0.45">
      <c r="B99" s="16" t="s">
        <v>111</v>
      </c>
      <c r="C99" s="65">
        <v>0.2</v>
      </c>
      <c r="D99" s="66">
        <v>20.18</v>
      </c>
      <c r="E99">
        <f>MAX(($C$83-D99)/$C$83*C99,0)</f>
        <v>6.9511800840607832E-2</v>
      </c>
    </row>
    <row r="100" spans="1:5" ht="15" customHeight="1" x14ac:dyDescent="0.45">
      <c r="B100" s="16" t="s">
        <v>112</v>
      </c>
      <c r="C100" s="65">
        <v>0.7</v>
      </c>
      <c r="D100" s="66">
        <v>25.33</v>
      </c>
      <c r="E100">
        <f>MAX(($C$83-D100)/$C$83*C100,0)</f>
        <v>0.12673779502101523</v>
      </c>
    </row>
    <row r="101" spans="1:5" ht="15" customHeight="1" x14ac:dyDescent="0.45">
      <c r="B101" s="16" t="s">
        <v>113</v>
      </c>
      <c r="C101" s="65">
        <v>0.8</v>
      </c>
      <c r="D101" s="66">
        <v>45.98</v>
      </c>
      <c r="E101">
        <f>MAX(($C$83-D101)/$C$83*C101,0)</f>
        <v>0</v>
      </c>
    </row>
    <row r="102" spans="1:5" ht="15" customHeight="1" x14ac:dyDescent="0.45">
      <c r="E102">
        <f>SUM(E98:E101)</f>
        <v>0.26349822179114135</v>
      </c>
    </row>
    <row r="104" spans="1:5" ht="15" customHeight="1" x14ac:dyDescent="0.45">
      <c r="B104" s="16" t="s">
        <v>80</v>
      </c>
      <c r="C104" s="76">
        <f>C84</f>
        <v>107.76871300000001</v>
      </c>
    </row>
    <row r="105" spans="1:5" ht="15" customHeight="1" x14ac:dyDescent="0.45">
      <c r="B105" s="16" t="s">
        <v>98</v>
      </c>
      <c r="C105" s="76">
        <f>E102</f>
        <v>0.26349822179114135</v>
      </c>
    </row>
    <row r="106" spans="1:5" ht="15" customHeight="1" x14ac:dyDescent="0.45">
      <c r="B106" s="16" t="s">
        <v>86</v>
      </c>
      <c r="C106">
        <f>SUM(C104:C105)</f>
        <v>108.03221122179114</v>
      </c>
    </row>
    <row r="107" spans="1:5" ht="15" customHeight="1" x14ac:dyDescent="0.45">
      <c r="B107" s="16" t="s">
        <v>39</v>
      </c>
      <c r="C107" s="67">
        <f>C83</f>
        <v>30.93</v>
      </c>
    </row>
    <row r="108" spans="1:5" ht="15" customHeight="1" x14ac:dyDescent="0.45">
      <c r="B108" s="16" t="s">
        <v>107</v>
      </c>
      <c r="C108">
        <f>C106*C107</f>
        <v>3341.4362930900002</v>
      </c>
    </row>
    <row r="110" spans="1:5" ht="15" customHeight="1" x14ac:dyDescent="0.45">
      <c r="A110" s="15" t="s">
        <v>25</v>
      </c>
    </row>
    <row r="111" spans="1:5" ht="15" customHeight="1" x14ac:dyDescent="0.45">
      <c r="B111" s="16" t="s">
        <v>87</v>
      </c>
      <c r="E111" t="s">
        <v>117</v>
      </c>
    </row>
    <row r="113" spans="2:3" ht="15" customHeight="1" x14ac:dyDescent="0.45">
      <c r="B113" s="16" t="s">
        <v>39</v>
      </c>
      <c r="C113" s="66">
        <v>7.48</v>
      </c>
    </row>
    <row r="114" spans="2:3" ht="15" customHeight="1" x14ac:dyDescent="0.45">
      <c r="B114" s="16" t="s">
        <v>80</v>
      </c>
      <c r="C114" s="65">
        <v>62.534965</v>
      </c>
    </row>
    <row r="115" spans="2:3" ht="15" customHeight="1" x14ac:dyDescent="0.45">
      <c r="B115" s="16" t="s">
        <v>81</v>
      </c>
      <c r="C115" s="65"/>
    </row>
    <row r="116" spans="2:3" ht="15" customHeight="1" x14ac:dyDescent="0.45">
      <c r="C116" s="65"/>
    </row>
    <row r="117" spans="2:3" ht="15" customHeight="1" x14ac:dyDescent="0.45">
      <c r="B117" s="16" t="s">
        <v>81</v>
      </c>
    </row>
    <row r="138" spans="2:3" ht="15" customHeight="1" x14ac:dyDescent="0.45">
      <c r="B138" s="16" t="s">
        <v>80</v>
      </c>
      <c r="C138">
        <f>C114</f>
        <v>62.534965</v>
      </c>
    </row>
    <row r="139" spans="2:3" ht="15" customHeight="1" x14ac:dyDescent="0.45">
      <c r="B139" s="16" t="s">
        <v>118</v>
      </c>
      <c r="C139" s="65">
        <v>0.71</v>
      </c>
    </row>
    <row r="140" spans="2:3" ht="15" customHeight="1" x14ac:dyDescent="0.45">
      <c r="B140" s="16" t="s">
        <v>119</v>
      </c>
      <c r="C140" s="66">
        <v>8.0980000000000008</v>
      </c>
    </row>
    <row r="141" spans="2:3" ht="15" customHeight="1" x14ac:dyDescent="0.45">
      <c r="B141" s="16" t="s">
        <v>120</v>
      </c>
      <c r="C141">
        <f>MAX(($C$113-C140)/$C$113*C139,0)</f>
        <v>0</v>
      </c>
    </row>
    <row r="142" spans="2:3" ht="15" customHeight="1" x14ac:dyDescent="0.45">
      <c r="B142" s="16" t="s">
        <v>121</v>
      </c>
      <c r="C142" s="65">
        <v>0.29499999999999998</v>
      </c>
    </row>
    <row r="143" spans="2:3" ht="15" customHeight="1" x14ac:dyDescent="0.45">
      <c r="B143" s="16" t="s">
        <v>122</v>
      </c>
      <c r="C143" s="66">
        <v>15.05</v>
      </c>
    </row>
    <row r="144" spans="2:3" ht="15" customHeight="1" x14ac:dyDescent="0.45">
      <c r="B144" s="16" t="s">
        <v>123</v>
      </c>
      <c r="C144">
        <f>MAX(($C$113-C143)/$C$113*C142,0)</f>
        <v>0</v>
      </c>
    </row>
    <row r="145" spans="1:5" ht="15" customHeight="1" x14ac:dyDescent="0.45">
      <c r="B145" s="16" t="s">
        <v>86</v>
      </c>
      <c r="C145">
        <f>C138+C141+C144</f>
        <v>62.534965</v>
      </c>
    </row>
    <row r="146" spans="1:5" ht="15" customHeight="1" x14ac:dyDescent="0.45">
      <c r="B146" s="16" t="s">
        <v>39</v>
      </c>
      <c r="C146" s="67">
        <f>C113</f>
        <v>7.48</v>
      </c>
    </row>
    <row r="147" spans="1:5" ht="15" customHeight="1" x14ac:dyDescent="0.45">
      <c r="B147" s="16" t="s">
        <v>72</v>
      </c>
      <c r="C147">
        <f>C145*C146</f>
        <v>467.76153820000002</v>
      </c>
    </row>
    <row r="149" spans="1:5" ht="15" customHeight="1" x14ac:dyDescent="0.45">
      <c r="A149" s="15" t="s">
        <v>26</v>
      </c>
    </row>
    <row r="150" spans="1:5" ht="15" customHeight="1" x14ac:dyDescent="0.45">
      <c r="B150" s="16" t="s">
        <v>87</v>
      </c>
      <c r="E150" t="s">
        <v>124</v>
      </c>
    </row>
    <row r="152" spans="1:5" ht="15" customHeight="1" x14ac:dyDescent="0.45">
      <c r="B152" s="16" t="s">
        <v>39</v>
      </c>
      <c r="C152" s="66">
        <v>0.96</v>
      </c>
    </row>
    <row r="153" spans="1:5" ht="15" customHeight="1" x14ac:dyDescent="0.45">
      <c r="B153" s="16" t="s">
        <v>104</v>
      </c>
      <c r="C153" s="65">
        <f>66.27118+4.394354</f>
        <v>70.665534000000008</v>
      </c>
    </row>
    <row r="154" spans="1:5" ht="15" customHeight="1" x14ac:dyDescent="0.45">
      <c r="B154" s="16" t="s">
        <v>105</v>
      </c>
      <c r="C154" s="65"/>
    </row>
    <row r="155" spans="1:5" ht="15" customHeight="1" x14ac:dyDescent="0.45">
      <c r="C155" s="65"/>
    </row>
    <row r="156" spans="1:5" ht="15" customHeight="1" x14ac:dyDescent="0.45">
      <c r="C156" s="65"/>
    </row>
    <row r="157" spans="1:5" ht="15" customHeight="1" x14ac:dyDescent="0.45">
      <c r="C157" s="65"/>
    </row>
    <row r="158" spans="1:5" ht="15" customHeight="1" x14ac:dyDescent="0.45">
      <c r="C158" s="65"/>
    </row>
    <row r="159" spans="1:5" ht="15" customHeight="1" x14ac:dyDescent="0.45">
      <c r="C159" s="65"/>
    </row>
    <row r="166" spans="3:3" ht="15" customHeight="1" x14ac:dyDescent="0.45">
      <c r="C166" s="66"/>
    </row>
    <row r="167" spans="3:3" ht="15" customHeight="1" x14ac:dyDescent="0.45">
      <c r="C167" s="65"/>
    </row>
    <row r="168" spans="3:3" ht="15" customHeight="1" x14ac:dyDescent="0.45">
      <c r="C168" s="65"/>
    </row>
    <row r="169" spans="3:3" ht="15" customHeight="1" x14ac:dyDescent="0.45">
      <c r="C169" s="65"/>
    </row>
    <row r="170" spans="3:3" ht="15" customHeight="1" x14ac:dyDescent="0.45">
      <c r="C170" s="65"/>
    </row>
    <row r="171" spans="3:3" ht="15" customHeight="1" x14ac:dyDescent="0.45">
      <c r="C171" s="65"/>
    </row>
    <row r="172" spans="3:3" ht="15" customHeight="1" x14ac:dyDescent="0.45">
      <c r="C172" s="65"/>
    </row>
    <row r="173" spans="3:3" ht="15" customHeight="1" x14ac:dyDescent="0.45">
      <c r="C173" s="65"/>
    </row>
    <row r="174" spans="3:3" ht="15" customHeight="1" x14ac:dyDescent="0.45">
      <c r="C174" s="65"/>
    </row>
    <row r="175" spans="3:3" ht="15" customHeight="1" x14ac:dyDescent="0.45">
      <c r="C175" s="65"/>
    </row>
    <row r="176" spans="3:3" ht="15" customHeight="1" x14ac:dyDescent="0.45">
      <c r="C176" s="65"/>
    </row>
    <row r="177" spans="1:16" ht="15" customHeight="1" x14ac:dyDescent="0.45">
      <c r="C177" s="65"/>
    </row>
    <row r="178" spans="1:16" ht="15" customHeight="1" x14ac:dyDescent="0.45">
      <c r="C178" s="65"/>
    </row>
    <row r="179" spans="1:16" ht="15" customHeight="1" x14ac:dyDescent="0.45">
      <c r="C179" s="65"/>
    </row>
    <row r="180" spans="1:16" ht="15" customHeight="1" x14ac:dyDescent="0.45">
      <c r="C180" s="65"/>
    </row>
    <row r="181" spans="1:16" ht="15" customHeight="1" x14ac:dyDescent="0.45">
      <c r="C181" s="65"/>
    </row>
    <row r="182" spans="1:16" ht="15" customHeight="1" x14ac:dyDescent="0.45">
      <c r="B182" s="16" t="s">
        <v>80</v>
      </c>
      <c r="C182">
        <f>C153</f>
        <v>70.665534000000008</v>
      </c>
    </row>
    <row r="183" spans="1:16" ht="15" customHeight="1" x14ac:dyDescent="0.45">
      <c r="B183" s="16" t="s">
        <v>370</v>
      </c>
      <c r="C183" s="65">
        <v>6.8380000000000001</v>
      </c>
    </row>
    <row r="184" spans="1:16" ht="15" customHeight="1" x14ac:dyDescent="0.45">
      <c r="B184" s="16" t="s">
        <v>85</v>
      </c>
      <c r="C184" s="65">
        <v>6.87</v>
      </c>
    </row>
    <row r="185" spans="1:16" ht="15" customHeight="1" x14ac:dyDescent="0.45">
      <c r="B185" s="16" t="s">
        <v>98</v>
      </c>
      <c r="C185">
        <f>MAX(($C$152-C184)/$C$152*C183,0)</f>
        <v>0</v>
      </c>
    </row>
    <row r="186" spans="1:16" ht="15" customHeight="1" x14ac:dyDescent="0.45">
      <c r="B186" s="16" t="s">
        <v>106</v>
      </c>
      <c r="C186" s="65">
        <v>1.7569999999999999</v>
      </c>
    </row>
    <row r="187" spans="1:16" ht="15" customHeight="1" x14ac:dyDescent="0.45">
      <c r="B187" s="16" t="s">
        <v>86</v>
      </c>
      <c r="C187">
        <f>SUM(C182,C185,C186)</f>
        <v>72.422534000000013</v>
      </c>
    </row>
    <row r="188" spans="1:16" ht="15" customHeight="1" x14ac:dyDescent="0.45">
      <c r="B188" s="16" t="s">
        <v>107</v>
      </c>
      <c r="C188">
        <f>C187*C152</f>
        <v>69.525632640000012</v>
      </c>
    </row>
    <row r="190" spans="1:16" ht="15" customHeight="1" x14ac:dyDescent="0.45">
      <c r="A190" s="15" t="s">
        <v>27</v>
      </c>
    </row>
    <row r="191" spans="1:16" ht="15" customHeight="1" x14ac:dyDescent="0.45">
      <c r="B191" s="16" t="s">
        <v>87</v>
      </c>
      <c r="E191" t="s">
        <v>109</v>
      </c>
    </row>
    <row r="192" spans="1:16" ht="15" customHeight="1" x14ac:dyDescent="0.45">
      <c r="K192" s="32"/>
      <c r="L192" s="32"/>
      <c r="M192" s="32"/>
      <c r="N192" s="32"/>
      <c r="O192" s="32"/>
      <c r="P192" s="32"/>
    </row>
    <row r="193" spans="2:16" ht="15" customHeight="1" x14ac:dyDescent="0.45">
      <c r="B193" s="16" t="s">
        <v>88</v>
      </c>
      <c r="C193" s="65">
        <v>292.58062699999999</v>
      </c>
      <c r="D193" s="16" t="s">
        <v>93</v>
      </c>
      <c r="K193" s="32"/>
      <c r="L193" s="32"/>
      <c r="M193" s="32"/>
      <c r="N193" s="32"/>
      <c r="O193" s="32"/>
      <c r="P193" s="32"/>
    </row>
    <row r="194" spans="2:16" ht="15" customHeight="1" x14ac:dyDescent="0.45">
      <c r="B194" s="16" t="s">
        <v>89</v>
      </c>
      <c r="C194" s="65">
        <v>50.199837000000002</v>
      </c>
      <c r="D194" s="16" t="s">
        <v>381</v>
      </c>
      <c r="F194" s="16"/>
      <c r="K194" s="32"/>
      <c r="L194" s="32"/>
      <c r="M194" s="32"/>
      <c r="N194" s="32"/>
      <c r="O194" s="32"/>
      <c r="P194" s="32"/>
    </row>
    <row r="195" spans="2:16" ht="15" customHeight="1" x14ac:dyDescent="0.45">
      <c r="B195" s="16" t="s">
        <v>90</v>
      </c>
      <c r="C195" s="65">
        <v>345.53930300000002</v>
      </c>
      <c r="D195" s="16" t="s">
        <v>94</v>
      </c>
      <c r="K195" s="32"/>
      <c r="L195" s="32"/>
      <c r="M195" s="32"/>
      <c r="N195" s="32"/>
      <c r="O195" s="32"/>
      <c r="P195" s="32"/>
    </row>
    <row r="196" spans="2:16" ht="15" customHeight="1" x14ac:dyDescent="0.45">
      <c r="B196" s="16" t="s">
        <v>92</v>
      </c>
      <c r="C196" s="66">
        <v>762.88</v>
      </c>
      <c r="K196" s="32"/>
      <c r="L196" s="32"/>
      <c r="M196" s="32"/>
      <c r="N196" s="32"/>
      <c r="O196" s="32"/>
      <c r="P196" s="32"/>
    </row>
    <row r="197" spans="2:16" ht="15" customHeight="1" x14ac:dyDescent="0.45">
      <c r="B197" s="16" t="s">
        <v>91</v>
      </c>
      <c r="C197" s="66">
        <v>743.38</v>
      </c>
    </row>
    <row r="198" spans="2:16" ht="15" customHeight="1" x14ac:dyDescent="0.45">
      <c r="B198" s="16" t="s">
        <v>95</v>
      </c>
      <c r="C198" s="66"/>
    </row>
    <row r="226" spans="1:11" ht="15" customHeight="1" x14ac:dyDescent="0.45">
      <c r="B226" s="16" t="s">
        <v>88</v>
      </c>
      <c r="C226">
        <f>C193</f>
        <v>292.58062699999999</v>
      </c>
    </row>
    <row r="227" spans="1:11" ht="15" customHeight="1" x14ac:dyDescent="0.45">
      <c r="B227" s="16" t="s">
        <v>89</v>
      </c>
      <c r="C227">
        <f>C194</f>
        <v>50.199837000000002</v>
      </c>
    </row>
    <row r="228" spans="1:11" ht="15" customHeight="1" x14ac:dyDescent="0.45">
      <c r="B228" s="16" t="s">
        <v>97</v>
      </c>
      <c r="C228">
        <f>SUM(C226:C227)</f>
        <v>342.78046399999999</v>
      </c>
    </row>
    <row r="229" spans="1:11" ht="15" customHeight="1" x14ac:dyDescent="0.45">
      <c r="B229" s="16" t="s">
        <v>96</v>
      </c>
      <c r="C229" s="67">
        <f>C196</f>
        <v>762.88</v>
      </c>
    </row>
    <row r="230" spans="1:11" ht="15" customHeight="1" x14ac:dyDescent="0.45">
      <c r="B230" s="16" t="s">
        <v>101</v>
      </c>
      <c r="C230">
        <f>C228*C229</f>
        <v>261500.36037631999</v>
      </c>
    </row>
    <row r="231" spans="1:11" ht="15" customHeight="1" x14ac:dyDescent="0.45">
      <c r="B231" s="16" t="s">
        <v>370</v>
      </c>
      <c r="C231" s="65">
        <v>4.8989830000000003</v>
      </c>
    </row>
    <row r="232" spans="1:11" ht="15" customHeight="1" x14ac:dyDescent="0.45">
      <c r="B232" s="16" t="s">
        <v>85</v>
      </c>
      <c r="C232" s="65">
        <v>221.31</v>
      </c>
    </row>
    <row r="233" spans="1:11" ht="15" customHeight="1" x14ac:dyDescent="0.45">
      <c r="B233" s="16" t="s">
        <v>98</v>
      </c>
      <c r="C233" s="76">
        <f>MAX((C197-C232)/C197*C231,0)</f>
        <v>3.4405177093949257</v>
      </c>
      <c r="D233" s="76"/>
      <c r="E233" s="76"/>
    </row>
    <row r="234" spans="1:11" ht="15" customHeight="1" x14ac:dyDescent="0.45">
      <c r="B234" s="16" t="s">
        <v>99</v>
      </c>
      <c r="C234" s="65">
        <f>25.741186</f>
        <v>25.741185999999999</v>
      </c>
    </row>
    <row r="235" spans="1:11" ht="15" customHeight="1" x14ac:dyDescent="0.45">
      <c r="B235" s="16" t="s">
        <v>100</v>
      </c>
      <c r="C235">
        <f>C195+C233+C234</f>
        <v>374.72100670939494</v>
      </c>
    </row>
    <row r="236" spans="1:11" ht="15" customHeight="1" x14ac:dyDescent="0.45">
      <c r="B236" s="16" t="s">
        <v>102</v>
      </c>
      <c r="C236">
        <f>C235*C197</f>
        <v>278560.10196763003</v>
      </c>
    </row>
    <row r="237" spans="1:11" ht="15" customHeight="1" x14ac:dyDescent="0.45">
      <c r="B237" s="16" t="s">
        <v>103</v>
      </c>
      <c r="C237">
        <f>C230+C236</f>
        <v>540060.46234395006</v>
      </c>
      <c r="E237" s="73"/>
    </row>
    <row r="239" spans="1:11" ht="15" customHeight="1" x14ac:dyDescent="0.45">
      <c r="A239" s="15" t="s">
        <v>28</v>
      </c>
    </row>
    <row r="240" spans="1:11" ht="15" customHeight="1" x14ac:dyDescent="0.45">
      <c r="B240" s="16" t="s">
        <v>87</v>
      </c>
      <c r="E240" t="s">
        <v>125</v>
      </c>
      <c r="K240" s="32"/>
    </row>
    <row r="242" spans="2:3" ht="15" customHeight="1" x14ac:dyDescent="0.45">
      <c r="B242" s="16" t="s">
        <v>39</v>
      </c>
      <c r="C242" s="66">
        <v>11.69</v>
      </c>
    </row>
    <row r="243" spans="2:3" ht="15" customHeight="1" x14ac:dyDescent="0.45">
      <c r="B243" s="16" t="s">
        <v>104</v>
      </c>
      <c r="C243" s="65">
        <v>17.412151999999999</v>
      </c>
    </row>
    <row r="244" spans="2:3" ht="15" customHeight="1" x14ac:dyDescent="0.45">
      <c r="C244" s="65"/>
    </row>
    <row r="282" spans="2:5" ht="15" customHeight="1" x14ac:dyDescent="0.45">
      <c r="B282" s="16" t="s">
        <v>80</v>
      </c>
      <c r="C282">
        <f>C243</f>
        <v>17.412151999999999</v>
      </c>
    </row>
    <row r="283" spans="2:5" ht="15" customHeight="1" x14ac:dyDescent="0.45">
      <c r="B283" s="16" t="s">
        <v>370</v>
      </c>
      <c r="C283" s="65">
        <v>0.71445099999999995</v>
      </c>
    </row>
    <row r="284" spans="2:5" ht="15" customHeight="1" x14ac:dyDescent="0.45">
      <c r="B284" s="16" t="s">
        <v>85</v>
      </c>
      <c r="C284" s="65">
        <v>8.14</v>
      </c>
    </row>
    <row r="285" spans="2:5" ht="15" customHeight="1" x14ac:dyDescent="0.45">
      <c r="B285" s="16" t="s">
        <v>98</v>
      </c>
      <c r="C285" s="76">
        <f>MAX((C242-C284)/C242*C283,0)</f>
        <v>0.21696330624465346</v>
      </c>
      <c r="E285" s="89"/>
    </row>
    <row r="287" spans="2:5" ht="15" customHeight="1" x14ac:dyDescent="0.45">
      <c r="B287" s="16" t="s">
        <v>86</v>
      </c>
      <c r="C287">
        <f>SUM(C282,C285)</f>
        <v>17.629115306244653</v>
      </c>
    </row>
    <row r="288" spans="2:5" ht="15" customHeight="1" x14ac:dyDescent="0.45">
      <c r="B288" s="16" t="s">
        <v>107</v>
      </c>
      <c r="C288">
        <f>C287*C242</f>
        <v>206.08435792999998</v>
      </c>
    </row>
    <row r="290" spans="1:3" ht="15" customHeight="1" x14ac:dyDescent="0.45">
      <c r="A290" s="15" t="s">
        <v>29</v>
      </c>
    </row>
    <row r="291" spans="1:3" ht="15" customHeight="1" x14ac:dyDescent="0.45">
      <c r="B291" s="16" t="s">
        <v>126</v>
      </c>
    </row>
    <row r="293" spans="1:3" ht="15" customHeight="1" x14ac:dyDescent="0.45">
      <c r="B293" s="16" t="s">
        <v>39</v>
      </c>
      <c r="C293" s="66">
        <v>24.98</v>
      </c>
    </row>
    <row r="294" spans="1:3" ht="15" customHeight="1" x14ac:dyDescent="0.45">
      <c r="B294" s="16" t="s">
        <v>62</v>
      </c>
      <c r="C294" s="65">
        <v>613.34536500000002</v>
      </c>
    </row>
    <row r="295" spans="1:3" ht="15" customHeight="1" x14ac:dyDescent="0.45">
      <c r="B295" s="16" t="s">
        <v>366</v>
      </c>
      <c r="C295" s="65">
        <v>27799.200000000001</v>
      </c>
    </row>
    <row r="296" spans="1:3" ht="15" customHeight="1" x14ac:dyDescent="0.45">
      <c r="B296" s="16" t="s">
        <v>46</v>
      </c>
      <c r="C296" s="65">
        <v>21829.500000000007</v>
      </c>
    </row>
    <row r="297" spans="1:3" ht="15" customHeight="1" x14ac:dyDescent="0.45">
      <c r="B297" s="16" t="s">
        <v>47</v>
      </c>
      <c r="C297" s="65">
        <v>233657.59500000003</v>
      </c>
    </row>
    <row r="298" spans="1:3" ht="15" customHeight="1" x14ac:dyDescent="0.45">
      <c r="B298" s="16" t="s">
        <v>48</v>
      </c>
      <c r="C298" s="65">
        <v>17063.190000000002</v>
      </c>
    </row>
    <row r="300" spans="1:3" ht="15" customHeight="1" x14ac:dyDescent="0.45">
      <c r="B300" s="16" t="s">
        <v>31</v>
      </c>
      <c r="C300">
        <f>C293*C294</f>
        <v>15321.367217700001</v>
      </c>
    </row>
    <row r="301" spans="1:3" ht="15" customHeight="1" x14ac:dyDescent="0.45">
      <c r="B301" s="16" t="str">
        <f t="shared" ref="B301:C304" si="0">B295</f>
        <v>Non controlling interests</v>
      </c>
      <c r="C301">
        <f t="shared" si="0"/>
        <v>27799.200000000001</v>
      </c>
    </row>
    <row r="302" spans="1:3" ht="15" customHeight="1" x14ac:dyDescent="0.45">
      <c r="B302" s="16" t="str">
        <f t="shared" si="0"/>
        <v>Short term debt</v>
      </c>
      <c r="C302">
        <f t="shared" si="0"/>
        <v>21829.500000000007</v>
      </c>
    </row>
    <row r="303" spans="1:3" ht="15" customHeight="1" x14ac:dyDescent="0.45">
      <c r="B303" s="16" t="str">
        <f t="shared" si="0"/>
        <v>Long term debt</v>
      </c>
      <c r="C303">
        <f t="shared" si="0"/>
        <v>233657.59500000003</v>
      </c>
    </row>
    <row r="304" spans="1:3" ht="15" customHeight="1" x14ac:dyDescent="0.45">
      <c r="B304" s="16" t="str">
        <f t="shared" si="0"/>
        <v>Cash and cash equivalents</v>
      </c>
      <c r="C304">
        <f t="shared" si="0"/>
        <v>17063.190000000002</v>
      </c>
    </row>
    <row r="305" spans="1:3" ht="15" customHeight="1" x14ac:dyDescent="0.45">
      <c r="B305" s="16" t="s">
        <v>42</v>
      </c>
      <c r="C305">
        <f>C302+C303-C304</f>
        <v>238423.90500000003</v>
      </c>
    </row>
    <row r="306" spans="1:3" ht="15" customHeight="1" x14ac:dyDescent="0.45">
      <c r="B306" s="16" t="s">
        <v>32</v>
      </c>
      <c r="C306">
        <f>C300+C301+C305</f>
        <v>281544.47221770004</v>
      </c>
    </row>
    <row r="308" spans="1:3" ht="15" customHeight="1" x14ac:dyDescent="0.45">
      <c r="A308" s="15" t="s">
        <v>33</v>
      </c>
    </row>
    <row r="309" spans="1:3" ht="15" customHeight="1" x14ac:dyDescent="0.45">
      <c r="B309" s="16" t="s">
        <v>126</v>
      </c>
    </row>
    <row r="311" spans="1:3" ht="15" customHeight="1" x14ac:dyDescent="0.45">
      <c r="B311" s="16" t="s">
        <v>39</v>
      </c>
      <c r="C311" s="66">
        <v>17.45</v>
      </c>
    </row>
    <row r="312" spans="1:3" ht="15" customHeight="1" x14ac:dyDescent="0.45">
      <c r="B312" s="16" t="s">
        <v>62</v>
      </c>
      <c r="C312" s="65">
        <v>527.47701389999997</v>
      </c>
    </row>
    <row r="313" spans="1:3" ht="15" customHeight="1" x14ac:dyDescent="0.45">
      <c r="B313" s="16" t="s">
        <v>366</v>
      </c>
      <c r="C313" s="65">
        <v>23907.312000000002</v>
      </c>
    </row>
    <row r="314" spans="1:3" ht="15" customHeight="1" x14ac:dyDescent="0.45">
      <c r="B314" s="16" t="s">
        <v>46</v>
      </c>
      <c r="C314" s="65">
        <v>18773.370000000006</v>
      </c>
    </row>
    <row r="315" spans="1:3" ht="15" customHeight="1" x14ac:dyDescent="0.45">
      <c r="B315" s="16" t="s">
        <v>47</v>
      </c>
      <c r="C315" s="65">
        <v>200945.53170000002</v>
      </c>
    </row>
    <row r="316" spans="1:3" ht="15" customHeight="1" x14ac:dyDescent="0.45">
      <c r="B316" s="16" t="s">
        <v>48</v>
      </c>
      <c r="C316" s="65">
        <v>14674.343400000002</v>
      </c>
    </row>
    <row r="317" spans="1:3" ht="15" customHeight="1" x14ac:dyDescent="0.45">
      <c r="B317" s="16" t="s">
        <v>49</v>
      </c>
      <c r="C317" s="65">
        <v>11739.516</v>
      </c>
    </row>
    <row r="319" spans="1:3" ht="15" customHeight="1" x14ac:dyDescent="0.45">
      <c r="B319" s="16" t="s">
        <v>31</v>
      </c>
      <c r="C319">
        <f>C311*C312</f>
        <v>9204.4738925549991</v>
      </c>
    </row>
    <row r="320" spans="1:3" ht="15" customHeight="1" x14ac:dyDescent="0.45">
      <c r="B320" s="16" t="str">
        <f t="shared" ref="B320:C323" si="1">B313</f>
        <v>Non controlling interests</v>
      </c>
      <c r="C320">
        <f t="shared" si="1"/>
        <v>23907.312000000002</v>
      </c>
    </row>
    <row r="321" spans="1:3" ht="15" customHeight="1" x14ac:dyDescent="0.45">
      <c r="B321" s="16" t="str">
        <f t="shared" si="1"/>
        <v>Short term debt</v>
      </c>
      <c r="C321">
        <f t="shared" si="1"/>
        <v>18773.370000000006</v>
      </c>
    </row>
    <row r="322" spans="1:3" ht="15" customHeight="1" x14ac:dyDescent="0.45">
      <c r="B322" s="16" t="str">
        <f t="shared" si="1"/>
        <v>Long term debt</v>
      </c>
      <c r="C322">
        <f t="shared" si="1"/>
        <v>200945.53170000002</v>
      </c>
    </row>
    <row r="323" spans="1:3" ht="15" customHeight="1" x14ac:dyDescent="0.45">
      <c r="B323" s="16" t="str">
        <f t="shared" si="1"/>
        <v>Cash and cash equivalents</v>
      </c>
      <c r="C323">
        <f t="shared" si="1"/>
        <v>14674.343400000002</v>
      </c>
    </row>
    <row r="324" spans="1:3" ht="15" customHeight="1" x14ac:dyDescent="0.45">
      <c r="B324" s="16" t="s">
        <v>42</v>
      </c>
      <c r="C324">
        <f>C321+C322-C323</f>
        <v>205044.5583</v>
      </c>
    </row>
    <row r="325" spans="1:3" ht="15" customHeight="1" x14ac:dyDescent="0.45">
      <c r="B325" s="16" t="s">
        <v>49</v>
      </c>
      <c r="C325">
        <f>C317</f>
        <v>11739.516</v>
      </c>
    </row>
    <row r="326" spans="1:3" ht="15" customHeight="1" x14ac:dyDescent="0.45">
      <c r="B326" s="16" t="s">
        <v>32</v>
      </c>
      <c r="C326">
        <f>C319+C320+C324-C325</f>
        <v>226416.828192555</v>
      </c>
    </row>
    <row r="327" spans="1:3" ht="15" customHeight="1" x14ac:dyDescent="0.45">
      <c r="C327" s="65"/>
    </row>
    <row r="328" spans="1:3" ht="15" customHeight="1" x14ac:dyDescent="0.45">
      <c r="A328" s="15" t="s">
        <v>34</v>
      </c>
    </row>
    <row r="329" spans="1:3" ht="15" customHeight="1" x14ac:dyDescent="0.45">
      <c r="B329" s="16" t="s">
        <v>126</v>
      </c>
    </row>
    <row r="331" spans="1:3" ht="15" customHeight="1" x14ac:dyDescent="0.45">
      <c r="B331" s="16" t="s">
        <v>39</v>
      </c>
      <c r="C331" s="66">
        <v>9.5500000000000007</v>
      </c>
    </row>
    <row r="332" spans="1:3" ht="15" customHeight="1" x14ac:dyDescent="0.45">
      <c r="B332" s="16" t="s">
        <v>62</v>
      </c>
      <c r="C332" s="65">
        <v>405.7515491538461</v>
      </c>
    </row>
    <row r="333" spans="1:3" ht="15" customHeight="1" x14ac:dyDescent="0.45">
      <c r="B333" s="16" t="s">
        <v>367</v>
      </c>
      <c r="C333" s="65">
        <v>18390.240000000002</v>
      </c>
    </row>
    <row r="334" spans="1:3" ht="15" customHeight="1" x14ac:dyDescent="0.45">
      <c r="B334" s="16" t="s">
        <v>368</v>
      </c>
      <c r="C334" s="65">
        <v>22460</v>
      </c>
    </row>
    <row r="335" spans="1:3" ht="15" customHeight="1" x14ac:dyDescent="0.45">
      <c r="B335" s="16" t="s">
        <v>127</v>
      </c>
      <c r="C335" s="65">
        <v>154573.48592307692</v>
      </c>
    </row>
    <row r="336" spans="1:3" ht="15" customHeight="1" x14ac:dyDescent="0.45">
      <c r="B336" s="16" t="s">
        <v>128</v>
      </c>
      <c r="C336" s="65">
        <v>144348</v>
      </c>
    </row>
    <row r="337" spans="1:3" ht="15" customHeight="1" x14ac:dyDescent="0.45">
      <c r="B337" s="16" t="s">
        <v>48</v>
      </c>
      <c r="C337" s="65">
        <v>11287.956461538462</v>
      </c>
    </row>
    <row r="338" spans="1:3" ht="15" customHeight="1" x14ac:dyDescent="0.45">
      <c r="B338" s="16" t="s">
        <v>129</v>
      </c>
      <c r="C338" s="65">
        <v>9030.3969230769217</v>
      </c>
    </row>
    <row r="339" spans="1:3" ht="15" customHeight="1" x14ac:dyDescent="0.45">
      <c r="B339" s="16" t="s">
        <v>130</v>
      </c>
      <c r="C339" s="65">
        <v>13640</v>
      </c>
    </row>
    <row r="341" spans="1:3" ht="15" customHeight="1" x14ac:dyDescent="0.45">
      <c r="B341" s="16" t="s">
        <v>31</v>
      </c>
      <c r="C341">
        <f>C331*C332</f>
        <v>3874.9272944192307</v>
      </c>
    </row>
    <row r="342" spans="1:3" ht="15" customHeight="1" x14ac:dyDescent="0.45">
      <c r="B342" s="16" t="str">
        <f>B334</f>
        <v>Non controlling interests - market value</v>
      </c>
      <c r="C342">
        <f>C334</f>
        <v>22460</v>
      </c>
    </row>
    <row r="343" spans="1:3" ht="15" customHeight="1" x14ac:dyDescent="0.45">
      <c r="B343" s="16" t="str">
        <f>B336</f>
        <v>Debt - market value</v>
      </c>
      <c r="C343">
        <f>C336</f>
        <v>144348</v>
      </c>
    </row>
    <row r="344" spans="1:3" ht="15" customHeight="1" x14ac:dyDescent="0.45">
      <c r="B344" s="16" t="str">
        <f>B337</f>
        <v>Cash and cash equivalents</v>
      </c>
      <c r="C344">
        <f>C337</f>
        <v>11287.956461538462</v>
      </c>
    </row>
    <row r="345" spans="1:3" ht="15" customHeight="1" x14ac:dyDescent="0.45">
      <c r="B345" s="16" t="s">
        <v>42</v>
      </c>
      <c r="C345">
        <f>C343-C344</f>
        <v>133060.04353846153</v>
      </c>
    </row>
    <row r="346" spans="1:3" ht="15" customHeight="1" x14ac:dyDescent="0.45">
      <c r="B346" s="16" t="str">
        <f>B339</f>
        <v>Financial assets - market value</v>
      </c>
      <c r="C346">
        <f>C339</f>
        <v>13640</v>
      </c>
    </row>
    <row r="348" spans="1:3" ht="15" customHeight="1" x14ac:dyDescent="0.45">
      <c r="B348" s="16" t="s">
        <v>32</v>
      </c>
      <c r="C348">
        <f>C341+C342+C345-C346</f>
        <v>145754.97083288076</v>
      </c>
    </row>
    <row r="349" spans="1:3" ht="15" customHeight="1" x14ac:dyDescent="0.45">
      <c r="C349" s="65"/>
    </row>
    <row r="350" spans="1:3" ht="15" customHeight="1" x14ac:dyDescent="0.45">
      <c r="A350" s="15" t="s">
        <v>35</v>
      </c>
      <c r="C350" s="65"/>
    </row>
    <row r="351" spans="1:3" ht="15" customHeight="1" x14ac:dyDescent="0.45">
      <c r="B351" s="16" t="s">
        <v>126</v>
      </c>
      <c r="C351" s="65"/>
    </row>
    <row r="352" spans="1:3" ht="15" customHeight="1" x14ac:dyDescent="0.45">
      <c r="C352" s="65"/>
    </row>
    <row r="353" spans="2:5" ht="15" customHeight="1" x14ac:dyDescent="0.45">
      <c r="B353" s="16" t="s">
        <v>39</v>
      </c>
      <c r="C353" s="66">
        <v>11.69</v>
      </c>
    </row>
    <row r="354" spans="2:5" ht="15" customHeight="1" x14ac:dyDescent="0.45">
      <c r="B354" s="16" t="s">
        <v>80</v>
      </c>
      <c r="C354" s="65">
        <v>338.25402100000002</v>
      </c>
    </row>
    <row r="355" spans="2:5" ht="15" customHeight="1" x14ac:dyDescent="0.45">
      <c r="B355" s="16" t="s">
        <v>86</v>
      </c>
      <c r="C355" s="65">
        <v>342.46322100000003</v>
      </c>
    </row>
    <row r="356" spans="2:5" ht="15" customHeight="1" x14ac:dyDescent="0.45">
      <c r="C356" s="65"/>
      <c r="D356" t="s">
        <v>82</v>
      </c>
      <c r="E356" t="s">
        <v>83</v>
      </c>
    </row>
    <row r="357" spans="2:5" ht="15" customHeight="1" x14ac:dyDescent="0.45">
      <c r="C357" s="65"/>
    </row>
    <row r="358" spans="2:5" ht="15" customHeight="1" x14ac:dyDescent="0.45">
      <c r="C358" s="65"/>
    </row>
    <row r="359" spans="2:5" ht="15" customHeight="1" x14ac:dyDescent="0.45">
      <c r="C359" s="65"/>
    </row>
    <row r="360" spans="2:5" ht="15" customHeight="1" x14ac:dyDescent="0.45">
      <c r="C360" s="65"/>
    </row>
    <row r="361" spans="2:5" ht="15" customHeight="1" x14ac:dyDescent="0.45">
      <c r="C361" s="65"/>
    </row>
    <row r="362" spans="2:5" ht="15" customHeight="1" x14ac:dyDescent="0.45">
      <c r="C362" s="65"/>
    </row>
    <row r="363" spans="2:5" ht="15" customHeight="1" x14ac:dyDescent="0.45">
      <c r="C363" s="65"/>
    </row>
    <row r="364" spans="2:5" ht="15" customHeight="1" x14ac:dyDescent="0.45">
      <c r="C364" s="65"/>
    </row>
    <row r="365" spans="2:5" ht="15" customHeight="1" x14ac:dyDescent="0.45">
      <c r="C365" s="65"/>
    </row>
    <row r="366" spans="2:5" ht="15" customHeight="1" x14ac:dyDescent="0.45">
      <c r="C366" s="65"/>
    </row>
    <row r="367" spans="2:5" ht="15" customHeight="1" x14ac:dyDescent="0.45">
      <c r="C367" s="65"/>
    </row>
    <row r="368" spans="2:5" ht="15" customHeight="1" x14ac:dyDescent="0.45">
      <c r="C368" s="65"/>
    </row>
    <row r="369" spans="3:3" ht="15" customHeight="1" x14ac:dyDescent="0.45">
      <c r="C369" s="65"/>
    </row>
    <row r="370" spans="3:3" ht="15" customHeight="1" x14ac:dyDescent="0.45">
      <c r="C370" s="65"/>
    </row>
    <row r="371" spans="3:3" ht="15" customHeight="1" x14ac:dyDescent="0.45">
      <c r="C371" s="65"/>
    </row>
    <row r="372" spans="3:3" ht="15" customHeight="1" x14ac:dyDescent="0.45">
      <c r="C372" s="65"/>
    </row>
    <row r="373" spans="3:3" ht="15" customHeight="1" x14ac:dyDescent="0.45">
      <c r="C373" s="65"/>
    </row>
    <row r="374" spans="3:3" ht="15" customHeight="1" x14ac:dyDescent="0.45">
      <c r="C374" s="65"/>
    </row>
    <row r="375" spans="3:3" ht="15" customHeight="1" x14ac:dyDescent="0.45">
      <c r="C375" s="65"/>
    </row>
    <row r="376" spans="3:3" ht="15" customHeight="1" x14ac:dyDescent="0.45">
      <c r="C376" s="65"/>
    </row>
    <row r="377" spans="3:3" ht="15" customHeight="1" x14ac:dyDescent="0.45">
      <c r="C377" s="65"/>
    </row>
    <row r="378" spans="3:3" ht="15" customHeight="1" x14ac:dyDescent="0.45">
      <c r="C378" s="65"/>
    </row>
    <row r="379" spans="3:3" ht="15" customHeight="1" x14ac:dyDescent="0.45">
      <c r="C379" s="65"/>
    </row>
    <row r="380" spans="3:3" ht="15" customHeight="1" x14ac:dyDescent="0.45">
      <c r="C380" s="65"/>
    </row>
    <row r="381" spans="3:3" ht="15" customHeight="1" x14ac:dyDescent="0.45">
      <c r="C381" s="65"/>
    </row>
    <row r="382" spans="3:3" ht="15" customHeight="1" x14ac:dyDescent="0.45">
      <c r="C382" s="65"/>
    </row>
    <row r="384" spans="3:3" ht="15" customHeight="1" x14ac:dyDescent="0.45">
      <c r="C384" s="67"/>
    </row>
    <row r="389" spans="1:3" ht="15" customHeight="1" x14ac:dyDescent="0.45">
      <c r="C389" s="66"/>
    </row>
    <row r="390" spans="1:3" ht="15" customHeight="1" x14ac:dyDescent="0.45">
      <c r="C390" s="65"/>
    </row>
    <row r="391" spans="1:3" ht="15" customHeight="1" x14ac:dyDescent="0.45">
      <c r="C391" s="65"/>
    </row>
    <row r="392" spans="1:3" ht="15" customHeight="1" x14ac:dyDescent="0.45">
      <c r="B392" s="16" t="str">
        <f>B353</f>
        <v>Share price</v>
      </c>
      <c r="C392">
        <f>C353</f>
        <v>11.69</v>
      </c>
    </row>
    <row r="393" spans="1:3" ht="15" customHeight="1" x14ac:dyDescent="0.45">
      <c r="B393" s="16" t="str">
        <f>B355</f>
        <v>Diluted shares outstanding MM</v>
      </c>
      <c r="C393">
        <f>C355</f>
        <v>342.46322100000003</v>
      </c>
    </row>
    <row r="394" spans="1:3" ht="15" customHeight="1" x14ac:dyDescent="0.45">
      <c r="B394" s="16" t="s">
        <v>131</v>
      </c>
      <c r="C394" s="65">
        <v>0</v>
      </c>
    </row>
    <row r="395" spans="1:3" ht="15" customHeight="1" x14ac:dyDescent="0.45">
      <c r="B395" s="16" t="s">
        <v>47</v>
      </c>
      <c r="C395" s="65">
        <v>2100</v>
      </c>
    </row>
    <row r="396" spans="1:3" ht="15" customHeight="1" x14ac:dyDescent="0.45">
      <c r="B396" s="16" t="s">
        <v>48</v>
      </c>
      <c r="C396" s="65">
        <v>971.65</v>
      </c>
    </row>
    <row r="397" spans="1:3" ht="15" customHeight="1" x14ac:dyDescent="0.45">
      <c r="B397" s="16" t="s">
        <v>32</v>
      </c>
      <c r="C397">
        <f>C392*C393+C394+C395-C396</f>
        <v>5131.7450534899999</v>
      </c>
    </row>
    <row r="398" spans="1:3" ht="15" customHeight="1" x14ac:dyDescent="0.45">
      <c r="C398" s="65"/>
    </row>
    <row r="399" spans="1:3" ht="15" customHeight="1" x14ac:dyDescent="0.45">
      <c r="A399" s="15" t="s">
        <v>36</v>
      </c>
    </row>
    <row r="400" spans="1:3" ht="15" customHeight="1" x14ac:dyDescent="0.45">
      <c r="B400" s="16" t="s">
        <v>126</v>
      </c>
      <c r="C400" s="70"/>
    </row>
    <row r="401" spans="2:7" ht="15" customHeight="1" x14ac:dyDescent="0.45">
      <c r="C401" s="70"/>
    </row>
    <row r="402" spans="2:7" ht="15" customHeight="1" x14ac:dyDescent="0.45">
      <c r="B402" s="16" t="s">
        <v>103</v>
      </c>
      <c r="C402" s="66">
        <v>540060.46234395006</v>
      </c>
      <c r="E402" t="s">
        <v>132</v>
      </c>
    </row>
    <row r="403" spans="2:7" ht="15" customHeight="1" x14ac:dyDescent="0.45">
      <c r="B403" s="16" t="s">
        <v>135</v>
      </c>
      <c r="E403" t="s">
        <v>83</v>
      </c>
      <c r="F403" t="s">
        <v>82</v>
      </c>
    </row>
    <row r="406" spans="2:7" ht="15" customHeight="1" x14ac:dyDescent="0.45">
      <c r="G406" t="s">
        <v>372</v>
      </c>
    </row>
    <row r="407" spans="2:7" ht="15" customHeight="1" x14ac:dyDescent="0.45">
      <c r="C407" s="66"/>
      <c r="G407" t="s">
        <v>372</v>
      </c>
    </row>
    <row r="408" spans="2:7" ht="15" customHeight="1" x14ac:dyDescent="0.45">
      <c r="C408" s="65"/>
    </row>
    <row r="409" spans="2:7" ht="15" customHeight="1" x14ac:dyDescent="0.45">
      <c r="C409" s="65"/>
    </row>
    <row r="410" spans="2:7" ht="15" customHeight="1" x14ac:dyDescent="0.45">
      <c r="C410" s="65"/>
    </row>
    <row r="411" spans="2:7" ht="15" customHeight="1" x14ac:dyDescent="0.45">
      <c r="C411" s="65"/>
    </row>
    <row r="412" spans="2:7" ht="15" customHeight="1" x14ac:dyDescent="0.45">
      <c r="C412" s="65"/>
    </row>
    <row r="413" spans="2:7" ht="15" customHeight="1" x14ac:dyDescent="0.45">
      <c r="C413" s="66"/>
    </row>
    <row r="414" spans="2:7" ht="15" customHeight="1" x14ac:dyDescent="0.45">
      <c r="C414" s="65"/>
    </row>
    <row r="415" spans="2:7" ht="15" customHeight="1" x14ac:dyDescent="0.45">
      <c r="C415" s="65"/>
    </row>
    <row r="416" spans="2:7" ht="15" customHeight="1" x14ac:dyDescent="0.45">
      <c r="C416" s="65"/>
    </row>
    <row r="417" spans="3:7" ht="15" customHeight="1" x14ac:dyDescent="0.45">
      <c r="C417" s="65"/>
    </row>
    <row r="419" spans="3:7" ht="15" customHeight="1" x14ac:dyDescent="0.45">
      <c r="C419" s="70"/>
    </row>
    <row r="420" spans="3:7" ht="15" customHeight="1" x14ac:dyDescent="0.45">
      <c r="C420" s="70"/>
    </row>
    <row r="421" spans="3:7" ht="15" customHeight="1" x14ac:dyDescent="0.45">
      <c r="C421" s="70"/>
    </row>
    <row r="422" spans="3:7" ht="15" customHeight="1" x14ac:dyDescent="0.45">
      <c r="G422" t="s">
        <v>372</v>
      </c>
    </row>
    <row r="426" spans="3:7" ht="15" customHeight="1" x14ac:dyDescent="0.45">
      <c r="C426" s="66"/>
    </row>
    <row r="427" spans="3:7" ht="15" customHeight="1" x14ac:dyDescent="0.45">
      <c r="C427" s="65"/>
    </row>
    <row r="428" spans="3:7" ht="15" customHeight="1" x14ac:dyDescent="0.45">
      <c r="C428" s="65"/>
      <c r="G428" t="s">
        <v>372</v>
      </c>
    </row>
    <row r="429" spans="3:7" ht="15" customHeight="1" x14ac:dyDescent="0.45">
      <c r="C429" s="65"/>
    </row>
    <row r="430" spans="3:7" ht="15" customHeight="1" x14ac:dyDescent="0.45">
      <c r="C430" s="65"/>
    </row>
    <row r="431" spans="3:7" ht="15" customHeight="1" x14ac:dyDescent="0.45">
      <c r="C431" s="65"/>
    </row>
    <row r="432" spans="3:7" ht="15" customHeight="1" x14ac:dyDescent="0.45">
      <c r="C432" s="65"/>
    </row>
    <row r="433" spans="2:5" ht="15" customHeight="1" x14ac:dyDescent="0.45">
      <c r="C433" s="66"/>
    </row>
    <row r="434" spans="2:5" ht="15" customHeight="1" x14ac:dyDescent="0.45">
      <c r="C434" s="65"/>
      <c r="E434" s="71"/>
    </row>
    <row r="435" spans="2:5" ht="15" customHeight="1" x14ac:dyDescent="0.45">
      <c r="C435" s="65"/>
    </row>
    <row r="436" spans="2:5" ht="15" customHeight="1" x14ac:dyDescent="0.45">
      <c r="C436" s="65"/>
    </row>
    <row r="437" spans="2:5" ht="15" customHeight="1" x14ac:dyDescent="0.45">
      <c r="C437" s="65"/>
    </row>
    <row r="439" spans="2:5" ht="15" customHeight="1" x14ac:dyDescent="0.45">
      <c r="C439" s="70"/>
    </row>
    <row r="440" spans="2:5" ht="15" customHeight="1" x14ac:dyDescent="0.45">
      <c r="C440" s="70"/>
    </row>
    <row r="441" spans="2:5" ht="15" customHeight="1" x14ac:dyDescent="0.45">
      <c r="C441" s="70"/>
    </row>
    <row r="445" spans="2:5" ht="15" customHeight="1" x14ac:dyDescent="0.45">
      <c r="B445" s="16" t="str">
        <f>B402</f>
        <v>Total diluted equity value MM</v>
      </c>
      <c r="C445">
        <f>C402</f>
        <v>540060.46234395006</v>
      </c>
    </row>
    <row r="446" spans="2:5" ht="15" customHeight="1" x14ac:dyDescent="0.45">
      <c r="B446" s="16" t="s">
        <v>46</v>
      </c>
      <c r="C446" s="65">
        <v>3225</v>
      </c>
    </row>
    <row r="447" spans="2:5" ht="15" customHeight="1" x14ac:dyDescent="0.45">
      <c r="B447" s="16" t="s">
        <v>47</v>
      </c>
      <c r="C447" s="65">
        <v>1995</v>
      </c>
    </row>
    <row r="448" spans="2:5" ht="15" customHeight="1" x14ac:dyDescent="0.45">
      <c r="B448" s="16" t="s">
        <v>48</v>
      </c>
      <c r="C448" s="65">
        <v>16549</v>
      </c>
    </row>
    <row r="449" spans="1:11" ht="15" customHeight="1" x14ac:dyDescent="0.45">
      <c r="B449" s="16" t="s">
        <v>133</v>
      </c>
      <c r="C449" s="65">
        <v>56517</v>
      </c>
    </row>
    <row r="450" spans="1:11" ht="15" customHeight="1" x14ac:dyDescent="0.45">
      <c r="B450" s="16" t="s">
        <v>382</v>
      </c>
      <c r="C450" s="65">
        <v>5183</v>
      </c>
    </row>
    <row r="451" spans="1:11" ht="15" customHeight="1" x14ac:dyDescent="0.45">
      <c r="B451" s="16" t="s">
        <v>32</v>
      </c>
      <c r="C451">
        <f>SUM(C445:C447)-SUM(C448:C450)</f>
        <v>467031.46234395006</v>
      </c>
      <c r="I451" s="32"/>
      <c r="J451" s="32"/>
      <c r="K451" s="32"/>
    </row>
    <row r="452" spans="1:11" ht="15" customHeight="1" x14ac:dyDescent="0.45">
      <c r="C452" s="65"/>
      <c r="I452" s="32"/>
      <c r="J452" s="32"/>
      <c r="K452" s="32"/>
    </row>
    <row r="453" spans="1:11" ht="15" customHeight="1" x14ac:dyDescent="0.45">
      <c r="A453" s="15" t="s">
        <v>52</v>
      </c>
      <c r="C453" s="65"/>
    </row>
    <row r="454" spans="1:11" ht="15" customHeight="1" x14ac:dyDescent="0.45">
      <c r="B454" s="16" t="s">
        <v>126</v>
      </c>
      <c r="C454" s="65"/>
      <c r="F454" t="s">
        <v>134</v>
      </c>
    </row>
    <row r="455" spans="1:11" ht="15" customHeight="1" x14ac:dyDescent="0.45">
      <c r="C455" s="65"/>
    </row>
    <row r="456" spans="1:11" ht="15" customHeight="1" x14ac:dyDescent="0.45">
      <c r="B456" s="16" t="s">
        <v>39</v>
      </c>
      <c r="C456" s="66">
        <v>71.16</v>
      </c>
    </row>
    <row r="457" spans="1:11" ht="15" customHeight="1" x14ac:dyDescent="0.45">
      <c r="B457" s="16" t="s">
        <v>153</v>
      </c>
      <c r="C457" s="65"/>
      <c r="E457" t="s">
        <v>82</v>
      </c>
      <c r="F457" t="s">
        <v>83</v>
      </c>
    </row>
    <row r="474" spans="3:3" ht="15" customHeight="1" x14ac:dyDescent="0.45">
      <c r="C474" s="67"/>
    </row>
    <row r="493" spans="3:3" ht="15" customHeight="1" x14ac:dyDescent="0.45">
      <c r="C493" s="67"/>
    </row>
    <row r="510" spans="2:3" ht="15" customHeight="1" x14ac:dyDescent="0.45">
      <c r="B510" s="16" t="s">
        <v>80</v>
      </c>
      <c r="C510" s="65">
        <v>892.738516</v>
      </c>
    </row>
    <row r="511" spans="2:3" ht="15" customHeight="1" x14ac:dyDescent="0.45">
      <c r="B511" s="16" t="s">
        <v>136</v>
      </c>
      <c r="C511" s="65">
        <v>3.1659999999999999</v>
      </c>
    </row>
    <row r="512" spans="2:3" ht="15" customHeight="1" x14ac:dyDescent="0.45">
      <c r="B512" s="16" t="s">
        <v>373</v>
      </c>
      <c r="C512" s="65">
        <v>43.92</v>
      </c>
    </row>
    <row r="513" spans="1:11" ht="15" customHeight="1" x14ac:dyDescent="0.45">
      <c r="B513" s="16" t="s">
        <v>85</v>
      </c>
      <c r="C513" s="65">
        <v>56</v>
      </c>
    </row>
    <row r="514" spans="1:11" ht="15" customHeight="1" x14ac:dyDescent="0.45">
      <c r="B514" s="16" t="s">
        <v>137</v>
      </c>
      <c r="C514">
        <f>(C456-C513)/C456*C512</f>
        <v>9.3567622259696446</v>
      </c>
      <c r="E514" s="67"/>
    </row>
    <row r="515" spans="1:11" ht="15" customHeight="1" x14ac:dyDescent="0.45">
      <c r="B515" s="16" t="s">
        <v>86</v>
      </c>
      <c r="C515">
        <f>SUM(C510:C511,C514)</f>
        <v>905.2612782259697</v>
      </c>
    </row>
    <row r="516" spans="1:11" ht="15" customHeight="1" x14ac:dyDescent="0.45">
      <c r="B516" s="16" t="s">
        <v>39</v>
      </c>
      <c r="C516" s="67">
        <f>C456</f>
        <v>71.16</v>
      </c>
    </row>
    <row r="517" spans="1:11" ht="15" customHeight="1" x14ac:dyDescent="0.45">
      <c r="B517" s="16" t="s">
        <v>31</v>
      </c>
      <c r="C517">
        <f>C515*C516</f>
        <v>64418.392558560001</v>
      </c>
    </row>
    <row r="518" spans="1:11" ht="15" customHeight="1" x14ac:dyDescent="0.45">
      <c r="B518" s="16" t="s">
        <v>138</v>
      </c>
      <c r="C518" s="65">
        <v>4</v>
      </c>
    </row>
    <row r="519" spans="1:11" ht="15" customHeight="1" x14ac:dyDescent="0.45">
      <c r="B519" s="16" t="s">
        <v>139</v>
      </c>
      <c r="C519" s="65">
        <v>298</v>
      </c>
    </row>
    <row r="520" spans="1:11" ht="15" customHeight="1" x14ac:dyDescent="0.45">
      <c r="B520" s="16" t="s">
        <v>47</v>
      </c>
      <c r="C520" s="65">
        <v>6269</v>
      </c>
    </row>
    <row r="521" spans="1:11" ht="15" customHeight="1" x14ac:dyDescent="0.45">
      <c r="B521" s="16" t="s">
        <v>48</v>
      </c>
      <c r="C521" s="65">
        <v>970</v>
      </c>
    </row>
    <row r="522" spans="1:11" ht="15" customHeight="1" x14ac:dyDescent="0.45">
      <c r="B522" s="16" t="s">
        <v>32</v>
      </c>
      <c r="C522">
        <f>C517+SUM(C518:C520)-C521</f>
        <v>70019.392558560008</v>
      </c>
    </row>
    <row r="524" spans="1:11" ht="15" customHeight="1" x14ac:dyDescent="0.45">
      <c r="A524" s="15" t="s">
        <v>140</v>
      </c>
    </row>
    <row r="525" spans="1:11" ht="15" customHeight="1" x14ac:dyDescent="0.45">
      <c r="B525" s="16" t="s">
        <v>141</v>
      </c>
      <c r="C525" s="65"/>
      <c r="D525" s="65"/>
      <c r="E525" s="65"/>
      <c r="I525" s="32"/>
      <c r="J525" s="32"/>
      <c r="K525" s="32"/>
    </row>
    <row r="526" spans="1:11" ht="15" customHeight="1" x14ac:dyDescent="0.45">
      <c r="C526" s="65"/>
      <c r="D526" s="65"/>
      <c r="E526" s="65"/>
    </row>
    <row r="527" spans="1:11" ht="15" customHeight="1" x14ac:dyDescent="0.45">
      <c r="B527" s="16" t="s">
        <v>142</v>
      </c>
      <c r="C527" s="65">
        <v>102</v>
      </c>
      <c r="D527" s="65"/>
      <c r="E527" s="65"/>
    </row>
    <row r="528" spans="1:11" ht="15" customHeight="1" x14ac:dyDescent="0.45">
      <c r="B528" s="16" t="s">
        <v>383</v>
      </c>
      <c r="C528" s="65">
        <v>100</v>
      </c>
      <c r="D528" s="65"/>
      <c r="E528" s="65"/>
    </row>
    <row r="529" spans="2:5" ht="15" customHeight="1" x14ac:dyDescent="0.45">
      <c r="B529" s="16" t="s">
        <v>143</v>
      </c>
      <c r="C529" s="65">
        <v>100</v>
      </c>
    </row>
    <row r="530" spans="2:5" ht="15" customHeight="1" x14ac:dyDescent="0.45">
      <c r="B530" s="16" t="s">
        <v>144</v>
      </c>
      <c r="C530" s="66">
        <v>10</v>
      </c>
      <c r="D530" s="65"/>
      <c r="E530" s="65"/>
    </row>
    <row r="531" spans="2:5" ht="15" customHeight="1" x14ac:dyDescent="0.45">
      <c r="B531" s="16" t="s">
        <v>145</v>
      </c>
      <c r="C531" s="66">
        <v>12</v>
      </c>
      <c r="D531" s="67"/>
      <c r="E531" s="67"/>
    </row>
    <row r="532" spans="2:5" ht="15" customHeight="1" x14ac:dyDescent="0.45">
      <c r="C532" s="65"/>
    </row>
    <row r="533" spans="2:5" ht="15" customHeight="1" x14ac:dyDescent="0.45">
      <c r="B533" s="16" t="s">
        <v>154</v>
      </c>
      <c r="C533" s="65"/>
    </row>
    <row r="534" spans="2:5" ht="15" customHeight="1" x14ac:dyDescent="0.45">
      <c r="B534" s="16" t="s">
        <v>50</v>
      </c>
      <c r="C534">
        <f>C529</f>
        <v>100</v>
      </c>
    </row>
    <row r="535" spans="2:5" ht="15" customHeight="1" x14ac:dyDescent="0.45">
      <c r="B535" s="16" t="s">
        <v>30</v>
      </c>
      <c r="C535">
        <f>C527-C534</f>
        <v>2</v>
      </c>
    </row>
    <row r="536" spans="2:5" ht="15" customHeight="1" x14ac:dyDescent="0.45">
      <c r="C536" s="65"/>
    </row>
    <row r="537" spans="2:5" ht="15" customHeight="1" x14ac:dyDescent="0.45">
      <c r="B537" s="16" t="s">
        <v>146</v>
      </c>
      <c r="C537" s="65"/>
      <c r="D537" s="65"/>
      <c r="E537" s="65"/>
    </row>
    <row r="539" spans="2:5" ht="15" customHeight="1" x14ac:dyDescent="0.45">
      <c r="B539" s="16" t="s">
        <v>147</v>
      </c>
    </row>
    <row r="540" spans="2:5" ht="15" customHeight="1" x14ac:dyDescent="0.45">
      <c r="B540" s="16" t="s">
        <v>148</v>
      </c>
      <c r="C540">
        <f>(C529/C530)*C531</f>
        <v>120</v>
      </c>
    </row>
    <row r="541" spans="2:5" ht="15" customHeight="1" x14ac:dyDescent="0.45">
      <c r="B541" s="16" t="s">
        <v>149</v>
      </c>
    </row>
    <row r="543" spans="2:5" ht="15" customHeight="1" x14ac:dyDescent="0.45">
      <c r="B543" s="16" t="s">
        <v>150</v>
      </c>
      <c r="C543" s="67"/>
      <c r="D543" s="67"/>
      <c r="E543" s="67"/>
    </row>
    <row r="545" spans="1:6" ht="15" customHeight="1" x14ac:dyDescent="0.45">
      <c r="B545" s="16" t="s">
        <v>151</v>
      </c>
      <c r="C545">
        <f>C529</f>
        <v>100</v>
      </c>
      <c r="D545" s="70"/>
      <c r="E545" s="70"/>
    </row>
    <row r="546" spans="1:6" ht="15" customHeight="1" x14ac:dyDescent="0.45">
      <c r="C546" s="70"/>
      <c r="D546" s="70"/>
      <c r="E546" s="70"/>
    </row>
    <row r="547" spans="1:6" ht="15" customHeight="1" x14ac:dyDescent="0.45">
      <c r="A547" s="15" t="s">
        <v>53</v>
      </c>
    </row>
    <row r="548" spans="1:6" ht="15" customHeight="1" x14ac:dyDescent="0.45">
      <c r="B548" s="16" t="s">
        <v>126</v>
      </c>
      <c r="C548" s="65"/>
      <c r="E548" t="s">
        <v>162</v>
      </c>
    </row>
    <row r="549" spans="1:6" ht="15" customHeight="1" x14ac:dyDescent="0.45">
      <c r="C549" s="65"/>
    </row>
    <row r="550" spans="1:6" ht="15" customHeight="1" x14ac:dyDescent="0.45">
      <c r="B550" s="16" t="s">
        <v>39</v>
      </c>
      <c r="C550" s="66">
        <v>17.09</v>
      </c>
    </row>
    <row r="551" spans="1:6" ht="15" customHeight="1" x14ac:dyDescent="0.45">
      <c r="B551" s="16" t="s">
        <v>152</v>
      </c>
      <c r="C551" s="65"/>
      <c r="E551" t="s">
        <v>374</v>
      </c>
      <c r="F551" t="s">
        <v>375</v>
      </c>
    </row>
    <row r="552" spans="1:6" ht="15" customHeight="1" x14ac:dyDescent="0.45">
      <c r="B552" s="75"/>
    </row>
    <row r="554" spans="1:6" ht="15" customHeight="1" x14ac:dyDescent="0.45">
      <c r="C554" s="65"/>
    </row>
    <row r="555" spans="1:6" ht="15" customHeight="1" x14ac:dyDescent="0.45">
      <c r="C555" s="65"/>
    </row>
    <row r="556" spans="1:6" ht="15" customHeight="1" x14ac:dyDescent="0.45">
      <c r="C556" s="65"/>
    </row>
    <row r="598" spans="3:3" ht="15" customHeight="1" x14ac:dyDescent="0.45">
      <c r="C598" s="65"/>
    </row>
    <row r="599" spans="3:3" ht="15" customHeight="1" x14ac:dyDescent="0.45">
      <c r="C599" s="65"/>
    </row>
    <row r="600" spans="3:3" ht="15" customHeight="1" x14ac:dyDescent="0.45">
      <c r="C600" s="65"/>
    </row>
    <row r="603" spans="3:3" ht="15" customHeight="1" x14ac:dyDescent="0.45">
      <c r="C603" s="65"/>
    </row>
    <row r="606" spans="3:3" ht="15" customHeight="1" x14ac:dyDescent="0.45">
      <c r="C606" s="67"/>
    </row>
    <row r="611" spans="2:4" ht="15" customHeight="1" x14ac:dyDescent="0.45">
      <c r="C611" s="66"/>
      <c r="D611" s="67"/>
    </row>
    <row r="612" spans="2:4" ht="15" customHeight="1" x14ac:dyDescent="0.45">
      <c r="C612" s="65"/>
      <c r="D612" s="65"/>
    </row>
    <row r="614" spans="2:4" ht="15" customHeight="1" x14ac:dyDescent="0.45">
      <c r="C614" s="65"/>
      <c r="D614" s="65"/>
    </row>
    <row r="615" spans="2:4" ht="15" customHeight="1" x14ac:dyDescent="0.45">
      <c r="C615" s="65"/>
      <c r="D615" s="65"/>
    </row>
    <row r="616" spans="2:4" ht="15" customHeight="1" x14ac:dyDescent="0.45">
      <c r="C616" s="65"/>
      <c r="D616" s="65"/>
    </row>
    <row r="619" spans="2:4" ht="15" customHeight="1" x14ac:dyDescent="0.45">
      <c r="C619" s="65"/>
      <c r="D619" s="65"/>
    </row>
    <row r="621" spans="2:4" ht="15" customHeight="1" x14ac:dyDescent="0.45">
      <c r="B621" s="16" t="s">
        <v>39</v>
      </c>
      <c r="C621" s="67">
        <f>C550</f>
        <v>17.09</v>
      </c>
    </row>
    <row r="622" spans="2:4" ht="15" customHeight="1" x14ac:dyDescent="0.45">
      <c r="B622" s="16" t="s">
        <v>80</v>
      </c>
      <c r="C622" s="65">
        <v>697.72632099999998</v>
      </c>
    </row>
    <row r="623" spans="2:4" ht="15" customHeight="1" x14ac:dyDescent="0.45">
      <c r="B623" s="16" t="s">
        <v>155</v>
      </c>
      <c r="C623" s="65">
        <v>43.17</v>
      </c>
    </row>
    <row r="624" spans="2:4" ht="15" customHeight="1" x14ac:dyDescent="0.45">
      <c r="B624" s="16" t="s">
        <v>373</v>
      </c>
      <c r="C624" s="65">
        <v>11.177</v>
      </c>
    </row>
    <row r="625" spans="1:12" ht="15" customHeight="1" x14ac:dyDescent="0.45">
      <c r="B625" s="16" t="s">
        <v>85</v>
      </c>
      <c r="C625" s="65">
        <v>6.55</v>
      </c>
    </row>
    <row r="626" spans="1:12" ht="15" customHeight="1" x14ac:dyDescent="0.45">
      <c r="B626" s="16" t="s">
        <v>98</v>
      </c>
      <c r="C626">
        <f>(C621-C625)/C621*C624</f>
        <v>6.8932463428905795</v>
      </c>
      <c r="D626" s="67"/>
      <c r="F626" s="32"/>
    </row>
    <row r="627" spans="1:12" ht="15" customHeight="1" x14ac:dyDescent="0.45">
      <c r="B627" s="16" t="s">
        <v>86</v>
      </c>
      <c r="C627">
        <f>SUM(C622:C623,C626)</f>
        <v>747.78956734289056</v>
      </c>
      <c r="D627" s="65"/>
      <c r="L627" s="71"/>
    </row>
    <row r="628" spans="1:12" ht="15" customHeight="1" x14ac:dyDescent="0.45">
      <c r="B628" s="16" t="s">
        <v>31</v>
      </c>
      <c r="C628">
        <f>C621*C627</f>
        <v>12779.723705889999</v>
      </c>
    </row>
    <row r="629" spans="1:12" ht="15" customHeight="1" x14ac:dyDescent="0.45">
      <c r="B629" s="16" t="s">
        <v>156</v>
      </c>
      <c r="C629" s="65">
        <f>935+954</f>
        <v>1889</v>
      </c>
      <c r="D629" t="s">
        <v>441</v>
      </c>
    </row>
    <row r="630" spans="1:12" ht="15" customHeight="1" x14ac:dyDescent="0.45">
      <c r="B630" s="16" t="s">
        <v>157</v>
      </c>
      <c r="C630" s="65">
        <v>88.165999999999997</v>
      </c>
      <c r="E630" t="s">
        <v>440</v>
      </c>
    </row>
    <row r="631" spans="1:12" ht="15" customHeight="1" x14ac:dyDescent="0.45">
      <c r="B631" s="16" t="s">
        <v>158</v>
      </c>
      <c r="C631" s="65">
        <v>59.695</v>
      </c>
      <c r="D631" s="65"/>
    </row>
    <row r="632" spans="1:12" ht="15" customHeight="1" x14ac:dyDescent="0.45">
      <c r="B632" s="16" t="s">
        <v>48</v>
      </c>
      <c r="C632" s="65">
        <v>911.471</v>
      </c>
      <c r="F632" s="32"/>
      <c r="G632" s="32"/>
    </row>
    <row r="633" spans="1:12" ht="15" customHeight="1" x14ac:dyDescent="0.45">
      <c r="B633" s="16" t="s">
        <v>384</v>
      </c>
      <c r="C633" s="65">
        <v>2583.877</v>
      </c>
      <c r="F633" s="32"/>
      <c r="G633" s="32"/>
    </row>
    <row r="634" spans="1:12" ht="15" customHeight="1" x14ac:dyDescent="0.45">
      <c r="B634" s="16" t="s">
        <v>32</v>
      </c>
      <c r="C634">
        <f>SUM(C628:C631)-SUM(C632:C633)</f>
        <v>11321.236705889998</v>
      </c>
    </row>
    <row r="635" spans="1:12" ht="15" customHeight="1" x14ac:dyDescent="0.45">
      <c r="C635" s="65"/>
      <c r="D635" s="65"/>
      <c r="L635" s="67"/>
    </row>
    <row r="636" spans="1:12" ht="15" customHeight="1" x14ac:dyDescent="0.45">
      <c r="A636" s="15" t="s">
        <v>54</v>
      </c>
      <c r="C636" s="70"/>
      <c r="D636" s="70"/>
    </row>
    <row r="637" spans="1:12" ht="15" customHeight="1" x14ac:dyDescent="0.45">
      <c r="B637" s="16" t="s">
        <v>159</v>
      </c>
    </row>
    <row r="639" spans="1:12" ht="15" customHeight="1" x14ac:dyDescent="0.45">
      <c r="B639" s="16" t="str">
        <f>B621</f>
        <v>Share price</v>
      </c>
      <c r="C639" s="66">
        <v>90</v>
      </c>
    </row>
    <row r="640" spans="1:12" ht="15" customHeight="1" x14ac:dyDescent="0.45">
      <c r="B640" s="16" t="str">
        <f>B622</f>
        <v>Basic shares outstanding MM</v>
      </c>
      <c r="C640" s="76">
        <f>C622</f>
        <v>697.72632099999998</v>
      </c>
    </row>
    <row r="641" spans="2:3" ht="15" customHeight="1" x14ac:dyDescent="0.45">
      <c r="B641" s="16" t="str">
        <f>B623</f>
        <v>RSUs MM</v>
      </c>
      <c r="C641" s="76">
        <f>C623</f>
        <v>43.17</v>
      </c>
    </row>
    <row r="642" spans="2:3" ht="15" customHeight="1" x14ac:dyDescent="0.45">
      <c r="B642" s="16" t="s">
        <v>373</v>
      </c>
      <c r="C642" s="76">
        <f>C624</f>
        <v>11.177</v>
      </c>
    </row>
    <row r="643" spans="2:3" ht="15" customHeight="1" x14ac:dyDescent="0.45">
      <c r="B643" s="16" t="s">
        <v>85</v>
      </c>
      <c r="C643" s="76">
        <f>C625</f>
        <v>6.55</v>
      </c>
    </row>
    <row r="644" spans="2:3" ht="15" customHeight="1" x14ac:dyDescent="0.45">
      <c r="B644" s="16" t="str">
        <f>B626</f>
        <v>Net new shares from options MM</v>
      </c>
      <c r="C644" s="76">
        <f>(C639-C643)/C639*C642</f>
        <v>10.363562777777778</v>
      </c>
    </row>
    <row r="645" spans="2:3" ht="15" customHeight="1" x14ac:dyDescent="0.45">
      <c r="B645" s="16" t="str">
        <f>B627</f>
        <v>Diluted shares outstanding MM</v>
      </c>
      <c r="C645">
        <f>SUM(C640:C641,C644)</f>
        <v>751.25988377777776</v>
      </c>
    </row>
    <row r="646" spans="2:3" ht="15" customHeight="1" x14ac:dyDescent="0.45">
      <c r="B646" s="16" t="s">
        <v>376</v>
      </c>
      <c r="C646" s="65">
        <f>935+954</f>
        <v>1889</v>
      </c>
    </row>
    <row r="647" spans="2:3" ht="15" customHeight="1" x14ac:dyDescent="0.45">
      <c r="B647" s="16" t="s">
        <v>377</v>
      </c>
      <c r="C647" s="65">
        <v>1000</v>
      </c>
    </row>
    <row r="648" spans="2:3" ht="15" customHeight="1" x14ac:dyDescent="0.45">
      <c r="B648" s="16" t="s">
        <v>378</v>
      </c>
      <c r="C648" s="65">
        <v>12.879300000000001</v>
      </c>
    </row>
    <row r="649" spans="2:3" ht="15" customHeight="1" x14ac:dyDescent="0.45">
      <c r="B649" s="16" t="s">
        <v>160</v>
      </c>
      <c r="C649">
        <f>C646/C647*C648</f>
        <v>24.328997700000002</v>
      </c>
    </row>
    <row r="650" spans="2:3" ht="15" customHeight="1" x14ac:dyDescent="0.45">
      <c r="B650" s="16" t="s">
        <v>161</v>
      </c>
      <c r="C650">
        <f>SUM(C649,C645)</f>
        <v>775.5888814777777</v>
      </c>
    </row>
    <row r="651" spans="2:3" ht="15" customHeight="1" x14ac:dyDescent="0.45">
      <c r="B651" s="16" t="s">
        <v>31</v>
      </c>
      <c r="C651">
        <f>C650*C639</f>
        <v>69802.999333</v>
      </c>
    </row>
    <row r="652" spans="2:3" ht="15" customHeight="1" x14ac:dyDescent="0.45">
      <c r="B652" s="16" t="str">
        <f t="shared" ref="B652:C654" si="2">B630</f>
        <v>Capital leases - short term</v>
      </c>
      <c r="C652">
        <f t="shared" si="2"/>
        <v>88.165999999999997</v>
      </c>
    </row>
    <row r="653" spans="2:3" ht="15" customHeight="1" x14ac:dyDescent="0.45">
      <c r="B653" s="16" t="str">
        <f t="shared" si="2"/>
        <v>Capital leases - long term</v>
      </c>
      <c r="C653">
        <f t="shared" si="2"/>
        <v>59.695</v>
      </c>
    </row>
    <row r="654" spans="2:3" ht="15" customHeight="1" x14ac:dyDescent="0.45">
      <c r="B654" s="16" t="str">
        <f t="shared" si="2"/>
        <v>Cash and cash equivalents</v>
      </c>
      <c r="C654">
        <f t="shared" si="2"/>
        <v>911.471</v>
      </c>
    </row>
    <row r="655" spans="2:3" ht="15" customHeight="1" x14ac:dyDescent="0.45">
      <c r="B655" s="16" t="str">
        <f>B633</f>
        <v>Short term investments</v>
      </c>
      <c r="C655">
        <f>C633</f>
        <v>2583.877</v>
      </c>
    </row>
    <row r="656" spans="2:3" ht="15" customHeight="1" x14ac:dyDescent="0.45">
      <c r="B656" s="16" t="str">
        <f>B634</f>
        <v>Enterprise value</v>
      </c>
      <c r="C656">
        <f>SUM(C651:C653)-SUM(C654:C655)</f>
        <v>66455.512333000006</v>
      </c>
    </row>
    <row r="658" spans="1:3" ht="15" customHeight="1" x14ac:dyDescent="0.45">
      <c r="A658" s="15" t="s">
        <v>55</v>
      </c>
      <c r="C658" s="65"/>
    </row>
    <row r="659" spans="1:3" ht="15" customHeight="1" x14ac:dyDescent="0.45">
      <c r="B659" s="16" t="s">
        <v>126</v>
      </c>
    </row>
    <row r="661" spans="1:3" ht="15" customHeight="1" x14ac:dyDescent="0.45">
      <c r="B661" s="16" t="s">
        <v>163</v>
      </c>
      <c r="C661" s="66">
        <v>12.42</v>
      </c>
    </row>
    <row r="662" spans="1:3" ht="15" customHeight="1" x14ac:dyDescent="0.45">
      <c r="B662" s="16" t="s">
        <v>429</v>
      </c>
      <c r="C662" s="65">
        <v>649.20247864615385</v>
      </c>
    </row>
    <row r="663" spans="1:3" ht="15" customHeight="1" x14ac:dyDescent="0.45">
      <c r="B663" s="16" t="s">
        <v>167</v>
      </c>
      <c r="C663" s="65">
        <v>32.5</v>
      </c>
    </row>
    <row r="664" spans="1:3" ht="15" customHeight="1" x14ac:dyDescent="0.45">
      <c r="B664" s="16" t="s">
        <v>164</v>
      </c>
      <c r="C664" s="65">
        <v>130956.8</v>
      </c>
    </row>
    <row r="665" spans="1:3" ht="15" customHeight="1" x14ac:dyDescent="0.45">
      <c r="B665" s="16" t="s">
        <v>165</v>
      </c>
      <c r="C665" s="65">
        <v>18060.730338461541</v>
      </c>
    </row>
    <row r="666" spans="1:3" ht="15" customHeight="1" x14ac:dyDescent="0.45">
      <c r="B666" s="16" t="s">
        <v>166</v>
      </c>
      <c r="C666" s="65">
        <v>21824</v>
      </c>
    </row>
    <row r="668" spans="1:3" ht="15" customHeight="1" x14ac:dyDescent="0.45">
      <c r="B668" s="16" t="s">
        <v>168</v>
      </c>
    </row>
    <row r="670" spans="1:3" ht="15" customHeight="1" x14ac:dyDescent="0.45">
      <c r="B670" s="16" t="s">
        <v>379</v>
      </c>
      <c r="C670" s="65">
        <v>7</v>
      </c>
    </row>
    <row r="671" spans="1:3" ht="15" customHeight="1" x14ac:dyDescent="0.45">
      <c r="B671" s="16" t="s">
        <v>39</v>
      </c>
      <c r="C671" s="67">
        <f>C661</f>
        <v>12.42</v>
      </c>
    </row>
    <row r="672" spans="1:3" ht="15" customHeight="1" x14ac:dyDescent="0.45">
      <c r="B672" s="16" t="s">
        <v>79</v>
      </c>
      <c r="C672">
        <f>C662*C670</f>
        <v>4544.4173505230774</v>
      </c>
    </row>
    <row r="673" spans="1:4" ht="15" customHeight="1" x14ac:dyDescent="0.45">
      <c r="B673" s="16" t="str">
        <f>B663</f>
        <v>Net new shares from dilution - 10Q 30th September</v>
      </c>
      <c r="C673">
        <f>C663*C670</f>
        <v>227.5</v>
      </c>
      <c r="D673" s="32"/>
    </row>
    <row r="674" spans="1:4" ht="15" customHeight="1" x14ac:dyDescent="0.45">
      <c r="B674" s="16" t="s">
        <v>31</v>
      </c>
      <c r="C674">
        <f>SUM(C672:C673)*C671</f>
        <v>59267.213493496623</v>
      </c>
    </row>
    <row r="675" spans="1:4" ht="15" customHeight="1" x14ac:dyDescent="0.45">
      <c r="B675" s="16" t="str">
        <f t="shared" ref="B675:C677" si="3">B664</f>
        <v>Debt - market value, 10Q 30th September</v>
      </c>
      <c r="C675">
        <f t="shared" si="3"/>
        <v>130956.8</v>
      </c>
    </row>
    <row r="676" spans="1:4" ht="15" customHeight="1" x14ac:dyDescent="0.45">
      <c r="B676" s="16" t="str">
        <f t="shared" si="3"/>
        <v>Cash and cash equivalents - 10Q 30th September</v>
      </c>
      <c r="C676">
        <f t="shared" si="3"/>
        <v>18060.730338461541</v>
      </c>
    </row>
    <row r="677" spans="1:4" ht="15" customHeight="1" x14ac:dyDescent="0.45">
      <c r="B677" s="16" t="str">
        <f t="shared" si="3"/>
        <v>Marketable securities - 10Q 30th September</v>
      </c>
      <c r="C677">
        <f t="shared" si="3"/>
        <v>21824</v>
      </c>
    </row>
    <row r="678" spans="1:4" ht="15" customHeight="1" x14ac:dyDescent="0.45">
      <c r="B678" s="16" t="s">
        <v>32</v>
      </c>
      <c r="C678">
        <f>C671*(C672+C673)+C675-C676-C677</f>
        <v>150339.28315503508</v>
      </c>
    </row>
    <row r="680" spans="1:4" ht="15" customHeight="1" x14ac:dyDescent="0.45">
      <c r="A680" s="15" t="s">
        <v>57</v>
      </c>
      <c r="C680" s="67"/>
    </row>
    <row r="681" spans="1:4" ht="15" customHeight="1" x14ac:dyDescent="0.45">
      <c r="B681" s="16" t="s">
        <v>126</v>
      </c>
    </row>
    <row r="683" spans="1:4" ht="15" customHeight="1" x14ac:dyDescent="0.45">
      <c r="B683" s="16" t="s">
        <v>430</v>
      </c>
      <c r="C683" s="66">
        <v>5.42</v>
      </c>
    </row>
    <row r="684" spans="1:4" ht="15" customHeight="1" x14ac:dyDescent="0.45">
      <c r="B684" s="16" t="s">
        <v>431</v>
      </c>
      <c r="C684" s="65">
        <v>389.5</v>
      </c>
    </row>
    <row r="685" spans="1:4" ht="15" customHeight="1" x14ac:dyDescent="0.45">
      <c r="B685" s="16" t="s">
        <v>432</v>
      </c>
      <c r="C685" s="65">
        <v>19.5</v>
      </c>
    </row>
    <row r="686" spans="1:4" ht="15" customHeight="1" x14ac:dyDescent="0.45">
      <c r="B686" s="16" t="s">
        <v>433</v>
      </c>
      <c r="C686" s="65">
        <v>78574.100000000006</v>
      </c>
    </row>
    <row r="687" spans="1:4" ht="15" customHeight="1" x14ac:dyDescent="0.45">
      <c r="B687" s="16" t="s">
        <v>434</v>
      </c>
      <c r="C687" s="65">
        <v>10836.5</v>
      </c>
    </row>
    <row r="689" spans="1:7" ht="15" customHeight="1" x14ac:dyDescent="0.45">
      <c r="B689" s="16" t="s">
        <v>439</v>
      </c>
      <c r="F689" s="32"/>
    </row>
    <row r="691" spans="1:7" ht="15" customHeight="1" x14ac:dyDescent="0.45">
      <c r="B691" s="16" t="s">
        <v>39</v>
      </c>
      <c r="C691" s="67">
        <f>C683</f>
        <v>5.42</v>
      </c>
    </row>
    <row r="692" spans="1:7" ht="15" customHeight="1" x14ac:dyDescent="0.45">
      <c r="B692" s="16" t="s">
        <v>79</v>
      </c>
      <c r="C692">
        <f>C684</f>
        <v>389.5</v>
      </c>
    </row>
    <row r="693" spans="1:7" ht="15" customHeight="1" x14ac:dyDescent="0.45">
      <c r="B693" s="16" t="str">
        <f>B685</f>
        <v>Net new shares from dilution - 10K 31st December Year 1</v>
      </c>
      <c r="C693">
        <f>C685</f>
        <v>19.5</v>
      </c>
      <c r="D693" s="65"/>
      <c r="E693" s="65"/>
      <c r="F693" s="65"/>
      <c r="G693" s="65"/>
    </row>
    <row r="694" spans="1:7" ht="15" customHeight="1" x14ac:dyDescent="0.45">
      <c r="B694" s="16" t="s">
        <v>31</v>
      </c>
      <c r="C694">
        <f>SUM(C692:C693)*C691</f>
        <v>2216.7799999999997</v>
      </c>
      <c r="D694" s="65"/>
      <c r="E694" s="65"/>
      <c r="F694" s="65"/>
      <c r="G694" s="65"/>
    </row>
    <row r="695" spans="1:7" ht="15" customHeight="1" x14ac:dyDescent="0.45">
      <c r="B695" s="16" t="s">
        <v>50</v>
      </c>
      <c r="C695">
        <f>C686</f>
        <v>78574.100000000006</v>
      </c>
      <c r="D695" s="69"/>
      <c r="E695" s="69"/>
      <c r="F695" s="69"/>
      <c r="G695" s="69"/>
    </row>
    <row r="696" spans="1:7" ht="15" customHeight="1" x14ac:dyDescent="0.45">
      <c r="B696" s="16" t="s">
        <v>380</v>
      </c>
      <c r="C696" s="65">
        <v>25000</v>
      </c>
      <c r="D696" s="69"/>
      <c r="E696" s="69"/>
      <c r="F696" s="69"/>
      <c r="G696" s="69"/>
    </row>
    <row r="697" spans="1:7" ht="15" customHeight="1" x14ac:dyDescent="0.45">
      <c r="B697" s="16" t="s">
        <v>435</v>
      </c>
      <c r="C697">
        <f>C687+C696</f>
        <v>35836.5</v>
      </c>
      <c r="D697" s="69"/>
      <c r="E697" s="69"/>
      <c r="F697" s="69"/>
      <c r="G697" s="69"/>
    </row>
    <row r="698" spans="1:7" ht="15" customHeight="1" x14ac:dyDescent="0.45">
      <c r="B698" s="16" t="s">
        <v>32</v>
      </c>
      <c r="C698">
        <f>SUM(C694:C696)-C697</f>
        <v>69954.38</v>
      </c>
      <c r="D698" s="69"/>
      <c r="E698" s="69"/>
      <c r="F698" s="69"/>
      <c r="G698" s="69"/>
    </row>
    <row r="699" spans="1:7" ht="15" customHeight="1" x14ac:dyDescent="0.45">
      <c r="D699" s="69"/>
      <c r="E699" s="69"/>
      <c r="F699" s="69"/>
      <c r="G699" s="69"/>
    </row>
    <row r="700" spans="1:7" ht="15" customHeight="1" x14ac:dyDescent="0.45">
      <c r="A700" s="15" t="s">
        <v>324</v>
      </c>
      <c r="D700" s="69"/>
      <c r="E700" s="69"/>
      <c r="F700" s="69"/>
      <c r="G700" s="69"/>
    </row>
    <row r="701" spans="1:7" ht="15" customHeight="1" x14ac:dyDescent="0.45">
      <c r="B701" s="16" t="s">
        <v>369</v>
      </c>
      <c r="D701" s="69"/>
      <c r="E701" s="69"/>
      <c r="F701" s="69"/>
      <c r="G701" s="69"/>
    </row>
    <row r="702" spans="1:7" ht="15" customHeight="1" x14ac:dyDescent="0.45">
      <c r="D702" s="69"/>
      <c r="E702" s="69"/>
      <c r="F702" s="69"/>
      <c r="G702" s="69"/>
    </row>
    <row r="703" spans="1:7" ht="15" customHeight="1" x14ac:dyDescent="0.45">
      <c r="B703" s="16" t="s">
        <v>145</v>
      </c>
      <c r="C703" s="66">
        <v>15.61</v>
      </c>
      <c r="D703" s="69"/>
      <c r="E703" s="69"/>
      <c r="F703" s="69"/>
      <c r="G703" s="69"/>
    </row>
    <row r="704" spans="1:7" ht="15" customHeight="1" x14ac:dyDescent="0.45">
      <c r="B704" s="16" t="s">
        <v>79</v>
      </c>
      <c r="C704" s="65">
        <v>1029</v>
      </c>
      <c r="D704" s="65"/>
      <c r="E704" s="69"/>
      <c r="F704" s="69"/>
      <c r="G704" s="69"/>
    </row>
    <row r="705" spans="2:7" ht="15" customHeight="1" x14ac:dyDescent="0.45">
      <c r="B705" s="16" t="s">
        <v>325</v>
      </c>
      <c r="C705" s="65">
        <v>340</v>
      </c>
      <c r="D705" s="69"/>
      <c r="E705" s="69"/>
      <c r="F705" s="69"/>
      <c r="G705" s="69"/>
    </row>
    <row r="706" spans="2:7" ht="15" customHeight="1" x14ac:dyDescent="0.45">
      <c r="B706" s="16" t="s">
        <v>326</v>
      </c>
      <c r="C706" s="66">
        <v>12.45</v>
      </c>
      <c r="D706" s="69"/>
      <c r="E706" s="69"/>
      <c r="F706" s="69"/>
      <c r="G706" s="69"/>
    </row>
    <row r="707" spans="2:7" ht="15" customHeight="1" x14ac:dyDescent="0.45">
      <c r="B707" s="16" t="s">
        <v>442</v>
      </c>
      <c r="C707" s="65">
        <v>102</v>
      </c>
      <c r="D707" s="69"/>
      <c r="E707" s="69"/>
      <c r="F707" s="69"/>
      <c r="G707" s="69"/>
    </row>
    <row r="708" spans="2:7" ht="15" customHeight="1" x14ac:dyDescent="0.45">
      <c r="B708" s="16" t="s">
        <v>327</v>
      </c>
      <c r="C708" s="65">
        <v>1257</v>
      </c>
      <c r="D708" s="69"/>
      <c r="E708" s="69"/>
      <c r="F708" s="69"/>
      <c r="G708" s="69"/>
    </row>
    <row r="709" spans="2:7" ht="15" customHeight="1" x14ac:dyDescent="0.45">
      <c r="B709" s="16" t="s">
        <v>328</v>
      </c>
      <c r="C709" s="65">
        <v>210</v>
      </c>
      <c r="D709" s="69"/>
      <c r="E709" s="69"/>
      <c r="F709" s="69"/>
      <c r="G709" s="69"/>
    </row>
    <row r="710" spans="2:7" ht="15" customHeight="1" x14ac:dyDescent="0.45">
      <c r="B710" s="16" t="s">
        <v>329</v>
      </c>
      <c r="C710" s="65">
        <v>650</v>
      </c>
      <c r="D710" s="69"/>
      <c r="E710" s="69"/>
      <c r="F710" s="69"/>
      <c r="G710" s="69"/>
    </row>
    <row r="711" spans="2:7" ht="15" customHeight="1" x14ac:dyDescent="0.45">
      <c r="B711" s="16" t="s">
        <v>330</v>
      </c>
      <c r="C711" s="65">
        <v>123</v>
      </c>
      <c r="D711" s="69"/>
      <c r="E711" s="69"/>
      <c r="F711" s="69"/>
      <c r="G711" s="69"/>
    </row>
    <row r="712" spans="2:7" ht="15" customHeight="1" x14ac:dyDescent="0.45">
      <c r="B712" s="16" t="s">
        <v>260</v>
      </c>
      <c r="C712" s="65">
        <v>650</v>
      </c>
      <c r="D712" s="69"/>
      <c r="E712" s="69"/>
      <c r="F712" s="69"/>
      <c r="G712" s="69"/>
    </row>
    <row r="713" spans="2:7" ht="15" customHeight="1" x14ac:dyDescent="0.45">
      <c r="B713" s="16" t="s">
        <v>332</v>
      </c>
      <c r="C713" s="65">
        <v>7455</v>
      </c>
      <c r="D713" s="69"/>
      <c r="E713" s="69"/>
      <c r="F713" s="69"/>
      <c r="G713" s="69"/>
    </row>
    <row r="714" spans="2:7" ht="15" customHeight="1" x14ac:dyDescent="0.45">
      <c r="B714" s="16" t="s">
        <v>333</v>
      </c>
      <c r="C714" s="65">
        <v>1567</v>
      </c>
      <c r="D714" s="69"/>
      <c r="E714" s="69"/>
      <c r="F714" s="69"/>
      <c r="G714" s="69"/>
    </row>
    <row r="715" spans="2:7" ht="15" customHeight="1" x14ac:dyDescent="0.45">
      <c r="B715" s="16" t="s">
        <v>371</v>
      </c>
      <c r="C715" s="65">
        <v>670</v>
      </c>
      <c r="D715" s="69"/>
      <c r="E715" s="69"/>
      <c r="F715" s="69"/>
      <c r="G715" s="69"/>
    </row>
    <row r="716" spans="2:7" ht="15" customHeight="1" x14ac:dyDescent="0.45">
      <c r="B716" s="16" t="s">
        <v>331</v>
      </c>
      <c r="C716" s="65">
        <v>1289</v>
      </c>
    </row>
    <row r="717" spans="2:7" ht="15" customHeight="1" x14ac:dyDescent="0.45">
      <c r="C717" s="65"/>
    </row>
    <row r="718" spans="2:7" ht="15" customHeight="1" x14ac:dyDescent="0.45">
      <c r="B718" s="16" t="str">
        <f>B704</f>
        <v>Basic shares outstanding</v>
      </c>
      <c r="C718">
        <f>C704</f>
        <v>1029</v>
      </c>
    </row>
    <row r="719" spans="2:7" ht="15" customHeight="1" x14ac:dyDescent="0.45">
      <c r="B719" s="16" t="s">
        <v>334</v>
      </c>
      <c r="C719">
        <f>(C703-C706)/C703*C705</f>
        <v>68.827674567584879</v>
      </c>
    </row>
    <row r="720" spans="2:7" ht="15" customHeight="1" x14ac:dyDescent="0.45">
      <c r="B720" s="16" t="s">
        <v>335</v>
      </c>
      <c r="C720">
        <f>C707</f>
        <v>102</v>
      </c>
    </row>
    <row r="721" spans="1:7" ht="15" customHeight="1" x14ac:dyDescent="0.45">
      <c r="B721" s="16" t="s">
        <v>62</v>
      </c>
      <c r="C721">
        <f>SUM(C718:C720)</f>
        <v>1199.8276745675848</v>
      </c>
    </row>
    <row r="722" spans="1:7" ht="15" customHeight="1" x14ac:dyDescent="0.45">
      <c r="B722" s="16" t="str">
        <f>B703</f>
        <v>Current share price</v>
      </c>
      <c r="C722" s="67">
        <f>C703</f>
        <v>15.61</v>
      </c>
    </row>
    <row r="723" spans="1:7" ht="15" customHeight="1" x14ac:dyDescent="0.45">
      <c r="B723" s="16" t="s">
        <v>336</v>
      </c>
      <c r="C723">
        <f>C722*C721</f>
        <v>18729.309999999998</v>
      </c>
    </row>
    <row r="724" spans="1:7" ht="15" customHeight="1" x14ac:dyDescent="0.45">
      <c r="B724" s="16" t="str">
        <f t="shared" ref="B724:C726" si="4">B708</f>
        <v>Cash and equivalents</v>
      </c>
      <c r="C724">
        <f t="shared" si="4"/>
        <v>1257</v>
      </c>
    </row>
    <row r="725" spans="1:7" ht="15" customHeight="1" x14ac:dyDescent="0.45">
      <c r="B725" s="16" t="str">
        <f t="shared" si="4"/>
        <v>Non-core assets</v>
      </c>
      <c r="C725">
        <f t="shared" si="4"/>
        <v>210</v>
      </c>
    </row>
    <row r="726" spans="1:7" ht="15" customHeight="1" x14ac:dyDescent="0.45">
      <c r="B726" s="16" t="str">
        <f t="shared" si="4"/>
        <v>Equity affiliates (MV)</v>
      </c>
      <c r="C726">
        <f t="shared" si="4"/>
        <v>650</v>
      </c>
    </row>
    <row r="727" spans="1:7" ht="15" customHeight="1" x14ac:dyDescent="0.45">
      <c r="B727" s="16" t="str">
        <f t="shared" ref="B727:C731" si="5">B712</f>
        <v>Total debt</v>
      </c>
      <c r="C727">
        <f t="shared" si="5"/>
        <v>650</v>
      </c>
    </row>
    <row r="728" spans="1:7" ht="15" customHeight="1" x14ac:dyDescent="0.45">
      <c r="B728" s="16" t="str">
        <f t="shared" si="5"/>
        <v>Operating leases, valued at</v>
      </c>
      <c r="C728">
        <f t="shared" si="5"/>
        <v>7455</v>
      </c>
    </row>
    <row r="729" spans="1:7" ht="15" customHeight="1" x14ac:dyDescent="0.45">
      <c r="B729" s="16" t="str">
        <f t="shared" si="5"/>
        <v>Pension deficit, valued at</v>
      </c>
      <c r="C729">
        <f t="shared" si="5"/>
        <v>1567</v>
      </c>
    </row>
    <row r="730" spans="1:7" ht="15" customHeight="1" x14ac:dyDescent="0.45">
      <c r="B730" s="16" t="str">
        <f t="shared" si="5"/>
        <v xml:space="preserve">Non operating provisions </v>
      </c>
      <c r="C730">
        <f t="shared" si="5"/>
        <v>670</v>
      </c>
    </row>
    <row r="731" spans="1:7" ht="15" customHeight="1" x14ac:dyDescent="0.45">
      <c r="B731" s="16" t="str">
        <f t="shared" si="5"/>
        <v>Preference shares</v>
      </c>
      <c r="C731">
        <f t="shared" si="5"/>
        <v>1289</v>
      </c>
    </row>
    <row r="732" spans="1:7" ht="15" customHeight="1" x14ac:dyDescent="0.45">
      <c r="B732" s="16" t="s">
        <v>32</v>
      </c>
      <c r="C732">
        <f>C723+SUM(C727:C731)-SUM(C724:C726)</f>
        <v>28243.309999999998</v>
      </c>
    </row>
    <row r="734" spans="1:7" ht="15" customHeight="1" x14ac:dyDescent="0.45">
      <c r="A734" s="15" t="s">
        <v>56</v>
      </c>
      <c r="C734" s="72"/>
      <c r="D734" s="72"/>
      <c r="E734" s="72"/>
      <c r="F734" s="72"/>
      <c r="G734" s="72"/>
    </row>
    <row r="738" spans="3:7" ht="15" customHeight="1" x14ac:dyDescent="0.45">
      <c r="C738" s="70"/>
      <c r="D738" s="70"/>
      <c r="E738" s="70"/>
      <c r="F738" s="70"/>
      <c r="G738" s="70"/>
    </row>
  </sheetData>
  <pageMargins left="0.7" right="0.7" top="0.75" bottom="0.75" header="0.3" footer="0.3"/>
  <pageSetup paperSize="9" scale="68" orientation="landscape" r:id="rId1"/>
  <headerFooter>
    <oddHeader xml:space="preserve">&amp;R&amp;10&amp;F 
&amp;A
</oddHeader>
    <oddFooter>&amp;L&amp;10© 2016&amp;C&amp;10Page &amp;P of &amp;N&amp;R&amp;G</oddFooter>
  </headerFooter>
  <rowBreaks count="7" manualBreakCount="7">
    <brk id="53" max="16383" man="1"/>
    <brk id="315" max="16383" man="1"/>
    <brk id="442" max="16383" man="1"/>
    <brk id="461" max="16383" man="1"/>
    <brk id="499" max="16383" man="1"/>
    <brk id="547" max="16383" man="1"/>
    <brk id="607" max="16383" man="1"/>
  </rowBreaks>
  <drawing r:id="rId2"/>
  <legacyDrawing r:id="rId3"/>
  <legacyDrawingHF r:id="rId4"/>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801"/>
  <sheetViews>
    <sheetView zoomScaleNormal="100" workbookViewId="0"/>
  </sheetViews>
  <sheetFormatPr defaultColWidth="9.1328125" defaultRowHeight="15" customHeight="1" x14ac:dyDescent="0.45"/>
  <cols>
    <col min="1" max="1" width="1.46484375" style="15" customWidth="1"/>
    <col min="2" max="2" width="45.6640625" style="16" customWidth="1"/>
    <col min="3" max="10" width="11" customWidth="1"/>
    <col min="11" max="11" width="9.1328125" customWidth="1"/>
    <col min="12" max="12" width="9.33203125" customWidth="1"/>
  </cols>
  <sheetData>
    <row r="1" spans="1:10" s="50" customFormat="1" ht="45" customHeight="1" x14ac:dyDescent="0.85">
      <c r="A1" s="5" t="s">
        <v>58</v>
      </c>
      <c r="B1" s="10"/>
      <c r="C1" s="12"/>
      <c r="D1" s="12"/>
      <c r="E1" s="12"/>
      <c r="F1" s="12"/>
      <c r="G1" s="12"/>
      <c r="H1" s="12"/>
      <c r="I1" s="12"/>
      <c r="J1" s="12"/>
    </row>
    <row r="2" spans="1:10" s="37" customFormat="1" ht="30" customHeight="1" x14ac:dyDescent="0.65">
      <c r="A2" s="14"/>
      <c r="B2" s="7"/>
      <c r="C2" s="11"/>
      <c r="D2" s="11"/>
      <c r="E2" s="11"/>
      <c r="F2" s="11"/>
      <c r="G2" s="11"/>
      <c r="H2" s="11"/>
      <c r="I2" s="11"/>
      <c r="J2" s="11"/>
    </row>
    <row r="3" spans="1:10" ht="15" customHeight="1" x14ac:dyDescent="0.45">
      <c r="A3" s="15" t="s">
        <v>16</v>
      </c>
    </row>
    <row r="4" spans="1:10" ht="15" customHeight="1" x14ac:dyDescent="0.45">
      <c r="B4" s="16" t="s">
        <v>196</v>
      </c>
      <c r="C4" s="65"/>
    </row>
    <row r="5" spans="1:10" ht="15" customHeight="1" x14ac:dyDescent="0.45">
      <c r="C5" s="69"/>
    </row>
    <row r="6" spans="1:10" ht="15" customHeight="1" x14ac:dyDescent="0.45">
      <c r="B6" s="16" t="s">
        <v>173</v>
      </c>
      <c r="C6" s="65">
        <v>34067</v>
      </c>
    </row>
    <row r="7" spans="1:10" ht="15" customHeight="1" x14ac:dyDescent="0.45">
      <c r="B7" s="16" t="s">
        <v>198</v>
      </c>
      <c r="C7" s="65">
        <v>-14578</v>
      </c>
    </row>
    <row r="8" spans="1:10" ht="15" customHeight="1" x14ac:dyDescent="0.45">
      <c r="A8" s="64"/>
      <c r="B8" s="16" t="s">
        <v>199</v>
      </c>
      <c r="C8" s="65">
        <v>-5670</v>
      </c>
    </row>
    <row r="9" spans="1:10" ht="15" customHeight="1" x14ac:dyDescent="0.45">
      <c r="B9" s="16" t="s">
        <v>200</v>
      </c>
      <c r="C9">
        <f>SUM(C6:C8)</f>
        <v>13819</v>
      </c>
    </row>
    <row r="10" spans="1:10" ht="15" customHeight="1" x14ac:dyDescent="0.45">
      <c r="B10" s="16" t="s">
        <v>202</v>
      </c>
      <c r="C10" s="65">
        <v>126</v>
      </c>
    </row>
    <row r="11" spans="1:10" ht="15" customHeight="1" x14ac:dyDescent="0.45">
      <c r="B11" s="16" t="s">
        <v>201</v>
      </c>
      <c r="C11" s="65">
        <v>-4578</v>
      </c>
    </row>
    <row r="12" spans="1:10" ht="15" customHeight="1" x14ac:dyDescent="0.45">
      <c r="B12" s="16" t="s">
        <v>203</v>
      </c>
      <c r="C12">
        <f>SUM(C9:C11)</f>
        <v>9367</v>
      </c>
    </row>
    <row r="13" spans="1:10" ht="15" customHeight="1" x14ac:dyDescent="0.45">
      <c r="B13" s="16" t="s">
        <v>204</v>
      </c>
      <c r="C13" s="65">
        <v>-2810.1</v>
      </c>
    </row>
    <row r="14" spans="1:10" ht="15" customHeight="1" x14ac:dyDescent="0.45">
      <c r="B14" s="16" t="s">
        <v>205</v>
      </c>
      <c r="C14">
        <f>C13+C12</f>
        <v>6556.9</v>
      </c>
    </row>
    <row r="16" spans="1:10" ht="15" customHeight="1" x14ac:dyDescent="0.45">
      <c r="B16" s="16" t="s">
        <v>206</v>
      </c>
      <c r="C16" s="65">
        <v>6702</v>
      </c>
    </row>
    <row r="17" spans="1:3" ht="15" customHeight="1" x14ac:dyDescent="0.45">
      <c r="B17" s="16" t="s">
        <v>207</v>
      </c>
      <c r="C17" s="65">
        <v>2096</v>
      </c>
    </row>
    <row r="19" spans="1:3" ht="15" customHeight="1" x14ac:dyDescent="0.45">
      <c r="B19" s="16" t="str">
        <f>B9</f>
        <v>Operating profit</v>
      </c>
      <c r="C19">
        <f>C9</f>
        <v>13819</v>
      </c>
    </row>
    <row r="20" spans="1:3" ht="15" customHeight="1" x14ac:dyDescent="0.45">
      <c r="B20" s="16" t="str">
        <f>B17</f>
        <v>Non-recurring restructuring expense in SG&amp;A</v>
      </c>
      <c r="C20">
        <f>C17</f>
        <v>2096</v>
      </c>
    </row>
    <row r="21" spans="1:3" ht="15" customHeight="1" x14ac:dyDescent="0.45">
      <c r="B21" s="16" t="s">
        <v>37</v>
      </c>
      <c r="C21">
        <f>SUM(C19:C20)</f>
        <v>15915</v>
      </c>
    </row>
    <row r="22" spans="1:3" ht="15" customHeight="1" x14ac:dyDescent="0.45">
      <c r="B22" s="16" t="str">
        <f>B16</f>
        <v>Depreciation and amortization</v>
      </c>
      <c r="C22">
        <f>C16</f>
        <v>6702</v>
      </c>
    </row>
    <row r="23" spans="1:3" ht="15" customHeight="1" x14ac:dyDescent="0.45">
      <c r="B23" s="16" t="s">
        <v>38</v>
      </c>
      <c r="C23">
        <f>C22+C21</f>
        <v>22617</v>
      </c>
    </row>
    <row r="24" spans="1:3" ht="15" customHeight="1" x14ac:dyDescent="0.45">
      <c r="C24" s="65"/>
    </row>
    <row r="25" spans="1:3" ht="15" customHeight="1" x14ac:dyDescent="0.45">
      <c r="A25" s="15" t="s">
        <v>21</v>
      </c>
    </row>
    <row r="26" spans="1:3" ht="15" customHeight="1" x14ac:dyDescent="0.45">
      <c r="B26" s="16" t="s">
        <v>436</v>
      </c>
      <c r="C26" s="65"/>
    </row>
    <row r="27" spans="1:3" ht="15" customHeight="1" x14ac:dyDescent="0.45">
      <c r="B27" s="16" t="s">
        <v>387</v>
      </c>
      <c r="C27" s="65"/>
    </row>
    <row r="28" spans="1:3" ht="15" customHeight="1" x14ac:dyDescent="0.45">
      <c r="C28" s="65"/>
    </row>
    <row r="29" spans="1:3" ht="15" customHeight="1" x14ac:dyDescent="0.45">
      <c r="B29" s="16" t="s">
        <v>197</v>
      </c>
      <c r="C29" s="65"/>
    </row>
    <row r="33" spans="3:3" ht="15" customHeight="1" x14ac:dyDescent="0.45">
      <c r="C33" s="65"/>
    </row>
    <row r="34" spans="3:3" ht="15" customHeight="1" x14ac:dyDescent="0.45">
      <c r="C34" s="65"/>
    </row>
    <row r="35" spans="3:3" ht="15" customHeight="1" x14ac:dyDescent="0.45">
      <c r="C35" s="66"/>
    </row>
    <row r="36" spans="3:3" ht="15" customHeight="1" x14ac:dyDescent="0.45">
      <c r="C36" s="65"/>
    </row>
    <row r="37" spans="3:3" ht="15" customHeight="1" x14ac:dyDescent="0.45">
      <c r="C37" s="65"/>
    </row>
    <row r="38" spans="3:3" ht="15" customHeight="1" x14ac:dyDescent="0.45">
      <c r="C38" s="66"/>
    </row>
    <row r="51" spans="2:2" ht="15" customHeight="1" x14ac:dyDescent="0.45">
      <c r="B51" s="16" t="s">
        <v>208</v>
      </c>
    </row>
    <row r="66" spans="2:6" ht="15" customHeight="1" x14ac:dyDescent="0.45">
      <c r="C66" s="66"/>
    </row>
    <row r="67" spans="2:6" ht="15" customHeight="1" x14ac:dyDescent="0.45">
      <c r="C67" s="65"/>
    </row>
    <row r="68" spans="2:6" ht="15" customHeight="1" x14ac:dyDescent="0.45">
      <c r="C68" s="65"/>
    </row>
    <row r="69" spans="2:6" ht="15" customHeight="1" x14ac:dyDescent="0.45">
      <c r="C69" s="16"/>
      <c r="D69" s="16"/>
      <c r="E69" s="16"/>
      <c r="F69" s="16"/>
    </row>
    <row r="70" spans="2:6" ht="15" customHeight="1" x14ac:dyDescent="0.45">
      <c r="C70" s="66"/>
    </row>
    <row r="71" spans="2:6" ht="15" customHeight="1" x14ac:dyDescent="0.45">
      <c r="C71" s="66"/>
    </row>
    <row r="72" spans="2:6" ht="15" customHeight="1" x14ac:dyDescent="0.45">
      <c r="C72" s="66"/>
    </row>
    <row r="73" spans="2:6" ht="15" customHeight="1" x14ac:dyDescent="0.45">
      <c r="B73" s="16" t="s">
        <v>209</v>
      </c>
      <c r="C73" s="65">
        <v>96372</v>
      </c>
    </row>
    <row r="74" spans="2:6" ht="15" customHeight="1" x14ac:dyDescent="0.45">
      <c r="B74" s="16" t="s">
        <v>210</v>
      </c>
      <c r="C74" s="65">
        <v>-21113</v>
      </c>
    </row>
    <row r="75" spans="2:6" ht="15" customHeight="1" x14ac:dyDescent="0.45">
      <c r="B75" s="16" t="s">
        <v>388</v>
      </c>
      <c r="C75" s="65">
        <v>1200</v>
      </c>
    </row>
    <row r="76" spans="2:6" ht="15" customHeight="1" x14ac:dyDescent="0.45">
      <c r="B76" s="16" t="s">
        <v>37</v>
      </c>
      <c r="C76">
        <f>SUM(C73:C75)</f>
        <v>76459</v>
      </c>
    </row>
    <row r="77" spans="2:6" ht="15" customHeight="1" x14ac:dyDescent="0.45">
      <c r="C77" s="66"/>
    </row>
    <row r="78" spans="2:6" ht="15" customHeight="1" x14ac:dyDescent="0.45">
      <c r="B78" s="16" t="s">
        <v>211</v>
      </c>
      <c r="C78" s="65">
        <v>63236</v>
      </c>
    </row>
    <row r="79" spans="2:6" ht="15" customHeight="1" x14ac:dyDescent="0.45">
      <c r="B79" s="16" t="s">
        <v>38</v>
      </c>
      <c r="C79">
        <f>C78+C76</f>
        <v>139695</v>
      </c>
    </row>
    <row r="81" spans="1:3" ht="15" customHeight="1" x14ac:dyDescent="0.45">
      <c r="A81" s="15" t="s">
        <v>22</v>
      </c>
    </row>
    <row r="82" spans="1:3" ht="15" customHeight="1" x14ac:dyDescent="0.45">
      <c r="B82" s="16" t="s">
        <v>212</v>
      </c>
    </row>
    <row r="83" spans="1:3" ht="15" customHeight="1" x14ac:dyDescent="0.45">
      <c r="B83" s="16" t="s">
        <v>215</v>
      </c>
    </row>
    <row r="85" spans="1:3" ht="15" customHeight="1" x14ac:dyDescent="0.45">
      <c r="B85" s="16" t="s">
        <v>206</v>
      </c>
      <c r="C85" s="65">
        <v>308</v>
      </c>
    </row>
    <row r="86" spans="1:3" ht="15" customHeight="1" x14ac:dyDescent="0.45">
      <c r="B86" s="16" t="s">
        <v>213</v>
      </c>
      <c r="C86" s="65">
        <v>25</v>
      </c>
    </row>
    <row r="87" spans="1:3" ht="15" customHeight="1" x14ac:dyDescent="0.45">
      <c r="B87" s="16" t="s">
        <v>214</v>
      </c>
      <c r="C87" s="65">
        <v>58</v>
      </c>
    </row>
    <row r="88" spans="1:3" ht="15" customHeight="1" x14ac:dyDescent="0.45">
      <c r="C88" s="65"/>
    </row>
    <row r="89" spans="1:3" ht="15" customHeight="1" x14ac:dyDescent="0.45">
      <c r="B89" s="16" t="s">
        <v>389</v>
      </c>
      <c r="C89" s="65"/>
    </row>
    <row r="90" spans="1:3" ht="15" customHeight="1" x14ac:dyDescent="0.45">
      <c r="C90" s="65"/>
    </row>
    <row r="91" spans="1:3" ht="15" customHeight="1" x14ac:dyDescent="0.45">
      <c r="B91" s="16" t="s">
        <v>197</v>
      </c>
    </row>
    <row r="92" spans="1:3" ht="15" customHeight="1" x14ac:dyDescent="0.45">
      <c r="C92" s="65"/>
    </row>
    <row r="93" spans="1:3" ht="15" customHeight="1" x14ac:dyDescent="0.45">
      <c r="C93" s="66"/>
    </row>
    <row r="101" spans="3:3" ht="15" customHeight="1" x14ac:dyDescent="0.45">
      <c r="C101" s="66"/>
    </row>
    <row r="102" spans="3:3" ht="15" customHeight="1" x14ac:dyDescent="0.45">
      <c r="C102" s="65"/>
    </row>
    <row r="115" spans="1:4" ht="15" customHeight="1" x14ac:dyDescent="0.45">
      <c r="B115" s="16" t="s">
        <v>200</v>
      </c>
      <c r="C115" s="65">
        <v>-155</v>
      </c>
    </row>
    <row r="116" spans="1:4" ht="15" customHeight="1" x14ac:dyDescent="0.45">
      <c r="B116" s="16" t="s">
        <v>216</v>
      </c>
      <c r="C116" s="65">
        <v>1</v>
      </c>
      <c r="D116" s="66"/>
    </row>
    <row r="117" spans="1:4" ht="15" customHeight="1" x14ac:dyDescent="0.45">
      <c r="B117" s="16" t="s">
        <v>217</v>
      </c>
      <c r="C117" s="65">
        <v>54</v>
      </c>
      <c r="D117" s="66"/>
    </row>
    <row r="118" spans="1:4" ht="15" customHeight="1" x14ac:dyDescent="0.45">
      <c r="B118" s="16" t="str">
        <f>B86</f>
        <v>Acquisition costs in SG&amp;A</v>
      </c>
      <c r="C118">
        <f>C86</f>
        <v>25</v>
      </c>
      <c r="D118" s="66"/>
    </row>
    <row r="119" spans="1:4" ht="15" customHeight="1" x14ac:dyDescent="0.45">
      <c r="B119" s="16" t="str">
        <f>B87</f>
        <v>Accelerated depreciation and amortization charge</v>
      </c>
      <c r="C119">
        <f>C87</f>
        <v>58</v>
      </c>
      <c r="D119" s="66"/>
    </row>
    <row r="120" spans="1:4" ht="15" customHeight="1" x14ac:dyDescent="0.45">
      <c r="B120" s="16" t="s">
        <v>37</v>
      </c>
      <c r="C120">
        <f>SUM(C115:C119)</f>
        <v>-17</v>
      </c>
    </row>
    <row r="122" spans="1:4" ht="15" customHeight="1" x14ac:dyDescent="0.45">
      <c r="B122" s="16" t="s">
        <v>218</v>
      </c>
      <c r="C122">
        <f>C85</f>
        <v>308</v>
      </c>
    </row>
    <row r="123" spans="1:4" ht="15" customHeight="1" x14ac:dyDescent="0.45">
      <c r="B123" s="16" t="str">
        <f>B119</f>
        <v>Accelerated depreciation and amortization charge</v>
      </c>
      <c r="C123">
        <f>-C119</f>
        <v>-58</v>
      </c>
    </row>
    <row r="124" spans="1:4" ht="15" customHeight="1" x14ac:dyDescent="0.45">
      <c r="B124" s="16" t="s">
        <v>38</v>
      </c>
      <c r="C124">
        <f>SUM(C122:C123)+C120</f>
        <v>233</v>
      </c>
    </row>
    <row r="125" spans="1:4" ht="15" customHeight="1" x14ac:dyDescent="0.45">
      <c r="C125" s="67"/>
    </row>
    <row r="126" spans="1:4" ht="15" customHeight="1" x14ac:dyDescent="0.45">
      <c r="A126" s="15" t="s">
        <v>23</v>
      </c>
      <c r="C126" s="67"/>
    </row>
    <row r="127" spans="1:4" ht="15" customHeight="1" x14ac:dyDescent="0.45">
      <c r="B127" s="16" t="s">
        <v>241</v>
      </c>
      <c r="C127" s="67"/>
    </row>
    <row r="128" spans="1:4" ht="15" customHeight="1" x14ac:dyDescent="0.45">
      <c r="C128" s="67"/>
    </row>
    <row r="129" spans="2:3" ht="15" customHeight="1" x14ac:dyDescent="0.45">
      <c r="B129" s="16" t="s">
        <v>173</v>
      </c>
      <c r="C129" s="65">
        <v>1000</v>
      </c>
    </row>
    <row r="130" spans="2:3" ht="15" customHeight="1" x14ac:dyDescent="0.45">
      <c r="B130" s="16" t="s">
        <v>242</v>
      </c>
      <c r="C130" s="65">
        <v>-800</v>
      </c>
    </row>
    <row r="131" spans="2:3" ht="15" customHeight="1" x14ac:dyDescent="0.45">
      <c r="B131" s="16" t="s">
        <v>247</v>
      </c>
      <c r="C131" s="76">
        <f>SUM(C129:C130)</f>
        <v>200</v>
      </c>
    </row>
    <row r="132" spans="2:3" ht="15" customHeight="1" x14ac:dyDescent="0.45">
      <c r="B132" s="16" t="s">
        <v>243</v>
      </c>
      <c r="C132" s="65">
        <v>-30</v>
      </c>
    </row>
    <row r="133" spans="2:3" ht="15" customHeight="1" x14ac:dyDescent="0.45">
      <c r="B133" s="16" t="s">
        <v>200</v>
      </c>
      <c r="C133" s="76">
        <f>C132+C131</f>
        <v>170</v>
      </c>
    </row>
    <row r="134" spans="2:3" ht="15" customHeight="1" x14ac:dyDescent="0.45">
      <c r="B134" s="16" t="s">
        <v>244</v>
      </c>
      <c r="C134" s="65">
        <v>10</v>
      </c>
    </row>
    <row r="135" spans="2:3" ht="15" customHeight="1" x14ac:dyDescent="0.45">
      <c r="B135" s="16" t="s">
        <v>245</v>
      </c>
      <c r="C135" s="65">
        <v>-15</v>
      </c>
    </row>
    <row r="136" spans="2:3" ht="15" customHeight="1" x14ac:dyDescent="0.45">
      <c r="B136" s="16" t="s">
        <v>203</v>
      </c>
      <c r="C136" s="76">
        <f>SUM(C133:C135)</f>
        <v>165</v>
      </c>
    </row>
    <row r="137" spans="2:3" ht="15" customHeight="1" x14ac:dyDescent="0.45">
      <c r="B137" s="16" t="s">
        <v>204</v>
      </c>
      <c r="C137" s="65">
        <v>-49.5</v>
      </c>
    </row>
    <row r="138" spans="2:3" ht="15" customHeight="1" x14ac:dyDescent="0.45">
      <c r="B138" s="16" t="s">
        <v>248</v>
      </c>
      <c r="C138" s="76">
        <f>C137+C136</f>
        <v>115.5</v>
      </c>
    </row>
    <row r="139" spans="2:3" ht="15" customHeight="1" x14ac:dyDescent="0.45">
      <c r="B139" s="16" t="s">
        <v>426</v>
      </c>
      <c r="C139" s="65">
        <v>-10</v>
      </c>
    </row>
    <row r="140" spans="2:3" ht="15" customHeight="1" x14ac:dyDescent="0.45">
      <c r="B140" s="16" t="s">
        <v>366</v>
      </c>
      <c r="C140" s="65">
        <v>-20</v>
      </c>
    </row>
    <row r="141" spans="2:3" ht="15" customHeight="1" x14ac:dyDescent="0.45">
      <c r="B141" s="16" t="s">
        <v>246</v>
      </c>
      <c r="C141" s="76">
        <f>SUM(C138:C140)</f>
        <v>85.5</v>
      </c>
    </row>
    <row r="142" spans="2:3" ht="15" customHeight="1" x14ac:dyDescent="0.45">
      <c r="B142" s="16" t="s">
        <v>228</v>
      </c>
      <c r="C142" s="65">
        <v>60</v>
      </c>
    </row>
    <row r="143" spans="2:3" ht="15" customHeight="1" x14ac:dyDescent="0.45">
      <c r="B143" s="16" t="s">
        <v>174</v>
      </c>
      <c r="C143" s="67">
        <f>C141/C142</f>
        <v>1.425</v>
      </c>
    </row>
    <row r="144" spans="2:3" ht="15" customHeight="1" x14ac:dyDescent="0.45">
      <c r="C144" s="67"/>
    </row>
    <row r="145" spans="2:3" ht="15" customHeight="1" x14ac:dyDescent="0.45">
      <c r="B145" s="16" t="s">
        <v>390</v>
      </c>
      <c r="C145" s="67"/>
    </row>
    <row r="146" spans="2:3" ht="15" customHeight="1" x14ac:dyDescent="0.45">
      <c r="B146" s="16" t="s">
        <v>249</v>
      </c>
      <c r="C146" s="65">
        <v>20</v>
      </c>
    </row>
    <row r="147" spans="2:3" ht="15" customHeight="1" x14ac:dyDescent="0.45">
      <c r="B147" s="16" t="s">
        <v>250</v>
      </c>
      <c r="C147" s="65">
        <v>45</v>
      </c>
    </row>
    <row r="148" spans="2:3" ht="15" customHeight="1" x14ac:dyDescent="0.45">
      <c r="B148" s="16" t="s">
        <v>206</v>
      </c>
      <c r="C148" s="65">
        <v>58</v>
      </c>
    </row>
    <row r="149" spans="2:3" ht="15" customHeight="1" x14ac:dyDescent="0.45">
      <c r="B149" s="16" t="s">
        <v>225</v>
      </c>
      <c r="C149" s="78">
        <v>0.35</v>
      </c>
    </row>
    <row r="150" spans="2:3" ht="15" customHeight="1" x14ac:dyDescent="0.45">
      <c r="B150" s="16" t="s">
        <v>425</v>
      </c>
      <c r="C150" s="67"/>
    </row>
    <row r="151" spans="2:3" ht="15" customHeight="1" x14ac:dyDescent="0.45">
      <c r="C151" s="67"/>
    </row>
    <row r="152" spans="2:3" ht="15" customHeight="1" x14ac:dyDescent="0.45">
      <c r="B152" s="16" t="str">
        <f>B133</f>
        <v>Operating profit</v>
      </c>
      <c r="C152" s="76">
        <f>C133</f>
        <v>170</v>
      </c>
    </row>
    <row r="153" spans="2:3" ht="15" customHeight="1" x14ac:dyDescent="0.45">
      <c r="B153" s="16" t="str">
        <f>B146</f>
        <v>Impairment expense in SG&amp;A</v>
      </c>
      <c r="C153" s="76">
        <f>C146</f>
        <v>20</v>
      </c>
    </row>
    <row r="154" spans="2:3" ht="15" customHeight="1" x14ac:dyDescent="0.45">
      <c r="B154" s="16" t="str">
        <f>B147</f>
        <v>Restructuring charge in COGS</v>
      </c>
      <c r="C154" s="76">
        <f>C147</f>
        <v>45</v>
      </c>
    </row>
    <row r="155" spans="2:3" ht="15" customHeight="1" x14ac:dyDescent="0.45">
      <c r="B155" s="16" t="s">
        <v>37</v>
      </c>
      <c r="C155" s="76">
        <f>SUM(C152:C154)</f>
        <v>235</v>
      </c>
    </row>
    <row r="156" spans="2:3" ht="15" customHeight="1" x14ac:dyDescent="0.45">
      <c r="B156" s="16" t="str">
        <f>B148</f>
        <v>Depreciation and amortization</v>
      </c>
      <c r="C156" s="76">
        <f>C148</f>
        <v>58</v>
      </c>
    </row>
    <row r="157" spans="2:3" ht="15" customHeight="1" x14ac:dyDescent="0.45">
      <c r="B157" s="16" t="s">
        <v>38</v>
      </c>
      <c r="C157" s="76">
        <f>C156+C155</f>
        <v>293</v>
      </c>
    </row>
    <row r="158" spans="2:3" ht="15" customHeight="1" x14ac:dyDescent="0.45">
      <c r="C158" s="76"/>
    </row>
    <row r="159" spans="2:3" ht="15" customHeight="1" x14ac:dyDescent="0.45">
      <c r="B159" s="16" t="str">
        <f>B141</f>
        <v>Net income to common shareholders</v>
      </c>
      <c r="C159" s="76">
        <f>C141</f>
        <v>85.5</v>
      </c>
    </row>
    <row r="160" spans="2:3" ht="15" customHeight="1" x14ac:dyDescent="0.45">
      <c r="B160" s="16" t="str">
        <f>B139</f>
        <v>Income/(loss) from discontinued operations</v>
      </c>
      <c r="C160" s="76">
        <f>-C139</f>
        <v>10</v>
      </c>
    </row>
    <row r="161" spans="1:3" ht="15" customHeight="1" x14ac:dyDescent="0.45">
      <c r="B161" s="16" t="str">
        <f>B134&amp;" post tax"</f>
        <v>Other income (expenses) post tax</v>
      </c>
      <c r="C161" s="76">
        <f>-C134*(1-$C$149)</f>
        <v>-6.5</v>
      </c>
    </row>
    <row r="162" spans="1:3" ht="15" customHeight="1" x14ac:dyDescent="0.45">
      <c r="B162" s="16" t="str">
        <f>B153&amp;" post tax"</f>
        <v>Impairment expense in SG&amp;A post tax</v>
      </c>
      <c r="C162" s="76">
        <f>C153*(1-$C$149)</f>
        <v>13</v>
      </c>
    </row>
    <row r="163" spans="1:3" ht="15" customHeight="1" x14ac:dyDescent="0.45">
      <c r="B163" s="16" t="str">
        <f>B154&amp;" post tax"</f>
        <v>Restructuring charge in COGS post tax</v>
      </c>
      <c r="C163" s="76">
        <f>C154*(1-$C$149)</f>
        <v>29.25</v>
      </c>
    </row>
    <row r="164" spans="1:3" ht="15" customHeight="1" x14ac:dyDescent="0.45">
      <c r="B164" s="16" t="s">
        <v>238</v>
      </c>
      <c r="C164" s="76">
        <f>SUM(C159:C163)</f>
        <v>131.25</v>
      </c>
    </row>
    <row r="165" spans="1:3" ht="15" customHeight="1" x14ac:dyDescent="0.45">
      <c r="B165" s="16" t="s">
        <v>229</v>
      </c>
      <c r="C165" s="67">
        <f>C164/C142</f>
        <v>2.1875</v>
      </c>
    </row>
    <row r="166" spans="1:3" ht="15" customHeight="1" x14ac:dyDescent="0.45">
      <c r="A166" s="15" t="s">
        <v>24</v>
      </c>
    </row>
    <row r="167" spans="1:3" ht="15" customHeight="1" x14ac:dyDescent="0.45">
      <c r="B167" s="16" t="s">
        <v>227</v>
      </c>
    </row>
    <row r="168" spans="1:3" ht="15" customHeight="1" x14ac:dyDescent="0.45">
      <c r="B168" s="16" t="s">
        <v>391</v>
      </c>
    </row>
    <row r="170" spans="1:3" ht="15" customHeight="1" x14ac:dyDescent="0.45">
      <c r="B170" s="16" t="s">
        <v>197</v>
      </c>
    </row>
    <row r="172" spans="1:3" ht="15" customHeight="1" x14ac:dyDescent="0.45">
      <c r="C172" s="66"/>
    </row>
    <row r="173" spans="1:3" ht="15" customHeight="1" x14ac:dyDescent="0.45">
      <c r="C173" s="65"/>
    </row>
    <row r="174" spans="1:3" ht="15" customHeight="1" x14ac:dyDescent="0.45">
      <c r="C174" s="65"/>
    </row>
    <row r="175" spans="1:3" ht="15" customHeight="1" x14ac:dyDescent="0.45">
      <c r="C175" s="65"/>
    </row>
    <row r="197" spans="2:3" ht="15" customHeight="1" x14ac:dyDescent="0.45">
      <c r="B197" s="16" t="s">
        <v>208</v>
      </c>
    </row>
    <row r="198" spans="2:3" ht="15" customHeight="1" x14ac:dyDescent="0.45">
      <c r="C198" s="65"/>
    </row>
    <row r="199" spans="2:3" ht="15" customHeight="1" x14ac:dyDescent="0.45">
      <c r="C199" s="66"/>
    </row>
    <row r="201" spans="2:3" ht="15" customHeight="1" x14ac:dyDescent="0.45">
      <c r="C201" s="65"/>
    </row>
    <row r="202" spans="2:3" ht="15" customHeight="1" x14ac:dyDescent="0.45">
      <c r="C202" s="66"/>
    </row>
    <row r="205" spans="2:3" ht="15" customHeight="1" x14ac:dyDescent="0.45">
      <c r="C205" s="67"/>
    </row>
    <row r="211" spans="2:3" ht="15" customHeight="1" x14ac:dyDescent="0.45">
      <c r="C211" s="66"/>
    </row>
    <row r="212" spans="2:3" ht="15" customHeight="1" x14ac:dyDescent="0.45">
      <c r="C212" s="65"/>
    </row>
    <row r="213" spans="2:3" ht="15" customHeight="1" x14ac:dyDescent="0.45">
      <c r="B213" s="16" t="s">
        <v>219</v>
      </c>
      <c r="C213" s="65"/>
    </row>
    <row r="214" spans="2:3" ht="15" customHeight="1" x14ac:dyDescent="0.45">
      <c r="C214" s="65"/>
    </row>
    <row r="215" spans="2:3" ht="15" customHeight="1" x14ac:dyDescent="0.45">
      <c r="C215" s="65"/>
    </row>
    <row r="216" spans="2:3" ht="15" customHeight="1" x14ac:dyDescent="0.45">
      <c r="C216" s="65"/>
    </row>
    <row r="217" spans="2:3" ht="15" customHeight="1" x14ac:dyDescent="0.45">
      <c r="C217" s="65"/>
    </row>
    <row r="218" spans="2:3" ht="15" customHeight="1" x14ac:dyDescent="0.45">
      <c r="C218" s="65"/>
    </row>
    <row r="225" spans="2:4" ht="15" customHeight="1" x14ac:dyDescent="0.45">
      <c r="C225" s="65"/>
    </row>
    <row r="226" spans="2:4" ht="15" customHeight="1" x14ac:dyDescent="0.45">
      <c r="C226" s="95" t="s">
        <v>385</v>
      </c>
      <c r="D226" s="95" t="s">
        <v>386</v>
      </c>
    </row>
    <row r="227" spans="2:4" ht="15" customHeight="1" x14ac:dyDescent="0.45">
      <c r="B227" s="16" t="s">
        <v>209</v>
      </c>
      <c r="C227" s="65">
        <v>86.6</v>
      </c>
      <c r="D227" s="65">
        <v>101.4</v>
      </c>
    </row>
    <row r="228" spans="2:4" ht="15" customHeight="1" x14ac:dyDescent="0.45">
      <c r="B228" s="16" t="s">
        <v>221</v>
      </c>
      <c r="C228" s="65">
        <v>2.2999999999999998</v>
      </c>
      <c r="D228" s="65">
        <v>6.5</v>
      </c>
    </row>
    <row r="229" spans="2:4" ht="15" customHeight="1" x14ac:dyDescent="0.45">
      <c r="B229" s="16" t="s">
        <v>222</v>
      </c>
      <c r="C229" s="65">
        <v>3.5</v>
      </c>
      <c r="D229" s="65">
        <v>0</v>
      </c>
    </row>
    <row r="230" spans="2:4" ht="15" customHeight="1" x14ac:dyDescent="0.45">
      <c r="B230" s="16" t="s">
        <v>220</v>
      </c>
      <c r="C230" s="65">
        <v>0.2</v>
      </c>
      <c r="D230" s="65">
        <v>0</v>
      </c>
    </row>
    <row r="231" spans="2:4" ht="15" customHeight="1" x14ac:dyDescent="0.45">
      <c r="B231" s="16" t="s">
        <v>223</v>
      </c>
      <c r="C231" s="65">
        <v>0.2</v>
      </c>
      <c r="D231" s="65">
        <v>1</v>
      </c>
    </row>
    <row r="232" spans="2:4" ht="15" customHeight="1" x14ac:dyDescent="0.45">
      <c r="B232" s="16" t="s">
        <v>37</v>
      </c>
      <c r="C232">
        <f>SUM(C227:C231)</f>
        <v>92.8</v>
      </c>
      <c r="D232">
        <f>SUM(D227:D231)</f>
        <v>108.9</v>
      </c>
    </row>
    <row r="234" spans="2:4" ht="15" customHeight="1" x14ac:dyDescent="0.45">
      <c r="B234" s="16" t="s">
        <v>206</v>
      </c>
      <c r="C234" s="65">
        <v>30</v>
      </c>
      <c r="D234" s="65">
        <v>31.5</v>
      </c>
    </row>
    <row r="235" spans="2:4" ht="15" customHeight="1" x14ac:dyDescent="0.45">
      <c r="B235" s="16" t="s">
        <v>38</v>
      </c>
      <c r="C235">
        <f>C234+C232</f>
        <v>122.8</v>
      </c>
      <c r="D235">
        <f>D234+D232</f>
        <v>140.4</v>
      </c>
    </row>
    <row r="237" spans="2:4" ht="15" customHeight="1" x14ac:dyDescent="0.45">
      <c r="B237" s="16" t="s">
        <v>225</v>
      </c>
      <c r="C237" s="69">
        <f>35%+2.1%</f>
        <v>0.371</v>
      </c>
      <c r="D237" s="69">
        <f>35%+2.1%</f>
        <v>0.371</v>
      </c>
    </row>
    <row r="239" spans="2:4" ht="15" customHeight="1" x14ac:dyDescent="0.45">
      <c r="B239" s="16" t="s">
        <v>205</v>
      </c>
      <c r="C239" s="65">
        <v>68.7</v>
      </c>
      <c r="D239" s="65">
        <v>51.1</v>
      </c>
    </row>
    <row r="240" spans="2:4" ht="15" customHeight="1" x14ac:dyDescent="0.45">
      <c r="B240" s="16" t="s">
        <v>224</v>
      </c>
      <c r="C240" s="65">
        <v>-0.7</v>
      </c>
      <c r="D240" s="65">
        <v>9.4</v>
      </c>
    </row>
    <row r="241" spans="1:4" ht="15" customHeight="1" x14ac:dyDescent="0.45">
      <c r="B241" s="16" t="s">
        <v>226</v>
      </c>
      <c r="C241">
        <f>SUM(C239:C240)</f>
        <v>68</v>
      </c>
      <c r="D241">
        <f>SUM(D239:D240)</f>
        <v>60.5</v>
      </c>
    </row>
    <row r="242" spans="1:4" ht="15" customHeight="1" x14ac:dyDescent="0.45">
      <c r="B242" s="16" t="str">
        <f>B228&amp;"post tax"</f>
        <v>Integration/restructuring costs post tax</v>
      </c>
      <c r="C242">
        <f>C228*(1-$C$237)</f>
        <v>1.4466999999999999</v>
      </c>
      <c r="D242">
        <f>D228*(1-$D$237)</f>
        <v>4.0884999999999998</v>
      </c>
    </row>
    <row r="243" spans="1:4" ht="15" customHeight="1" x14ac:dyDescent="0.45">
      <c r="B243" s="16" t="str">
        <f>B229&amp;" post tax"</f>
        <v>Pension plan settlement charge post tax</v>
      </c>
      <c r="C243">
        <f>C229*(1-$C$237)</f>
        <v>2.2015000000000002</v>
      </c>
      <c r="D243">
        <f>D229*(1-$D$237)</f>
        <v>0</v>
      </c>
    </row>
    <row r="244" spans="1:4" ht="15" customHeight="1" x14ac:dyDescent="0.45">
      <c r="B244" s="16" t="str">
        <f>B230&amp;" post tax"</f>
        <v>Loss on early extinguishment of debt post tax</v>
      </c>
      <c r="C244">
        <f>C230*(1-$C$237)</f>
        <v>0.1258</v>
      </c>
      <c r="D244">
        <f>D230*(1-$D$237)</f>
        <v>0</v>
      </c>
    </row>
    <row r="245" spans="1:4" ht="15" customHeight="1" x14ac:dyDescent="0.45">
      <c r="B245" s="16" t="str">
        <f>B231&amp;" post tax"</f>
        <v>Other expense — net post tax</v>
      </c>
      <c r="C245">
        <f>C231*(1-$C$237)</f>
        <v>0.1258</v>
      </c>
      <c r="D245">
        <f>D231*(1-$D$237)</f>
        <v>0.629</v>
      </c>
    </row>
    <row r="246" spans="1:4" ht="15" customHeight="1" x14ac:dyDescent="0.45">
      <c r="B246" s="16" t="s">
        <v>421</v>
      </c>
      <c r="C246">
        <f>SUM(C241:C245)</f>
        <v>71.899799999999985</v>
      </c>
      <c r="D246">
        <f>SUM(D241:D245)</f>
        <v>65.217500000000001</v>
      </c>
    </row>
    <row r="247" spans="1:4" ht="15" customHeight="1" x14ac:dyDescent="0.45">
      <c r="B247" s="16" t="s">
        <v>228</v>
      </c>
      <c r="C247" s="65">
        <v>16.872</v>
      </c>
      <c r="D247" s="65">
        <v>17.012</v>
      </c>
    </row>
    <row r="248" spans="1:4" ht="15" customHeight="1" x14ac:dyDescent="0.45">
      <c r="B248" s="16" t="s">
        <v>229</v>
      </c>
      <c r="C248" s="67">
        <f>C246/C247</f>
        <v>4.2614864864864854</v>
      </c>
      <c r="D248" s="67">
        <f>D246/D247</f>
        <v>3.833617446508347</v>
      </c>
    </row>
    <row r="250" spans="1:4" ht="15" customHeight="1" x14ac:dyDescent="0.45">
      <c r="A250" s="15" t="s">
        <v>25</v>
      </c>
    </row>
    <row r="251" spans="1:4" ht="15" customHeight="1" x14ac:dyDescent="0.45">
      <c r="B251" s="16" t="s">
        <v>233</v>
      </c>
    </row>
    <row r="252" spans="1:4" ht="15" customHeight="1" x14ac:dyDescent="0.45">
      <c r="B252" s="16" t="s">
        <v>392</v>
      </c>
    </row>
    <row r="254" spans="1:4" ht="15" customHeight="1" x14ac:dyDescent="0.45">
      <c r="B254" s="16" t="s">
        <v>197</v>
      </c>
    </row>
    <row r="265" spans="3:5" ht="15" customHeight="1" x14ac:dyDescent="0.45">
      <c r="C265" s="67"/>
    </row>
    <row r="271" spans="3:5" ht="15" customHeight="1" x14ac:dyDescent="0.45">
      <c r="E271" s="73"/>
    </row>
    <row r="276" spans="2:3" ht="15" customHeight="1" x14ac:dyDescent="0.45">
      <c r="C276" s="66"/>
    </row>
    <row r="277" spans="2:3" ht="15" customHeight="1" x14ac:dyDescent="0.45">
      <c r="C277" s="65"/>
    </row>
    <row r="278" spans="2:3" ht="15" customHeight="1" x14ac:dyDescent="0.45">
      <c r="C278" s="65"/>
    </row>
    <row r="283" spans="2:3" ht="15" customHeight="1" x14ac:dyDescent="0.45">
      <c r="B283" s="16" t="s">
        <v>208</v>
      </c>
    </row>
    <row r="305" spans="2:3" ht="15" customHeight="1" x14ac:dyDescent="0.45">
      <c r="B305" s="16" t="s">
        <v>230</v>
      </c>
    </row>
    <row r="318" spans="2:3" ht="15" customHeight="1" x14ac:dyDescent="0.45">
      <c r="C318" s="65"/>
    </row>
    <row r="325" spans="2:3" ht="15" customHeight="1" x14ac:dyDescent="0.45">
      <c r="C325" s="66"/>
    </row>
    <row r="326" spans="2:3" ht="15" customHeight="1" x14ac:dyDescent="0.45">
      <c r="B326" s="16" t="s">
        <v>231</v>
      </c>
      <c r="C326" s="65"/>
    </row>
    <row r="327" spans="2:3" ht="15" customHeight="1" x14ac:dyDescent="0.45">
      <c r="C327" s="65"/>
    </row>
    <row r="328" spans="2:3" ht="15" customHeight="1" x14ac:dyDescent="0.45">
      <c r="C328" s="65"/>
    </row>
    <row r="329" spans="2:3" ht="15" customHeight="1" x14ac:dyDescent="0.45">
      <c r="C329" s="65"/>
    </row>
    <row r="330" spans="2:3" ht="15" customHeight="1" x14ac:dyDescent="0.45">
      <c r="C330" s="65"/>
    </row>
    <row r="337" spans="2:3" ht="15" customHeight="1" x14ac:dyDescent="0.45"/>
    <row r="343" spans="2:3" ht="15" customHeight="1" x14ac:dyDescent="0.45">
      <c r="C343" s="66"/>
    </row>
    <row r="344" spans="2:3" ht="15" customHeight="1" x14ac:dyDescent="0.45">
      <c r="C344" s="65"/>
    </row>
    <row r="345" spans="2:3" ht="15" customHeight="1" x14ac:dyDescent="0.45">
      <c r="C345" s="65"/>
    </row>
    <row r="346" spans="2:3" ht="15" customHeight="1" x14ac:dyDescent="0.45">
      <c r="C346" s="65"/>
    </row>
    <row r="347" spans="2:3" ht="15" customHeight="1" x14ac:dyDescent="0.45">
      <c r="C347" s="65"/>
    </row>
    <row r="348" spans="2:3" ht="15" customHeight="1" x14ac:dyDescent="0.45">
      <c r="C348" s="65"/>
    </row>
    <row r="349" spans="2:3" ht="15" customHeight="1" x14ac:dyDescent="0.45">
      <c r="C349" s="65"/>
    </row>
    <row r="350" spans="2:3" ht="15" customHeight="1" x14ac:dyDescent="0.45">
      <c r="C350" s="65"/>
    </row>
    <row r="351" spans="2:3" ht="15" customHeight="1" x14ac:dyDescent="0.45">
      <c r="C351" s="65"/>
    </row>
    <row r="352" spans="2:3" ht="15" customHeight="1" x14ac:dyDescent="0.45">
      <c r="C352" s="65"/>
    </row>
    <row r="353" spans="2:4" ht="15" customHeight="1" x14ac:dyDescent="0.45">
      <c r="C353" s="65"/>
    </row>
    <row r="354" spans="2:4" ht="15" customHeight="1" x14ac:dyDescent="0.45">
      <c r="C354" s="65"/>
    </row>
    <row r="355" spans="2:4" ht="15" customHeight="1" x14ac:dyDescent="0.45">
      <c r="C355" s="65"/>
    </row>
    <row r="356" spans="2:4" ht="15" customHeight="1" x14ac:dyDescent="0.45">
      <c r="C356" s="65"/>
    </row>
    <row r="357" spans="2:4" ht="15" customHeight="1" x14ac:dyDescent="0.45">
      <c r="C357" s="65"/>
    </row>
    <row r="358" spans="2:4" ht="15" customHeight="1" x14ac:dyDescent="0.45">
      <c r="C358" s="65"/>
    </row>
    <row r="359" spans="2:4" ht="15" customHeight="1" x14ac:dyDescent="0.45">
      <c r="C359" s="95" t="s">
        <v>385</v>
      </c>
      <c r="D359" s="95" t="s">
        <v>386</v>
      </c>
    </row>
    <row r="360" spans="2:4" ht="15" customHeight="1" x14ac:dyDescent="0.45">
      <c r="B360" s="16" t="s">
        <v>232</v>
      </c>
      <c r="C360" s="65">
        <v>988.3</v>
      </c>
      <c r="D360" s="65">
        <v>936.2</v>
      </c>
    </row>
    <row r="361" spans="2:4" ht="15" customHeight="1" x14ac:dyDescent="0.45">
      <c r="B361" s="16" t="s">
        <v>234</v>
      </c>
      <c r="C361" s="65">
        <v>-12.3</v>
      </c>
      <c r="D361" s="65">
        <v>39</v>
      </c>
    </row>
    <row r="362" spans="2:4" ht="15" customHeight="1" x14ac:dyDescent="0.45">
      <c r="B362" s="16" t="s">
        <v>235</v>
      </c>
      <c r="C362" s="65">
        <v>0</v>
      </c>
      <c r="D362" s="65">
        <v>10.3</v>
      </c>
    </row>
    <row r="363" spans="2:4" ht="15" customHeight="1" x14ac:dyDescent="0.45">
      <c r="B363" s="16" t="s">
        <v>236</v>
      </c>
      <c r="C363" s="65">
        <v>0</v>
      </c>
      <c r="D363" s="65">
        <v>0.4</v>
      </c>
    </row>
    <row r="364" spans="2:4" ht="15" customHeight="1" x14ac:dyDescent="0.45">
      <c r="B364" s="16" t="s">
        <v>37</v>
      </c>
      <c r="C364">
        <f>SUM(C360:C363)</f>
        <v>976</v>
      </c>
      <c r="D364">
        <f>SUM(D360:D363)</f>
        <v>985.9</v>
      </c>
    </row>
    <row r="366" spans="2:4" ht="15" customHeight="1" x14ac:dyDescent="0.45">
      <c r="B366" s="16" t="s">
        <v>206</v>
      </c>
      <c r="C366" s="65">
        <v>91.6</v>
      </c>
      <c r="D366" s="65">
        <v>99.1</v>
      </c>
    </row>
    <row r="367" spans="2:4" ht="15" customHeight="1" x14ac:dyDescent="0.45">
      <c r="B367" s="16" t="s">
        <v>38</v>
      </c>
      <c r="C367">
        <f>C366+C364</f>
        <v>1067.5999999999999</v>
      </c>
      <c r="D367">
        <f>D366+D364</f>
        <v>1085</v>
      </c>
    </row>
    <row r="369" spans="1:5" ht="15" customHeight="1" x14ac:dyDescent="0.45">
      <c r="B369" s="16" t="s">
        <v>225</v>
      </c>
      <c r="C369" s="69">
        <v>0.35499999999999998</v>
      </c>
      <c r="D369" s="69">
        <v>0.35099999999999998</v>
      </c>
    </row>
    <row r="370" spans="1:5" ht="15" customHeight="1" x14ac:dyDescent="0.45">
      <c r="B370" s="16" t="s">
        <v>237</v>
      </c>
      <c r="C370" s="65">
        <v>719.8</v>
      </c>
      <c r="D370" s="65">
        <v>653.5</v>
      </c>
    </row>
    <row r="371" spans="1:5" ht="15" customHeight="1" x14ac:dyDescent="0.45">
      <c r="B371" s="16" t="str">
        <f>B361&amp;" post tax"</f>
        <v>Other (income) / expenses post tax</v>
      </c>
      <c r="C371">
        <f t="shared" ref="C371:D373" si="0">C361*(1-C$369)</f>
        <v>-7.9335000000000004</v>
      </c>
      <c r="D371">
        <f t="shared" si="0"/>
        <v>25.311</v>
      </c>
    </row>
    <row r="372" spans="1:5" ht="15" customHeight="1" x14ac:dyDescent="0.45">
      <c r="B372" s="16" t="str">
        <f>B362&amp;" post tax"</f>
        <v>Contract termination costs in COGS post tax</v>
      </c>
      <c r="C372">
        <f>C362*(1-C$369)</f>
        <v>0</v>
      </c>
      <c r="D372">
        <f t="shared" si="0"/>
        <v>6.6847000000000003</v>
      </c>
    </row>
    <row r="373" spans="1:5" ht="15" customHeight="1" x14ac:dyDescent="0.45">
      <c r="B373" s="16" t="str">
        <f>B363&amp;" post tax"</f>
        <v>Other exit costs in SG&amp;A post tax</v>
      </c>
      <c r="C373">
        <f t="shared" si="0"/>
        <v>0</v>
      </c>
      <c r="D373">
        <f t="shared" si="0"/>
        <v>0.2596</v>
      </c>
    </row>
    <row r="374" spans="1:5" ht="15" customHeight="1" x14ac:dyDescent="0.45">
      <c r="B374" s="16" t="s">
        <v>238</v>
      </c>
      <c r="C374">
        <f>SUM(C370:C373)</f>
        <v>711.86649999999997</v>
      </c>
      <c r="D374">
        <f>SUM(D370:D373)</f>
        <v>685.75530000000003</v>
      </c>
    </row>
    <row r="375" spans="1:5" ht="15" customHeight="1" x14ac:dyDescent="0.45">
      <c r="B375" s="16" t="s">
        <v>239</v>
      </c>
      <c r="C375" s="65">
        <v>202.7</v>
      </c>
      <c r="D375" s="65">
        <v>199.4</v>
      </c>
    </row>
    <row r="376" spans="1:5" ht="15" customHeight="1" x14ac:dyDescent="0.45">
      <c r="B376" s="16" t="s">
        <v>240</v>
      </c>
      <c r="C376" s="67">
        <f>C374/C375</f>
        <v>3.5119215589541195</v>
      </c>
      <c r="D376" s="67">
        <f>D374/D375</f>
        <v>3.4390937813440323</v>
      </c>
    </row>
    <row r="377" spans="1:5" ht="15" customHeight="1" x14ac:dyDescent="0.45">
      <c r="C377" s="66"/>
    </row>
    <row r="378" spans="1:5" ht="15" customHeight="1" x14ac:dyDescent="0.45">
      <c r="A378" s="15" t="s">
        <v>26</v>
      </c>
      <c r="C378" s="66"/>
    </row>
    <row r="379" spans="1:5" ht="15" customHeight="1" x14ac:dyDescent="0.45">
      <c r="B379" s="16" t="s">
        <v>437</v>
      </c>
      <c r="C379" s="66"/>
    </row>
    <row r="380" spans="1:5" ht="15" customHeight="1" x14ac:dyDescent="0.45">
      <c r="C380" s="66"/>
    </row>
    <row r="381" spans="1:5" ht="15" customHeight="1" x14ac:dyDescent="0.45">
      <c r="C381" s="98" t="s">
        <v>256</v>
      </c>
      <c r="D381" s="97" t="s">
        <v>427</v>
      </c>
      <c r="E381" s="77"/>
    </row>
    <row r="382" spans="1:5" ht="15" customHeight="1" x14ac:dyDescent="0.45">
      <c r="C382" s="96">
        <v>55153</v>
      </c>
      <c r="D382" s="96">
        <v>54969</v>
      </c>
      <c r="E382" s="96">
        <v>55334</v>
      </c>
    </row>
    <row r="383" spans="1:5" ht="15" customHeight="1" x14ac:dyDescent="0.45">
      <c r="B383" s="16" t="s">
        <v>173</v>
      </c>
      <c r="C383" s="65">
        <v>1200</v>
      </c>
      <c r="D383" s="65">
        <v>540</v>
      </c>
      <c r="E383" s="65">
        <v>660</v>
      </c>
    </row>
    <row r="384" spans="1:5" ht="15" customHeight="1" x14ac:dyDescent="0.45">
      <c r="B384" s="16" t="s">
        <v>257</v>
      </c>
      <c r="C384" s="65">
        <f>C383*0.68</f>
        <v>816.00000000000011</v>
      </c>
      <c r="D384" s="65">
        <v>360</v>
      </c>
      <c r="E384" s="65">
        <v>450</v>
      </c>
    </row>
    <row r="385" spans="1:5" ht="15" customHeight="1" x14ac:dyDescent="0.45">
      <c r="B385" s="16" t="s">
        <v>200</v>
      </c>
      <c r="C385">
        <f>C383-C384</f>
        <v>383.99999999999989</v>
      </c>
      <c r="D385">
        <f>D383-D384</f>
        <v>180</v>
      </c>
      <c r="E385">
        <f>E383-E384</f>
        <v>210</v>
      </c>
    </row>
    <row r="386" spans="1:5" ht="15" customHeight="1" x14ac:dyDescent="0.45">
      <c r="B386" s="16" t="s">
        <v>245</v>
      </c>
      <c r="C386" s="65">
        <v>180</v>
      </c>
      <c r="D386" s="65">
        <v>81</v>
      </c>
      <c r="E386" s="65">
        <v>99.000000000000014</v>
      </c>
    </row>
    <row r="387" spans="1:5" ht="15" customHeight="1" x14ac:dyDescent="0.45">
      <c r="B387" s="16" t="s">
        <v>203</v>
      </c>
      <c r="C387">
        <f>C385-C386</f>
        <v>203.99999999999989</v>
      </c>
      <c r="D387">
        <f>D385-D386</f>
        <v>99</v>
      </c>
      <c r="E387">
        <f>E385-E386</f>
        <v>110.99999999999999</v>
      </c>
    </row>
    <row r="388" spans="1:5" ht="15" customHeight="1" x14ac:dyDescent="0.45">
      <c r="B388" s="16" t="s">
        <v>204</v>
      </c>
      <c r="C388" s="66">
        <v>62</v>
      </c>
      <c r="D388" s="65">
        <v>28</v>
      </c>
      <c r="E388" s="65">
        <v>34</v>
      </c>
    </row>
    <row r="389" spans="1:5" ht="15" customHeight="1" x14ac:dyDescent="0.45">
      <c r="B389" s="16" t="s">
        <v>205</v>
      </c>
      <c r="C389">
        <f>C387-C388</f>
        <v>141.99999999999989</v>
      </c>
      <c r="D389">
        <f>D387-D388</f>
        <v>71</v>
      </c>
      <c r="E389">
        <f>E387-E388</f>
        <v>76.999999999999986</v>
      </c>
    </row>
    <row r="390" spans="1:5" ht="15" customHeight="1" x14ac:dyDescent="0.45">
      <c r="C390" s="66"/>
    </row>
    <row r="391" spans="1:5" ht="15" customHeight="1" x14ac:dyDescent="0.45">
      <c r="B391" s="16" t="s">
        <v>206</v>
      </c>
      <c r="C391" s="66">
        <v>134</v>
      </c>
      <c r="D391" s="66">
        <v>60</v>
      </c>
      <c r="E391" s="66">
        <v>75</v>
      </c>
    </row>
    <row r="392" spans="1:5" ht="15" customHeight="1" x14ac:dyDescent="0.45">
      <c r="C392" s="66"/>
    </row>
    <row r="393" spans="1:5" ht="15" customHeight="1" x14ac:dyDescent="0.45">
      <c r="B393" s="16" t="s">
        <v>37</v>
      </c>
      <c r="C393">
        <f>C385</f>
        <v>383.99999999999989</v>
      </c>
      <c r="D393">
        <f>D385</f>
        <v>180</v>
      </c>
      <c r="E393">
        <f>E385</f>
        <v>210</v>
      </c>
    </row>
    <row r="394" spans="1:5" ht="15" customHeight="1" x14ac:dyDescent="0.45">
      <c r="B394" s="16" t="s">
        <v>38</v>
      </c>
      <c r="C394">
        <f>C393+C391</f>
        <v>517.99999999999989</v>
      </c>
      <c r="D394">
        <f>D393+D391</f>
        <v>240</v>
      </c>
      <c r="E394">
        <f>E393+E391</f>
        <v>285</v>
      </c>
    </row>
    <row r="395" spans="1:5" ht="15" customHeight="1" x14ac:dyDescent="0.45">
      <c r="C395" s="66"/>
    </row>
    <row r="396" spans="1:5" ht="15" customHeight="1" x14ac:dyDescent="0.45">
      <c r="B396" s="16" t="s">
        <v>255</v>
      </c>
      <c r="C396">
        <f>C393+E393-D393</f>
        <v>413.99999999999989</v>
      </c>
    </row>
    <row r="397" spans="1:5" ht="15" customHeight="1" x14ac:dyDescent="0.45">
      <c r="B397" s="16" t="s">
        <v>258</v>
      </c>
      <c r="C397">
        <f>C394+E394-D394</f>
        <v>562.99999999999989</v>
      </c>
    </row>
    <row r="398" spans="1:5" ht="15" customHeight="1" x14ac:dyDescent="0.45">
      <c r="C398" s="66"/>
    </row>
    <row r="399" spans="1:5" ht="15" customHeight="1" x14ac:dyDescent="0.45">
      <c r="A399" s="15" t="s">
        <v>27</v>
      </c>
      <c r="C399" s="65"/>
    </row>
    <row r="400" spans="1:5" ht="15" customHeight="1" x14ac:dyDescent="0.45">
      <c r="B400" s="16" t="s">
        <v>393</v>
      </c>
      <c r="C400" s="65"/>
    </row>
    <row r="401" spans="2:3" ht="15" customHeight="1" x14ac:dyDescent="0.45">
      <c r="B401" s="16" t="s">
        <v>253</v>
      </c>
      <c r="C401" s="65"/>
    </row>
    <row r="402" spans="2:3" ht="15" customHeight="1" x14ac:dyDescent="0.45">
      <c r="C402" s="65"/>
    </row>
    <row r="403" spans="2:3" ht="15" customHeight="1" x14ac:dyDescent="0.45">
      <c r="B403" s="16" t="s">
        <v>251</v>
      </c>
      <c r="C403" s="65"/>
    </row>
    <row r="404" spans="2:3" ht="15" customHeight="1" x14ac:dyDescent="0.45">
      <c r="C404" s="65"/>
    </row>
    <row r="405" spans="2:3" ht="15" customHeight="1" x14ac:dyDescent="0.45">
      <c r="C405" s="65"/>
    </row>
    <row r="406" spans="2:3" ht="15" customHeight="1" x14ac:dyDescent="0.45">
      <c r="C406" s="65"/>
    </row>
    <row r="407" spans="2:3" ht="15" customHeight="1" x14ac:dyDescent="0.45">
      <c r="C407" s="65"/>
    </row>
    <row r="419" spans="2:3" ht="15" customHeight="1" x14ac:dyDescent="0.45">
      <c r="C419" s="65"/>
    </row>
    <row r="420" spans="2:3" ht="15" customHeight="1" x14ac:dyDescent="0.45">
      <c r="C420" s="65"/>
    </row>
    <row r="421" spans="2:3" ht="15" customHeight="1" x14ac:dyDescent="0.45">
      <c r="C421" s="65"/>
    </row>
    <row r="422" spans="2:3" ht="15" customHeight="1" x14ac:dyDescent="0.45">
      <c r="C422" s="65"/>
    </row>
    <row r="423" spans="2:3" ht="15" customHeight="1" x14ac:dyDescent="0.45">
      <c r="C423" s="66"/>
    </row>
    <row r="424" spans="2:3" ht="15" customHeight="1" x14ac:dyDescent="0.45">
      <c r="C424" s="65"/>
    </row>
    <row r="425" spans="2:3" ht="15" customHeight="1" x14ac:dyDescent="0.45">
      <c r="C425" s="65"/>
    </row>
    <row r="426" spans="2:3" ht="15" customHeight="1" x14ac:dyDescent="0.45">
      <c r="B426" s="16" t="s">
        <v>252</v>
      </c>
      <c r="C426" s="65"/>
    </row>
    <row r="427" spans="2:3" ht="15" customHeight="1" x14ac:dyDescent="0.45">
      <c r="C427" s="65"/>
    </row>
    <row r="428" spans="2:3" ht="15" customHeight="1" x14ac:dyDescent="0.45">
      <c r="C428" s="65"/>
    </row>
    <row r="429" spans="2:3" ht="15" customHeight="1" x14ac:dyDescent="0.45">
      <c r="C429" s="65"/>
    </row>
    <row r="430" spans="2:3" ht="15" customHeight="1" x14ac:dyDescent="0.45">
      <c r="C430" s="65"/>
    </row>
    <row r="431" spans="2:3" ht="15" customHeight="1" x14ac:dyDescent="0.45">
      <c r="C431" s="65"/>
    </row>
    <row r="432" spans="2:3" ht="15" customHeight="1" x14ac:dyDescent="0.45">
      <c r="C432" s="65"/>
    </row>
    <row r="433" spans="3:3" ht="15" customHeight="1" x14ac:dyDescent="0.45">
      <c r="C433" s="65"/>
    </row>
    <row r="434" spans="3:3" ht="15" customHeight="1" x14ac:dyDescent="0.45">
      <c r="C434" s="65"/>
    </row>
    <row r="435" spans="3:3" ht="15" customHeight="1" x14ac:dyDescent="0.45">
      <c r="C435" s="65"/>
    </row>
    <row r="436" spans="3:3" ht="15" customHeight="1" x14ac:dyDescent="0.45">
      <c r="C436" s="65"/>
    </row>
    <row r="437" spans="3:3" ht="15" customHeight="1" x14ac:dyDescent="0.45">
      <c r="C437" s="65"/>
    </row>
    <row r="438" spans="3:3" ht="15" customHeight="1" x14ac:dyDescent="0.45">
      <c r="C438" s="65"/>
    </row>
    <row r="439" spans="3:3" ht="15" customHeight="1" x14ac:dyDescent="0.45">
      <c r="C439" s="65"/>
    </row>
    <row r="440" spans="3:3" ht="15" customHeight="1" x14ac:dyDescent="0.45">
      <c r="C440" s="65"/>
    </row>
    <row r="441" spans="3:3" ht="15" customHeight="1" x14ac:dyDescent="0.45">
      <c r="C441" s="65"/>
    </row>
    <row r="442" spans="3:3" ht="15" customHeight="1" x14ac:dyDescent="0.45">
      <c r="C442" s="65"/>
    </row>
    <row r="443" spans="3:3" ht="15" customHeight="1" x14ac:dyDescent="0.45">
      <c r="C443" s="65"/>
    </row>
    <row r="444" spans="3:3" ht="15" customHeight="1" x14ac:dyDescent="0.45">
      <c r="C444" s="65"/>
    </row>
    <row r="445" spans="3:3" ht="15" customHeight="1" x14ac:dyDescent="0.45">
      <c r="C445" s="65"/>
    </row>
    <row r="446" spans="3:3" ht="15" customHeight="1" x14ac:dyDescent="0.45">
      <c r="C446" s="65"/>
    </row>
    <row r="447" spans="3:3" ht="15" customHeight="1" x14ac:dyDescent="0.45">
      <c r="C447" s="65"/>
    </row>
    <row r="448" spans="3:3" ht="15" customHeight="1" x14ac:dyDescent="0.45">
      <c r="C448" s="65"/>
    </row>
    <row r="449" spans="1:5" ht="15" customHeight="1" x14ac:dyDescent="0.45">
      <c r="B449"/>
      <c r="C449" s="80" t="s">
        <v>256</v>
      </c>
      <c r="D449" s="81" t="s">
        <v>422</v>
      </c>
      <c r="E449" s="81"/>
    </row>
    <row r="450" spans="1:5" ht="15" customHeight="1" x14ac:dyDescent="0.45">
      <c r="C450" s="82">
        <v>42001</v>
      </c>
      <c r="D450" s="82">
        <v>42274</v>
      </c>
      <c r="E450" s="82">
        <v>41910</v>
      </c>
    </row>
    <row r="451" spans="1:5" ht="15" customHeight="1" x14ac:dyDescent="0.45">
      <c r="B451" s="16" t="s">
        <v>232</v>
      </c>
      <c r="C451" s="65">
        <v>512271</v>
      </c>
      <c r="D451" s="65">
        <v>276077</v>
      </c>
      <c r="E451" s="65">
        <v>418631</v>
      </c>
    </row>
    <row r="452" spans="1:5" ht="15" customHeight="1" x14ac:dyDescent="0.45">
      <c r="B452" s="16" t="s">
        <v>394</v>
      </c>
      <c r="C452" s="65">
        <v>-152982</v>
      </c>
      <c r="D452" s="65"/>
      <c r="E452" s="65">
        <v>-152988</v>
      </c>
    </row>
    <row r="453" spans="1:5" ht="15" customHeight="1" x14ac:dyDescent="0.45">
      <c r="B453" s="16" t="s">
        <v>254</v>
      </c>
      <c r="C453" s="65">
        <v>15981</v>
      </c>
      <c r="D453" s="65">
        <v>12936</v>
      </c>
      <c r="E453" s="65">
        <v>9265</v>
      </c>
    </row>
    <row r="454" spans="1:5" ht="15" customHeight="1" x14ac:dyDescent="0.45">
      <c r="B454" s="16" t="s">
        <v>37</v>
      </c>
      <c r="C454" s="76">
        <f>SUM(C451:C453)</f>
        <v>375270</v>
      </c>
      <c r="D454" s="76">
        <f>SUM(D451:D453)</f>
        <v>289013</v>
      </c>
      <c r="E454" s="76">
        <f>SUM(E451:E453)</f>
        <v>274908</v>
      </c>
    </row>
    <row r="456" spans="1:5" ht="15" customHeight="1" x14ac:dyDescent="0.45">
      <c r="B456" s="16" t="s">
        <v>255</v>
      </c>
      <c r="C456">
        <f>C454+D454-E454</f>
        <v>389375</v>
      </c>
    </row>
    <row r="458" spans="1:5" ht="15" customHeight="1" x14ac:dyDescent="0.45">
      <c r="A458" s="15" t="s">
        <v>28</v>
      </c>
    </row>
    <row r="459" spans="1:5" ht="15" customHeight="1" x14ac:dyDescent="0.45">
      <c r="B459" s="16" t="s">
        <v>259</v>
      </c>
      <c r="C459" s="66"/>
    </row>
    <row r="460" spans="1:5" ht="15" customHeight="1" x14ac:dyDescent="0.45">
      <c r="B460" s="16" t="s">
        <v>424</v>
      </c>
      <c r="C460" s="65"/>
    </row>
    <row r="461" spans="1:5" ht="15" customHeight="1" x14ac:dyDescent="0.45">
      <c r="C461" s="65"/>
    </row>
    <row r="462" spans="1:5" ht="15" customHeight="1" x14ac:dyDescent="0.45">
      <c r="B462" s="16" t="s">
        <v>39</v>
      </c>
      <c r="C462" s="65">
        <v>20</v>
      </c>
    </row>
    <row r="463" spans="1:5" ht="15" customHeight="1" x14ac:dyDescent="0.45">
      <c r="B463" s="16" t="s">
        <v>45</v>
      </c>
      <c r="C463" s="65">
        <v>100</v>
      </c>
    </row>
    <row r="464" spans="1:5" ht="15" customHeight="1" x14ac:dyDescent="0.45">
      <c r="B464" s="16" t="s">
        <v>260</v>
      </c>
      <c r="C464" s="65">
        <v>250</v>
      </c>
    </row>
    <row r="465" spans="2:3" ht="15" customHeight="1" x14ac:dyDescent="0.45">
      <c r="B465" s="16" t="s">
        <v>261</v>
      </c>
      <c r="C465" s="65">
        <v>50</v>
      </c>
    </row>
    <row r="466" spans="2:3" ht="15" customHeight="1" x14ac:dyDescent="0.45">
      <c r="C466" s="65"/>
    </row>
    <row r="467" spans="2:3" ht="15" customHeight="1" x14ac:dyDescent="0.45">
      <c r="C467" s="65"/>
    </row>
    <row r="468" spans="2:3" ht="15" customHeight="1" x14ac:dyDescent="0.45">
      <c r="C468" s="90" t="s">
        <v>397</v>
      </c>
    </row>
    <row r="469" spans="2:3" ht="15" customHeight="1" x14ac:dyDescent="0.45">
      <c r="B469" s="75" t="s">
        <v>423</v>
      </c>
      <c r="C469" s="99" t="s">
        <v>395</v>
      </c>
    </row>
    <row r="470" spans="2:3" ht="15" customHeight="1" x14ac:dyDescent="0.45">
      <c r="B470" s="16" t="s">
        <v>262</v>
      </c>
      <c r="C470" s="65">
        <v>500</v>
      </c>
    </row>
    <row r="471" spans="2:3" ht="15" customHeight="1" x14ac:dyDescent="0.45">
      <c r="B471" s="16" t="s">
        <v>242</v>
      </c>
      <c r="C471" s="65">
        <v>-200</v>
      </c>
    </row>
    <row r="472" spans="2:3" ht="15" customHeight="1" x14ac:dyDescent="0.45">
      <c r="B472" s="16" t="s">
        <v>247</v>
      </c>
      <c r="C472">
        <f>SUM(C470:C471)</f>
        <v>300</v>
      </c>
    </row>
    <row r="473" spans="2:3" ht="15" customHeight="1" x14ac:dyDescent="0.45">
      <c r="B473" s="16" t="s">
        <v>263</v>
      </c>
      <c r="C473" s="65">
        <v>-100</v>
      </c>
    </row>
    <row r="474" spans="2:3" ht="15" customHeight="1" x14ac:dyDescent="0.45">
      <c r="B474" s="16" t="s">
        <v>200</v>
      </c>
      <c r="C474">
        <f>C473+C472</f>
        <v>200</v>
      </c>
    </row>
    <row r="475" spans="2:3" ht="15" customHeight="1" x14ac:dyDescent="0.45">
      <c r="B475" s="16" t="s">
        <v>206</v>
      </c>
      <c r="C475" s="65">
        <v>100</v>
      </c>
    </row>
    <row r="477" spans="2:3" ht="15" customHeight="1" x14ac:dyDescent="0.45">
      <c r="C477" s="90" t="s">
        <v>397</v>
      </c>
    </row>
    <row r="478" spans="2:3" ht="15" customHeight="1" x14ac:dyDescent="0.45">
      <c r="B478" s="75" t="s">
        <v>396</v>
      </c>
      <c r="C478" s="99" t="s">
        <v>395</v>
      </c>
    </row>
    <row r="479" spans="2:3" ht="15" customHeight="1" x14ac:dyDescent="0.45">
      <c r="B479" s="16" t="s">
        <v>262</v>
      </c>
      <c r="C479" s="65">
        <v>100</v>
      </c>
    </row>
    <row r="480" spans="2:3" ht="15" customHeight="1" x14ac:dyDescent="0.45">
      <c r="B480" s="16" t="s">
        <v>242</v>
      </c>
      <c r="C480" s="66">
        <v>-50</v>
      </c>
    </row>
    <row r="481" spans="1:3" ht="15" customHeight="1" x14ac:dyDescent="0.45">
      <c r="B481" s="16" t="s">
        <v>247</v>
      </c>
      <c r="C481">
        <f>SUM(C479:C480)</f>
        <v>50</v>
      </c>
    </row>
    <row r="482" spans="1:3" ht="15" customHeight="1" x14ac:dyDescent="0.45">
      <c r="B482" s="16" t="s">
        <v>263</v>
      </c>
      <c r="C482" s="65">
        <v>-30</v>
      </c>
    </row>
    <row r="483" spans="1:3" ht="15" customHeight="1" x14ac:dyDescent="0.45">
      <c r="B483" s="16" t="s">
        <v>200</v>
      </c>
      <c r="C483">
        <f>C482+C481</f>
        <v>20</v>
      </c>
    </row>
    <row r="484" spans="1:3" ht="15" customHeight="1" x14ac:dyDescent="0.45">
      <c r="B484" s="16" t="s">
        <v>206</v>
      </c>
      <c r="C484" s="65">
        <v>10</v>
      </c>
    </row>
    <row r="485" spans="1:3" ht="15" customHeight="1" x14ac:dyDescent="0.45">
      <c r="C485" s="65"/>
    </row>
    <row r="486" spans="1:3" ht="15" customHeight="1" x14ac:dyDescent="0.45">
      <c r="B486" s="16" t="s">
        <v>264</v>
      </c>
      <c r="C486">
        <f>C474+C475</f>
        <v>300</v>
      </c>
    </row>
    <row r="487" spans="1:3" ht="15" customHeight="1" x14ac:dyDescent="0.45">
      <c r="B487" s="16" t="s">
        <v>265</v>
      </c>
      <c r="C487" s="65">
        <f>0.5*(C483+C484)</f>
        <v>15</v>
      </c>
    </row>
    <row r="488" spans="1:3" ht="15" customHeight="1" x14ac:dyDescent="0.45">
      <c r="B488" s="16" t="s">
        <v>267</v>
      </c>
      <c r="C488">
        <f>SUM(C486:C487)</f>
        <v>315</v>
      </c>
    </row>
    <row r="490" spans="1:3" ht="15" customHeight="1" x14ac:dyDescent="0.45">
      <c r="B490" s="16" t="s">
        <v>51</v>
      </c>
      <c r="C490">
        <f>C462*C463</f>
        <v>2000</v>
      </c>
    </row>
    <row r="491" spans="1:3" ht="15" customHeight="1" x14ac:dyDescent="0.45">
      <c r="B491" s="16" t="s">
        <v>42</v>
      </c>
      <c r="C491">
        <f>C464-C465</f>
        <v>200</v>
      </c>
    </row>
    <row r="492" spans="1:3" ht="15" customHeight="1" x14ac:dyDescent="0.45">
      <c r="B492" s="16" t="s">
        <v>19</v>
      </c>
      <c r="C492">
        <f>C491+C490</f>
        <v>2200</v>
      </c>
    </row>
    <row r="493" spans="1:3" ht="15" customHeight="1" x14ac:dyDescent="0.45">
      <c r="B493" s="16" t="s">
        <v>266</v>
      </c>
      <c r="C493" s="70">
        <f>C492/C488</f>
        <v>6.9841269841269842</v>
      </c>
    </row>
    <row r="495" spans="1:3" ht="15" customHeight="1" x14ac:dyDescent="0.45">
      <c r="A495" s="15" t="s">
        <v>29</v>
      </c>
    </row>
    <row r="496" spans="1:3" ht="15" customHeight="1" x14ac:dyDescent="0.45">
      <c r="B496" s="16" t="s">
        <v>438</v>
      </c>
    </row>
    <row r="497" spans="1:4" ht="15" customHeight="1" x14ac:dyDescent="0.45">
      <c r="B497" s="16" t="s">
        <v>419</v>
      </c>
    </row>
    <row r="499" spans="1:4" ht="15" customHeight="1" x14ac:dyDescent="0.45">
      <c r="C499" t="s">
        <v>169</v>
      </c>
      <c r="D499" t="s">
        <v>399</v>
      </c>
    </row>
    <row r="500" spans="1:4" ht="15" customHeight="1" x14ac:dyDescent="0.45">
      <c r="C500" t="s">
        <v>411</v>
      </c>
      <c r="D500" t="s">
        <v>412</v>
      </c>
    </row>
    <row r="501" spans="1:4" ht="15" customHeight="1" x14ac:dyDescent="0.45">
      <c r="B501" s="16" t="s">
        <v>173</v>
      </c>
      <c r="C501" s="65">
        <v>500</v>
      </c>
      <c r="D501" s="65">
        <v>600</v>
      </c>
    </row>
    <row r="502" spans="1:4" ht="15" customHeight="1" x14ac:dyDescent="0.45">
      <c r="B502" s="16" t="s">
        <v>38</v>
      </c>
      <c r="C502" s="65">
        <v>400</v>
      </c>
      <c r="D502" s="65">
        <v>490</v>
      </c>
    </row>
    <row r="504" spans="1:4" ht="15" customHeight="1" x14ac:dyDescent="0.45">
      <c r="B504" s="16" t="s">
        <v>408</v>
      </c>
      <c r="C504">
        <v>12</v>
      </c>
    </row>
    <row r="505" spans="1:4" ht="15" customHeight="1" x14ac:dyDescent="0.45">
      <c r="B505" s="16" t="s">
        <v>409</v>
      </c>
      <c r="C505">
        <v>2</v>
      </c>
    </row>
    <row r="506" spans="1:4" ht="15" customHeight="1" x14ac:dyDescent="0.45">
      <c r="B506" s="16" t="s">
        <v>410</v>
      </c>
      <c r="C506">
        <v>10</v>
      </c>
    </row>
    <row r="508" spans="1:4" ht="15" customHeight="1" x14ac:dyDescent="0.45">
      <c r="B508" s="16" t="s">
        <v>406</v>
      </c>
      <c r="C508" t="s">
        <v>413</v>
      </c>
    </row>
    <row r="509" spans="1:4" ht="15" customHeight="1" x14ac:dyDescent="0.45">
      <c r="B509" s="16" t="s">
        <v>173</v>
      </c>
      <c r="C509">
        <f>$C$505/$C$504*C501+$C$506/$C$504*D501</f>
        <v>583.33333333333337</v>
      </c>
    </row>
    <row r="510" spans="1:4" ht="15" customHeight="1" x14ac:dyDescent="0.45">
      <c r="B510" s="16" t="s">
        <v>38</v>
      </c>
      <c r="C510">
        <f>$C$505/$C$504*C502+$C$506/$C$504*D502</f>
        <v>475</v>
      </c>
    </row>
    <row r="512" spans="1:4" ht="15" customHeight="1" x14ac:dyDescent="0.45">
      <c r="A512" s="15" t="s">
        <v>33</v>
      </c>
    </row>
    <row r="513" spans="2:10" ht="15" customHeight="1" x14ac:dyDescent="0.45">
      <c r="B513" s="16" t="s">
        <v>398</v>
      </c>
    </row>
    <row r="514" spans="2:10" ht="15" customHeight="1" x14ac:dyDescent="0.45">
      <c r="B514" s="16" t="s">
        <v>419</v>
      </c>
    </row>
    <row r="515" spans="2:10" ht="15" customHeight="1" x14ac:dyDescent="0.45">
      <c r="B515" s="16" t="s">
        <v>428</v>
      </c>
    </row>
    <row r="517" spans="2:10" ht="15" customHeight="1" x14ac:dyDescent="0.45">
      <c r="C517" s="100" t="s">
        <v>169</v>
      </c>
      <c r="D517" s="100" t="s">
        <v>169</v>
      </c>
      <c r="E517" s="100" t="s">
        <v>169</v>
      </c>
      <c r="F517" s="101" t="s">
        <v>169</v>
      </c>
      <c r="G517" s="101" t="s">
        <v>399</v>
      </c>
      <c r="H517" s="101" t="s">
        <v>399</v>
      </c>
      <c r="I517" s="101" t="s">
        <v>399</v>
      </c>
      <c r="J517" s="101" t="s">
        <v>399</v>
      </c>
    </row>
    <row r="518" spans="2:10" ht="15" customHeight="1" x14ac:dyDescent="0.45">
      <c r="C518" s="100" t="s">
        <v>401</v>
      </c>
      <c r="D518" s="100" t="s">
        <v>402</v>
      </c>
      <c r="E518" s="100" t="s">
        <v>400</v>
      </c>
      <c r="F518" s="101" t="s">
        <v>417</v>
      </c>
      <c r="G518" s="101" t="s">
        <v>403</v>
      </c>
      <c r="H518" s="101" t="s">
        <v>404</v>
      </c>
      <c r="I518" s="101" t="s">
        <v>405</v>
      </c>
      <c r="J518" s="101" t="s">
        <v>418</v>
      </c>
    </row>
    <row r="519" spans="2:10" ht="15" customHeight="1" x14ac:dyDescent="0.45">
      <c r="B519" s="16" t="s">
        <v>173</v>
      </c>
      <c r="C519" s="65">
        <v>1000</v>
      </c>
      <c r="D519" s="65">
        <v>1020</v>
      </c>
      <c r="E519" s="65">
        <v>1035</v>
      </c>
      <c r="F519" s="65">
        <v>1055</v>
      </c>
      <c r="G519" s="65">
        <v>1060</v>
      </c>
      <c r="H519" s="65">
        <v>1070</v>
      </c>
      <c r="I519" s="65">
        <v>1084</v>
      </c>
      <c r="J519" s="65">
        <v>1095</v>
      </c>
    </row>
    <row r="520" spans="2:10" ht="15" customHeight="1" x14ac:dyDescent="0.45">
      <c r="B520" s="16" t="s">
        <v>37</v>
      </c>
      <c r="C520" s="65">
        <f>C519*0.62</f>
        <v>620</v>
      </c>
      <c r="D520" s="65">
        <v>630</v>
      </c>
      <c r="E520" s="65">
        <v>640</v>
      </c>
      <c r="F520" s="65">
        <v>655</v>
      </c>
      <c r="G520" s="65">
        <v>658</v>
      </c>
      <c r="H520" s="65">
        <v>665</v>
      </c>
      <c r="I520" s="65">
        <v>670</v>
      </c>
      <c r="J520" s="65">
        <v>685</v>
      </c>
    </row>
    <row r="521" spans="2:10" ht="15" customHeight="1" x14ac:dyDescent="0.45">
      <c r="B521" s="16" t="s">
        <v>205</v>
      </c>
      <c r="C521" s="65">
        <f>C519*0.05</f>
        <v>50</v>
      </c>
      <c r="D521" s="65">
        <v>52</v>
      </c>
      <c r="E521" s="65">
        <v>53</v>
      </c>
      <c r="F521" s="65">
        <v>55</v>
      </c>
      <c r="G521" s="65">
        <v>58</v>
      </c>
      <c r="H521" s="65">
        <v>59</v>
      </c>
      <c r="I521" s="65">
        <v>64</v>
      </c>
      <c r="J521" s="65">
        <v>70</v>
      </c>
    </row>
    <row r="523" spans="2:10" ht="15" customHeight="1" x14ac:dyDescent="0.45">
      <c r="B523" s="16" t="s">
        <v>416</v>
      </c>
      <c r="C523">
        <v>3</v>
      </c>
    </row>
    <row r="524" spans="2:10" ht="15" customHeight="1" x14ac:dyDescent="0.45">
      <c r="B524" s="16" t="s">
        <v>414</v>
      </c>
      <c r="C524">
        <v>1</v>
      </c>
    </row>
    <row r="525" spans="2:10" ht="15" customHeight="1" x14ac:dyDescent="0.45">
      <c r="B525" s="16" t="s">
        <v>415</v>
      </c>
      <c r="C525">
        <v>2</v>
      </c>
    </row>
    <row r="527" spans="2:10" ht="15" customHeight="1" x14ac:dyDescent="0.45">
      <c r="B527" s="16" t="s">
        <v>406</v>
      </c>
      <c r="C527" t="s">
        <v>407</v>
      </c>
    </row>
    <row r="528" spans="2:10" ht="15" customHeight="1" x14ac:dyDescent="0.45">
      <c r="B528" s="16" t="str">
        <f>B519</f>
        <v>Sales</v>
      </c>
      <c r="C528">
        <f>$C$524/$C$523*F519+SUM(G519:I519)+$C$525/$C$523*J519</f>
        <v>4295.6666666666661</v>
      </c>
    </row>
    <row r="529" spans="1:5" ht="15" customHeight="1" x14ac:dyDescent="0.45">
      <c r="B529" s="16" t="str">
        <f>B520</f>
        <v>EBIT</v>
      </c>
      <c r="C529">
        <f>$C$524/$C$523*F520+SUM(G520:I520)+$C$525/$C$523*J520</f>
        <v>2668</v>
      </c>
    </row>
    <row r="530" spans="1:5" ht="15" customHeight="1" x14ac:dyDescent="0.45">
      <c r="B530" s="16" t="str">
        <f>B521</f>
        <v>Net income</v>
      </c>
      <c r="C530">
        <f>$C$524/$C$523*F521+SUM(G521:I521)+$C$525/$C$523*J521</f>
        <v>246</v>
      </c>
    </row>
    <row r="532" spans="1:5" ht="15" customHeight="1" x14ac:dyDescent="0.45">
      <c r="A532" s="15" t="s">
        <v>56</v>
      </c>
    </row>
    <row r="534" spans="1:5" ht="15" customHeight="1" x14ac:dyDescent="0.45">
      <c r="C534" s="66"/>
    </row>
    <row r="535" spans="1:5" ht="15" customHeight="1" x14ac:dyDescent="0.45">
      <c r="C535" s="65"/>
    </row>
    <row r="536" spans="1:5" ht="15" customHeight="1" x14ac:dyDescent="0.45">
      <c r="C536" s="65"/>
    </row>
    <row r="537" spans="1:5" ht="15" customHeight="1" x14ac:dyDescent="0.45">
      <c r="C537" s="65"/>
    </row>
    <row r="538" spans="1:5" ht="15" customHeight="1" x14ac:dyDescent="0.45">
      <c r="C538" s="65"/>
    </row>
    <row r="539" spans="1:5" ht="15" customHeight="1" x14ac:dyDescent="0.45">
      <c r="C539" s="65"/>
    </row>
    <row r="540" spans="1:5" ht="15" customHeight="1" x14ac:dyDescent="0.45">
      <c r="C540" s="65"/>
    </row>
    <row r="541" spans="1:5" ht="15" customHeight="1" x14ac:dyDescent="0.45">
      <c r="C541" s="66"/>
    </row>
    <row r="542" spans="1:5" ht="15" customHeight="1" x14ac:dyDescent="0.45">
      <c r="C542" s="65"/>
      <c r="E542" s="71"/>
    </row>
    <row r="543" spans="1:5" ht="15" customHeight="1" x14ac:dyDescent="0.45">
      <c r="C543" s="65"/>
    </row>
    <row r="544" spans="1:5" ht="15" customHeight="1" x14ac:dyDescent="0.45">
      <c r="C544" s="65"/>
    </row>
    <row r="545" spans="3:3" ht="15" customHeight="1" x14ac:dyDescent="0.45">
      <c r="C545" s="65"/>
    </row>
    <row r="547" spans="3:3" ht="15" customHeight="1" x14ac:dyDescent="0.45">
      <c r="C547" s="70"/>
    </row>
    <row r="548" spans="3:3" ht="15" customHeight="1" x14ac:dyDescent="0.45">
      <c r="C548" s="70"/>
    </row>
    <row r="549" spans="3:3" ht="15" customHeight="1" x14ac:dyDescent="0.45">
      <c r="C549" s="70"/>
    </row>
    <row r="554" spans="3:3" ht="15" customHeight="1" x14ac:dyDescent="0.45">
      <c r="C554" s="65"/>
    </row>
    <row r="555" spans="3:3" ht="15" customHeight="1" x14ac:dyDescent="0.45">
      <c r="C555" s="65"/>
    </row>
    <row r="556" spans="3:3" ht="15" customHeight="1" x14ac:dyDescent="0.45">
      <c r="C556" s="65"/>
    </row>
    <row r="557" spans="3:3" ht="15" customHeight="1" x14ac:dyDescent="0.45">
      <c r="C557" s="65"/>
    </row>
    <row r="559" spans="3:3" ht="15" customHeight="1" x14ac:dyDescent="0.45">
      <c r="C559" s="65"/>
    </row>
    <row r="560" spans="3:3" ht="15" customHeight="1" x14ac:dyDescent="0.45">
      <c r="C560" s="65"/>
    </row>
    <row r="561" spans="3:3" ht="15" customHeight="1" x14ac:dyDescent="0.45">
      <c r="C561" s="65"/>
    </row>
    <row r="562" spans="3:3" ht="15" customHeight="1" x14ac:dyDescent="0.45">
      <c r="C562" s="65"/>
    </row>
    <row r="563" spans="3:3" ht="15" customHeight="1" x14ac:dyDescent="0.45">
      <c r="C563" s="66"/>
    </row>
    <row r="564" spans="3:3" ht="15" customHeight="1" x14ac:dyDescent="0.45">
      <c r="C564" s="65"/>
    </row>
    <row r="581" spans="3:3" ht="15" customHeight="1" x14ac:dyDescent="0.45">
      <c r="C581" s="67"/>
    </row>
    <row r="600" spans="3:3" ht="15" customHeight="1" x14ac:dyDescent="0.45">
      <c r="C600" s="67"/>
    </row>
    <row r="617" spans="3:3" ht="15" customHeight="1" x14ac:dyDescent="0.45">
      <c r="C617" s="65"/>
    </row>
    <row r="618" spans="3:3" ht="15" customHeight="1" x14ac:dyDescent="0.45">
      <c r="C618" s="65"/>
    </row>
    <row r="619" spans="3:3" ht="15" customHeight="1" x14ac:dyDescent="0.45">
      <c r="C619" s="66"/>
    </row>
    <row r="621" spans="3:3" ht="15" customHeight="1" x14ac:dyDescent="0.45">
      <c r="C621" s="67"/>
    </row>
    <row r="623" spans="3:3" ht="15" customHeight="1" x14ac:dyDescent="0.45">
      <c r="C623" s="65"/>
    </row>
    <row r="624" spans="3:3" ht="15" customHeight="1" x14ac:dyDescent="0.45">
      <c r="C624" s="65"/>
    </row>
    <row r="625" spans="3:5" ht="15" customHeight="1" x14ac:dyDescent="0.45">
      <c r="C625" s="65"/>
    </row>
    <row r="626" spans="3:5" ht="15" customHeight="1" x14ac:dyDescent="0.45">
      <c r="C626" s="65"/>
    </row>
    <row r="630" spans="3:5" ht="15" customHeight="1" x14ac:dyDescent="0.45">
      <c r="C630" s="65"/>
      <c r="D630" s="65"/>
      <c r="E630" s="65"/>
    </row>
    <row r="631" spans="3:5" ht="15" customHeight="1" x14ac:dyDescent="0.45">
      <c r="C631" s="65"/>
      <c r="D631" s="65"/>
      <c r="E631" s="65"/>
    </row>
    <row r="632" spans="3:5" ht="15" customHeight="1" x14ac:dyDescent="0.45">
      <c r="C632" s="65"/>
      <c r="D632" s="65"/>
      <c r="E632" s="65"/>
    </row>
    <row r="633" spans="3:5" ht="15" customHeight="1" x14ac:dyDescent="0.45">
      <c r="C633" s="65"/>
    </row>
    <row r="634" spans="3:5" ht="15" customHeight="1" x14ac:dyDescent="0.45">
      <c r="C634" s="66"/>
      <c r="D634" s="65"/>
      <c r="E634" s="65"/>
    </row>
    <row r="635" spans="3:5" ht="15" customHeight="1" x14ac:dyDescent="0.45">
      <c r="C635" s="66"/>
      <c r="D635" s="67"/>
      <c r="E635" s="67"/>
    </row>
    <row r="636" spans="3:5" ht="15" customHeight="1" x14ac:dyDescent="0.45">
      <c r="C636" s="65"/>
    </row>
    <row r="637" spans="3:5" ht="15" customHeight="1" x14ac:dyDescent="0.45">
      <c r="C637" s="65"/>
    </row>
    <row r="640" spans="3:5" ht="15" customHeight="1" x14ac:dyDescent="0.45">
      <c r="C640" s="65"/>
    </row>
    <row r="641" spans="2:5" ht="15" customHeight="1" x14ac:dyDescent="0.45">
      <c r="C641" s="65"/>
      <c r="D641" s="65"/>
      <c r="E641" s="65"/>
    </row>
    <row r="647" spans="2:5" ht="15" customHeight="1" x14ac:dyDescent="0.45">
      <c r="C647" s="67"/>
      <c r="D647" s="67"/>
      <c r="E647" s="67"/>
    </row>
    <row r="649" spans="2:5" ht="15" customHeight="1" x14ac:dyDescent="0.45">
      <c r="D649" s="70"/>
      <c r="E649" s="70"/>
    </row>
    <row r="650" spans="2:5" ht="15" customHeight="1" x14ac:dyDescent="0.45">
      <c r="C650" s="70"/>
      <c r="D650" s="70"/>
      <c r="E650" s="70"/>
    </row>
    <row r="652" spans="2:5" ht="15" customHeight="1" x14ac:dyDescent="0.45">
      <c r="C652" s="65"/>
    </row>
    <row r="653" spans="2:5" ht="15" customHeight="1" x14ac:dyDescent="0.45">
      <c r="C653" s="65"/>
    </row>
    <row r="654" spans="2:5" ht="15" customHeight="1" x14ac:dyDescent="0.45">
      <c r="C654" s="66"/>
    </row>
    <row r="655" spans="2:5" ht="15" customHeight="1" x14ac:dyDescent="0.45">
      <c r="C655" s="65"/>
    </row>
    <row r="656" spans="2:5" ht="15" customHeight="1" x14ac:dyDescent="0.45">
      <c r="B656" s="75"/>
    </row>
    <row r="658" spans="3:3" ht="15" customHeight="1" x14ac:dyDescent="0.45">
      <c r="C658" s="65"/>
    </row>
    <row r="659" spans="3:3" ht="15" customHeight="1" x14ac:dyDescent="0.45">
      <c r="C659" s="65"/>
    </row>
    <row r="660" spans="3:3" ht="15" customHeight="1" x14ac:dyDescent="0.45">
      <c r="C660" s="65"/>
    </row>
    <row r="702" spans="3:3" ht="15" customHeight="1" x14ac:dyDescent="0.45">
      <c r="C702" s="65"/>
    </row>
    <row r="703" spans="3:3" ht="15" customHeight="1" x14ac:dyDescent="0.45">
      <c r="C703" s="65"/>
    </row>
    <row r="704" spans="3:3" ht="15" customHeight="1" x14ac:dyDescent="0.45">
      <c r="C704" s="65"/>
    </row>
    <row r="707" spans="3:4" ht="15" customHeight="1" x14ac:dyDescent="0.45">
      <c r="C707" s="65"/>
    </row>
    <row r="710" spans="3:4" ht="15" customHeight="1" x14ac:dyDescent="0.45">
      <c r="C710" s="67"/>
    </row>
    <row r="715" spans="3:4" ht="15" customHeight="1" x14ac:dyDescent="0.45">
      <c r="C715" s="66"/>
      <c r="D715" s="67"/>
    </row>
    <row r="716" spans="3:4" ht="15" customHeight="1" x14ac:dyDescent="0.45">
      <c r="C716" s="65"/>
      <c r="D716" s="65"/>
    </row>
    <row r="718" spans="3:4" ht="15" customHeight="1" x14ac:dyDescent="0.45">
      <c r="C718" s="65"/>
      <c r="D718" s="65"/>
    </row>
    <row r="719" spans="3:4" ht="15" customHeight="1" x14ac:dyDescent="0.45">
      <c r="C719" s="65"/>
      <c r="D719" s="65"/>
    </row>
    <row r="720" spans="3:4" ht="15" customHeight="1" x14ac:dyDescent="0.45">
      <c r="C720" s="65"/>
      <c r="D720" s="65"/>
    </row>
    <row r="723" spans="3:12" ht="15" customHeight="1" x14ac:dyDescent="0.45">
      <c r="C723" s="65"/>
      <c r="D723" s="65"/>
    </row>
    <row r="724" spans="3:12" ht="15" customHeight="1" x14ac:dyDescent="0.45">
      <c r="C724" s="70"/>
      <c r="D724" s="70"/>
    </row>
    <row r="726" spans="3:12" ht="15" customHeight="1" x14ac:dyDescent="0.45">
      <c r="C726" s="67"/>
    </row>
    <row r="727" spans="3:12" ht="15" customHeight="1" x14ac:dyDescent="0.45">
      <c r="C727" s="65"/>
    </row>
    <row r="728" spans="3:12" ht="15" customHeight="1" x14ac:dyDescent="0.45">
      <c r="C728" s="65"/>
    </row>
    <row r="729" spans="3:12" ht="15" customHeight="1" x14ac:dyDescent="0.45">
      <c r="C729" s="66"/>
      <c r="D729" s="67"/>
    </row>
    <row r="730" spans="3:12" ht="15" customHeight="1" x14ac:dyDescent="0.45">
      <c r="D730" s="65"/>
      <c r="L730" s="71"/>
    </row>
    <row r="732" spans="3:12" ht="15" customHeight="1" x14ac:dyDescent="0.45">
      <c r="C732" s="65"/>
      <c r="D732" s="65"/>
    </row>
    <row r="733" spans="3:12" ht="15" customHeight="1" x14ac:dyDescent="0.45">
      <c r="C733" s="65"/>
      <c r="D733" s="65"/>
    </row>
    <row r="734" spans="3:12" ht="15" customHeight="1" x14ac:dyDescent="0.45">
      <c r="C734" s="65"/>
      <c r="D734" s="65"/>
    </row>
    <row r="735" spans="3:12" ht="15" customHeight="1" x14ac:dyDescent="0.45">
      <c r="C735" s="65"/>
    </row>
    <row r="737" spans="3:12" ht="15" customHeight="1" x14ac:dyDescent="0.45">
      <c r="C737" s="65"/>
      <c r="D737" s="65"/>
      <c r="L737" s="67"/>
    </row>
    <row r="738" spans="3:12" ht="15" customHeight="1" x14ac:dyDescent="0.45">
      <c r="C738" s="70"/>
      <c r="D738" s="70"/>
    </row>
    <row r="741" spans="3:12" ht="15" customHeight="1" x14ac:dyDescent="0.45">
      <c r="C741" s="66"/>
    </row>
    <row r="742" spans="3:12" ht="15" customHeight="1" x14ac:dyDescent="0.45">
      <c r="C742" s="76"/>
    </row>
    <row r="743" spans="3:12" ht="15" customHeight="1" x14ac:dyDescent="0.45">
      <c r="C743" s="76"/>
    </row>
    <row r="744" spans="3:12" ht="15" customHeight="1" x14ac:dyDescent="0.45">
      <c r="C744" s="76"/>
      <c r="D744" s="68"/>
      <c r="E744" s="68"/>
    </row>
    <row r="745" spans="3:12" ht="15" customHeight="1" x14ac:dyDescent="0.45">
      <c r="D745" s="68"/>
      <c r="E745" s="68"/>
    </row>
    <row r="746" spans="3:12" ht="15" customHeight="1" x14ac:dyDescent="0.45">
      <c r="C746" s="65"/>
      <c r="D746" s="70"/>
      <c r="E746" s="70"/>
    </row>
    <row r="754" spans="3:3" ht="15" customHeight="1" x14ac:dyDescent="0.45">
      <c r="C754" s="65"/>
    </row>
    <row r="755" spans="3:3" ht="15" customHeight="1" x14ac:dyDescent="0.45">
      <c r="C755" s="65"/>
    </row>
    <row r="756" spans="3:3" ht="15" customHeight="1" x14ac:dyDescent="0.45">
      <c r="C756" s="65"/>
    </row>
    <row r="759" spans="3:3" ht="15" customHeight="1" x14ac:dyDescent="0.45">
      <c r="C759" s="65"/>
    </row>
    <row r="760" spans="3:3" ht="15" customHeight="1" x14ac:dyDescent="0.45">
      <c r="C760" s="65"/>
    </row>
    <row r="761" spans="3:3" ht="15" customHeight="1" x14ac:dyDescent="0.45">
      <c r="C761" s="65"/>
    </row>
    <row r="763" spans="3:3" ht="15" customHeight="1" x14ac:dyDescent="0.45">
      <c r="C763" s="66"/>
    </row>
    <row r="764" spans="3:3" ht="15" customHeight="1" x14ac:dyDescent="0.45">
      <c r="C764" s="65"/>
    </row>
    <row r="767" spans="3:3" ht="15" customHeight="1" x14ac:dyDescent="0.45">
      <c r="C767" s="70"/>
    </row>
    <row r="768" spans="3:3" ht="15" customHeight="1" x14ac:dyDescent="0.45">
      <c r="C768" s="67"/>
    </row>
    <row r="769" spans="3:3" ht="15" customHeight="1" x14ac:dyDescent="0.45">
      <c r="C769" s="67"/>
    </row>
    <row r="772" spans="3:3" ht="15" customHeight="1" x14ac:dyDescent="0.45">
      <c r="C772" s="70"/>
    </row>
    <row r="777" spans="3:3" ht="15" customHeight="1" x14ac:dyDescent="0.45">
      <c r="C777" s="67"/>
    </row>
    <row r="780" spans="3:3" ht="15" customHeight="1" x14ac:dyDescent="0.45">
      <c r="C780" s="70"/>
    </row>
    <row r="785" spans="3:7" ht="15" customHeight="1" x14ac:dyDescent="0.45">
      <c r="C785" s="67"/>
    </row>
    <row r="791" spans="3:7" ht="15" customHeight="1" x14ac:dyDescent="0.45">
      <c r="C791" s="65"/>
      <c r="D791" s="65"/>
      <c r="E791" s="65"/>
      <c r="F791" s="65"/>
      <c r="G791" s="65"/>
    </row>
    <row r="792" spans="3:7" ht="15" customHeight="1" x14ac:dyDescent="0.45">
      <c r="C792" s="69"/>
      <c r="D792" s="69"/>
      <c r="E792" s="69"/>
      <c r="F792" s="69"/>
      <c r="G792" s="69"/>
    </row>
    <row r="793" spans="3:7" ht="15" customHeight="1" x14ac:dyDescent="0.45">
      <c r="C793" s="69"/>
      <c r="D793" s="69"/>
      <c r="E793" s="69"/>
      <c r="F793" s="69"/>
      <c r="G793" s="69"/>
    </row>
    <row r="794" spans="3:7" ht="15" customHeight="1" x14ac:dyDescent="0.45">
      <c r="C794" s="69"/>
      <c r="D794" s="69"/>
      <c r="E794" s="69"/>
      <c r="F794" s="69"/>
      <c r="G794" s="69"/>
    </row>
    <row r="795" spans="3:7" ht="15" customHeight="1" x14ac:dyDescent="0.45">
      <c r="C795" s="69"/>
      <c r="D795" s="69"/>
      <c r="E795" s="69"/>
      <c r="F795" s="69"/>
      <c r="G795" s="69"/>
    </row>
    <row r="797" spans="3:7" ht="15" customHeight="1" x14ac:dyDescent="0.45">
      <c r="C797" s="72"/>
      <c r="D797" s="72"/>
      <c r="E797" s="72"/>
      <c r="F797" s="72"/>
      <c r="G797" s="72"/>
    </row>
    <row r="801" spans="3:7" ht="15" customHeight="1" x14ac:dyDescent="0.45">
      <c r="C801" s="70"/>
      <c r="D801" s="70"/>
      <c r="E801" s="70"/>
      <c r="F801" s="70"/>
      <c r="G801" s="70"/>
    </row>
  </sheetData>
  <pageMargins left="0.7" right="0.7" top="0.75" bottom="0.75" header="0.3" footer="0.3"/>
  <pageSetup paperSize="9" scale="68" orientation="landscape" r:id="rId1"/>
  <headerFooter>
    <oddHeader xml:space="preserve">&amp;R&amp;10&amp;F 
&amp;A
</oddHeader>
    <oddFooter>&amp;L&amp;10© 2016&amp;C&amp;10Page &amp;P of &amp;N&amp;R&amp;G</oddFooter>
  </headerFooter>
  <rowBreaks count="7" manualBreakCount="7">
    <brk id="60" max="16383" man="1"/>
    <brk id="360" max="16383" man="1"/>
    <brk id="550" max="16383" man="1"/>
    <brk id="568" max="16383" man="1"/>
    <brk id="606" max="16383" man="1"/>
    <brk id="651" max="16383" man="1"/>
    <brk id="711" max="16383" man="1"/>
  </rowBreaks>
  <drawing r:id="rId2"/>
  <legacyDrawing r:id="rId3"/>
  <legacyDrawingHF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F002F8CDD7ACF40A6C36B1C9FA62C55" ma:contentTypeVersion="14" ma:contentTypeDescription="Create a new document." ma:contentTypeScope="" ma:versionID="177b724d556871ba26d1daa708a8bded">
  <xsd:schema xmlns:xsd="http://www.w3.org/2001/XMLSchema" xmlns:xs="http://www.w3.org/2001/XMLSchema" xmlns:p="http://schemas.microsoft.com/office/2006/metadata/properties" xmlns:ns2="69eded41-6c5d-4718-b7b7-dbfd1652bccf" xmlns:ns3="6ea4884f-dd23-4a9e-9674-e0962577458b" targetNamespace="http://schemas.microsoft.com/office/2006/metadata/properties" ma:root="true" ma:fieldsID="17e090879e8722037c31bb140bfb891e" ns2:_="" ns3:_="">
    <xsd:import namespace="69eded41-6c5d-4718-b7b7-dbfd1652bccf"/>
    <xsd:import namespace="6ea4884f-dd23-4a9e-9674-e0962577458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eded41-6c5d-4718-b7b7-dbfd1652bcc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32ff089-c713-41da-a7f8-7725fa36ebb8"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ea4884f-dd23-4a9e-9674-e0962577458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797a576b-233c-4f6a-bc99-79689ae6a87f}" ma:internalName="TaxCatchAll" ma:showField="CatchAllData" ma:web="6ea4884f-dd23-4a9e-9674-e096257745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9eded41-6c5d-4718-b7b7-dbfd1652bccf">
      <Terms xmlns="http://schemas.microsoft.com/office/infopath/2007/PartnerControls"/>
    </lcf76f155ced4ddcb4097134ff3c332f>
    <TaxCatchAll xmlns="6ea4884f-dd23-4a9e-9674-e0962577458b" xsi:nil="true"/>
  </documentManagement>
</p:properties>
</file>

<file path=customXml/itemProps1.xml><?xml version="1.0" encoding="utf-8"?>
<ds:datastoreItem xmlns:ds="http://schemas.openxmlformats.org/officeDocument/2006/customXml" ds:itemID="{9F0542FF-1EE5-4FEE-875F-2C231B870B73}"/>
</file>

<file path=customXml/itemProps2.xml><?xml version="1.0" encoding="utf-8"?>
<ds:datastoreItem xmlns:ds="http://schemas.openxmlformats.org/officeDocument/2006/customXml" ds:itemID="{FB4BB1DC-3F5D-4AAC-AD27-BBD48872C91B}"/>
</file>

<file path=customXml/itemProps3.xml><?xml version="1.0" encoding="utf-8"?>
<ds:datastoreItem xmlns:ds="http://schemas.openxmlformats.org/officeDocument/2006/customXml" ds:itemID="{BFD7D8ED-D993-49BF-8405-0176000B0EF3}"/>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5</vt:i4>
      </vt:variant>
    </vt:vector>
  </HeadingPairs>
  <TitlesOfParts>
    <vt:vector size="5" baseType="lpstr">
      <vt:lpstr>Welcome</vt:lpstr>
      <vt:lpstr>Info</vt:lpstr>
      <vt:lpstr>Comps</vt:lpstr>
      <vt:lpstr>Valuation</vt:lpstr>
      <vt:lpstr>Earnings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Petter Ljunggren</dc:creator>
  <cp:lastModifiedBy>Financial Edge</cp:lastModifiedBy>
  <cp:lastPrinted>2016-05-01T20:56:51Z</cp:lastPrinted>
  <dcterms:created xsi:type="dcterms:W3CDTF">2016-02-03T14:06:14Z</dcterms:created>
  <dcterms:modified xsi:type="dcterms:W3CDTF">2020-05-05T15:11:30Z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0x0101004F002F8CDD7ACF40A6C36B1C9FA62C55</vt:lpwstr>
  </property>
</Properties>
</file>