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andrew_jones_fe_training/Documents/Content/Materials Changes/7090/"/>
    </mc:Choice>
  </mc:AlternateContent>
  <xr:revisionPtr revIDLastSave="0" documentId="8_{8B4F10A2-9E61-4696-88DE-DC08C843F54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LBO" sheetId="27" r:id="rId3"/>
    <sheet name="Input" sheetId="22" r:id="rId4"/>
    <sheet name="Calc" sheetId="23" r:id="rId5"/>
    <sheet name="IS" sheetId="24" r:id="rId6"/>
    <sheet name="BS" sheetId="25" r:id="rId7"/>
    <sheet name="CFS" sheetId="26" r:id="rId8"/>
    <sheet name="Debt" sheetId="28" r:id="rId9"/>
  </sheets>
  <definedNames>
    <definedName name="case">Input!$J$6</definedName>
    <definedName name="CIQWBGuid" hidden="1">"571ab0c3-d74c-43bc-a7ba-442a57d4d174"</definedName>
    <definedName name="date">Info!$N$7</definedName>
    <definedName name="FXadj" localSheetId="8">#REF!</definedName>
    <definedName name="FXadj" localSheetId="2">#REF!</definedName>
    <definedName name="FXadj">#REF!</definedName>
    <definedName name="g" localSheetId="8">#REF!</definedName>
    <definedName name="g" localSheetId="2">#REF!</definedName>
    <definedName name="g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RBWSM104" localSheetId="8" hidden="1">#REF!</definedName>
    <definedName name="IQRBWSM104" localSheetId="2" hidden="1">#REF!</definedName>
    <definedName name="IQRBWSM104" hidden="1">#REF!</definedName>
    <definedName name="IQRDECKM104" localSheetId="8" hidden="1">#REF!</definedName>
    <definedName name="IQRDECKM104" localSheetId="2" hidden="1">#REF!</definedName>
    <definedName name="IQRDECKM104" hidden="1">#REF!</definedName>
    <definedName name="IQRDSWM104" localSheetId="8" hidden="1">#REF!</definedName>
    <definedName name="IQRDSWM104" localSheetId="2" hidden="1">#REF!</definedName>
    <definedName name="IQRDSWM104" hidden="1">#REF!</definedName>
    <definedName name="IQRFINLM104" localSheetId="8" hidden="1">#REF!</definedName>
    <definedName name="IQRFINLM104" localSheetId="2" hidden="1">#REF!</definedName>
    <definedName name="IQRFINLM104" hidden="1">#REF!</definedName>
    <definedName name="IQRGCOM104" localSheetId="8" hidden="1">#REF!</definedName>
    <definedName name="IQRGCOM104" localSheetId="2" hidden="1">#REF!</definedName>
    <definedName name="IQRGCOM104" hidden="1">#REF!</definedName>
    <definedName name="IQRSHOOM104" localSheetId="8" hidden="1">#REF!</definedName>
    <definedName name="IQRSHOOM104" localSheetId="2" hidden="1">#REF!</definedName>
    <definedName name="IQRSHOOM104" hidden="1">#REF!</definedName>
    <definedName name="IQRSKXM104" localSheetId="8" hidden="1">#REF!</definedName>
    <definedName name="IQRSKXM104" localSheetId="2" hidden="1">#REF!</definedName>
    <definedName name="IQRSKXM104" hidden="1">#REF!</definedName>
    <definedName name="IQRTargetM104" localSheetId="8" hidden="1">#REF!</definedName>
    <definedName name="IQRTargetM104" localSheetId="2" hidden="1">#REF!</definedName>
    <definedName name="IQRTargetM104" hidden="1">#REF!</definedName>
    <definedName name="IQRTODM104" localSheetId="8" hidden="1">#REF!</definedName>
    <definedName name="IQRTODM104" localSheetId="2" hidden="1">#REF!</definedName>
    <definedName name="IQRTODM104" hidden="1">#REF!</definedName>
    <definedName name="IQRWWWM104" localSheetId="8" hidden="1">#REF!</definedName>
    <definedName name="IQRWWWM104" localSheetId="2" hidden="1">#REF!</definedName>
    <definedName name="IQRWWWM104" hidden="1">#REF!</definedName>
    <definedName name="scenario_toggle" localSheetId="8">#REF!</definedName>
    <definedName name="scenario_toggle" localSheetId="2">#REF!</definedName>
    <definedName name="scenario_toggle">#REF!</definedName>
    <definedName name="switch">Info!$N$12</definedName>
    <definedName name="Switch2" localSheetId="2">LBO!#REF!</definedName>
    <definedName name="Switch2">Input!$F$5</definedName>
    <definedName name="wacc" localSheetId="8">#REF!</definedName>
    <definedName name="wacc" localSheetId="2">#REF!</definedName>
    <definedName name="wac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27" l="1"/>
  <c r="L76" i="27"/>
  <c r="N76" i="27"/>
  <c r="O76" i="27"/>
  <c r="P76" i="27"/>
  <c r="Q76" i="27"/>
  <c r="J76" i="27"/>
  <c r="K60" i="28" l="1"/>
  <c r="K16" i="28" s="1"/>
  <c r="L60" i="28"/>
  <c r="L16" i="28" s="1"/>
  <c r="M60" i="28"/>
  <c r="M16" i="28" s="1"/>
  <c r="N60" i="28"/>
  <c r="N16" i="28" s="1"/>
  <c r="O60" i="28"/>
  <c r="O16" i="28" s="1"/>
  <c r="P60" i="28"/>
  <c r="P16" i="28" s="1"/>
  <c r="Q60" i="28"/>
  <c r="Q16" i="28" s="1"/>
  <c r="N65" i="27"/>
  <c r="O65" i="27"/>
  <c r="P65" i="27"/>
  <c r="Q65" i="27"/>
  <c r="J65" i="27"/>
  <c r="E8" i="23"/>
  <c r="E9" i="23"/>
  <c r="F9" i="23"/>
  <c r="F8" i="23"/>
  <c r="J67" i="28" l="1"/>
  <c r="J65" i="28"/>
  <c r="D31" i="27"/>
  <c r="K68" i="28" l="1"/>
  <c r="O68" i="28"/>
  <c r="L68" i="28"/>
  <c r="P68" i="28"/>
  <c r="M68" i="28"/>
  <c r="Q68" i="28"/>
  <c r="N68" i="28"/>
  <c r="N8" i="26"/>
  <c r="K9" i="26"/>
  <c r="N9" i="26"/>
  <c r="O9" i="26"/>
  <c r="J6" i="23"/>
  <c r="I20" i="23"/>
  <c r="K13" i="25"/>
  <c r="L8" i="26" s="1"/>
  <c r="L13" i="25"/>
  <c r="M8" i="26" s="1"/>
  <c r="M13" i="25"/>
  <c r="N13" i="25"/>
  <c r="O8" i="26" s="1"/>
  <c r="O13" i="25"/>
  <c r="P8" i="26" s="1"/>
  <c r="P13" i="25"/>
  <c r="Q8" i="26" s="1"/>
  <c r="Q13" i="25"/>
  <c r="K29" i="25"/>
  <c r="L29" i="25"/>
  <c r="L9" i="26" s="1"/>
  <c r="M29" i="25"/>
  <c r="N29" i="25"/>
  <c r="O29" i="25"/>
  <c r="P29" i="25"/>
  <c r="P9" i="26" s="1"/>
  <c r="Q29" i="25"/>
  <c r="J29" i="25"/>
  <c r="J21" i="25"/>
  <c r="K21" i="25" s="1"/>
  <c r="J13" i="25"/>
  <c r="K8" i="26" s="1"/>
  <c r="F9" i="27"/>
  <c r="G32" i="25"/>
  <c r="I26" i="25"/>
  <c r="H21" i="25"/>
  <c r="I21" i="25" s="1"/>
  <c r="I11" i="25"/>
  <c r="I9" i="23" s="1"/>
  <c r="H5" i="25"/>
  <c r="I5" i="25" s="1"/>
  <c r="I18" i="25"/>
  <c r="I23" i="23" s="1"/>
  <c r="I13" i="25"/>
  <c r="J8" i="26" s="1"/>
  <c r="I12" i="25"/>
  <c r="I8" i="25"/>
  <c r="I22" i="23" s="1"/>
  <c r="I7" i="25"/>
  <c r="I21" i="23" s="1"/>
  <c r="I6" i="25"/>
  <c r="I29" i="25"/>
  <c r="J9" i="26" s="1"/>
  <c r="H48" i="27"/>
  <c r="D49" i="27"/>
  <c r="C47" i="27"/>
  <c r="C50" i="27" s="1"/>
  <c r="D24" i="27"/>
  <c r="J40" i="27"/>
  <c r="J41" i="27"/>
  <c r="J39" i="27"/>
  <c r="I36" i="27"/>
  <c r="I37" i="27"/>
  <c r="I35" i="27"/>
  <c r="J38" i="27"/>
  <c r="F36" i="27"/>
  <c r="H22" i="25" s="1"/>
  <c r="I22" i="25" s="1"/>
  <c r="F37" i="27"/>
  <c r="H23" i="25" s="1"/>
  <c r="I23" i="25" s="1"/>
  <c r="F38" i="27"/>
  <c r="H24" i="25" s="1"/>
  <c r="I24" i="25" s="1"/>
  <c r="F39" i="27"/>
  <c r="H25" i="25" s="1"/>
  <c r="I25" i="25" s="1"/>
  <c r="I61" i="28" s="1"/>
  <c r="J60" i="28" s="1"/>
  <c r="F40" i="27"/>
  <c r="F42" i="27"/>
  <c r="I76" i="27" s="1"/>
  <c r="K22" i="27"/>
  <c r="K23" i="27"/>
  <c r="K21" i="27"/>
  <c r="I22" i="27"/>
  <c r="J36" i="27" s="1"/>
  <c r="I23" i="27"/>
  <c r="J37" i="27" s="1"/>
  <c r="I21" i="27"/>
  <c r="J35" i="27" s="1"/>
  <c r="L21" i="25" l="1"/>
  <c r="K17" i="26"/>
  <c r="I9" i="25"/>
  <c r="J11" i="28"/>
  <c r="I28" i="26"/>
  <c r="J26" i="26" s="1"/>
  <c r="J17" i="26"/>
  <c r="D47" i="27"/>
  <c r="D50" i="27" s="1"/>
  <c r="Q9" i="26"/>
  <c r="M9" i="26"/>
  <c r="I24" i="23"/>
  <c r="I46" i="28"/>
  <c r="J43" i="28" s="1"/>
  <c r="H27" i="25"/>
  <c r="I65" i="27"/>
  <c r="I74" i="28"/>
  <c r="I37" i="28"/>
  <c r="J34" i="28" s="1"/>
  <c r="I55" i="28"/>
  <c r="J59" i="28"/>
  <c r="M21" i="25" l="1"/>
  <c r="L17" i="26"/>
  <c r="J44" i="28"/>
  <c r="J21" i="28" s="1"/>
  <c r="J35" i="28"/>
  <c r="J20" i="28" s="1"/>
  <c r="J72" i="28"/>
  <c r="J73" i="28" s="1"/>
  <c r="J52" i="28"/>
  <c r="J53" i="28" s="1"/>
  <c r="J22" i="28" s="1"/>
  <c r="M17" i="26" l="1"/>
  <c r="N21" i="25"/>
  <c r="J74" i="28"/>
  <c r="N17" i="26" l="1"/>
  <c r="O21" i="25"/>
  <c r="K72" i="28"/>
  <c r="K73" i="28" s="1"/>
  <c r="J27" i="25"/>
  <c r="O17" i="26" l="1"/>
  <c r="P21" i="25"/>
  <c r="J58" i="27"/>
  <c r="J64" i="27"/>
  <c r="K74" i="28"/>
  <c r="P17" i="26" l="1"/>
  <c r="Q21" i="25"/>
  <c r="Q17" i="26" s="1"/>
  <c r="L72" i="28"/>
  <c r="L73" i="28" s="1"/>
  <c r="K27" i="25"/>
  <c r="L74" i="28" l="1"/>
  <c r="K64" i="27"/>
  <c r="K58" i="27"/>
  <c r="L27" i="25" l="1"/>
  <c r="M72" i="28"/>
  <c r="F35" i="27"/>
  <c r="H17" i="25" s="1"/>
  <c r="I17" i="25" s="1"/>
  <c r="F23" i="23"/>
  <c r="F21" i="23"/>
  <c r="F22" i="23"/>
  <c r="F20" i="23"/>
  <c r="L13" i="24"/>
  <c r="M13" i="24"/>
  <c r="N13" i="24"/>
  <c r="O13" i="24"/>
  <c r="P13" i="24"/>
  <c r="Q13" i="24"/>
  <c r="K13" i="24"/>
  <c r="J13" i="24"/>
  <c r="J12" i="25" s="1"/>
  <c r="K12" i="25" s="1"/>
  <c r="L12" i="25" s="1"/>
  <c r="J8" i="23"/>
  <c r="J5" i="24"/>
  <c r="J20" i="23" s="1"/>
  <c r="J6" i="25" s="1"/>
  <c r="D36" i="27"/>
  <c r="M73" i="28" l="1"/>
  <c r="M74" i="28" s="1"/>
  <c r="J22" i="23"/>
  <c r="J8" i="25" s="1"/>
  <c r="M12" i="25"/>
  <c r="N12" i="25" s="1"/>
  <c r="O12" i="25" s="1"/>
  <c r="P12" i="25" s="1"/>
  <c r="Q12" i="25" s="1"/>
  <c r="F24" i="23"/>
  <c r="J6" i="24"/>
  <c r="K5" i="24"/>
  <c r="J7" i="23"/>
  <c r="J13" i="26" s="1"/>
  <c r="J14" i="26" s="1"/>
  <c r="J13" i="28" s="1"/>
  <c r="L64" i="27"/>
  <c r="L58" i="27"/>
  <c r="I19" i="25"/>
  <c r="I28" i="28"/>
  <c r="J12" i="24"/>
  <c r="J9" i="23"/>
  <c r="B22" i="26"/>
  <c r="B21" i="26"/>
  <c r="E40" i="27"/>
  <c r="E41" i="27"/>
  <c r="E42" i="27"/>
  <c r="E36" i="27"/>
  <c r="E37" i="27"/>
  <c r="E38" i="27"/>
  <c r="E39" i="27"/>
  <c r="E35" i="27"/>
  <c r="E17" i="27"/>
  <c r="M27" i="25" l="1"/>
  <c r="N72" i="28"/>
  <c r="J23" i="23"/>
  <c r="J21" i="23"/>
  <c r="J7" i="25" s="1"/>
  <c r="J7" i="24"/>
  <c r="K20" i="23"/>
  <c r="K6" i="25" s="1"/>
  <c r="L5" i="24"/>
  <c r="K7" i="23"/>
  <c r="K13" i="26" s="1"/>
  <c r="K14" i="26" s="1"/>
  <c r="K13" i="28" s="1"/>
  <c r="K6" i="24"/>
  <c r="K22" i="23"/>
  <c r="K8" i="25" s="1"/>
  <c r="M58" i="27"/>
  <c r="M64" i="27"/>
  <c r="J26" i="28"/>
  <c r="I87" i="28"/>
  <c r="J11" i="25"/>
  <c r="K6" i="23"/>
  <c r="K8" i="23" s="1"/>
  <c r="J24" i="27"/>
  <c r="A1" i="28"/>
  <c r="A1" i="26"/>
  <c r="A1" i="24"/>
  <c r="A1" i="25"/>
  <c r="A1" i="23"/>
  <c r="A1" i="27"/>
  <c r="A1" i="22"/>
  <c r="N73" i="28" l="1"/>
  <c r="N74" i="28" s="1"/>
  <c r="K7" i="24"/>
  <c r="K21" i="23"/>
  <c r="K7" i="25" s="1"/>
  <c r="K23" i="23"/>
  <c r="M5" i="24"/>
  <c r="L22" i="23"/>
  <c r="L8" i="25" s="1"/>
  <c r="L20" i="23"/>
  <c r="L6" i="25" s="1"/>
  <c r="L7" i="23"/>
  <c r="L13" i="26" s="1"/>
  <c r="L14" i="26" s="1"/>
  <c r="L13" i="28" s="1"/>
  <c r="L6" i="24"/>
  <c r="J18" i="25"/>
  <c r="J24" i="23"/>
  <c r="K9" i="23"/>
  <c r="K12" i="24"/>
  <c r="K15" i="22"/>
  <c r="K9" i="24" s="1"/>
  <c r="L15" i="22"/>
  <c r="L9" i="24" s="1"/>
  <c r="M15" i="22"/>
  <c r="M9" i="24" s="1"/>
  <c r="N15" i="22"/>
  <c r="O15" i="22"/>
  <c r="P15" i="22"/>
  <c r="Q15" i="22"/>
  <c r="J15" i="22"/>
  <c r="J9" i="24" s="1"/>
  <c r="J10" i="24" s="1"/>
  <c r="J14" i="24" s="1"/>
  <c r="O72" i="28" l="1"/>
  <c r="N27" i="25"/>
  <c r="J5" i="26"/>
  <c r="J54" i="27"/>
  <c r="J55" i="27" s="1"/>
  <c r="J85" i="28"/>
  <c r="J86" i="28" s="1"/>
  <c r="K14" i="24"/>
  <c r="K5" i="26" s="1"/>
  <c r="J10" i="26"/>
  <c r="K18" i="25"/>
  <c r="K24" i="23"/>
  <c r="L7" i="24"/>
  <c r="L10" i="24" s="1"/>
  <c r="L21" i="23"/>
  <c r="L7" i="25" s="1"/>
  <c r="L23" i="23"/>
  <c r="M22" i="23"/>
  <c r="M8" i="25" s="1"/>
  <c r="M20" i="23"/>
  <c r="M6" i="25" s="1"/>
  <c r="M7" i="23"/>
  <c r="M13" i="26" s="1"/>
  <c r="M14" i="26" s="1"/>
  <c r="M13" i="28" s="1"/>
  <c r="M6" i="24"/>
  <c r="N5" i="24"/>
  <c r="K10" i="24"/>
  <c r="K85" i="28"/>
  <c r="K86" i="28" s="1"/>
  <c r="L6" i="23"/>
  <c r="L8" i="23" s="1"/>
  <c r="L12" i="24" s="1"/>
  <c r="L14" i="24" s="1"/>
  <c r="K11" i="25"/>
  <c r="K53" i="27"/>
  <c r="B5" i="26"/>
  <c r="N58" i="27" l="1"/>
  <c r="N64" i="27"/>
  <c r="O73" i="28"/>
  <c r="O74" i="28"/>
  <c r="K54" i="27"/>
  <c r="K55" i="27" s="1"/>
  <c r="K65" i="27"/>
  <c r="M7" i="24"/>
  <c r="M10" i="24" s="1"/>
  <c r="M23" i="23"/>
  <c r="M21" i="23"/>
  <c r="M7" i="25" s="1"/>
  <c r="L18" i="25"/>
  <c r="L24" i="23"/>
  <c r="N20" i="23"/>
  <c r="N6" i="25" s="1"/>
  <c r="N22" i="23"/>
  <c r="N8" i="25" s="1"/>
  <c r="N7" i="23"/>
  <c r="N13" i="26" s="1"/>
  <c r="N14" i="26" s="1"/>
  <c r="N13" i="28" s="1"/>
  <c r="O5" i="24"/>
  <c r="N6" i="24"/>
  <c r="N9" i="24"/>
  <c r="K10" i="26"/>
  <c r="L54" i="27"/>
  <c r="L55" i="27" s="1"/>
  <c r="L85" i="28"/>
  <c r="L86" i="28" s="1"/>
  <c r="L5" i="26"/>
  <c r="I27" i="25"/>
  <c r="L9" i="23"/>
  <c r="L53" i="27"/>
  <c r="J3" i="28"/>
  <c r="E3" i="28"/>
  <c r="D3" i="28" s="1"/>
  <c r="C3" i="28" s="1"/>
  <c r="P72" i="28" l="1"/>
  <c r="O27" i="25"/>
  <c r="L65" i="27"/>
  <c r="N7" i="24"/>
  <c r="N10" i="24" s="1"/>
  <c r="N23" i="23"/>
  <c r="N21" i="23"/>
  <c r="N7" i="25" s="1"/>
  <c r="M24" i="23"/>
  <c r="M18" i="25"/>
  <c r="J66" i="28"/>
  <c r="O20" i="23"/>
  <c r="O6" i="25" s="1"/>
  <c r="O22" i="23"/>
  <c r="O8" i="25" s="1"/>
  <c r="O7" i="23"/>
  <c r="O13" i="26" s="1"/>
  <c r="O14" i="26" s="1"/>
  <c r="O13" i="28" s="1"/>
  <c r="P5" i="24"/>
  <c r="O6" i="24"/>
  <c r="O9" i="24"/>
  <c r="M10" i="26"/>
  <c r="L10" i="26"/>
  <c r="M6" i="23"/>
  <c r="M8" i="23" s="1"/>
  <c r="L11" i="25"/>
  <c r="K3" i="28"/>
  <c r="M53" i="27"/>
  <c r="N53" i="27" s="1"/>
  <c r="B28" i="25"/>
  <c r="B27" i="25"/>
  <c r="B24" i="25"/>
  <c r="B23" i="25"/>
  <c r="B22" i="25"/>
  <c r="B6" i="28" s="1"/>
  <c r="B20" i="28" s="1"/>
  <c r="J3" i="27"/>
  <c r="K3" i="27" s="1"/>
  <c r="L3" i="27" s="1"/>
  <c r="M3" i="27" s="1"/>
  <c r="N3" i="27" s="1"/>
  <c r="O3" i="27" s="1"/>
  <c r="P3" i="27" s="1"/>
  <c r="Q3" i="27" s="1"/>
  <c r="E3" i="27"/>
  <c r="D3" i="27" s="1"/>
  <c r="C3" i="27" s="1"/>
  <c r="J3" i="26"/>
  <c r="K3" i="26" s="1"/>
  <c r="L3" i="26" s="1"/>
  <c r="M3" i="26" s="1"/>
  <c r="N3" i="26" s="1"/>
  <c r="O3" i="26" s="1"/>
  <c r="P3" i="26" s="1"/>
  <c r="Q3" i="26" s="1"/>
  <c r="E3" i="26"/>
  <c r="D3" i="26" s="1"/>
  <c r="C3" i="26" s="1"/>
  <c r="J3" i="25"/>
  <c r="K3" i="25" s="1"/>
  <c r="L3" i="25" s="1"/>
  <c r="M3" i="25" s="1"/>
  <c r="N3" i="25" s="1"/>
  <c r="O3" i="25" s="1"/>
  <c r="P3" i="25" s="1"/>
  <c r="Q3" i="25" s="1"/>
  <c r="E3" i="25"/>
  <c r="D3" i="25" s="1"/>
  <c r="C3" i="25" s="1"/>
  <c r="J3" i="24"/>
  <c r="K3" i="24" s="1"/>
  <c r="L3" i="24" s="1"/>
  <c r="M3" i="24" s="1"/>
  <c r="N3" i="24" s="1"/>
  <c r="O3" i="24" s="1"/>
  <c r="P3" i="24" s="1"/>
  <c r="Q3" i="24" s="1"/>
  <c r="E3" i="24"/>
  <c r="D3" i="24" s="1"/>
  <c r="C3" i="24" s="1"/>
  <c r="E3" i="23"/>
  <c r="D3" i="23" s="1"/>
  <c r="C3" i="23" s="1"/>
  <c r="J3" i="23"/>
  <c r="K3" i="23" s="1"/>
  <c r="L3" i="23" s="1"/>
  <c r="M3" i="23" s="1"/>
  <c r="N3" i="23" s="1"/>
  <c r="O3" i="23" s="1"/>
  <c r="P3" i="23" s="1"/>
  <c r="Q3" i="23" s="1"/>
  <c r="B35" i="27"/>
  <c r="O58" i="27" l="1"/>
  <c r="O64" i="27"/>
  <c r="P73" i="28"/>
  <c r="P74" i="28" s="1"/>
  <c r="J16" i="28"/>
  <c r="J68" i="28"/>
  <c r="J15" i="28" s="1"/>
  <c r="N18" i="25"/>
  <c r="N24" i="23"/>
  <c r="L3" i="28"/>
  <c r="K66" i="28"/>
  <c r="K14" i="28"/>
  <c r="O7" i="24"/>
  <c r="O10" i="24" s="1"/>
  <c r="O21" i="23"/>
  <c r="O7" i="25" s="1"/>
  <c r="O23" i="23"/>
  <c r="N10" i="26"/>
  <c r="P22" i="23"/>
  <c r="P8" i="25" s="1"/>
  <c r="P20" i="23"/>
  <c r="P6" i="25" s="1"/>
  <c r="P6" i="24"/>
  <c r="P9" i="24"/>
  <c r="P7" i="23"/>
  <c r="P13" i="26" s="1"/>
  <c r="P14" i="26" s="1"/>
  <c r="P13" i="28" s="1"/>
  <c r="Q5" i="24"/>
  <c r="J14" i="28"/>
  <c r="J61" i="28"/>
  <c r="M12" i="24"/>
  <c r="M14" i="24" s="1"/>
  <c r="M9" i="23"/>
  <c r="M11" i="25" s="1"/>
  <c r="N6" i="23"/>
  <c r="N8" i="23" s="1"/>
  <c r="N12" i="24" s="1"/>
  <c r="N14" i="24" s="1"/>
  <c r="O53" i="27"/>
  <c r="B19" i="26"/>
  <c r="B7" i="28"/>
  <c r="B21" i="28" s="1"/>
  <c r="B20" i="26"/>
  <c r="B8" i="28"/>
  <c r="B22" i="28" s="1"/>
  <c r="B18" i="26"/>
  <c r="J69" i="28" l="1"/>
  <c r="J62" i="28"/>
  <c r="P27" i="25"/>
  <c r="Q72" i="28"/>
  <c r="P7" i="24"/>
  <c r="P10" i="24" s="1"/>
  <c r="P23" i="23"/>
  <c r="P21" i="23"/>
  <c r="P7" i="25" s="1"/>
  <c r="K65" i="28"/>
  <c r="J26" i="25"/>
  <c r="J22" i="26" s="1"/>
  <c r="M3" i="28"/>
  <c r="L66" i="28"/>
  <c r="L14" i="28"/>
  <c r="O18" i="25"/>
  <c r="O24" i="23"/>
  <c r="Q22" i="23"/>
  <c r="Q8" i="25" s="1"/>
  <c r="Q20" i="23"/>
  <c r="Q6" i="25" s="1"/>
  <c r="Q9" i="24"/>
  <c r="Q6" i="24"/>
  <c r="Q7" i="23"/>
  <c r="Q13" i="26" s="1"/>
  <c r="Q14" i="26" s="1"/>
  <c r="Q13" i="28" s="1"/>
  <c r="J25" i="25"/>
  <c r="J21" i="26" s="1"/>
  <c r="K59" i="28"/>
  <c r="K61" i="28" s="1"/>
  <c r="N54" i="27"/>
  <c r="N55" i="27" s="1"/>
  <c r="N85" i="28"/>
  <c r="N86" i="28" s="1"/>
  <c r="N5" i="26"/>
  <c r="M54" i="27"/>
  <c r="M55" i="27" s="1"/>
  <c r="M85" i="28"/>
  <c r="M86" i="28" s="1"/>
  <c r="M5" i="26"/>
  <c r="N9" i="23"/>
  <c r="P53" i="27"/>
  <c r="Q53" i="27" s="1"/>
  <c r="D14" i="22"/>
  <c r="E14" i="22"/>
  <c r="C14" i="22"/>
  <c r="F14" i="22"/>
  <c r="E11" i="22"/>
  <c r="F11" i="22"/>
  <c r="D11" i="22"/>
  <c r="D26" i="22"/>
  <c r="E26" i="22"/>
  <c r="F26" i="22"/>
  <c r="C26" i="22"/>
  <c r="D23" i="22"/>
  <c r="E23" i="22"/>
  <c r="F23" i="22"/>
  <c r="C23" i="22"/>
  <c r="D25" i="22"/>
  <c r="E25" i="22"/>
  <c r="F25" i="22"/>
  <c r="C25" i="22"/>
  <c r="D22" i="22"/>
  <c r="E22" i="22"/>
  <c r="F22" i="22"/>
  <c r="C22" i="22"/>
  <c r="D21" i="22"/>
  <c r="E21" i="22"/>
  <c r="F21" i="22"/>
  <c r="C21" i="22"/>
  <c r="D20" i="22"/>
  <c r="E20" i="22"/>
  <c r="F20" i="22"/>
  <c r="C20" i="22"/>
  <c r="D19" i="22"/>
  <c r="E19" i="22"/>
  <c r="F19" i="22"/>
  <c r="C19" i="22"/>
  <c r="D15" i="22"/>
  <c r="C15" i="22"/>
  <c r="D12" i="22"/>
  <c r="C12" i="22"/>
  <c r="D7" i="24"/>
  <c r="D10" i="24" s="1"/>
  <c r="D14" i="24" s="1"/>
  <c r="E7" i="24"/>
  <c r="E10" i="24" s="1"/>
  <c r="E14" i="24" s="1"/>
  <c r="F7" i="24"/>
  <c r="F10" i="24" s="1"/>
  <c r="C7" i="24"/>
  <c r="C10" i="24" s="1"/>
  <c r="C14" i="24" s="1"/>
  <c r="D19" i="25"/>
  <c r="D30" i="25" s="1"/>
  <c r="D33" i="25" s="1"/>
  <c r="E19" i="25"/>
  <c r="E30" i="25" s="1"/>
  <c r="E33" i="25" s="1"/>
  <c r="F19" i="25"/>
  <c r="C19" i="25"/>
  <c r="C30" i="25" s="1"/>
  <c r="C33" i="25" s="1"/>
  <c r="K62" i="28" l="1"/>
  <c r="Q73" i="28"/>
  <c r="Q74" i="28" s="1"/>
  <c r="Q27" i="25" s="1"/>
  <c r="P64" i="27"/>
  <c r="P58" i="27"/>
  <c r="K67" i="28"/>
  <c r="K15" i="28" s="1"/>
  <c r="L59" i="28"/>
  <c r="L61" i="28" s="1"/>
  <c r="K25" i="25"/>
  <c r="K21" i="26" s="1"/>
  <c r="Q23" i="23"/>
  <c r="Q21" i="23"/>
  <c r="Q7" i="25" s="1"/>
  <c r="P10" i="26"/>
  <c r="N3" i="28"/>
  <c r="M14" i="28"/>
  <c r="M66" i="28"/>
  <c r="P18" i="25"/>
  <c r="P24" i="23"/>
  <c r="O10" i="26"/>
  <c r="Q7" i="24"/>
  <c r="Q10" i="24" s="1"/>
  <c r="O6" i="23"/>
  <c r="N11" i="25"/>
  <c r="F17" i="24"/>
  <c r="F20" i="24" s="1"/>
  <c r="F14" i="24"/>
  <c r="F6" i="27" s="1"/>
  <c r="F30" i="25"/>
  <c r="C17" i="24"/>
  <c r="C20" i="24" s="1"/>
  <c r="E17" i="24"/>
  <c r="E20" i="24" s="1"/>
  <c r="D17" i="24"/>
  <c r="D20" i="24" s="1"/>
  <c r="D9" i="25"/>
  <c r="C9" i="25"/>
  <c r="L62" i="28" l="1"/>
  <c r="Q64" i="27"/>
  <c r="Q58" i="27"/>
  <c r="K69" i="28"/>
  <c r="L65" i="28" s="1"/>
  <c r="M59" i="28"/>
  <c r="M61" i="28" s="1"/>
  <c r="L25" i="25"/>
  <c r="L21" i="26" s="1"/>
  <c r="Q24" i="23"/>
  <c r="Q18" i="25"/>
  <c r="G35" i="27"/>
  <c r="G36" i="27" s="1"/>
  <c r="G37" i="27" s="1"/>
  <c r="G38" i="27" s="1"/>
  <c r="G39" i="27" s="1"/>
  <c r="G40" i="27" s="1"/>
  <c r="F8" i="27"/>
  <c r="Q10" i="26"/>
  <c r="O3" i="28"/>
  <c r="N14" i="28"/>
  <c r="N66" i="28"/>
  <c r="O8" i="23"/>
  <c r="O12" i="24" s="1"/>
  <c r="O14" i="24" s="1"/>
  <c r="D15" i="25"/>
  <c r="D35" i="25" s="1"/>
  <c r="C15" i="25"/>
  <c r="C35" i="25" s="1"/>
  <c r="F33" i="25"/>
  <c r="E16" i="22"/>
  <c r="F16" i="22"/>
  <c r="D16" i="22"/>
  <c r="C16" i="22"/>
  <c r="K26" i="25" l="1"/>
  <c r="K22" i="26" s="1"/>
  <c r="M62" i="28"/>
  <c r="F10" i="27"/>
  <c r="D35" i="27" s="1"/>
  <c r="D37" i="27"/>
  <c r="H32" i="25" s="1"/>
  <c r="I32" i="25" s="1"/>
  <c r="I17" i="23" s="1"/>
  <c r="J13" i="23" s="1"/>
  <c r="P3" i="28"/>
  <c r="O66" i="28"/>
  <c r="O14" i="28"/>
  <c r="L67" i="28"/>
  <c r="L15" i="28" s="1"/>
  <c r="N59" i="28"/>
  <c r="N61" i="28" s="1"/>
  <c r="M25" i="25"/>
  <c r="M21" i="26" s="1"/>
  <c r="O54" i="27"/>
  <c r="O55" i="27" s="1"/>
  <c r="O85" i="28"/>
  <c r="O86" i="28" s="1"/>
  <c r="O5" i="26"/>
  <c r="O9" i="23"/>
  <c r="F15" i="22"/>
  <c r="B23" i="23"/>
  <c r="B22" i="23"/>
  <c r="B21" i="23"/>
  <c r="B20" i="23"/>
  <c r="E15" i="22"/>
  <c r="F12" i="22"/>
  <c r="E12" i="22"/>
  <c r="J3" i="22"/>
  <c r="K3" i="22" s="1"/>
  <c r="L3" i="22" s="1"/>
  <c r="M3" i="22" s="1"/>
  <c r="N3" i="22" s="1"/>
  <c r="O3" i="22" s="1"/>
  <c r="P3" i="22" s="1"/>
  <c r="Q3" i="22" s="1"/>
  <c r="E3" i="22"/>
  <c r="D3" i="22" s="1"/>
  <c r="C3" i="22" s="1"/>
  <c r="N62" i="28" l="1"/>
  <c r="L69" i="28"/>
  <c r="M65" i="28" s="1"/>
  <c r="L26" i="25"/>
  <c r="L22" i="26" s="1"/>
  <c r="Q3" i="28"/>
  <c r="P66" i="28"/>
  <c r="P14" i="28"/>
  <c r="O59" i="28"/>
  <c r="O61" i="28" s="1"/>
  <c r="N25" i="25"/>
  <c r="N21" i="26" s="1"/>
  <c r="D38" i="27"/>
  <c r="H47" i="27"/>
  <c r="H49" i="27" s="1"/>
  <c r="P6" i="23"/>
  <c r="O11" i="25"/>
  <c r="F13" i="22"/>
  <c r="O62" i="28" l="1"/>
  <c r="P59" i="28"/>
  <c r="P61" i="28" s="1"/>
  <c r="O25" i="25"/>
  <c r="O21" i="26" s="1"/>
  <c r="Q14" i="28"/>
  <c r="Q66" i="28"/>
  <c r="E27" i="27"/>
  <c r="E29" i="27" s="1"/>
  <c r="C27" i="27"/>
  <c r="D27" i="27"/>
  <c r="D29" i="27" s="1"/>
  <c r="M67" i="28"/>
  <c r="M15" i="28" s="1"/>
  <c r="P8" i="23"/>
  <c r="P12" i="24" s="1"/>
  <c r="P14" i="24" s="1"/>
  <c r="A1" i="6"/>
  <c r="P62" i="28" l="1"/>
  <c r="M69" i="28"/>
  <c r="N65" i="28" s="1"/>
  <c r="M26" i="25"/>
  <c r="M22" i="26" s="1"/>
  <c r="P25" i="25"/>
  <c r="P21" i="26" s="1"/>
  <c r="Q59" i="28"/>
  <c r="Q61" i="28" s="1"/>
  <c r="Q25" i="25" s="1"/>
  <c r="C29" i="27"/>
  <c r="F41" i="27"/>
  <c r="P54" i="27"/>
  <c r="P55" i="27" s="1"/>
  <c r="P85" i="28"/>
  <c r="P86" i="28" s="1"/>
  <c r="P5" i="26"/>
  <c r="P9" i="23"/>
  <c r="Q6" i="23" s="1"/>
  <c r="P11" i="25"/>
  <c r="E9" i="25"/>
  <c r="F9" i="25"/>
  <c r="F15" i="25" s="1"/>
  <c r="Q62" i="28" l="1"/>
  <c r="Q21" i="26"/>
  <c r="I72" i="27"/>
  <c r="H28" i="25"/>
  <c r="I28" i="25" s="1"/>
  <c r="I30" i="25" s="1"/>
  <c r="I33" i="25" s="1"/>
  <c r="I79" i="28"/>
  <c r="J77" i="28" s="1"/>
  <c r="F43" i="27"/>
  <c r="N67" i="28"/>
  <c r="N15" i="28" s="1"/>
  <c r="Q8" i="23"/>
  <c r="Q12" i="24" s="1"/>
  <c r="Q14" i="24" s="1"/>
  <c r="E15" i="25"/>
  <c r="E35" i="25" s="1"/>
  <c r="F35" i="25"/>
  <c r="G14" i="25"/>
  <c r="I14" i="25" s="1"/>
  <c r="J14" i="25" s="1"/>
  <c r="N69" i="28" l="1"/>
  <c r="O65" i="28" s="1"/>
  <c r="J78" i="28"/>
  <c r="J15" i="23" s="1"/>
  <c r="J79" i="28"/>
  <c r="H41" i="27"/>
  <c r="H35" i="27"/>
  <c r="H37" i="27"/>
  <c r="H38" i="27"/>
  <c r="H36" i="27"/>
  <c r="H39" i="27"/>
  <c r="H42" i="27"/>
  <c r="H40" i="27"/>
  <c r="I15" i="25"/>
  <c r="I35" i="25" s="1"/>
  <c r="Q54" i="27"/>
  <c r="Q55" i="27" s="1"/>
  <c r="Q85" i="28"/>
  <c r="Q86" i="28" s="1"/>
  <c r="Q5" i="26"/>
  <c r="Q9" i="23"/>
  <c r="Q11" i="25" s="1"/>
  <c r="K14" i="25"/>
  <c r="N26" i="25" l="1"/>
  <c r="N22" i="26" s="1"/>
  <c r="J28" i="25"/>
  <c r="K77" i="28"/>
  <c r="K78" i="28" s="1"/>
  <c r="O67" i="28"/>
  <c r="O15" i="28" s="1"/>
  <c r="L14" i="25"/>
  <c r="O69" i="28" l="1"/>
  <c r="P65" i="28" s="1"/>
  <c r="K79" i="28"/>
  <c r="K15" i="23"/>
  <c r="J59" i="27"/>
  <c r="J69" i="27"/>
  <c r="O26" i="25"/>
  <c r="O22" i="26" s="1"/>
  <c r="M14" i="25"/>
  <c r="P67" i="28" l="1"/>
  <c r="P15" i="28" s="1"/>
  <c r="K28" i="25"/>
  <c r="L77" i="28"/>
  <c r="N14" i="25"/>
  <c r="P69" i="28" l="1"/>
  <c r="L78" i="28"/>
  <c r="L15" i="23" s="1"/>
  <c r="K69" i="27"/>
  <c r="K59" i="27"/>
  <c r="Q65" i="28"/>
  <c r="P26" i="25"/>
  <c r="P22" i="26" s="1"/>
  <c r="O14" i="25"/>
  <c r="L79" i="28" l="1"/>
  <c r="L28" i="25"/>
  <c r="M77" i="28"/>
  <c r="Q67" i="28"/>
  <c r="Q15" i="28" s="1"/>
  <c r="P14" i="25"/>
  <c r="Q69" i="28" l="1"/>
  <c r="Q26" i="25" s="1"/>
  <c r="Q22" i="26" s="1"/>
  <c r="M78" i="28"/>
  <c r="M15" i="23" s="1"/>
  <c r="L59" i="27"/>
  <c r="L69" i="27"/>
  <c r="Q14" i="25"/>
  <c r="M79" i="28" l="1"/>
  <c r="N77" i="28"/>
  <c r="M28" i="25"/>
  <c r="M69" i="27" l="1"/>
  <c r="M59" i="27"/>
  <c r="N78" i="28"/>
  <c r="N15" i="23" s="1"/>
  <c r="N79" i="28" l="1"/>
  <c r="O77" i="28"/>
  <c r="N28" i="25"/>
  <c r="N59" i="27" l="1"/>
  <c r="N69" i="27"/>
  <c r="O78" i="28"/>
  <c r="O15" i="23" s="1"/>
  <c r="O79" i="28" l="1"/>
  <c r="P77" i="28"/>
  <c r="O28" i="25"/>
  <c r="O59" i="27" l="1"/>
  <c r="O69" i="27"/>
  <c r="P78" i="28"/>
  <c r="P15" i="23" s="1"/>
  <c r="P79" i="28"/>
  <c r="P28" i="25" l="1"/>
  <c r="Q77" i="28"/>
  <c r="P59" i="27" l="1"/>
  <c r="P69" i="27"/>
  <c r="Q78" i="28"/>
  <c r="Q15" i="23" s="1"/>
  <c r="Q79" i="28" l="1"/>
  <c r="Q28" i="25" s="1"/>
  <c r="Q59" i="27" s="1"/>
  <c r="Q69" i="27" l="1"/>
  <c r="J16" i="23"/>
  <c r="J23" i="26"/>
  <c r="K16" i="23"/>
  <c r="L16" i="23"/>
  <c r="M16" i="23"/>
  <c r="N16" i="23"/>
  <c r="O16" i="23"/>
  <c r="P16" i="23"/>
  <c r="Q16" i="23"/>
  <c r="Q23" i="26"/>
  <c r="M23" i="26" l="1"/>
  <c r="M71" i="27"/>
  <c r="K23" i="26"/>
  <c r="K71" i="27"/>
  <c r="O23" i="26"/>
  <c r="O71" i="27"/>
  <c r="O72" i="27" s="1"/>
  <c r="N23" i="26"/>
  <c r="N71" i="27"/>
  <c r="N72" i="27" s="1"/>
  <c r="L71" i="27"/>
  <c r="Q71" i="27"/>
  <c r="Q72" i="27" s="1"/>
  <c r="J71" i="27"/>
  <c r="J72" i="27" s="1"/>
  <c r="P71" i="27"/>
  <c r="K72" i="27"/>
  <c r="P72" i="27"/>
  <c r="P23" i="26"/>
  <c r="L72" i="27"/>
  <c r="L23" i="26"/>
  <c r="J56" i="28"/>
  <c r="K56" i="28"/>
  <c r="L56" i="28"/>
  <c r="M56" i="28"/>
  <c r="N56" i="28"/>
  <c r="O56" i="28"/>
  <c r="P56" i="28"/>
  <c r="Q56" i="28"/>
  <c r="Q7" i="26" l="1"/>
  <c r="Q19" i="24"/>
  <c r="N15" i="25"/>
  <c r="N9" i="25"/>
  <c r="N20" i="28"/>
  <c r="N35" i="28"/>
  <c r="O24" i="26"/>
  <c r="O16" i="26"/>
  <c r="P7" i="26"/>
  <c r="P19" i="24"/>
  <c r="O21" i="28"/>
  <c r="O44" i="28"/>
  <c r="P19" i="26"/>
  <c r="P23" i="25"/>
  <c r="L7" i="26"/>
  <c r="L19" i="24"/>
  <c r="L18" i="26"/>
  <c r="L22" i="25"/>
  <c r="L20" i="26"/>
  <c r="L24" i="25"/>
  <c r="O49" i="28"/>
  <c r="O11" i="28"/>
  <c r="O17" i="28"/>
  <c r="O23" i="28"/>
  <c r="O31" i="28"/>
  <c r="O40" i="28"/>
  <c r="P21" i="28"/>
  <c r="P44" i="28"/>
  <c r="J15" i="25"/>
  <c r="J9" i="25"/>
  <c r="N24" i="26"/>
  <c r="N16" i="26"/>
  <c r="Q20" i="28"/>
  <c r="Q35" i="28"/>
  <c r="Q35" i="25"/>
  <c r="Q33" i="25"/>
  <c r="Q30" i="25"/>
  <c r="Q19" i="25"/>
  <c r="Q22" i="28"/>
  <c r="Q53" i="28"/>
  <c r="Q15" i="25"/>
  <c r="Q9" i="25"/>
  <c r="K7" i="26"/>
  <c r="K19" i="24"/>
  <c r="K20" i="28"/>
  <c r="K35" i="28"/>
  <c r="O22" i="28"/>
  <c r="O53" i="28"/>
  <c r="P49" i="28"/>
  <c r="P40" i="28"/>
  <c r="P31" i="28"/>
  <c r="P11" i="28"/>
  <c r="P17" i="28"/>
  <c r="P23" i="28"/>
  <c r="M7" i="26"/>
  <c r="M19" i="24"/>
  <c r="Q12" i="28"/>
  <c r="Q6" i="26"/>
  <c r="Q11" i="26"/>
  <c r="Q27" i="26"/>
  <c r="M70" i="27"/>
  <c r="M72" i="27"/>
  <c r="I73" i="27"/>
  <c r="O20" i="28"/>
  <c r="O35" i="28"/>
  <c r="O63" i="27"/>
  <c r="O56" i="27"/>
  <c r="O60" i="27"/>
  <c r="O70" i="27"/>
  <c r="Q46" i="28"/>
  <c r="Q23" i="25"/>
  <c r="Q19" i="26"/>
  <c r="O5" i="25"/>
  <c r="O9" i="25"/>
  <c r="O15" i="25"/>
  <c r="O20" i="26"/>
  <c r="O24" i="25"/>
  <c r="P20" i="28"/>
  <c r="P35" i="28"/>
  <c r="M15" i="25"/>
  <c r="M9" i="25"/>
  <c r="K22" i="28"/>
  <c r="K53" i="28"/>
  <c r="P14" i="23"/>
  <c r="P81" i="28"/>
  <c r="P16" i="24"/>
  <c r="P17" i="24"/>
  <c r="P20" i="24"/>
  <c r="N35" i="25"/>
  <c r="N33" i="25"/>
  <c r="N30" i="25"/>
  <c r="N19" i="25"/>
  <c r="J35" i="25"/>
  <c r="J19" i="25"/>
  <c r="J30" i="25"/>
  <c r="J33" i="25"/>
  <c r="K54" i="28"/>
  <c r="Q13" i="23"/>
  <c r="Q17" i="23"/>
  <c r="Q32" i="25"/>
  <c r="O27" i="28"/>
  <c r="M32" i="25"/>
  <c r="P35" i="25"/>
  <c r="P33" i="25"/>
  <c r="P30" i="25"/>
  <c r="P19" i="25"/>
  <c r="P22" i="28"/>
  <c r="P53" i="28"/>
  <c r="N63" i="27"/>
  <c r="N5" i="25"/>
  <c r="N56" i="27"/>
  <c r="N60" i="27"/>
  <c r="N70" i="27"/>
  <c r="K15" i="25"/>
  <c r="K9" i="25"/>
  <c r="M22" i="28"/>
  <c r="M53" i="28"/>
  <c r="K37" i="27"/>
  <c r="N27" i="28"/>
  <c r="L36" i="27"/>
  <c r="J22" i="25"/>
  <c r="J18" i="26"/>
  <c r="M14" i="23"/>
  <c r="M81" i="28"/>
  <c r="M16" i="24"/>
  <c r="M17" i="24"/>
  <c r="M20" i="24"/>
  <c r="P27" i="28"/>
  <c r="Q37" i="28"/>
  <c r="Q22" i="25"/>
  <c r="Q18" i="26"/>
  <c r="J89" i="28"/>
  <c r="J93" i="28"/>
  <c r="J87" i="28"/>
  <c r="J90" i="28"/>
  <c r="K19" i="26"/>
  <c r="K23" i="25"/>
  <c r="Q47" i="28"/>
  <c r="O7" i="26"/>
  <c r="O19" i="24"/>
  <c r="M18" i="26"/>
  <c r="M22" i="25"/>
  <c r="N18" i="26"/>
  <c r="N22" i="25"/>
  <c r="L57" i="27"/>
  <c r="L19" i="25"/>
  <c r="L30" i="25"/>
  <c r="L33" i="25"/>
  <c r="L35" i="25"/>
  <c r="K35" i="25"/>
  <c r="K33" i="25"/>
  <c r="K30" i="25"/>
  <c r="K19" i="25"/>
  <c r="J19" i="26"/>
  <c r="J23" i="25"/>
  <c r="L37" i="27"/>
  <c r="Q27" i="28"/>
  <c r="M35" i="25"/>
  <c r="M33" i="25"/>
  <c r="M30" i="25"/>
  <c r="M19" i="25"/>
  <c r="N20" i="26"/>
  <c r="N24" i="25"/>
  <c r="Q20" i="26"/>
  <c r="Q24" i="25"/>
  <c r="J24" i="25"/>
  <c r="J20" i="26"/>
  <c r="Q81" i="28"/>
  <c r="Q16" i="24"/>
  <c r="Q17" i="24"/>
  <c r="Q20" i="24"/>
  <c r="Q14" i="23"/>
  <c r="L17" i="25"/>
  <c r="L16" i="26"/>
  <c r="L24" i="26"/>
  <c r="N21" i="28"/>
  <c r="N44" i="28"/>
  <c r="P12" i="28"/>
  <c r="P6" i="26"/>
  <c r="P11" i="26"/>
  <c r="P27" i="26"/>
  <c r="P13" i="23"/>
  <c r="P17" i="23"/>
  <c r="P32" i="25"/>
  <c r="P20" i="26"/>
  <c r="P24" i="25"/>
  <c r="L36" i="28"/>
  <c r="M27" i="28"/>
  <c r="P36" i="28"/>
  <c r="N89" i="28"/>
  <c r="N90" i="28"/>
  <c r="N87" i="28"/>
  <c r="N93" i="28"/>
  <c r="J24" i="26"/>
  <c r="J16" i="26"/>
  <c r="O18" i="26"/>
  <c r="O22" i="25"/>
  <c r="K81" i="28"/>
  <c r="K16" i="24"/>
  <c r="K17" i="24"/>
  <c r="K20" i="24"/>
  <c r="K14" i="23"/>
  <c r="M11" i="28"/>
  <c r="M17" i="28"/>
  <c r="M23" i="28"/>
  <c r="M31" i="28"/>
  <c r="M40" i="28"/>
  <c r="M49" i="28"/>
  <c r="P38" i="28"/>
  <c r="N54" i="28"/>
  <c r="K36" i="28"/>
  <c r="O19" i="26"/>
  <c r="O23" i="25"/>
  <c r="M20" i="26"/>
  <c r="M24" i="25"/>
  <c r="K18" i="26"/>
  <c r="K22" i="25"/>
  <c r="M20" i="28"/>
  <c r="M35" i="28"/>
  <c r="N14" i="23"/>
  <c r="N20" i="24"/>
  <c r="K24" i="26"/>
  <c r="K16" i="26"/>
  <c r="M21" i="28"/>
  <c r="M44" i="28"/>
  <c r="P15" i="25"/>
  <c r="P9" i="25"/>
  <c r="N53" i="28"/>
  <c r="N22" i="28"/>
  <c r="O47" i="28"/>
  <c r="P57" i="27"/>
  <c r="P92" i="28"/>
  <c r="P29" i="28"/>
  <c r="P82" i="28"/>
  <c r="P91" i="28"/>
  <c r="O54" i="28"/>
  <c r="K92" i="28"/>
  <c r="K91" i="28"/>
  <c r="P54" i="28"/>
  <c r="O13" i="23"/>
  <c r="O17" i="23"/>
  <c r="O32" i="25"/>
  <c r="Q34" i="28"/>
  <c r="Q36" i="28"/>
  <c r="L27" i="26"/>
  <c r="L6" i="26"/>
  <c r="L11" i="26"/>
  <c r="L12" i="28"/>
  <c r="J38" i="28"/>
  <c r="K38" i="28"/>
  <c r="L90" i="28"/>
  <c r="L89" i="28"/>
  <c r="L87" i="28"/>
  <c r="L93" i="28"/>
  <c r="O14" i="23"/>
  <c r="O81" i="28"/>
  <c r="O16" i="24"/>
  <c r="O17" i="24"/>
  <c r="O20" i="24"/>
  <c r="P47" i="28"/>
  <c r="N47" i="28"/>
  <c r="K36" i="27"/>
  <c r="N49" i="28"/>
  <c r="N40" i="28"/>
  <c r="N31" i="28"/>
  <c r="N11" i="28"/>
  <c r="N17" i="28"/>
  <c r="N23" i="28"/>
  <c r="L38" i="28"/>
  <c r="L45" i="28"/>
  <c r="O36" i="28"/>
  <c r="O57" i="27"/>
  <c r="L22" i="28"/>
  <c r="L53" i="28"/>
  <c r="N23" i="25"/>
  <c r="N19" i="26"/>
  <c r="P17" i="25"/>
  <c r="P16" i="26"/>
  <c r="P24" i="26"/>
  <c r="L27" i="28"/>
  <c r="L32" i="25"/>
  <c r="K32" i="25"/>
  <c r="J32" i="25"/>
  <c r="O45" i="28"/>
  <c r="O93" i="28"/>
  <c r="O89" i="28"/>
  <c r="O87" i="28"/>
  <c r="O90" i="28"/>
  <c r="N7" i="26"/>
  <c r="N81" i="28"/>
  <c r="N16" i="24"/>
  <c r="N17" i="24"/>
  <c r="N19" i="24"/>
  <c r="M24" i="26"/>
  <c r="M16" i="26"/>
  <c r="Q90" i="28"/>
  <c r="Q89" i="28"/>
  <c r="Q55" i="28"/>
  <c r="Q87" i="28"/>
  <c r="Q93" i="28"/>
  <c r="M91" i="28"/>
  <c r="M92" i="28"/>
  <c r="J70" i="27"/>
  <c r="J56" i="27"/>
  <c r="J60" i="27"/>
  <c r="J63" i="27"/>
  <c r="L35" i="28"/>
  <c r="L20" i="28"/>
  <c r="O35" i="25"/>
  <c r="O33" i="25"/>
  <c r="O17" i="25"/>
  <c r="O19" i="25"/>
  <c r="O30" i="25"/>
  <c r="K20" i="26"/>
  <c r="K24" i="25"/>
  <c r="L44" i="28"/>
  <c r="L21" i="28"/>
  <c r="P70" i="27"/>
  <c r="P56" i="27"/>
  <c r="P60" i="27"/>
  <c r="P63" i="27"/>
  <c r="Q57" i="27"/>
  <c r="N17" i="25"/>
  <c r="N57" i="27"/>
  <c r="J19" i="24"/>
  <c r="J7" i="26"/>
  <c r="M90" i="28"/>
  <c r="M93" i="28"/>
  <c r="M87" i="28"/>
  <c r="M89" i="28"/>
  <c r="Q91" i="28"/>
  <c r="Q29" i="28"/>
  <c r="Q82" i="28"/>
  <c r="Q92" i="28"/>
  <c r="M54" i="28"/>
  <c r="L47" i="28"/>
  <c r="M36" i="28"/>
  <c r="K12" i="28"/>
  <c r="K29" i="28"/>
  <c r="K82" i="28"/>
  <c r="K6" i="26"/>
  <c r="K11" i="26"/>
  <c r="K27" i="26"/>
  <c r="M45" i="28"/>
  <c r="Q63" i="27"/>
  <c r="Q26" i="26"/>
  <c r="Q28" i="26"/>
  <c r="Q5" i="25"/>
  <c r="Q56" i="27"/>
  <c r="Q60" i="27"/>
  <c r="Q70" i="27"/>
  <c r="L91" i="28"/>
  <c r="L82" i="28"/>
  <c r="L92" i="28"/>
  <c r="N45" i="28"/>
  <c r="J92" i="28"/>
  <c r="J91" i="28"/>
  <c r="M17" i="25"/>
  <c r="M57" i="27"/>
  <c r="O91" i="28"/>
  <c r="O92" i="28"/>
  <c r="N92" i="28"/>
  <c r="N91" i="28"/>
  <c r="M27" i="26"/>
  <c r="M29" i="28"/>
  <c r="M82" i="28"/>
  <c r="M6" i="26"/>
  <c r="M11" i="26"/>
  <c r="M12" i="28"/>
  <c r="L63" i="27"/>
  <c r="L56" i="27"/>
  <c r="L60" i="27"/>
  <c r="L70" i="27"/>
  <c r="N27" i="26"/>
  <c r="N29" i="28"/>
  <c r="N82" i="28"/>
  <c r="N6" i="26"/>
  <c r="N11" i="26"/>
  <c r="N12" i="28"/>
  <c r="O27" i="26"/>
  <c r="O29" i="28"/>
  <c r="O82" i="28"/>
  <c r="O6" i="26"/>
  <c r="O11" i="26"/>
  <c r="O12" i="28"/>
  <c r="K45" i="28"/>
  <c r="N36" i="28"/>
  <c r="L26" i="28"/>
  <c r="L28" i="28"/>
  <c r="M26" i="28"/>
  <c r="M28" i="28"/>
  <c r="N26" i="28"/>
  <c r="N28" i="28"/>
  <c r="O26" i="28"/>
  <c r="O28" i="28"/>
  <c r="P26" i="28"/>
  <c r="P28" i="28"/>
  <c r="Q26" i="28"/>
  <c r="Q28" i="28"/>
  <c r="Q17" i="25"/>
  <c r="Q16" i="26"/>
  <c r="Q24" i="26"/>
  <c r="M47" i="28"/>
  <c r="L29" i="28"/>
  <c r="L81" i="28"/>
  <c r="L16" i="24"/>
  <c r="L17" i="24"/>
  <c r="L20" i="24"/>
  <c r="L14" i="23"/>
  <c r="M23" i="25"/>
  <c r="M19" i="26"/>
  <c r="J17" i="25"/>
  <c r="J57" i="27"/>
  <c r="Q52" i="28"/>
  <c r="Q54" i="28"/>
  <c r="K27" i="28"/>
  <c r="L5" i="25"/>
  <c r="L9" i="25"/>
  <c r="L15" i="25"/>
  <c r="M38" i="28"/>
  <c r="K26" i="28"/>
  <c r="K28" i="28"/>
  <c r="K17" i="25"/>
  <c r="K57" i="27"/>
  <c r="L54" i="28"/>
  <c r="Q21" i="28"/>
  <c r="Q44" i="28"/>
  <c r="K47" i="28"/>
  <c r="J47" i="28"/>
  <c r="J5" i="25"/>
  <c r="K11" i="28"/>
  <c r="K17" i="28"/>
  <c r="K23" i="28"/>
  <c r="K31" i="28"/>
  <c r="K40" i="28"/>
  <c r="K49" i="28"/>
  <c r="K93" i="28"/>
  <c r="K90" i="28"/>
  <c r="K87" i="28"/>
  <c r="K89" i="28"/>
  <c r="M76" i="27"/>
  <c r="I77" i="27"/>
  <c r="L11" i="28"/>
  <c r="L17" i="28"/>
  <c r="L23" i="28"/>
  <c r="L31" i="28"/>
  <c r="L40" i="28"/>
  <c r="L49" i="28"/>
  <c r="P89" i="28"/>
  <c r="P90" i="28"/>
  <c r="J49" i="28"/>
  <c r="J54" i="28"/>
  <c r="J55" i="28"/>
  <c r="K52" i="28"/>
  <c r="K55" i="28"/>
  <c r="L52" i="28"/>
  <c r="L55" i="28"/>
  <c r="M52" i="28"/>
  <c r="M55" i="28"/>
  <c r="N52" i="28"/>
  <c r="N55" i="28"/>
  <c r="O52" i="28"/>
  <c r="O55" i="28"/>
  <c r="P52" i="28"/>
  <c r="P55" i="28"/>
  <c r="P87" i="28"/>
  <c r="P93" i="28"/>
  <c r="N26" i="26"/>
  <c r="N28" i="26"/>
  <c r="O26" i="26"/>
  <c r="O28" i="26"/>
  <c r="P26" i="26"/>
  <c r="P28" i="26"/>
  <c r="P5" i="25"/>
  <c r="Q11" i="28"/>
  <c r="Q17" i="28"/>
  <c r="Q23" i="28"/>
  <c r="Q31" i="28"/>
  <c r="Q40" i="28"/>
  <c r="Q49" i="28"/>
  <c r="Q38" i="28"/>
  <c r="K63" i="27"/>
  <c r="K5" i="25"/>
  <c r="K56" i="27"/>
  <c r="K60" i="27"/>
  <c r="K70" i="27"/>
  <c r="J81" i="28"/>
  <c r="J16" i="24"/>
  <c r="J17" i="24"/>
  <c r="J20" i="24"/>
  <c r="J14" i="23"/>
  <c r="J17" i="23"/>
  <c r="K13" i="23"/>
  <c r="K17" i="23"/>
  <c r="L13" i="23"/>
  <c r="L17" i="23"/>
  <c r="M13" i="23"/>
  <c r="M17" i="23"/>
  <c r="N13" i="23"/>
  <c r="N17" i="23"/>
  <c r="N32" i="25"/>
  <c r="N38" i="28"/>
  <c r="O38" i="28"/>
  <c r="K44" i="28"/>
  <c r="K21" i="28"/>
  <c r="P45" i="28"/>
  <c r="J36" i="28"/>
  <c r="J37" i="28"/>
  <c r="K34" i="28"/>
  <c r="K37" i="28"/>
  <c r="L34" i="28"/>
  <c r="L37" i="28"/>
  <c r="M34" i="28"/>
  <c r="M37" i="28"/>
  <c r="N34" i="28"/>
  <c r="N37" i="28"/>
  <c r="O34" i="28"/>
  <c r="O37" i="28"/>
  <c r="P34" i="28"/>
  <c r="P37" i="28"/>
  <c r="P22" i="25"/>
  <c r="P18" i="26"/>
  <c r="L23" i="25"/>
  <c r="L19" i="26"/>
  <c r="J31" i="28"/>
  <c r="J40" i="28"/>
  <c r="J45" i="28"/>
  <c r="J46" i="28"/>
  <c r="K43" i="28"/>
  <c r="K46" i="28"/>
  <c r="L43" i="28"/>
  <c r="L46" i="28"/>
  <c r="M43" i="28"/>
  <c r="M46" i="28"/>
  <c r="N43" i="28"/>
  <c r="N46" i="28"/>
  <c r="O43" i="28"/>
  <c r="O46" i="28"/>
  <c r="P43" i="28"/>
  <c r="P46" i="28"/>
  <c r="Q43" i="28"/>
  <c r="Q45" i="28"/>
  <c r="J12" i="28"/>
  <c r="J17" i="28"/>
  <c r="J23" i="28"/>
  <c r="J27" i="28"/>
  <c r="J28" i="28"/>
  <c r="J29" i="28"/>
  <c r="J82" i="28"/>
  <c r="J6" i="26"/>
  <c r="J11" i="26"/>
  <c r="J27" i="26"/>
  <c r="J28" i="26"/>
  <c r="K26" i="26"/>
  <c r="K28" i="26"/>
  <c r="L26" i="26"/>
  <c r="L28" i="26"/>
  <c r="M26" i="26"/>
  <c r="M28" i="26"/>
  <c r="M5" i="25"/>
  <c r="M56" i="27"/>
  <c r="M60" i="27"/>
  <c r="M63" i="27"/>
  <c r="M65" i="27"/>
  <c r="I6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J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Increased the overall funding costs by 1% to reflect additional costs of Unitranche structure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other receivables, prepaid expenses, and prepaid income taxes</t>
        </r>
      </text>
    </comment>
    <comment ref="B2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deferred tax liabilities</t>
        </r>
      </text>
    </comment>
  </commentList>
</comments>
</file>

<file path=xl/sharedStrings.xml><?xml version="1.0" encoding="utf-8"?>
<sst xmlns="http://schemas.openxmlformats.org/spreadsheetml/2006/main" count="386" uniqueCount="216">
  <si>
    <t>Features</t>
  </si>
  <si>
    <t>◦</t>
  </si>
  <si>
    <t>Model Details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</si>
  <si>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</si>
  <si>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</si>
  <si>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</si>
  <si>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</si>
  <si>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</si>
  <si>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</si>
  <si>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</si>
  <si>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</si>
  <si>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</si>
  <si>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</si>
  <si>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</si>
  <si>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Tab name here</t>
  </si>
  <si>
    <t>Tab description here</t>
  </si>
  <si>
    <t>Analysis date</t>
  </si>
  <si>
    <t>Goodwill</t>
  </si>
  <si>
    <t>Depreciation</t>
  </si>
  <si>
    <t>Target</t>
  </si>
  <si>
    <t>Model information</t>
  </si>
  <si>
    <t>Acquirer latest year end</t>
  </si>
  <si>
    <t>Figures in MMs</t>
  </si>
  <si>
    <t>Hist.</t>
  </si>
  <si>
    <t>Proj.</t>
  </si>
  <si>
    <t>Assumptions</t>
  </si>
  <si>
    <t>Circ switch</t>
  </si>
  <si>
    <t>COGS % sales</t>
  </si>
  <si>
    <t>Depreciation % of last year's net PP&amp;E</t>
  </si>
  <si>
    <t>SG&amp;A % sales</t>
  </si>
  <si>
    <t>Effective tax rate</t>
  </si>
  <si>
    <t>Balance sheet assumptions</t>
  </si>
  <si>
    <t>Inventory days</t>
  </si>
  <si>
    <t>Receivable days</t>
  </si>
  <si>
    <t>Other current assets % of sales</t>
  </si>
  <si>
    <t>Capex % sales</t>
  </si>
  <si>
    <t>Payable days</t>
  </si>
  <si>
    <t>Net PP&amp;E</t>
  </si>
  <si>
    <t>Beginning</t>
  </si>
  <si>
    <t>Capex</t>
  </si>
  <si>
    <t xml:space="preserve"> Ending</t>
  </si>
  <si>
    <t>Equity</t>
  </si>
  <si>
    <t>Net income</t>
  </si>
  <si>
    <t>Operating working capital</t>
  </si>
  <si>
    <t xml:space="preserve"> OWC</t>
  </si>
  <si>
    <t>Beginning cash</t>
  </si>
  <si>
    <t>Net sales</t>
  </si>
  <si>
    <t>Cost of sales</t>
  </si>
  <si>
    <t xml:space="preserve"> Gross profit</t>
  </si>
  <si>
    <t>SG&amp;A</t>
  </si>
  <si>
    <t xml:space="preserve"> EBIT</t>
  </si>
  <si>
    <t>Interest expense</t>
  </si>
  <si>
    <t>Income before tax</t>
  </si>
  <si>
    <t>Provision for income taxes</t>
  </si>
  <si>
    <t>Cash</t>
  </si>
  <si>
    <t>Accounts receivable</t>
  </si>
  <si>
    <t>Inventories</t>
  </si>
  <si>
    <t>Other current assets</t>
  </si>
  <si>
    <t xml:space="preserve"> Total current assets</t>
  </si>
  <si>
    <t>PP&amp;E</t>
  </si>
  <si>
    <t>Intangible assets</t>
  </si>
  <si>
    <t xml:space="preserve"> Total assets</t>
  </si>
  <si>
    <t>Revolver</t>
  </si>
  <si>
    <t>Accounts payable</t>
  </si>
  <si>
    <t xml:space="preserve"> Total current liabilities</t>
  </si>
  <si>
    <t xml:space="preserve"> Total liabilities</t>
  </si>
  <si>
    <t xml:space="preserve"> Total liabilities and equity</t>
  </si>
  <si>
    <t>Balance?</t>
  </si>
  <si>
    <t>(Inc) dec in other LT assets</t>
  </si>
  <si>
    <t>Inc (dec) in other LT liabilities</t>
  </si>
  <si>
    <t>(Inc) dec in OWC</t>
  </si>
  <si>
    <t xml:space="preserve"> Cash flow from operations</t>
  </si>
  <si>
    <t>(Capex)</t>
  </si>
  <si>
    <t xml:space="preserve"> Cash flow from investing activities</t>
  </si>
  <si>
    <t>Inc (dec) in revolver</t>
  </si>
  <si>
    <t xml:space="preserve"> Cash flow from financing activities</t>
  </si>
  <si>
    <t>Net cash flow</t>
  </si>
  <si>
    <t xml:space="preserve"> Ending cash</t>
  </si>
  <si>
    <t>© 2016 Financial Edge Training</t>
  </si>
  <si>
    <t>Debenhams LBO model</t>
  </si>
  <si>
    <t xml:space="preserve"> EBITDA</t>
  </si>
  <si>
    <t>Other LT assets</t>
  </si>
  <si>
    <t>Debt</t>
  </si>
  <si>
    <t>Other LT liabilities</t>
  </si>
  <si>
    <t xml:space="preserve">LT assets amount </t>
  </si>
  <si>
    <t>LT liabilities amount</t>
  </si>
  <si>
    <t>Sales growth rate</t>
  </si>
  <si>
    <t>Income statement assumptions</t>
  </si>
  <si>
    <t>Amortization</t>
  </si>
  <si>
    <t>Amortization amount</t>
  </si>
  <si>
    <t>Inc (dec) in LT debt</t>
  </si>
  <si>
    <t>LBO</t>
  </si>
  <si>
    <t>Key assumptions</t>
  </si>
  <si>
    <t>Historic EBITDA</t>
  </si>
  <si>
    <t>EV/LTM EBITDA</t>
  </si>
  <si>
    <t>Acquisition EV</t>
  </si>
  <si>
    <t>Fees % EV</t>
  </si>
  <si>
    <t>LIBOR</t>
  </si>
  <si>
    <t>8 year GILT</t>
  </si>
  <si>
    <t>Exit year</t>
  </si>
  <si>
    <t>Sources and uses</t>
  </si>
  <si>
    <t>Net debt</t>
  </si>
  <si>
    <t>Acquisition equity value</t>
  </si>
  <si>
    <t>Refinanced net debt</t>
  </si>
  <si>
    <t>Fees</t>
  </si>
  <si>
    <t xml:space="preserve"> Total uses</t>
  </si>
  <si>
    <t>First Lien</t>
  </si>
  <si>
    <t>Second Lien</t>
  </si>
  <si>
    <t>Prefs</t>
  </si>
  <si>
    <t>Common equity</t>
  </si>
  <si>
    <t xml:space="preserve"> Total sources</t>
  </si>
  <si>
    <t>Spread</t>
  </si>
  <si>
    <t>Rate</t>
  </si>
  <si>
    <t>Ownership</t>
  </si>
  <si>
    <t>At exit</t>
  </si>
  <si>
    <t>Institutions</t>
  </si>
  <si>
    <t>Mezzanine</t>
  </si>
  <si>
    <t>At entry</t>
  </si>
  <si>
    <t xml:space="preserve"> Total</t>
  </si>
  <si>
    <t>Equity purchase price</t>
  </si>
  <si>
    <t xml:space="preserve"> Goodwill</t>
  </si>
  <si>
    <t>Accounting</t>
  </si>
  <si>
    <t>Financing</t>
  </si>
  <si>
    <t>Combo</t>
  </si>
  <si>
    <t>Beginning cash balance</t>
  </si>
  <si>
    <t>Cash flow from operations</t>
  </si>
  <si>
    <t>Cash flow from investing</t>
  </si>
  <si>
    <t>Mandatory repayment</t>
  </si>
  <si>
    <t xml:space="preserve"> Cash flow for debt repayment</t>
  </si>
  <si>
    <t>Mandatory repayments</t>
  </si>
  <si>
    <t>Beginning balance</t>
  </si>
  <si>
    <t>Accelerated repayment</t>
  </si>
  <si>
    <t xml:space="preserve"> Ending balance</t>
  </si>
  <si>
    <t xml:space="preserve"> Cash flow for second lien acceleration</t>
  </si>
  <si>
    <t>Repayment</t>
  </si>
  <si>
    <t xml:space="preserve">Beginning </t>
  </si>
  <si>
    <t>Accrued interest</t>
  </si>
  <si>
    <t>Cash flow</t>
  </si>
  <si>
    <t>Preference shares</t>
  </si>
  <si>
    <t>Accrued dividends</t>
  </si>
  <si>
    <t xml:space="preserve"> Cash flow for revolver</t>
  </si>
  <si>
    <t>Issuance (repayment)</t>
  </si>
  <si>
    <t>Cash flow for first lien acceleration</t>
  </si>
  <si>
    <t>Total interest expense</t>
  </si>
  <si>
    <t>Total cash interest</t>
  </si>
  <si>
    <t>Preference dividends</t>
  </si>
  <si>
    <t>Income statement</t>
  </si>
  <si>
    <t>Balance sheet</t>
  </si>
  <si>
    <t>Cash flow statement</t>
  </si>
  <si>
    <t>Management</t>
  </si>
  <si>
    <t>PIK</t>
  </si>
  <si>
    <t>Mandatory repayment assumptions</t>
  </si>
  <si>
    <t>Cash interest</t>
  </si>
  <si>
    <t>Tax expense</t>
  </si>
  <si>
    <t>Credit ratios</t>
  </si>
  <si>
    <t>EBITDA</t>
  </si>
  <si>
    <t>EBITDA - capex</t>
  </si>
  <si>
    <t>Total debt</t>
  </si>
  <si>
    <t>Total debt / EBITDA</t>
  </si>
  <si>
    <t>Total debt / EBITDA - capex</t>
  </si>
  <si>
    <t>EBITDA / cash interest</t>
  </si>
  <si>
    <t>% of total debt repaid</t>
  </si>
  <si>
    <t>EBITDA - capex / cash interest</t>
  </si>
  <si>
    <t>Equity returns</t>
  </si>
  <si>
    <t>Year count</t>
  </si>
  <si>
    <t>Avg. life</t>
  </si>
  <si>
    <t>Repaid by year</t>
  </si>
  <si>
    <t>Debt/EBITDA</t>
  </si>
  <si>
    <t>% total</t>
  </si>
  <si>
    <t>Bank case</t>
  </si>
  <si>
    <t>Management case</t>
  </si>
  <si>
    <t>% cash sweep</t>
  </si>
  <si>
    <t>Enterprise value</t>
  </si>
  <si>
    <t>+ Cash</t>
  </si>
  <si>
    <t>- Preference shares</t>
  </si>
  <si>
    <t xml:space="preserve"> = Equity value</t>
  </si>
  <si>
    <t>- Total debt excluding mezzanine</t>
  </si>
  <si>
    <t>- Mezzanine</t>
  </si>
  <si>
    <t>Equity value</t>
  </si>
  <si>
    <t>Equity value of warrants</t>
  </si>
  <si>
    <t>Value of mezzanine loan</t>
  </si>
  <si>
    <t>Mezzanine cash flows</t>
  </si>
  <si>
    <t>IRR</t>
  </si>
  <si>
    <t>PE institutions</t>
  </si>
  <si>
    <t>Preference share value</t>
  </si>
  <si>
    <t>PE institution cash flows</t>
  </si>
  <si>
    <t>Management cash flows</t>
  </si>
  <si>
    <t>Unitranche</t>
  </si>
  <si>
    <t>Capital structure sensitivity</t>
  </si>
  <si>
    <t>Standard</t>
  </si>
  <si>
    <t>Structure</t>
  </si>
  <si>
    <t>PP&amp;E valuation uplift %</t>
  </si>
  <si>
    <t>Loan to value for leaseback</t>
  </si>
  <si>
    <t>Tax rate</t>
  </si>
  <si>
    <t>Bridge loan</t>
  </si>
  <si>
    <t>Lease</t>
  </si>
  <si>
    <t>Lease liability</t>
  </si>
  <si>
    <t>Bridge redeemed on</t>
  </si>
  <si>
    <t>Lease term (years)</t>
  </si>
  <si>
    <t>Interest rate on lease</t>
  </si>
  <si>
    <t>Financial structure choice</t>
  </si>
  <si>
    <t>Interest rate</t>
  </si>
  <si>
    <t>Issuance</t>
  </si>
  <si>
    <t>Interest</t>
  </si>
  <si>
    <t>Payment</t>
  </si>
  <si>
    <t>must be on a year end</t>
  </si>
  <si>
    <t>Cash sweep switch</t>
  </si>
  <si>
    <t xml:space="preserve"> 1 = on, 0 = off</t>
  </si>
  <si>
    <t>Cash flow for unitranche acceleration</t>
  </si>
  <si>
    <t>Issuance (redemption) of bridge loan</t>
  </si>
  <si>
    <t>Issuance (redemption) of lease liability</t>
  </si>
  <si>
    <t>Common dividends</t>
  </si>
  <si>
    <t>(Common dividends)</t>
  </si>
  <si>
    <t>Debenhams</t>
  </si>
  <si>
    <t>LBO Model</t>
  </si>
  <si>
    <t>Net identifiable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</si>
</sst>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_);\(#,##0.0\)"/>
    <numFmt numFmtId="176" formatCode="_ \ * #,##0.0_)_%;_ \ * \(#,##0.0\)_%;;_ \ * @_)_%"/>
    <numFmt numFmtId="177" formatCode="#,##0.0_)_%;\(#,##0.0\)_%;#,##0.0_)_%;@_)_%"/>
    <numFmt numFmtId="178" formatCode="0.00%_);\(0.00%\)"/>
    <numFmt numFmtId="179" formatCode="#,##0.0\ \x_);\(#,##0.0\ \x\)"/>
  </numFmts>
  <fonts count="50" x14ac:knownFonts="1"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808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6"/>
      <color rgb="FF0F2FB5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66CC"/>
      <name val="Arial"/>
      <family val="2"/>
    </font>
    <font>
      <u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174" fontId="0" fillId="0" borderId="0" applyFill="0" applyBorder="0" applyAlignment="0" applyProtection="0"/>
    <xf numFmtId="0" fontId="8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5" applyNumberFormat="0" applyAlignment="0" applyProtection="0"/>
    <xf numFmtId="0" fontId="20" fillId="10" borderId="6" applyNumberFormat="0" applyAlignment="0" applyProtection="0"/>
    <xf numFmtId="0" fontId="21" fillId="10" borderId="5" applyNumberFormat="0" applyAlignment="0" applyProtection="0"/>
    <xf numFmtId="0" fontId="22" fillId="0" borderId="7" applyNumberFormat="0" applyFill="0" applyAlignment="0" applyProtection="0"/>
    <xf numFmtId="0" fontId="23" fillId="11" borderId="8" applyNumberFormat="0" applyAlignment="0" applyProtection="0"/>
    <xf numFmtId="0" fontId="24" fillId="0" borderId="0" applyNumberFormat="0" applyFill="0" applyBorder="0" applyAlignment="0" applyProtection="0"/>
    <xf numFmtId="0" fontId="11" fillId="12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7" fillId="36" borderId="0" applyNumberFormat="0" applyBorder="0" applyAlignment="0" applyProtection="0"/>
    <xf numFmtId="0" fontId="34" fillId="2" borderId="0" applyNumberFormat="0">
      <alignment horizontal="left"/>
    </xf>
    <xf numFmtId="0" fontId="10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5" borderId="0" applyNumberFormat="0" applyFont="0" applyAlignment="0" applyProtection="0">
      <alignment vertical="top"/>
    </xf>
    <xf numFmtId="168" fontId="30" fillId="3" borderId="0">
      <alignment horizontal="center"/>
    </xf>
    <xf numFmtId="170" fontId="29" fillId="2" borderId="0">
      <alignment horizontal="center"/>
    </xf>
    <xf numFmtId="170" fontId="5" fillId="0" borderId="0">
      <alignment vertical="top"/>
    </xf>
    <xf numFmtId="168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31" fillId="2" borderId="0" applyFont="0" applyFill="0" applyBorder="0" applyAlignment="0" applyProtection="0"/>
    <xf numFmtId="170" fontId="32" fillId="2" borderId="0" applyNumberFormat="0" applyFill="0" applyBorder="0" applyAlignment="0" applyProtection="0"/>
    <xf numFmtId="170" fontId="33" fillId="0" borderId="0" applyNumberFormat="0" applyFill="0" applyBorder="0" applyAlignment="0">
      <alignment vertical="top"/>
    </xf>
    <xf numFmtId="173" fontId="31" fillId="2" borderId="0" applyFont="0" applyFill="0" applyBorder="0" applyAlignment="0" applyProtection="0"/>
    <xf numFmtId="171" fontId="32" fillId="37" borderId="11" applyNumberFormat="0">
      <protection locked="0"/>
    </xf>
    <xf numFmtId="0" fontId="4" fillId="5" borderId="12" applyFont="0" applyAlignment="0" applyProtection="0">
      <alignment vertical="top"/>
    </xf>
    <xf numFmtId="170" fontId="34" fillId="3" borderId="0" applyNumberFormat="0" applyBorder="0">
      <alignment horizontal="center" vertical="top"/>
    </xf>
    <xf numFmtId="170" fontId="5" fillId="38" borderId="0" applyNumberFormat="0" applyFont="0" applyBorder="0" applyAlignment="0" applyProtection="0">
      <alignment vertical="top"/>
    </xf>
    <xf numFmtId="175" fontId="32" fillId="0" borderId="0" applyNumberFormat="0" applyFill="0" applyBorder="0" applyAlignment="0" applyProtection="0"/>
    <xf numFmtId="15" fontId="37" fillId="0" borderId="0" applyFill="0" applyBorder="0" applyAlignment="0" applyProtection="0"/>
    <xf numFmtId="176" fontId="38" fillId="39" borderId="0" applyFill="0" applyBorder="0" applyAlignment="0" applyProtection="0">
      <alignment horizontal="center"/>
    </xf>
    <xf numFmtId="0" fontId="39" fillId="39" borderId="13" applyNumberFormat="0" applyBorder="0" applyAlignment="0" applyProtection="0">
      <alignment horizontal="center"/>
    </xf>
    <xf numFmtId="0" fontId="40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7" fontId="41" fillId="0" borderId="0" applyFont="0" applyFill="0" applyBorder="0" applyAlignment="0" applyProtection="0">
      <alignment horizontal="right"/>
    </xf>
    <xf numFmtId="172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43" fillId="0" borderId="14" applyNumberFormat="0" applyFill="0" applyAlignment="0">
      <alignment horizontal="right"/>
    </xf>
    <xf numFmtId="17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75" fontId="44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74" fontId="46" fillId="0" borderId="0"/>
    <xf numFmtId="0" fontId="47" fillId="0" borderId="0" applyFill="0" applyBorder="0" applyAlignment="0" applyProtection="0"/>
    <xf numFmtId="0" fontId="48" fillId="4" borderId="0" applyNumberFormat="0" applyFill="0" applyBorder="0" applyAlignment="0" applyProtection="0">
      <alignment horizontal="right"/>
    </xf>
  </cellStyleXfs>
  <cellXfs count="97">
    <xf numFmtId="174" fontId="0" fillId="0" borderId="0" xfId="0"/>
    <xf numFmtId="174" fontId="4" fillId="5" borderId="0" xfId="0" applyFont="1" applyFill="1" applyBorder="1"/>
    <xf numFmtId="174" fontId="4" fillId="4" borderId="0" xfId="0" applyFont="1" applyFill="1" applyBorder="1"/>
    <xf numFmtId="174" fontId="4" fillId="5" borderId="0" xfId="0" applyFont="1" applyFill="1" applyBorder="1" applyAlignment="1">
      <alignment vertical="top" wrapText="1"/>
    </xf>
    <xf numFmtId="174" fontId="4" fillId="5" borderId="1" xfId="0" applyFont="1" applyFill="1" applyBorder="1" applyAlignment="1">
      <alignment vertical="top"/>
    </xf>
    <xf numFmtId="170" fontId="34" fillId="2" borderId="0" xfId="48" applyNumberFormat="1">
      <alignment horizontal="left"/>
    </xf>
    <xf numFmtId="174" fontId="27" fillId="2" borderId="0" xfId="0" applyFont="1" applyFill="1" applyBorder="1" applyAlignment="1"/>
    <xf numFmtId="174" fontId="28" fillId="3" borderId="0" xfId="0" applyFont="1" applyFill="1" applyBorder="1" applyAlignment="1"/>
    <xf numFmtId="174" fontId="5" fillId="5" borderId="0" xfId="0" applyFont="1" applyFill="1" applyBorder="1" applyAlignment="1">
      <alignment horizontal="center" vertical="top"/>
    </xf>
    <xf numFmtId="174" fontId="5" fillId="5" borderId="0" xfId="0" applyFont="1" applyFill="1" applyBorder="1" applyAlignment="1">
      <alignment vertical="top"/>
    </xf>
    <xf numFmtId="174" fontId="27" fillId="2" borderId="0" xfId="0" applyFont="1" applyFill="1" applyBorder="1" applyAlignment="1">
      <alignment vertical="center"/>
    </xf>
    <xf numFmtId="168" fontId="30" fillId="3" borderId="0" xfId="52">
      <alignment horizontal="center"/>
    </xf>
    <xf numFmtId="170" fontId="29" fillId="2" borderId="0" xfId="53">
      <alignment horizontal="center"/>
    </xf>
    <xf numFmtId="170" fontId="34" fillId="2" borderId="0" xfId="48" applyNumberFormat="1" applyAlignment="1"/>
    <xf numFmtId="170" fontId="10" fillId="3" borderId="0" xfId="49" applyNumberFormat="1" applyAlignment="1"/>
    <xf numFmtId="174" fontId="4" fillId="5" borderId="0" xfId="0" applyFont="1" applyFill="1" applyBorder="1" applyAlignment="1">
      <alignment horizontal="left" vertical="top"/>
    </xf>
    <xf numFmtId="174" fontId="4" fillId="5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vertical="top" wrapText="1"/>
    </xf>
    <xf numFmtId="174" fontId="5" fillId="0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horizontal="left" wrapText="1"/>
    </xf>
    <xf numFmtId="174" fontId="4" fillId="0" borderId="0" xfId="0" applyFont="1" applyFill="1" applyBorder="1" applyAlignment="1">
      <alignment vertical="top"/>
    </xf>
    <xf numFmtId="174" fontId="4" fillId="0" borderId="0" xfId="0" applyFont="1" applyFill="1" applyBorder="1"/>
    <xf numFmtId="174" fontId="6" fillId="0" borderId="0" xfId="0" applyFont="1" applyFill="1" applyBorder="1" applyAlignment="1">
      <alignment vertical="center"/>
    </xf>
    <xf numFmtId="174" fontId="7" fillId="0" borderId="0" xfId="0" applyFont="1" applyFill="1" applyBorder="1" applyAlignment="1">
      <alignment vertical="center" wrapText="1"/>
    </xf>
    <xf numFmtId="174" fontId="4" fillId="0" borderId="0" xfId="0" applyFont="1" applyFill="1" applyBorder="1" applyAlignment="1">
      <alignment horizontal="left" vertical="top"/>
    </xf>
    <xf numFmtId="174" fontId="5" fillId="0" borderId="0" xfId="0" applyFont="1" applyFill="1" applyBorder="1" applyAlignment="1">
      <alignment horizontal="center" vertical="top"/>
    </xf>
    <xf numFmtId="174" fontId="9" fillId="0" borderId="0" xfId="0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horizontal="left"/>
    </xf>
    <xf numFmtId="174" fontId="4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5" fillId="0" borderId="0" xfId="0" applyFont="1" applyFill="1" applyBorder="1" applyAlignment="1">
      <alignment horizontal="left" vertical="top"/>
    </xf>
    <xf numFmtId="174" fontId="5" fillId="0" borderId="0" xfId="0" applyFont="1" applyFill="1" applyBorder="1"/>
    <xf numFmtId="174" fontId="0" fillId="0" borderId="0" xfId="0" applyFill="1" applyBorder="1"/>
    <xf numFmtId="174" fontId="27" fillId="0" borderId="0" xfId="0" applyFont="1" applyFill="1" applyBorder="1" applyAlignment="1"/>
    <xf numFmtId="174" fontId="28" fillId="0" borderId="0" xfId="0" applyFont="1" applyFill="1" applyBorder="1" applyAlignment="1"/>
    <xf numFmtId="170" fontId="32" fillId="0" borderId="0" xfId="58" applyFill="1" applyBorder="1" applyAlignment="1">
      <alignment vertical="top"/>
    </xf>
    <xf numFmtId="170" fontId="4" fillId="5" borderId="0" xfId="51" applyNumberFormat="1" applyFont="1" applyAlignment="1">
      <alignment horizontal="left" vertical="top"/>
    </xf>
    <xf numFmtId="170" fontId="5" fillId="5" borderId="0" xfId="51" applyNumberFormat="1" applyFont="1" applyAlignment="1">
      <alignment horizontal="center" vertical="top"/>
    </xf>
    <xf numFmtId="170" fontId="4" fillId="5" borderId="0" xfId="51" applyNumberFormat="1" applyFont="1" applyAlignment="1"/>
    <xf numFmtId="170" fontId="7" fillId="5" borderId="0" xfId="51" applyNumberFormat="1" applyFont="1" applyAlignment="1">
      <alignment vertical="center" wrapText="1"/>
    </xf>
    <xf numFmtId="170" fontId="4" fillId="5" borderId="0" xfId="51" applyNumberFormat="1" applyFont="1" applyAlignment="1">
      <alignment vertical="top"/>
    </xf>
    <xf numFmtId="0" fontId="4" fillId="5" borderId="12" xfId="62" applyFont="1" applyAlignment="1">
      <alignment vertical="top"/>
    </xf>
    <xf numFmtId="0" fontId="5" fillId="5" borderId="12" xfId="62" applyFont="1" applyAlignment="1">
      <alignment horizontal="center" vertical="top"/>
    </xf>
    <xf numFmtId="0" fontId="4" fillId="5" borderId="12" xfId="62" applyFont="1" applyAlignment="1"/>
    <xf numFmtId="0" fontId="7" fillId="5" borderId="12" xfId="62" applyFont="1" applyAlignment="1">
      <alignment vertical="center" wrapText="1"/>
    </xf>
    <xf numFmtId="170" fontId="9" fillId="5" borderId="0" xfId="51" applyNumberFormat="1" applyFont="1" applyAlignment="1">
      <alignment vertical="center" wrapText="1"/>
    </xf>
    <xf numFmtId="0" fontId="5" fillId="5" borderId="12" xfId="62" applyFont="1" applyAlignment="1"/>
    <xf numFmtId="0" fontId="4" fillId="5" borderId="12" xfId="62" applyFont="1" applyAlignment="1">
      <alignment horizontal="left"/>
    </xf>
    <xf numFmtId="0" fontId="9" fillId="5" borderId="12" xfId="62" applyFont="1" applyAlignment="1">
      <alignment horizontal="center" vertical="center" wrapText="1"/>
    </xf>
    <xf numFmtId="0" fontId="9" fillId="5" borderId="12" xfId="62" applyFont="1" applyAlignment="1">
      <alignment vertical="center" wrapText="1"/>
    </xf>
    <xf numFmtId="170" fontId="32" fillId="37" borderId="11" xfId="61" applyNumberFormat="1">
      <protection locked="0"/>
    </xf>
    <xf numFmtId="170" fontId="4" fillId="0" borderId="0" xfId="51" applyNumberFormat="1" applyFont="1" applyFill="1" applyAlignment="1"/>
    <xf numFmtId="0" fontId="4" fillId="0" borderId="0" xfId="62" applyFont="1" applyFill="1" applyBorder="1" applyAlignment="1"/>
    <xf numFmtId="174" fontId="0" fillId="5" borderId="0" xfId="51" applyNumberFormat="1" applyFont="1" applyAlignment="1"/>
    <xf numFmtId="174" fontId="4" fillId="5" borderId="0" xfId="51" applyNumberFormat="1" applyFont="1" applyAlignment="1">
      <alignment vertical="top"/>
    </xf>
    <xf numFmtId="0" fontId="0" fillId="5" borderId="12" xfId="62" applyFont="1" applyAlignment="1"/>
    <xf numFmtId="174" fontId="6" fillId="5" borderId="0" xfId="51" applyNumberFormat="1" applyFont="1" applyAlignment="1">
      <alignment vertical="center"/>
    </xf>
    <xf numFmtId="0" fontId="5" fillId="5" borderId="12" xfId="62" applyFont="1" applyAlignment="1">
      <alignment horizontal="left" vertical="top"/>
    </xf>
    <xf numFmtId="170" fontId="4" fillId="5" borderId="0" xfId="51" applyNumberFormat="1" applyFont="1" applyAlignment="1">
      <alignment horizontal="left"/>
    </xf>
    <xf numFmtId="172" fontId="0" fillId="0" borderId="0" xfId="57" applyFont="1" applyFill="1"/>
    <xf numFmtId="174" fontId="32" fillId="0" borderId="0" xfId="65" applyNumberFormat="1"/>
    <xf numFmtId="174" fontId="45" fillId="0" borderId="0" xfId="0" applyFont="1"/>
    <xf numFmtId="172" fontId="32" fillId="0" borderId="0" xfId="57" applyFont="1" applyFill="1"/>
    <xf numFmtId="172" fontId="32" fillId="0" borderId="0" xfId="65" applyNumberFormat="1" applyFill="1"/>
    <xf numFmtId="172" fontId="0" fillId="0" borderId="0" xfId="72" applyFont="1"/>
    <xf numFmtId="174" fontId="0" fillId="0" borderId="0" xfId="0" applyAlignment="1">
      <alignment horizontal="right"/>
    </xf>
    <xf numFmtId="171" fontId="0" fillId="0" borderId="0" xfId="56" applyFont="1"/>
    <xf numFmtId="171" fontId="32" fillId="37" borderId="11" xfId="61">
      <protection locked="0"/>
    </xf>
    <xf numFmtId="174" fontId="32" fillId="37" borderId="11" xfId="61" applyNumberFormat="1">
      <protection locked="0"/>
    </xf>
    <xf numFmtId="172" fontId="32" fillId="37" borderId="11" xfId="72" applyFont="1" applyFill="1" applyBorder="1" applyProtection="1">
      <protection locked="0"/>
    </xf>
    <xf numFmtId="178" fontId="32" fillId="37" borderId="11" xfId="72" applyNumberFormat="1" applyFont="1" applyFill="1" applyBorder="1" applyProtection="1">
      <protection locked="0"/>
    </xf>
    <xf numFmtId="178" fontId="0" fillId="0" borderId="0" xfId="72" applyNumberFormat="1" applyFont="1"/>
    <xf numFmtId="172" fontId="32" fillId="37" borderId="11" xfId="57" applyFont="1" applyFill="1" applyBorder="1" applyProtection="1">
      <protection locked="0"/>
    </xf>
    <xf numFmtId="0" fontId="32" fillId="0" borderId="0" xfId="65" applyNumberFormat="1"/>
    <xf numFmtId="0" fontId="0" fillId="0" borderId="0" xfId="0" applyNumberFormat="1"/>
    <xf numFmtId="174" fontId="0" fillId="0" borderId="0" xfId="0" quotePrefix="1"/>
    <xf numFmtId="174" fontId="49" fillId="0" borderId="0" xfId="0" applyFont="1"/>
    <xf numFmtId="174" fontId="32" fillId="0" borderId="0" xfId="58" applyNumberFormat="1" applyFill="1"/>
    <xf numFmtId="174" fontId="0" fillId="0" borderId="0" xfId="0" applyAlignment="1">
      <alignment horizontal="centerContinuous"/>
    </xf>
    <xf numFmtId="174" fontId="49" fillId="0" borderId="0" xfId="0" applyFont="1" applyAlignment="1">
      <alignment horizontal="centerContinuous"/>
    </xf>
    <xf numFmtId="15" fontId="32" fillId="37" borderId="11" xfId="61" applyNumberFormat="1">
      <protection locked="0"/>
    </xf>
    <xf numFmtId="0" fontId="32" fillId="37" borderId="11" xfId="61" applyNumberFormat="1">
      <protection locked="0"/>
    </xf>
    <xf numFmtId="178" fontId="0" fillId="0" borderId="0" xfId="72" applyNumberFormat="1" applyFont="1" applyAlignment="1">
      <alignment horizontal="right"/>
    </xf>
    <xf numFmtId="179" fontId="0" fillId="0" borderId="0" xfId="56" applyNumberFormat="1" applyFont="1"/>
    <xf numFmtId="170" fontId="34" fillId="2" borderId="0" xfId="48" applyNumberFormat="1" applyAlignment="1">
      <alignment horizontal="center"/>
    </xf>
    <xf numFmtId="174" fontId="7" fillId="0" borderId="0" xfId="0" applyFont="1" applyFill="1" applyBorder="1" applyAlignment="1">
      <alignment horizontal="center" vertical="center" wrapText="1"/>
    </xf>
    <xf numFmtId="170" fontId="4" fillId="5" borderId="0" xfId="51" applyNumberFormat="1" applyFont="1" applyAlignment="1">
      <alignment horizontal="left" vertical="top"/>
    </xf>
    <xf numFmtId="170" fontId="34" fillId="3" borderId="0" xfId="49" applyNumberFormat="1" applyFont="1" applyAlignment="1">
      <alignment horizontal="center" vertical="center"/>
    </xf>
    <xf numFmtId="170" fontId="33" fillId="5" borderId="0" xfId="59" applyNumberFormat="1" applyFill="1" applyBorder="1" applyAlignment="1">
      <alignment horizontal="center" vertical="center" wrapText="1"/>
    </xf>
    <xf numFmtId="174" fontId="9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4" fillId="5" borderId="0" xfId="51" applyNumberFormat="1" applyFont="1" applyAlignment="1">
      <alignment horizontal="left"/>
    </xf>
    <xf numFmtId="168" fontId="4" fillId="5" borderId="0" xfId="51" applyNumberFormat="1" applyFont="1" applyAlignment="1">
      <alignment horizontal="left"/>
    </xf>
    <xf numFmtId="0" fontId="4" fillId="5" borderId="0" xfId="51" applyNumberFormat="1" applyFont="1" applyAlignment="1">
      <alignment horizontal="left"/>
    </xf>
    <xf numFmtId="174" fontId="6" fillId="5" borderId="0" xfId="0" applyFont="1" applyFill="1" applyBorder="1" applyAlignment="1">
      <alignment horizontal="left" vertical="center"/>
    </xf>
    <xf numFmtId="174" fontId="6" fillId="5" borderId="0" xfId="50" applyNumberFormat="1" applyFill="1">
      <alignment horizontal="left" vertical="center"/>
    </xf>
  </cellXfs>
  <cellStyles count="82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5" xr:uid="{00000000-0005-0000-0000-000018000000}"/>
    <cellStyle name="b 2" xfId="77" xr:uid="{00000000-0005-0000-0000-000019000000}"/>
    <cellStyle name="Background Fill" xfId="51" xr:uid="{00000000-0005-0000-0000-00001A000000}"/>
    <cellStyle name="Bad" xfId="13" builtinId="27" hidden="1"/>
    <cellStyle name="BG Border" xfId="62" xr:uid="{00000000-0005-0000-0000-00001C000000}"/>
    <cellStyle name="Blank" xfId="60" xr:uid="{00000000-0005-0000-0000-00001D000000}"/>
    <cellStyle name="Calculation" xfId="17" builtinId="22" hidden="1"/>
    <cellStyle name="CapIQ_date" xfId="66" xr:uid="{00000000-0005-0000-0000-00001F000000}"/>
    <cellStyle name="Check Cell" xfId="19" builtinId="23" hidden="1"/>
    <cellStyle name="Column_header" xfId="67" xr:uid="{00000000-0005-0000-0000-000021000000}"/>
    <cellStyle name="Comma" xfId="2" builtinId="3" hidden="1"/>
    <cellStyle name="Comma [0]" xfId="3" builtinId="6" hidden="1"/>
    <cellStyle name="Cover Title" xfId="63" xr:uid="{00000000-0005-0000-0000-000024000000}"/>
    <cellStyle name="Currency" xfId="4" builtinId="4" hidden="1"/>
    <cellStyle name="Currency [0]" xfId="5" builtinId="7" hidden="1"/>
    <cellStyle name="d" xfId="76" xr:uid="{00000000-0005-0000-0000-000027000000}"/>
    <cellStyle name="DataOutput" xfId="81" xr:uid="{00000000-0005-0000-0000-000028000000}"/>
    <cellStyle name="Date" xfId="55" xr:uid="{00000000-0005-0000-0000-000029000000}"/>
    <cellStyle name="Date Heading" xfId="52" xr:uid="{00000000-0005-0000-0000-00002A000000}"/>
    <cellStyle name="Explanatory Text" xfId="22" builtinId="53" hidden="1"/>
    <cellStyle name="Good" xfId="12" builtinId="26" hidden="1"/>
    <cellStyle name="Hard Coded Number" xfId="58" xr:uid="{00000000-0005-0000-0000-00002D000000}"/>
    <cellStyle name="Heading" xfId="68" xr:uid="{00000000-0005-0000-0000-00002E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33000000}"/>
    <cellStyle name="Hist Proj Title" xfId="53" xr:uid="{00000000-0005-0000-0000-000034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ain_heading" xfId="69" xr:uid="{00000000-0005-0000-0000-000039000000}"/>
    <cellStyle name="Multiple" xfId="56" xr:uid="{00000000-0005-0000-0000-00003A000000}"/>
    <cellStyle name="Multiple 2" xfId="70" xr:uid="{00000000-0005-0000-0000-00003B000000}"/>
    <cellStyle name="Neutral" xfId="14" builtinId="28" hidden="1"/>
    <cellStyle name="Normal" xfId="0" builtinId="0" customBuiltin="1"/>
    <cellStyle name="Normal 2" xfId="75" xr:uid="{00000000-0005-0000-0000-00003E000000}"/>
    <cellStyle name="Normal 3" xfId="79" xr:uid="{00000000-0005-0000-0000-00003F000000}"/>
    <cellStyle name="Normal 4" xfId="80" xr:uid="{00000000-0005-0000-0000-000040000000}"/>
    <cellStyle name="Note" xfId="21" builtinId="10" hidden="1"/>
    <cellStyle name="Notes and Comments" xfId="59" xr:uid="{00000000-0005-0000-0000-000042000000}"/>
    <cellStyle name="Number_1dp" xfId="71" xr:uid="{00000000-0005-0000-0000-000043000000}"/>
    <cellStyle name="Output" xfId="16" builtinId="21" hidden="1"/>
    <cellStyle name="P" xfId="72" xr:uid="{00000000-0005-0000-0000-000045000000}"/>
    <cellStyle name="p 2" xfId="78" xr:uid="{00000000-0005-0000-0000-000046000000}"/>
    <cellStyle name="Per cent" xfId="6" builtinId="5" hidden="1"/>
    <cellStyle name="Per cent" xfId="57" builtinId="5" customBuiltin="1"/>
    <cellStyle name="Primary Title" xfId="48" xr:uid="{00000000-0005-0000-0000-000049000000}"/>
    <cellStyle name="Row Label" xfId="54" xr:uid="{00000000-0005-0000-0000-00004A000000}"/>
    <cellStyle name="Secondary Title" xfId="49" xr:uid="{00000000-0005-0000-0000-00004B000000}"/>
    <cellStyle name="Section_heading" xfId="73" xr:uid="{00000000-0005-0000-0000-00004C000000}"/>
    <cellStyle name="Switch" xfId="74" xr:uid="{00000000-0005-0000-0000-00004D000000}"/>
    <cellStyle name="Tertiary Title" xfId="50" xr:uid="{00000000-0005-0000-0000-00004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F0F8FE"/>
      <color rgb="FF163260"/>
      <color rgb="FF085393"/>
      <color rgb="FFBBDEFB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0" customWidth="1"/>
    <col min="2" max="13" width="9.265625" style="30" customWidth="1"/>
    <col min="14" max="14" width="9.86328125" style="30" customWidth="1"/>
    <col min="15" max="26" width="9.1328125" style="30" customWidth="1"/>
    <col min="27" max="16384" width="9.1328125" style="30"/>
  </cols>
  <sheetData>
    <row r="1" spans="1:14" s="34" customFormat="1" ht="189.75" customHeight="1" x14ac:dyDescent="0.8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20" customFormat="1" ht="75" customHeight="1" x14ac:dyDescent="0.45">
      <c r="A2" s="88" t="s">
        <v>79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21" customFormat="1" ht="7.5" customHeight="1" x14ac:dyDescent="0.45">
      <c r="B3" s="22"/>
      <c r="C3" s="22"/>
      <c r="F3" s="23"/>
      <c r="G3" s="23"/>
      <c r="H3" s="23"/>
      <c r="I3" s="23"/>
      <c r="J3" s="23"/>
      <c r="K3" s="23"/>
    </row>
    <row r="4" spans="1:14" s="21" customFormat="1" ht="15" customHeight="1" x14ac:dyDescent="0.45">
      <c r="A4" s="37"/>
      <c r="B4" s="38"/>
      <c r="C4" s="87"/>
      <c r="D4" s="8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1" customFormat="1" ht="15" customHeight="1" x14ac:dyDescent="0.45">
      <c r="A5" s="89" t="s">
        <v>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21" customFormat="1" ht="15" customHeight="1" x14ac:dyDescent="0.4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s="21" customFormat="1" ht="15" customHeight="1" x14ac:dyDescent="0.45">
      <c r="A7" s="89" t="s">
        <v>78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s="21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1" customFormat="1" ht="15" customHeight="1" x14ac:dyDescent="0.45">
      <c r="F9" s="26"/>
      <c r="G9" s="90"/>
      <c r="H9" s="90"/>
      <c r="I9" s="90"/>
      <c r="J9" s="90"/>
      <c r="K9" s="26"/>
    </row>
    <row r="10" spans="1:14" s="21" customFormat="1" ht="15" customHeight="1" x14ac:dyDescent="0.45">
      <c r="B10" s="22"/>
      <c r="C10" s="22"/>
      <c r="F10" s="26"/>
      <c r="G10" s="90"/>
      <c r="H10" s="90"/>
      <c r="I10" s="90"/>
      <c r="J10" s="90"/>
      <c r="K10" s="26"/>
    </row>
    <row r="11" spans="1:14" s="21" customFormat="1" ht="15" customHeight="1" x14ac:dyDescent="0.45">
      <c r="B11" s="18"/>
      <c r="C11" s="18"/>
      <c r="D11" s="19"/>
      <c r="F11" s="23"/>
      <c r="G11" s="23"/>
      <c r="H11" s="23"/>
      <c r="I11" s="23"/>
      <c r="J11" s="23"/>
      <c r="K11" s="23"/>
    </row>
    <row r="12" spans="1:14" s="21" customFormat="1" ht="15" customHeight="1" x14ac:dyDescent="0.45">
      <c r="A12" s="24"/>
      <c r="B12" s="18"/>
      <c r="C12" s="18"/>
      <c r="D12" s="27"/>
      <c r="F12" s="23"/>
      <c r="G12" s="86"/>
      <c r="H12" s="86"/>
      <c r="I12" s="86"/>
      <c r="J12" s="86"/>
      <c r="K12" s="23"/>
    </row>
    <row r="13" spans="1:14" s="21" customFormat="1" ht="15" customHeight="1" x14ac:dyDescent="0.45">
      <c r="A13" s="17"/>
      <c r="B13" s="18"/>
      <c r="C13" s="18"/>
      <c r="D13" s="28"/>
      <c r="F13" s="23"/>
      <c r="G13" s="86"/>
      <c r="H13" s="86"/>
      <c r="I13" s="86"/>
      <c r="J13" s="86"/>
      <c r="K13" s="23"/>
    </row>
    <row r="14" spans="1:14" s="21" customFormat="1" ht="15" customHeight="1" x14ac:dyDescent="0.45">
      <c r="A14" s="20"/>
      <c r="B14" s="18"/>
      <c r="C14" s="18"/>
      <c r="D14" s="28"/>
      <c r="F14" s="23"/>
      <c r="G14" s="86"/>
      <c r="H14" s="86"/>
      <c r="I14" s="86"/>
      <c r="J14" s="86"/>
      <c r="K14" s="23"/>
    </row>
    <row r="15" spans="1:14" s="21" customFormat="1" ht="15" customHeight="1" x14ac:dyDescent="0.45">
      <c r="A15" s="20"/>
      <c r="B15" s="18"/>
      <c r="C15" s="18"/>
      <c r="D15" s="28"/>
      <c r="F15" s="23"/>
      <c r="G15" s="23"/>
      <c r="H15" s="23"/>
      <c r="I15" s="23"/>
      <c r="J15" s="23"/>
      <c r="K15" s="23"/>
    </row>
    <row r="16" spans="1:14" s="21" customFormat="1" ht="15" customHeight="1" x14ac:dyDescent="0.45">
      <c r="A16" s="20"/>
      <c r="B16" s="18"/>
      <c r="C16" s="18"/>
      <c r="D16" s="29"/>
      <c r="F16" s="23"/>
      <c r="G16" s="86"/>
      <c r="H16" s="86"/>
      <c r="I16" s="86"/>
      <c r="J16" s="86"/>
      <c r="K16" s="23"/>
    </row>
    <row r="17" spans="1:12" s="21" customFormat="1" ht="15" customHeight="1" x14ac:dyDescent="0.45">
      <c r="A17" s="20"/>
      <c r="B17" s="31"/>
      <c r="C17" s="32"/>
      <c r="D17" s="29"/>
      <c r="F17" s="23"/>
      <c r="G17" s="23"/>
      <c r="H17" s="23"/>
      <c r="I17" s="23"/>
      <c r="J17" s="23"/>
      <c r="K17" s="23"/>
    </row>
    <row r="18" spans="1:12" ht="15" customHeight="1" x14ac:dyDescent="0.4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4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4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4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31.398437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Debenhams LBO model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95" t="s">
        <v>0</v>
      </c>
      <c r="C4" s="95"/>
      <c r="D4" s="95"/>
      <c r="E4" s="95"/>
      <c r="F4" s="95"/>
      <c r="G4" s="95"/>
      <c r="H4" s="95"/>
      <c r="I4" s="95"/>
      <c r="K4" s="1"/>
      <c r="L4" s="95" t="s">
        <v>2</v>
      </c>
      <c r="M4" s="95"/>
      <c r="N4" s="95"/>
      <c r="O4" s="95"/>
      <c r="P4" s="95"/>
      <c r="Q4" s="40"/>
      <c r="R4" s="40"/>
    </row>
    <row r="5" spans="1:18" s="2" customFormat="1" ht="15" customHeight="1" x14ac:dyDescent="0.45">
      <c r="A5" s="15"/>
      <c r="B5" s="8" t="s">
        <v>1</v>
      </c>
      <c r="C5" s="54" t="s">
        <v>214</v>
      </c>
      <c r="D5" s="16"/>
      <c r="E5" s="16"/>
      <c r="F5" s="16"/>
      <c r="G5" s="16"/>
      <c r="H5" s="16"/>
      <c r="I5" s="16"/>
      <c r="K5" s="1"/>
      <c r="L5" s="9"/>
      <c r="M5" s="9"/>
      <c r="N5" s="92"/>
      <c r="O5" s="92"/>
      <c r="P5" s="92"/>
      <c r="Q5" s="92"/>
      <c r="R5" s="40"/>
    </row>
    <row r="6" spans="1:18" s="2" customFormat="1" ht="15" customHeight="1" x14ac:dyDescent="0.45">
      <c r="A6" s="15"/>
      <c r="B6" s="8"/>
      <c r="C6" s="16"/>
      <c r="D6" s="16"/>
      <c r="E6" s="16"/>
      <c r="F6" s="16"/>
      <c r="G6" s="16"/>
      <c r="H6" s="16"/>
      <c r="I6" s="16"/>
      <c r="K6" s="1"/>
      <c r="L6" s="9" t="s">
        <v>19</v>
      </c>
      <c r="M6" s="9"/>
      <c r="N6" s="59" t="s">
        <v>213</v>
      </c>
      <c r="O6" s="59"/>
      <c r="P6" s="59"/>
      <c r="Q6" s="59"/>
      <c r="R6" s="40"/>
    </row>
    <row r="7" spans="1:18" s="2" customFormat="1" ht="15" customHeight="1" x14ac:dyDescent="0.45">
      <c r="A7" s="3"/>
      <c r="B7" s="8"/>
      <c r="C7" s="16"/>
      <c r="D7" s="16"/>
      <c r="E7" s="16"/>
      <c r="F7" s="16"/>
      <c r="G7" s="16"/>
      <c r="H7" s="16"/>
      <c r="I7" s="16"/>
      <c r="K7" s="15"/>
      <c r="L7" s="9" t="s">
        <v>16</v>
      </c>
      <c r="M7" s="9"/>
      <c r="N7" s="93">
        <v>42496</v>
      </c>
      <c r="O7" s="93"/>
      <c r="P7" s="93"/>
      <c r="Q7" s="93"/>
      <c r="R7" s="40"/>
    </row>
    <row r="8" spans="1:18" s="2" customFormat="1" ht="15" customHeight="1" x14ac:dyDescent="0.45">
      <c r="A8" s="3"/>
      <c r="B8" s="8"/>
      <c r="C8" s="16"/>
      <c r="D8" s="16"/>
      <c r="E8" s="16"/>
      <c r="F8" s="16"/>
      <c r="G8" s="16"/>
      <c r="H8" s="16"/>
      <c r="I8" s="16"/>
      <c r="K8" s="15"/>
      <c r="L8" s="9" t="s">
        <v>21</v>
      </c>
      <c r="M8" s="9"/>
      <c r="N8" s="93">
        <v>42369</v>
      </c>
      <c r="O8" s="93"/>
      <c r="P8" s="93"/>
      <c r="Q8" s="93"/>
      <c r="R8" s="40"/>
    </row>
    <row r="9" spans="1:18" s="2" customFormat="1" ht="15" customHeight="1" x14ac:dyDescent="0.45">
      <c r="A9" s="16"/>
      <c r="B9" s="8"/>
      <c r="C9" s="16"/>
      <c r="D9" s="16"/>
      <c r="E9" s="16"/>
      <c r="F9" s="16"/>
      <c r="G9" s="16"/>
      <c r="H9" s="16"/>
      <c r="I9" s="16"/>
      <c r="K9" s="3"/>
      <c r="L9" s="9"/>
      <c r="M9" s="9"/>
      <c r="N9" s="92"/>
      <c r="O9" s="92"/>
      <c r="P9" s="92"/>
      <c r="Q9" s="92"/>
      <c r="R9" s="40"/>
    </row>
    <row r="10" spans="1:18" s="2" customFormat="1" ht="15" customHeight="1" x14ac:dyDescent="0.45">
      <c r="A10" s="16"/>
      <c r="B10" s="8"/>
      <c r="C10" s="16"/>
      <c r="D10" s="16"/>
      <c r="E10" s="16"/>
      <c r="F10" s="16"/>
      <c r="G10" s="16"/>
      <c r="H10" s="16"/>
      <c r="I10" s="16"/>
      <c r="K10" s="16"/>
      <c r="L10" s="9" t="s">
        <v>3</v>
      </c>
      <c r="M10" s="9"/>
      <c r="N10" s="92" t="s">
        <v>6</v>
      </c>
      <c r="O10" s="92"/>
      <c r="P10" s="92"/>
      <c r="Q10" s="92"/>
      <c r="R10" s="40"/>
    </row>
    <row r="11" spans="1:18" s="2" customFormat="1" ht="15" customHeight="1" x14ac:dyDescent="0.45">
      <c r="A11" s="41"/>
      <c r="B11" s="38"/>
      <c r="C11" s="41"/>
      <c r="D11" s="41"/>
      <c r="E11" s="41"/>
      <c r="F11" s="41"/>
      <c r="G11" s="41"/>
      <c r="H11" s="41"/>
      <c r="I11" s="41"/>
      <c r="K11" s="16"/>
      <c r="L11" s="9" t="s">
        <v>4</v>
      </c>
      <c r="M11" s="9"/>
      <c r="N11" s="92" t="s">
        <v>7</v>
      </c>
      <c r="O11" s="92"/>
      <c r="P11" s="92"/>
      <c r="Q11" s="92"/>
      <c r="R11" s="40"/>
    </row>
    <row r="12" spans="1:18" s="2" customFormat="1" ht="15" customHeight="1" x14ac:dyDescent="0.45">
      <c r="A12" s="39"/>
      <c r="B12" s="39"/>
      <c r="C12" s="39"/>
      <c r="D12" s="39"/>
      <c r="E12" s="39"/>
      <c r="F12" s="39"/>
      <c r="G12" s="39"/>
      <c r="H12" s="39"/>
      <c r="I12" s="39"/>
      <c r="K12" s="16"/>
      <c r="L12" s="9" t="s">
        <v>5</v>
      </c>
      <c r="M12" s="9"/>
      <c r="N12" s="94">
        <v>0</v>
      </c>
      <c r="O12" s="94"/>
      <c r="P12" s="94"/>
      <c r="Q12" s="94"/>
      <c r="R12" s="46"/>
    </row>
    <row r="13" spans="1:18" s="2" customFormat="1" ht="15" customHeight="1" thickBot="1" x14ac:dyDescent="0.5">
      <c r="A13" s="44"/>
      <c r="B13" s="44"/>
      <c r="C13" s="44"/>
      <c r="D13" s="44"/>
      <c r="E13" s="44"/>
      <c r="F13" s="44"/>
      <c r="G13" s="44"/>
      <c r="H13" s="44"/>
      <c r="I13" s="44"/>
      <c r="K13" s="4"/>
      <c r="L13" s="58"/>
      <c r="M13" s="58"/>
      <c r="N13" s="47"/>
      <c r="O13" s="48"/>
      <c r="P13" s="48"/>
      <c r="Q13" s="49"/>
      <c r="R13" s="50"/>
    </row>
    <row r="14" spans="1:18" s="2" customFormat="1" ht="7.5" customHeight="1" x14ac:dyDescent="0.45">
      <c r="K14" s="23"/>
      <c r="L14" s="23"/>
      <c r="M14" s="23"/>
      <c r="N14" s="23"/>
      <c r="O14" s="23"/>
      <c r="P14" s="23"/>
      <c r="Q14" s="23"/>
      <c r="R14" s="23"/>
    </row>
    <row r="15" spans="1:18" s="2" customFormat="1" ht="22.5" customHeight="1" x14ac:dyDescent="0.45">
      <c r="A15" s="54"/>
      <c r="B15" s="96" t="s">
        <v>13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N15" s="1"/>
      <c r="O15" s="95" t="s">
        <v>9</v>
      </c>
      <c r="P15" s="95"/>
      <c r="Q15" s="95"/>
      <c r="R15" s="57"/>
    </row>
    <row r="16" spans="1:18" s="2" customFormat="1" ht="15" customHeight="1" x14ac:dyDescent="0.45">
      <c r="A16" s="55"/>
      <c r="B16" s="91" t="s">
        <v>14</v>
      </c>
      <c r="C16" s="91"/>
      <c r="D16" s="91" t="s">
        <v>15</v>
      </c>
      <c r="E16" s="91"/>
      <c r="F16" s="91"/>
      <c r="G16" s="91"/>
      <c r="H16" s="91"/>
      <c r="I16" s="91"/>
      <c r="J16" s="91"/>
      <c r="K16" s="91"/>
      <c r="L16" s="91"/>
      <c r="N16" s="15"/>
      <c r="O16" s="25"/>
      <c r="P16" s="20"/>
      <c r="Q16" s="20"/>
      <c r="R16" s="55"/>
    </row>
    <row r="17" spans="1:18" s="2" customFormat="1" ht="15" customHeight="1" x14ac:dyDescent="0.45">
      <c r="A17" s="55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N17" s="3"/>
      <c r="O17" s="25"/>
      <c r="P17" s="51" t="s">
        <v>10</v>
      </c>
      <c r="Q17" s="20"/>
      <c r="R17" s="55"/>
    </row>
    <row r="18" spans="1:18" s="2" customFormat="1" ht="15" customHeight="1" x14ac:dyDescent="0.45">
      <c r="A18" s="55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N18" s="16"/>
      <c r="O18" s="25"/>
      <c r="P18" s="36" t="s">
        <v>11</v>
      </c>
      <c r="Q18" s="20"/>
      <c r="R18" s="55"/>
    </row>
    <row r="19" spans="1:18" s="2" customFormat="1" ht="15" customHeight="1" x14ac:dyDescent="0.45">
      <c r="A19" s="55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N19" s="16"/>
      <c r="O19" s="25"/>
      <c r="P19" t="s">
        <v>12</v>
      </c>
      <c r="Q19" s="20"/>
      <c r="R19" s="55"/>
    </row>
    <row r="20" spans="1:18" s="2" customFormat="1" ht="15" customHeight="1" x14ac:dyDescent="0.45">
      <c r="A20" s="39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39"/>
      <c r="O20" s="52"/>
      <c r="P20" s="52"/>
      <c r="Q20" s="52"/>
      <c r="R20" s="39"/>
    </row>
    <row r="21" spans="1:18" ht="14.65" thickBot="1" x14ac:dyDescent="0.5">
      <c r="A21" s="44"/>
      <c r="B21" s="44"/>
      <c r="C21" s="44"/>
      <c r="D21" s="56"/>
      <c r="E21" s="56"/>
      <c r="F21" s="56"/>
      <c r="G21" s="56"/>
      <c r="H21" s="56"/>
      <c r="I21" s="56"/>
      <c r="J21" s="56"/>
      <c r="K21" s="56"/>
      <c r="L21" s="56"/>
      <c r="N21" s="44"/>
      <c r="O21" s="44"/>
      <c r="P21" s="44"/>
      <c r="Q21" s="44"/>
      <c r="R21" s="44"/>
    </row>
    <row r="22" spans="1:18" x14ac:dyDescent="0.45">
      <c r="Q22" s="53"/>
      <c r="R22" s="33"/>
    </row>
    <row r="23" spans="1:18" x14ac:dyDescent="0.45"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45"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45">
      <c r="F25" s="33"/>
      <c r="G25" s="33"/>
      <c r="H25" s="33"/>
      <c r="I25" s="33"/>
      <c r="J25" s="33"/>
      <c r="K25" s="33"/>
      <c r="L25" s="33"/>
      <c r="M25" s="33"/>
      <c r="N25" s="30"/>
      <c r="O25" s="30"/>
      <c r="P25" s="30"/>
      <c r="Q25" s="30"/>
    </row>
    <row r="26" spans="1:18" x14ac:dyDescent="0.45"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8" x14ac:dyDescent="0.45"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8" x14ac:dyDescent="0.45"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</sheetData>
  <mergeCells count="21">
    <mergeCell ref="B19:C19"/>
    <mergeCell ref="L4:P4"/>
    <mergeCell ref="B4:I4"/>
    <mergeCell ref="B15:L15"/>
    <mergeCell ref="N8:Q8"/>
    <mergeCell ref="B20:C20"/>
    <mergeCell ref="D18:L18"/>
    <mergeCell ref="D19:L19"/>
    <mergeCell ref="D20:L20"/>
    <mergeCell ref="N5:Q5"/>
    <mergeCell ref="N7:Q7"/>
    <mergeCell ref="N9:Q9"/>
    <mergeCell ref="N10:Q10"/>
    <mergeCell ref="N11:Q11"/>
    <mergeCell ref="N12:Q12"/>
    <mergeCell ref="O15:Q15"/>
    <mergeCell ref="D16:L16"/>
    <mergeCell ref="D17:L17"/>
    <mergeCell ref="B16:C16"/>
    <mergeCell ref="B17:C17"/>
    <mergeCell ref="B18:C18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8"/>
  <sheetViews>
    <sheetView zoomScaleNormal="100" workbookViewId="0">
      <pane xSplit="2" ySplit="3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5" customWidth="1"/>
    <col min="3" max="4" width="10.59765625" customWidth="1"/>
    <col min="5" max="5" width="14.265625" customWidth="1"/>
    <col min="6" max="17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91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92</v>
      </c>
    </row>
    <row r="6" spans="1:17" x14ac:dyDescent="0.45">
      <c r="B6" t="s">
        <v>93</v>
      </c>
      <c r="F6">
        <f>IS!F14</f>
        <v>238.5999999999998</v>
      </c>
      <c r="H6" t="s">
        <v>96</v>
      </c>
      <c r="J6" s="70">
        <v>0.03</v>
      </c>
    </row>
    <row r="7" spans="1:17" x14ac:dyDescent="0.45">
      <c r="B7" t="s">
        <v>94</v>
      </c>
      <c r="F7" s="68">
        <v>7.5</v>
      </c>
      <c r="H7" t="s">
        <v>97</v>
      </c>
      <c r="J7" s="70">
        <v>7.0000000000000001E-3</v>
      </c>
    </row>
    <row r="8" spans="1:17" x14ac:dyDescent="0.45">
      <c r="B8" t="s">
        <v>95</v>
      </c>
      <c r="F8">
        <f>F6*F7</f>
        <v>1789.4999999999984</v>
      </c>
      <c r="H8" t="s">
        <v>98</v>
      </c>
      <c r="J8" s="70">
        <v>0.01</v>
      </c>
    </row>
    <row r="9" spans="1:17" x14ac:dyDescent="0.45">
      <c r="B9" t="s">
        <v>101</v>
      </c>
      <c r="F9">
        <f>BS!F17+BS!F21-BS!F5</f>
        <v>302.39999999999998</v>
      </c>
      <c r="H9" t="s">
        <v>99</v>
      </c>
      <c r="J9" s="69">
        <v>4</v>
      </c>
    </row>
    <row r="10" spans="1:17" x14ac:dyDescent="0.45">
      <c r="B10" t="s">
        <v>102</v>
      </c>
      <c r="F10">
        <f>F8-F9</f>
        <v>1487.0999999999985</v>
      </c>
      <c r="H10" t="s">
        <v>171</v>
      </c>
      <c r="J10" s="70">
        <v>0.75</v>
      </c>
    </row>
    <row r="11" spans="1:17" x14ac:dyDescent="0.45">
      <c r="B11" t="s">
        <v>191</v>
      </c>
      <c r="F11" s="70">
        <v>0.4</v>
      </c>
      <c r="H11" t="s">
        <v>193</v>
      </c>
      <c r="J11" s="70">
        <v>0.2</v>
      </c>
    </row>
    <row r="12" spans="1:17" x14ac:dyDescent="0.45">
      <c r="B12" t="s">
        <v>192</v>
      </c>
      <c r="F12" s="70">
        <v>0.75</v>
      </c>
    </row>
    <row r="13" spans="1:17" x14ac:dyDescent="0.45">
      <c r="B13" t="s">
        <v>198</v>
      </c>
      <c r="F13" s="69">
        <v>25</v>
      </c>
    </row>
    <row r="14" spans="1:17" x14ac:dyDescent="0.45">
      <c r="B14" t="s">
        <v>199</v>
      </c>
      <c r="F14" s="70">
        <v>0.09</v>
      </c>
    </row>
    <row r="16" spans="1:17" x14ac:dyDescent="0.45">
      <c r="A16" s="62" t="s">
        <v>188</v>
      </c>
    </row>
    <row r="17" spans="1:11" x14ac:dyDescent="0.45">
      <c r="A17" s="62"/>
      <c r="B17" t="s">
        <v>200</v>
      </c>
      <c r="D17" s="82">
        <v>1</v>
      </c>
      <c r="E17" t="str">
        <f>CHOOSE(D17,C20,D20,E20)</f>
        <v>Standard</v>
      </c>
    </row>
    <row r="18" spans="1:11" x14ac:dyDescent="0.45">
      <c r="A18" s="62"/>
    </row>
    <row r="19" spans="1:11" x14ac:dyDescent="0.45">
      <c r="C19" s="79" t="s">
        <v>190</v>
      </c>
      <c r="D19" s="79"/>
      <c r="E19" s="79"/>
      <c r="F19" s="79" t="s">
        <v>111</v>
      </c>
      <c r="G19" s="79"/>
      <c r="H19" s="79"/>
      <c r="I19" s="79" t="s">
        <v>201</v>
      </c>
      <c r="J19" s="79"/>
      <c r="K19" s="79"/>
    </row>
    <row r="20" spans="1:11" x14ac:dyDescent="0.45">
      <c r="C20" s="80" t="s">
        <v>189</v>
      </c>
      <c r="D20" s="80" t="s">
        <v>187</v>
      </c>
      <c r="E20" s="80" t="s">
        <v>195</v>
      </c>
      <c r="F20" s="80" t="s">
        <v>189</v>
      </c>
      <c r="G20" s="80" t="s">
        <v>187</v>
      </c>
      <c r="H20" s="80" t="s">
        <v>195</v>
      </c>
      <c r="I20" s="80" t="s">
        <v>189</v>
      </c>
      <c r="J20" s="80" t="s">
        <v>187</v>
      </c>
      <c r="K20" s="80" t="s">
        <v>195</v>
      </c>
    </row>
    <row r="21" spans="1:11" x14ac:dyDescent="0.45">
      <c r="B21" s="78" t="s">
        <v>62</v>
      </c>
      <c r="C21" s="69">
        <v>0</v>
      </c>
      <c r="D21" s="69">
        <v>0</v>
      </c>
      <c r="E21" s="69">
        <v>0</v>
      </c>
      <c r="F21" s="71">
        <v>0.05</v>
      </c>
      <c r="H21" s="71">
        <v>0.05</v>
      </c>
      <c r="I21" s="72">
        <f>F21+$J$7</f>
        <v>5.7000000000000002E-2</v>
      </c>
      <c r="J21" s="72"/>
      <c r="K21" s="72">
        <f>$J$7+H21</f>
        <v>5.7000000000000002E-2</v>
      </c>
    </row>
    <row r="22" spans="1:11" x14ac:dyDescent="0.45">
      <c r="B22" s="78" t="s">
        <v>106</v>
      </c>
      <c r="C22" s="69">
        <v>400</v>
      </c>
      <c r="D22" s="69">
        <v>0</v>
      </c>
      <c r="E22" s="69">
        <v>400</v>
      </c>
      <c r="F22" s="71">
        <v>0.05</v>
      </c>
      <c r="H22" s="71">
        <v>0.05</v>
      </c>
      <c r="I22" s="72">
        <f t="shared" ref="I22:I23" si="1">F22+$J$7</f>
        <v>5.7000000000000002E-2</v>
      </c>
      <c r="J22" s="72"/>
      <c r="K22" s="72">
        <f t="shared" ref="K22:K23" si="2">$J$7+H22</f>
        <v>5.7000000000000002E-2</v>
      </c>
    </row>
    <row r="23" spans="1:11" x14ac:dyDescent="0.45">
      <c r="B23" s="78" t="s">
        <v>107</v>
      </c>
      <c r="C23" s="69">
        <v>511</v>
      </c>
      <c r="D23" s="69">
        <v>0</v>
      </c>
      <c r="E23" s="69">
        <v>0</v>
      </c>
      <c r="F23" s="71">
        <v>0.09</v>
      </c>
      <c r="H23" s="71">
        <v>0.09</v>
      </c>
      <c r="I23" s="72">
        <f t="shared" si="1"/>
        <v>9.7000000000000003E-2</v>
      </c>
      <c r="J23" s="72"/>
      <c r="K23" s="72">
        <f t="shared" si="2"/>
        <v>9.7000000000000003E-2</v>
      </c>
    </row>
    <row r="24" spans="1:11" x14ac:dyDescent="0.45">
      <c r="B24" s="78" t="s">
        <v>187</v>
      </c>
      <c r="C24" s="69">
        <v>0</v>
      </c>
      <c r="D24">
        <f>SUM(C21:C26)</f>
        <v>1211</v>
      </c>
      <c r="E24" s="69">
        <v>0</v>
      </c>
      <c r="J24" s="71">
        <f>SUMPRODUCT(C21:C26,I21:I26)/SUM(C21:C26)+1%</f>
        <v>9.9485549132947979E-2</v>
      </c>
      <c r="K24" s="72"/>
    </row>
    <row r="25" spans="1:11" x14ac:dyDescent="0.45">
      <c r="B25" s="78" t="s">
        <v>194</v>
      </c>
      <c r="C25" s="69">
        <v>0</v>
      </c>
      <c r="D25" s="69">
        <v>0</v>
      </c>
      <c r="E25" s="69">
        <v>511</v>
      </c>
      <c r="K25" s="71">
        <v>0.1</v>
      </c>
    </row>
    <row r="26" spans="1:11" x14ac:dyDescent="0.45">
      <c r="B26" s="78" t="s">
        <v>116</v>
      </c>
      <c r="C26" s="69">
        <v>300</v>
      </c>
      <c r="D26" s="69">
        <v>0</v>
      </c>
      <c r="E26" s="69">
        <v>300</v>
      </c>
      <c r="I26" s="71">
        <v>0.12</v>
      </c>
      <c r="K26" s="71">
        <v>0.12</v>
      </c>
    </row>
    <row r="27" spans="1:11" x14ac:dyDescent="0.45">
      <c r="B27" s="78" t="s">
        <v>108</v>
      </c>
      <c r="C27">
        <f>$D$38-SUM(C21:C26,C28)</f>
        <v>622.18499999999858</v>
      </c>
      <c r="D27">
        <f t="shared" ref="D27:E27" si="3">$D$38-SUM(D21:D26,D28)</f>
        <v>622.18499999999858</v>
      </c>
      <c r="E27">
        <f t="shared" si="3"/>
        <v>622.18499999999858</v>
      </c>
      <c r="I27" s="71">
        <v>0.12</v>
      </c>
      <c r="J27" s="71">
        <v>0.12</v>
      </c>
      <c r="K27" s="71">
        <v>0.12</v>
      </c>
    </row>
    <row r="28" spans="1:11" x14ac:dyDescent="0.45">
      <c r="B28" s="78" t="s">
        <v>109</v>
      </c>
      <c r="C28" s="69">
        <v>10</v>
      </c>
      <c r="D28" s="69">
        <v>10</v>
      </c>
      <c r="E28" s="69">
        <v>10</v>
      </c>
    </row>
    <row r="29" spans="1:11" x14ac:dyDescent="0.45">
      <c r="B29" t="s">
        <v>110</v>
      </c>
      <c r="C29">
        <f>SUM(C21:C28)</f>
        <v>1843.1849999999986</v>
      </c>
      <c r="D29">
        <f t="shared" ref="D29:E29" si="4">SUM(D21:D28)</f>
        <v>1843.1849999999986</v>
      </c>
      <c r="E29">
        <f t="shared" si="4"/>
        <v>1843.1849999999986</v>
      </c>
    </row>
    <row r="31" spans="1:11" x14ac:dyDescent="0.45">
      <c r="B31" t="s">
        <v>196</v>
      </c>
      <c r="D31">
        <f>IF(D17=3,BS!I11*(1+LBO!F11)*LBO!F12,0)</f>
        <v>0</v>
      </c>
    </row>
    <row r="32" spans="1:11" x14ac:dyDescent="0.45">
      <c r="B32" t="s">
        <v>197</v>
      </c>
      <c r="D32" s="81">
        <v>42735</v>
      </c>
      <c r="E32" t="s">
        <v>205</v>
      </c>
    </row>
    <row r="34" spans="1:12" x14ac:dyDescent="0.45">
      <c r="A34" s="62" t="s">
        <v>100</v>
      </c>
      <c r="G34" s="66" t="s">
        <v>167</v>
      </c>
      <c r="H34" s="66" t="s">
        <v>168</v>
      </c>
      <c r="I34" s="66" t="s">
        <v>111</v>
      </c>
      <c r="J34" s="66" t="s">
        <v>112</v>
      </c>
      <c r="K34" t="s">
        <v>165</v>
      </c>
      <c r="L34" t="s">
        <v>166</v>
      </c>
    </row>
    <row r="35" spans="1:12" x14ac:dyDescent="0.45">
      <c r="B35" t="str">
        <f>B10</f>
        <v>Acquisition equity value</v>
      </c>
      <c r="D35">
        <f>F10</f>
        <v>1487.0999999999985</v>
      </c>
      <c r="E35" t="str">
        <f t="shared" ref="E35:E42" si="5">B21</f>
        <v>Revolver</v>
      </c>
      <c r="F35">
        <f>CHOOSE($D$17,C21,D21,E21)</f>
        <v>0</v>
      </c>
      <c r="G35" s="84">
        <f>F35/$F$6</f>
        <v>0</v>
      </c>
      <c r="H35" s="65">
        <f>F35/$F$43</f>
        <v>0</v>
      </c>
      <c r="I35" s="83">
        <f>CHOOSE($D$17,F21,"NA",H21)</f>
        <v>0.05</v>
      </c>
      <c r="J35" s="83">
        <f>CHOOSE($D$17,I21,"NA",K21)</f>
        <v>5.7000000000000002E-2</v>
      </c>
    </row>
    <row r="36" spans="1:12" x14ac:dyDescent="0.45">
      <c r="B36" t="s">
        <v>103</v>
      </c>
      <c r="D36">
        <f>F9</f>
        <v>302.39999999999998</v>
      </c>
      <c r="E36" t="str">
        <f t="shared" si="5"/>
        <v>First Lien</v>
      </c>
      <c r="F36">
        <f t="shared" ref="F36:F42" si="6">CHOOSE($D$17,C22,D22,E22)</f>
        <v>400</v>
      </c>
      <c r="G36" s="84">
        <f>F36/$F$6+G35</f>
        <v>1.67644593461861</v>
      </c>
      <c r="H36" s="65">
        <f t="shared" ref="H36:H42" si="7">F36/$F$43</f>
        <v>0.21701565496681033</v>
      </c>
      <c r="I36" s="83">
        <f>CHOOSE($D$17,F22,"NA",H22)</f>
        <v>0.05</v>
      </c>
      <c r="J36" s="83">
        <f>CHOOSE($D$17,I22,"NA",K22)</f>
        <v>5.7000000000000002E-2</v>
      </c>
      <c r="K36">
        <f ca="1">SUMPRODUCT($J$53:$Q$53,CFS!J18:Q18)/-F36</f>
        <v>3.112243080603065</v>
      </c>
      <c r="L36">
        <f ca="1">COUNTIF(BS!I22:Q22,"&gt;.001")</f>
        <v>5</v>
      </c>
    </row>
    <row r="37" spans="1:12" x14ac:dyDescent="0.45">
      <c r="B37" t="s">
        <v>104</v>
      </c>
      <c r="D37">
        <f>J6*F8</f>
        <v>53.684999999999953</v>
      </c>
      <c r="E37" t="str">
        <f t="shared" si="5"/>
        <v>Second Lien</v>
      </c>
      <c r="F37">
        <f t="shared" si="6"/>
        <v>511</v>
      </c>
      <c r="G37" s="84">
        <f t="shared" ref="G37:G40" si="8">F37/$F$6+G36</f>
        <v>3.8181056160938844</v>
      </c>
      <c r="H37" s="65">
        <f t="shared" si="7"/>
        <v>0.27723749922010021</v>
      </c>
      <c r="I37" s="83">
        <f>CHOOSE($D$17,F23,"NA",H23)</f>
        <v>0.09</v>
      </c>
      <c r="J37" s="83">
        <f>CHOOSE($D$17,I23,"NA",K23)</f>
        <v>9.7000000000000003E-2</v>
      </c>
      <c r="K37">
        <f ca="1">SUMPRODUCT($J$53:$Q$53,CFS!J19:Q19)/-F37</f>
        <v>6.6781407699408781</v>
      </c>
      <c r="L37">
        <f ca="1">COUNTIF(BS!I23:Q23,"&gt;.001")</f>
        <v>8</v>
      </c>
    </row>
    <row r="38" spans="1:12" x14ac:dyDescent="0.45">
      <c r="B38" t="s">
        <v>105</v>
      </c>
      <c r="D38">
        <f>SUM(D35:D37)</f>
        <v>1843.1849999999986</v>
      </c>
      <c r="E38" t="str">
        <f t="shared" si="5"/>
        <v>Unitranche</v>
      </c>
      <c r="F38">
        <f t="shared" si="6"/>
        <v>0</v>
      </c>
      <c r="G38" s="84">
        <f t="shared" si="8"/>
        <v>3.8181056160938844</v>
      </c>
      <c r="H38" s="65">
        <f t="shared" si="7"/>
        <v>0</v>
      </c>
      <c r="I38" s="66"/>
      <c r="J38" s="83" t="str">
        <f>IF(D17=2,J24,"NA")</f>
        <v>NA</v>
      </c>
    </row>
    <row r="39" spans="1:12" x14ac:dyDescent="0.45">
      <c r="E39" t="str">
        <f t="shared" si="5"/>
        <v>Bridge loan</v>
      </c>
      <c r="F39">
        <f t="shared" si="6"/>
        <v>0</v>
      </c>
      <c r="G39" s="84">
        <f t="shared" si="8"/>
        <v>3.8181056160938844</v>
      </c>
      <c r="H39" s="65">
        <f t="shared" si="7"/>
        <v>0</v>
      </c>
      <c r="I39" s="66"/>
      <c r="J39" s="83" t="str">
        <f>IF(D17=3,K25,"NA")</f>
        <v>NA</v>
      </c>
    </row>
    <row r="40" spans="1:12" x14ac:dyDescent="0.45">
      <c r="E40" t="str">
        <f t="shared" si="5"/>
        <v>Mezzanine</v>
      </c>
      <c r="F40">
        <f t="shared" si="6"/>
        <v>300</v>
      </c>
      <c r="G40" s="84">
        <f t="shared" si="8"/>
        <v>5.0754400670578423</v>
      </c>
      <c r="H40" s="65">
        <f t="shared" si="7"/>
        <v>0.16276174122510775</v>
      </c>
      <c r="I40" s="66"/>
      <c r="J40" s="83">
        <f>CHOOSE($D$17,I26,"NA",K26)</f>
        <v>0.12</v>
      </c>
      <c r="K40" t="s">
        <v>150</v>
      </c>
    </row>
    <row r="41" spans="1:12" x14ac:dyDescent="0.45">
      <c r="E41" t="str">
        <f t="shared" si="5"/>
        <v>Prefs</v>
      </c>
      <c r="F41">
        <f t="shared" si="6"/>
        <v>622.18499999999858</v>
      </c>
      <c r="H41" s="65">
        <f t="shared" si="7"/>
        <v>0.33755971321381145</v>
      </c>
      <c r="I41" s="66"/>
      <c r="J41" s="83">
        <f>CHOOSE($D$17,I27,J27,K27)</f>
        <v>0.12</v>
      </c>
      <c r="K41" t="s">
        <v>150</v>
      </c>
    </row>
    <row r="42" spans="1:12" x14ac:dyDescent="0.45">
      <c r="E42" t="str">
        <f t="shared" si="5"/>
        <v>Common equity</v>
      </c>
      <c r="F42">
        <f t="shared" si="6"/>
        <v>10</v>
      </c>
      <c r="H42" s="65">
        <f t="shared" si="7"/>
        <v>5.425391374170258E-3</v>
      </c>
    </row>
    <row r="43" spans="1:12" x14ac:dyDescent="0.45">
      <c r="E43" t="s">
        <v>110</v>
      </c>
      <c r="F43">
        <f>SUM(F35:F42)</f>
        <v>1843.1849999999986</v>
      </c>
    </row>
    <row r="46" spans="1:12" x14ac:dyDescent="0.45">
      <c r="A46" s="62" t="s">
        <v>113</v>
      </c>
      <c r="C46" s="66" t="s">
        <v>117</v>
      </c>
      <c r="D46" s="66" t="s">
        <v>114</v>
      </c>
      <c r="F46" s="62" t="s">
        <v>17</v>
      </c>
    </row>
    <row r="47" spans="1:12" x14ac:dyDescent="0.45">
      <c r="B47" t="s">
        <v>115</v>
      </c>
      <c r="C47" s="65">
        <f>1-C48-C49</f>
        <v>0.9</v>
      </c>
      <c r="D47" s="65">
        <f>(1-D48)*C47</f>
        <v>0.85499999999999998</v>
      </c>
      <c r="F47" t="s">
        <v>119</v>
      </c>
      <c r="H47">
        <f>D35</f>
        <v>1487.0999999999985</v>
      </c>
    </row>
    <row r="48" spans="1:12" x14ac:dyDescent="0.45">
      <c r="B48" t="s">
        <v>116</v>
      </c>
      <c r="C48" s="70">
        <v>0</v>
      </c>
      <c r="D48" s="70">
        <v>0.05</v>
      </c>
      <c r="F48" t="s">
        <v>215</v>
      </c>
      <c r="H48">
        <f>BS!F32-BS!F14</f>
        <v>853.3</v>
      </c>
    </row>
    <row r="49" spans="1:17" x14ac:dyDescent="0.45">
      <c r="B49" t="s">
        <v>149</v>
      </c>
      <c r="C49" s="70">
        <v>0.1</v>
      </c>
      <c r="D49" s="65">
        <f>(1-D48)*C49</f>
        <v>9.5000000000000001E-2</v>
      </c>
      <c r="F49" t="s">
        <v>120</v>
      </c>
      <c r="H49">
        <f>H47-H48</f>
        <v>633.79999999999859</v>
      </c>
    </row>
    <row r="50" spans="1:17" x14ac:dyDescent="0.45">
      <c r="B50" t="s">
        <v>118</v>
      </c>
      <c r="C50" s="65">
        <f>SUM(C47:C49)</f>
        <v>1</v>
      </c>
      <c r="D50" s="65">
        <f>SUM(D47:D49)</f>
        <v>1</v>
      </c>
    </row>
    <row r="51" spans="1:17" x14ac:dyDescent="0.45">
      <c r="C51" s="65"/>
      <c r="D51" s="65"/>
    </row>
    <row r="52" spans="1:17" x14ac:dyDescent="0.45">
      <c r="A52" s="62" t="s">
        <v>163</v>
      </c>
    </row>
    <row r="53" spans="1:17" x14ac:dyDescent="0.45">
      <c r="B53" t="s">
        <v>164</v>
      </c>
      <c r="J53" s="74">
        <v>1</v>
      </c>
      <c r="K53" s="75">
        <f>J53+1</f>
        <v>2</v>
      </c>
      <c r="L53" s="75">
        <f t="shared" ref="L53:Q53" si="9">K53+1</f>
        <v>3</v>
      </c>
      <c r="M53" s="75">
        <f t="shared" si="9"/>
        <v>4</v>
      </c>
      <c r="N53" s="75">
        <f t="shared" si="9"/>
        <v>5</v>
      </c>
      <c r="O53" s="75">
        <f t="shared" si="9"/>
        <v>6</v>
      </c>
      <c r="P53" s="75">
        <f t="shared" si="9"/>
        <v>7</v>
      </c>
      <c r="Q53" s="75">
        <f t="shared" si="9"/>
        <v>8</v>
      </c>
    </row>
    <row r="54" spans="1:17" x14ac:dyDescent="0.45">
      <c r="B54" t="s">
        <v>155</v>
      </c>
      <c r="J54">
        <f>IS!J14</f>
        <v>231.25167169999989</v>
      </c>
      <c r="K54">
        <f>IS!K14</f>
        <v>256.20190433140016</v>
      </c>
      <c r="L54">
        <f>IS!L14</f>
        <v>302.33184888313679</v>
      </c>
      <c r="M54">
        <f>IS!M14</f>
        <v>308.96993731837881</v>
      </c>
      <c r="N54">
        <f>IS!N14</f>
        <v>315.32630519126485</v>
      </c>
      <c r="O54">
        <f>IS!O14</f>
        <v>321.63037442265568</v>
      </c>
      <c r="P54">
        <f>IS!P14</f>
        <v>327.89809429178069</v>
      </c>
      <c r="Q54">
        <f>IS!Q14</f>
        <v>334.14383958607038</v>
      </c>
    </row>
    <row r="55" spans="1:17" x14ac:dyDescent="0.45">
      <c r="B55" t="s">
        <v>172</v>
      </c>
      <c r="J55">
        <f>J54*$F$7</f>
        <v>1734.3875377499992</v>
      </c>
      <c r="K55">
        <f t="shared" ref="K55:Q55" si="10">K54*$F$7</f>
        <v>1921.5142824855011</v>
      </c>
      <c r="L55">
        <f t="shared" si="10"/>
        <v>2267.4888666235261</v>
      </c>
      <c r="M55">
        <f t="shared" si="10"/>
        <v>2317.2745298878413</v>
      </c>
      <c r="N55">
        <f t="shared" si="10"/>
        <v>2364.9472889344866</v>
      </c>
      <c r="O55">
        <f t="shared" si="10"/>
        <v>2412.2278081699178</v>
      </c>
      <c r="P55">
        <f t="shared" si="10"/>
        <v>2459.2357071883553</v>
      </c>
      <c r="Q55">
        <f t="shared" si="10"/>
        <v>2506.0787968955278</v>
      </c>
    </row>
    <row r="56" spans="1:17" x14ac:dyDescent="0.45">
      <c r="B56" s="76" t="s">
        <v>173</v>
      </c>
      <c r="J56">
        <f ca="1">BS!J5</f>
        <v>17.196277656717498</v>
      </c>
      <c r="K56">
        <f ca="1">BS!K5</f>
        <v>27.695033809364475</v>
      </c>
      <c r="L56">
        <f ca="1">BS!L5</f>
        <v>30.590305459971532</v>
      </c>
      <c r="M56">
        <f ca="1">BS!M5</f>
        <v>38.650099611351635</v>
      </c>
      <c r="N56">
        <f ca="1">BS!N5</f>
        <v>43.685191852923765</v>
      </c>
      <c r="O56">
        <f ca="1">BS!O5</f>
        <v>48.708302180420787</v>
      </c>
      <c r="P56">
        <f ca="1">BS!P5</f>
        <v>54.289359321575603</v>
      </c>
      <c r="Q56">
        <f ca="1">BS!Q5</f>
        <v>110.92275396084415</v>
      </c>
    </row>
    <row r="57" spans="1:17" x14ac:dyDescent="0.45">
      <c r="B57" s="76" t="s">
        <v>176</v>
      </c>
      <c r="J57">
        <f ca="1">-SUM(BS!J17,BS!J21:J26)</f>
        <v>-859.41116702984755</v>
      </c>
      <c r="K57">
        <f ca="1">-SUM(BS!K17,BS!K21:K26)</f>
        <v>-776.32606560175418</v>
      </c>
      <c r="L57">
        <f ca="1">-SUM(BS!L17,BS!L21:L26)</f>
        <v>-684.55514922183954</v>
      </c>
      <c r="M57">
        <f ca="1">-SUM(BS!M17,BS!M21:M26)</f>
        <v>-568.60485038778472</v>
      </c>
      <c r="N57">
        <f ca="1">-SUM(BS!N17,BS!N21:N26)</f>
        <v>-437.54927482901348</v>
      </c>
      <c r="O57">
        <f ca="1">-SUM(BS!O17,BS!O21:O26)</f>
        <v>-291.42436828775118</v>
      </c>
      <c r="P57">
        <f ca="1">-SUM(BS!P17,BS!P21:P26)</f>
        <v>-128.55629032302443</v>
      </c>
      <c r="Q57">
        <f ca="1">-SUM(BS!Q17,BS!Q21:Q26)</f>
        <v>0</v>
      </c>
    </row>
    <row r="58" spans="1:17" x14ac:dyDescent="0.45">
      <c r="B58" s="76" t="s">
        <v>177</v>
      </c>
      <c r="J58">
        <f>-BS!J27</f>
        <v>-336</v>
      </c>
      <c r="K58">
        <f>-BS!K27</f>
        <v>-376.32</v>
      </c>
      <c r="L58">
        <f>-BS!L27</f>
        <v>-421.47839999999997</v>
      </c>
      <c r="M58">
        <f>-BS!M27</f>
        <v>-472.05580799999996</v>
      </c>
      <c r="N58">
        <f>-BS!N27</f>
        <v>-528.70250495999994</v>
      </c>
      <c r="O58">
        <f>-BS!O27</f>
        <v>-592.14680555519999</v>
      </c>
      <c r="P58">
        <f>-BS!P27</f>
        <v>-663.20442222182396</v>
      </c>
      <c r="Q58">
        <f>-BS!Q27</f>
        <v>-742.78895288844285</v>
      </c>
    </row>
    <row r="59" spans="1:17" x14ac:dyDescent="0.45">
      <c r="B59" s="76" t="s">
        <v>174</v>
      </c>
      <c r="J59">
        <f>-BS!J28</f>
        <v>-696.84719999999845</v>
      </c>
      <c r="K59">
        <f>-BS!K28</f>
        <v>-780.46886399999823</v>
      </c>
      <c r="L59">
        <f>-BS!L28</f>
        <v>-874.12512767999806</v>
      </c>
      <c r="M59">
        <f>-BS!M28</f>
        <v>-979.02014300159783</v>
      </c>
      <c r="N59">
        <f>-BS!N28</f>
        <v>-1096.5025601617895</v>
      </c>
      <c r="O59">
        <f>-BS!O28</f>
        <v>-1228.0828673812041</v>
      </c>
      <c r="P59">
        <f>-BS!P28</f>
        <v>-1375.4528114669486</v>
      </c>
      <c r="Q59">
        <f>-BS!Q28</f>
        <v>-1540.5071488429824</v>
      </c>
    </row>
    <row r="60" spans="1:17" x14ac:dyDescent="0.45">
      <c r="B60" t="s">
        <v>175</v>
      </c>
      <c r="J60">
        <f ca="1">SUM(J55:J59)</f>
        <v>-140.67455162312933</v>
      </c>
      <c r="K60">
        <f t="shared" ref="K60:Q60" ca="1" si="11">SUM(K55:K59)</f>
        <v>16.094386693113279</v>
      </c>
      <c r="L60">
        <f t="shared" ca="1" si="11"/>
        <v>317.92049518166004</v>
      </c>
      <c r="M60">
        <f t="shared" ca="1" si="11"/>
        <v>336.24382810981058</v>
      </c>
      <c r="N60">
        <f t="shared" ca="1" si="11"/>
        <v>345.87814083660737</v>
      </c>
      <c r="O60">
        <f t="shared" ca="1" si="11"/>
        <v>349.28206912618339</v>
      </c>
      <c r="P60">
        <f t="shared" ca="1" si="11"/>
        <v>346.31154249813426</v>
      </c>
      <c r="Q60">
        <f t="shared" ca="1" si="11"/>
        <v>333.70544912494665</v>
      </c>
    </row>
    <row r="61" spans="1:17" x14ac:dyDescent="0.45">
      <c r="K61" s="65"/>
      <c r="L61" s="65"/>
      <c r="M61" s="65"/>
      <c r="N61" s="65"/>
      <c r="O61" s="65"/>
      <c r="P61" s="65"/>
      <c r="Q61" s="65"/>
    </row>
    <row r="62" spans="1:17" x14ac:dyDescent="0.45">
      <c r="B62" s="77" t="s">
        <v>116</v>
      </c>
    </row>
    <row r="63" spans="1:17" x14ac:dyDescent="0.45">
      <c r="B63" t="s">
        <v>179</v>
      </c>
      <c r="J63">
        <f ca="1">MAX(J60*$D$48,0)</f>
        <v>0</v>
      </c>
      <c r="K63">
        <f t="shared" ref="K63:Q63" ca="1" si="12">MAX(K60*$D$48,0)</f>
        <v>0.80471933465566403</v>
      </c>
      <c r="L63">
        <f t="shared" ca="1" si="12"/>
        <v>15.896024759083003</v>
      </c>
      <c r="M63">
        <f t="shared" ca="1" si="12"/>
        <v>16.81219140549053</v>
      </c>
      <c r="N63">
        <f t="shared" ca="1" si="12"/>
        <v>17.293907041830369</v>
      </c>
      <c r="O63">
        <f t="shared" ca="1" si="12"/>
        <v>17.464103456309171</v>
      </c>
      <c r="P63">
        <f t="shared" ca="1" si="12"/>
        <v>17.315577124906714</v>
      </c>
      <c r="Q63">
        <f t="shared" ca="1" si="12"/>
        <v>16.685272456247333</v>
      </c>
    </row>
    <row r="64" spans="1:17" x14ac:dyDescent="0.45">
      <c r="B64" t="s">
        <v>180</v>
      </c>
      <c r="J64">
        <f>BS!J27</f>
        <v>336</v>
      </c>
      <c r="K64">
        <f>BS!K27</f>
        <v>376.32</v>
      </c>
      <c r="L64">
        <f>BS!L27</f>
        <v>421.47839999999997</v>
      </c>
      <c r="M64">
        <f>BS!M27</f>
        <v>472.05580799999996</v>
      </c>
      <c r="N64">
        <f>BS!N27</f>
        <v>528.70250495999994</v>
      </c>
      <c r="O64">
        <f>BS!O27</f>
        <v>592.14680555519999</v>
      </c>
      <c r="P64">
        <f>BS!P27</f>
        <v>663.20442222182396</v>
      </c>
      <c r="Q64">
        <f>BS!Q27</f>
        <v>742.78895288844285</v>
      </c>
    </row>
    <row r="65" spans="1:17" x14ac:dyDescent="0.45">
      <c r="B65" t="s">
        <v>181</v>
      </c>
      <c r="I65">
        <f>-F40</f>
        <v>-300</v>
      </c>
      <c r="J65">
        <f>IF(J53=$J$9,J63+J64,0)</f>
        <v>0</v>
      </c>
      <c r="K65">
        <f t="shared" ref="K65:M65" si="13">IF(K53=$J$9,K63+K64,0)</f>
        <v>0</v>
      </c>
      <c r="L65">
        <f t="shared" si="13"/>
        <v>0</v>
      </c>
      <c r="M65">
        <f t="shared" ca="1" si="13"/>
        <v>488.86799940549048</v>
      </c>
      <c r="N65">
        <f t="shared" ref="N65:Q65" si="14">IF(N53=$J$9,N63+N64,0)</f>
        <v>0</v>
      </c>
      <c r="O65">
        <f t="shared" si="14"/>
        <v>0</v>
      </c>
      <c r="P65">
        <f t="shared" si="14"/>
        <v>0</v>
      </c>
      <c r="Q65">
        <f t="shared" si="14"/>
        <v>0</v>
      </c>
    </row>
    <row r="66" spans="1:17" x14ac:dyDescent="0.45">
      <c r="B66" t="s">
        <v>182</v>
      </c>
      <c r="I66" s="65">
        <f ca="1">IRR(I65:Q65)</f>
        <v>0.12984167198851182</v>
      </c>
    </row>
    <row r="68" spans="1:17" x14ac:dyDescent="0.45">
      <c r="B68" s="77" t="s">
        <v>183</v>
      </c>
    </row>
    <row r="69" spans="1:17" x14ac:dyDescent="0.45">
      <c r="B69" t="s">
        <v>184</v>
      </c>
      <c r="J69">
        <f>BS!J28</f>
        <v>696.84719999999845</v>
      </c>
      <c r="K69">
        <f>BS!K28</f>
        <v>780.46886399999823</v>
      </c>
      <c r="L69">
        <f>BS!L28</f>
        <v>874.12512767999806</v>
      </c>
      <c r="M69">
        <f>BS!M28</f>
        <v>979.02014300159783</v>
      </c>
      <c r="N69">
        <f>BS!N28</f>
        <v>1096.5025601617895</v>
      </c>
      <c r="O69">
        <f>BS!O28</f>
        <v>1228.0828673812041</v>
      </c>
      <c r="P69">
        <f>BS!P28</f>
        <v>1375.4528114669486</v>
      </c>
      <c r="Q69">
        <f>BS!Q28</f>
        <v>1540.5071488429824</v>
      </c>
    </row>
    <row r="70" spans="1:17" x14ac:dyDescent="0.45">
      <c r="B70" t="s">
        <v>178</v>
      </c>
      <c r="J70">
        <f ca="1">$D$47*J60</f>
        <v>-120.27674163777557</v>
      </c>
      <c r="K70">
        <f t="shared" ref="K70:M70" ca="1" si="15">$D$47*K60</f>
        <v>13.760700622611854</v>
      </c>
      <c r="L70">
        <f t="shared" ca="1" si="15"/>
        <v>271.82202338031931</v>
      </c>
      <c r="M70">
        <f t="shared" ca="1" si="15"/>
        <v>287.48847303388806</v>
      </c>
      <c r="N70">
        <f t="shared" ref="N70:Q70" ca="1" si="16">$D$47*N60</f>
        <v>295.72581041529929</v>
      </c>
      <c r="O70">
        <f t="shared" ca="1" si="16"/>
        <v>298.63616910288681</v>
      </c>
      <c r="P70">
        <f t="shared" ca="1" si="16"/>
        <v>296.0963688359048</v>
      </c>
      <c r="Q70">
        <f t="shared" ca="1" si="16"/>
        <v>285.31815900182937</v>
      </c>
    </row>
    <row r="71" spans="1:17" x14ac:dyDescent="0.45">
      <c r="B71" t="s">
        <v>211</v>
      </c>
      <c r="J71">
        <f>-Calc!J16*$C$47</f>
        <v>0</v>
      </c>
      <c r="K71">
        <f>-Calc!K16*$C$47</f>
        <v>0</v>
      </c>
      <c r="L71">
        <f>-Calc!L16*$C$47</f>
        <v>0</v>
      </c>
      <c r="M71">
        <f>-Calc!M16*$C$47</f>
        <v>0</v>
      </c>
      <c r="N71">
        <f>-Calc!N16*$C$47</f>
        <v>0</v>
      </c>
      <c r="O71">
        <f>-Calc!O16*$C$47</f>
        <v>0</v>
      </c>
      <c r="P71">
        <f>-Calc!P16*$C$47</f>
        <v>0</v>
      </c>
      <c r="Q71">
        <f>-Calc!Q16*$C$47</f>
        <v>0</v>
      </c>
    </row>
    <row r="72" spans="1:17" x14ac:dyDescent="0.45">
      <c r="B72" t="s">
        <v>185</v>
      </c>
      <c r="H72" s="66"/>
      <c r="I72">
        <f>-F41-F42*C47</f>
        <v>-631.18499999999858</v>
      </c>
      <c r="J72">
        <f>IF(J53=$J$9,J69+J70,0)+J71</f>
        <v>0</v>
      </c>
      <c r="K72">
        <f t="shared" ref="K72:M72" si="17">IF(K53=$J$9,K69+K70,0)+K71</f>
        <v>0</v>
      </c>
      <c r="L72">
        <f t="shared" si="17"/>
        <v>0</v>
      </c>
      <c r="M72">
        <f t="shared" ca="1" si="17"/>
        <v>1266.5086160354858</v>
      </c>
      <c r="N72">
        <f t="shared" ref="N72:Q72" si="18">IF(N53=$J$9,N69+N70,0)+N71</f>
        <v>0</v>
      </c>
      <c r="O72">
        <f t="shared" si="18"/>
        <v>0</v>
      </c>
      <c r="P72">
        <f t="shared" si="18"/>
        <v>0</v>
      </c>
      <c r="Q72">
        <f t="shared" si="18"/>
        <v>0</v>
      </c>
    </row>
    <row r="73" spans="1:17" x14ac:dyDescent="0.45">
      <c r="B73" t="s">
        <v>182</v>
      </c>
      <c r="I73" s="65">
        <f ca="1">IRR(I72:Q72)</f>
        <v>0.19018060779496437</v>
      </c>
    </row>
    <row r="75" spans="1:17" x14ac:dyDescent="0.45">
      <c r="B75" s="77" t="s">
        <v>149</v>
      </c>
    </row>
    <row r="76" spans="1:17" x14ac:dyDescent="0.45">
      <c r="B76" t="s">
        <v>186</v>
      </c>
      <c r="I76">
        <f>F42*-C49</f>
        <v>-1</v>
      </c>
      <c r="J76">
        <f>IF(J53=$J$9,$D$49*J60,0)-Calc!J16*LBO!$C$49</f>
        <v>0</v>
      </c>
      <c r="K76">
        <f>IF(K53=$J$9,$D$49*K60,0)-Calc!K16*LBO!$C$49</f>
        <v>0</v>
      </c>
      <c r="L76">
        <f>IF(L53=$J$9,$D$49*L60,0)-Calc!L16*LBO!$C$49</f>
        <v>0</v>
      </c>
      <c r="M76">
        <f ca="1">IF(M53=$J$9,$D$49*M60,0)-Calc!M16*LBO!$C$49</f>
        <v>31.943163670432007</v>
      </c>
      <c r="N76">
        <f>IF(N53=$J$9,$D$49*N60,0)-Calc!N16*LBO!$C$49</f>
        <v>0</v>
      </c>
      <c r="O76">
        <f>IF(O53=$J$9,$D$49*O60,0)-Calc!O16*LBO!$C$49</f>
        <v>0</v>
      </c>
      <c r="P76">
        <f>IF(P53=$J$9,$D$49*P60,0)-Calc!P16*LBO!$C$49</f>
        <v>0</v>
      </c>
      <c r="Q76">
        <f>IF(Q53=$J$9,$D$49*Q60,0)-Calc!Q16*LBO!$C$49</f>
        <v>0</v>
      </c>
    </row>
    <row r="77" spans="1:17" x14ac:dyDescent="0.45">
      <c r="B77" t="s">
        <v>182</v>
      </c>
      <c r="I77" s="65">
        <f ca="1">MIRR(I76:Q76,10%,2%)</f>
        <v>0.55721051180773173</v>
      </c>
    </row>
    <row r="78" spans="1:17" x14ac:dyDescent="0.45">
      <c r="A78" s="62"/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7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25</v>
      </c>
      <c r="B3" s="7"/>
      <c r="C3" s="11">
        <f t="shared" ref="C3:D3" si="0">EDATE(D3,-12)</f>
        <v>41274</v>
      </c>
      <c r="D3" s="11">
        <f t="shared" si="0"/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N3" si="1">EDATE(J3,12)</f>
        <v>43100</v>
      </c>
      <c r="L3" s="11">
        <f t="shared" si="1"/>
        <v>43465</v>
      </c>
      <c r="M3" s="11">
        <f t="shared" si="1"/>
        <v>43830</v>
      </c>
      <c r="N3" s="11">
        <f t="shared" si="1"/>
        <v>44196</v>
      </c>
      <c r="O3" s="11">
        <f t="shared" ref="O3" si="2">EDATE(N3,12)</f>
        <v>44561</v>
      </c>
      <c r="P3" s="11">
        <f t="shared" ref="P3" si="3">EDATE(O3,12)</f>
        <v>44926</v>
      </c>
      <c r="Q3" s="11">
        <f t="shared" ref="Q3" si="4">EDATE(P3,12)</f>
        <v>45291</v>
      </c>
    </row>
    <row r="5" spans="1:17" x14ac:dyDescent="0.45">
      <c r="B5" t="s">
        <v>26</v>
      </c>
      <c r="F5" s="61">
        <v>1</v>
      </c>
      <c r="G5" s="61"/>
      <c r="H5" s="61"/>
      <c r="I5" s="61"/>
    </row>
    <row r="6" spans="1:17" x14ac:dyDescent="0.45">
      <c r="B6" t="s">
        <v>29</v>
      </c>
      <c r="J6" t="s">
        <v>170</v>
      </c>
    </row>
    <row r="7" spans="1:17" x14ac:dyDescent="0.45">
      <c r="B7" t="s">
        <v>169</v>
      </c>
      <c r="J7" s="63">
        <v>-7.0000000000000007E-2</v>
      </c>
      <c r="K7" s="63">
        <v>-7.0000000000000007E-2</v>
      </c>
      <c r="L7" s="63">
        <v>-7.0000000000000007E-2</v>
      </c>
      <c r="M7" s="63">
        <v>-7.0000000000000007E-2</v>
      </c>
      <c r="N7" s="63">
        <v>-7.0000000000000007E-2</v>
      </c>
      <c r="O7" s="63">
        <v>-7.0000000000000007E-2</v>
      </c>
      <c r="P7" s="63">
        <v>-7.0000000000000007E-2</v>
      </c>
      <c r="Q7" s="63">
        <v>-7.0000000000000007E-2</v>
      </c>
    </row>
    <row r="8" spans="1:17" x14ac:dyDescent="0.45">
      <c r="B8" t="s">
        <v>170</v>
      </c>
      <c r="J8" s="63">
        <v>-0.06</v>
      </c>
      <c r="K8" s="63">
        <v>-0.05</v>
      </c>
      <c r="L8" s="63">
        <v>-0.05</v>
      </c>
      <c r="M8" s="63">
        <v>-0.05</v>
      </c>
      <c r="N8" s="63">
        <v>-0.05</v>
      </c>
      <c r="O8" s="63">
        <v>-0.05</v>
      </c>
      <c r="P8" s="63">
        <v>-0.05</v>
      </c>
      <c r="Q8" s="63">
        <v>-0.05</v>
      </c>
    </row>
    <row r="10" spans="1:17" x14ac:dyDescent="0.45">
      <c r="A10" s="62" t="s">
        <v>87</v>
      </c>
    </row>
    <row r="11" spans="1:17" x14ac:dyDescent="0.45">
      <c r="B11" t="s">
        <v>86</v>
      </c>
      <c r="D11" s="65">
        <f>IS!D5/IS!C5-1</f>
        <v>2.3499865458785463E-2</v>
      </c>
      <c r="E11" s="65">
        <f>IS!E5/IS!D5-1</f>
        <v>1.3364297607571629E-2</v>
      </c>
      <c r="F11" s="65">
        <f>IS!F5/IS!E5-1</f>
        <v>4.323950361049933E-3</v>
      </c>
      <c r="G11" s="65"/>
      <c r="H11" s="65"/>
      <c r="I11" s="65"/>
      <c r="J11" s="64">
        <v>1.2999999999999999E-2</v>
      </c>
      <c r="K11" s="64">
        <v>4.0000000000000001E-3</v>
      </c>
      <c r="L11" s="64">
        <v>0.25</v>
      </c>
      <c r="M11" s="64">
        <v>1.7000000000000001E-2</v>
      </c>
      <c r="N11" s="64">
        <v>1.6E-2</v>
      </c>
      <c r="O11" s="64">
        <v>1.6E-2</v>
      </c>
      <c r="P11" s="64">
        <v>1.6E-2</v>
      </c>
      <c r="Q11" s="64">
        <v>1.6E-2</v>
      </c>
    </row>
    <row r="12" spans="1:17" x14ac:dyDescent="0.45">
      <c r="B12" t="s">
        <v>27</v>
      </c>
      <c r="C12" s="60">
        <f>IS!C6/IS!C5</f>
        <v>-0.86510000896941419</v>
      </c>
      <c r="D12" s="60">
        <f>IS!D6/IS!D5</f>
        <v>-0.86951187450705458</v>
      </c>
      <c r="E12" s="60">
        <f>IS!E6/IS!E5</f>
        <v>-0.8802265749989191</v>
      </c>
      <c r="F12" s="60">
        <f>IS!F6/IS!F5</f>
        <v>-0.87256210444741045</v>
      </c>
      <c r="G12" s="60"/>
      <c r="H12" s="60"/>
      <c r="I12" s="60"/>
      <c r="J12" s="63">
        <v>-0.873</v>
      </c>
      <c r="K12" s="63">
        <v>-0.873</v>
      </c>
      <c r="L12" s="63">
        <v>-0.873</v>
      </c>
      <c r="M12" s="63">
        <v>-0.873</v>
      </c>
      <c r="N12" s="63">
        <v>-0.873</v>
      </c>
      <c r="O12" s="63">
        <v>-0.873</v>
      </c>
      <c r="P12" s="63">
        <v>-0.873</v>
      </c>
      <c r="Q12" s="63">
        <v>-0.873</v>
      </c>
    </row>
    <row r="13" spans="1:17" x14ac:dyDescent="0.45">
      <c r="B13" t="s">
        <v>28</v>
      </c>
      <c r="C13" s="60"/>
      <c r="D13" s="60"/>
      <c r="E13" s="60"/>
      <c r="F13" s="60">
        <f>Calc!F8/Calc!E9</f>
        <v>-0.15118978525827045</v>
      </c>
      <c r="G13" s="60"/>
      <c r="H13" s="60"/>
      <c r="I13" s="60"/>
      <c r="J13" s="63">
        <v>-0.109</v>
      </c>
      <c r="K13" s="63">
        <v>-0.109</v>
      </c>
      <c r="L13" s="63">
        <v>-0.109</v>
      </c>
      <c r="M13" s="63">
        <v>-0.109</v>
      </c>
      <c r="N13" s="63">
        <v>-0.109</v>
      </c>
      <c r="O13" s="63">
        <v>-0.109</v>
      </c>
      <c r="P13" s="63">
        <v>-0.109</v>
      </c>
      <c r="Q13" s="63">
        <v>-0.109</v>
      </c>
    </row>
    <row r="14" spans="1:17" x14ac:dyDescent="0.45">
      <c r="B14" t="s">
        <v>89</v>
      </c>
      <c r="C14">
        <f>IS!C13</f>
        <v>0</v>
      </c>
      <c r="D14">
        <f>IS!D13</f>
        <v>-11.4</v>
      </c>
      <c r="E14">
        <f>IS!E13</f>
        <v>0</v>
      </c>
      <c r="F14">
        <f>IS!F13</f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</row>
    <row r="15" spans="1:17" x14ac:dyDescent="0.45">
      <c r="B15" t="s">
        <v>29</v>
      </c>
      <c r="C15" s="60">
        <f>IS!C9/IS!C5</f>
        <v>-5.632792178670732E-2</v>
      </c>
      <c r="D15" s="60">
        <f>IS!D9/IS!D5</f>
        <v>-6.2308299009727452E-2</v>
      </c>
      <c r="E15" s="60">
        <f>IS!E9/IS!E5</f>
        <v>-6.3562070307432869E-2</v>
      </c>
      <c r="F15" s="60">
        <f>IS!F9/IS!F5</f>
        <v>-6.9574202436819221E-2</v>
      </c>
      <c r="G15" s="60"/>
      <c r="H15" s="60"/>
      <c r="I15" s="60"/>
      <c r="J15" s="60">
        <f>CHOOSE(MATCH($J$6,$B$7:$B$8,0),J7,J8)</f>
        <v>-0.06</v>
      </c>
      <c r="K15" s="60">
        <f t="shared" ref="K15:Q15" si="5">CHOOSE(MATCH($J$6,$B$7:$B$8,0),K7,K8)</f>
        <v>-0.05</v>
      </c>
      <c r="L15" s="60">
        <f t="shared" si="5"/>
        <v>-0.05</v>
      </c>
      <c r="M15" s="60">
        <f t="shared" si="5"/>
        <v>-0.05</v>
      </c>
      <c r="N15" s="60">
        <f t="shared" si="5"/>
        <v>-0.05</v>
      </c>
      <c r="O15" s="60">
        <f t="shared" si="5"/>
        <v>-0.05</v>
      </c>
      <c r="P15" s="60">
        <f t="shared" si="5"/>
        <v>-0.05</v>
      </c>
      <c r="Q15" s="60">
        <f t="shared" si="5"/>
        <v>-0.05</v>
      </c>
    </row>
    <row r="16" spans="1:17" x14ac:dyDescent="0.45">
      <c r="B16" t="s">
        <v>30</v>
      </c>
      <c r="C16" s="60">
        <f>IS!C19/IS!C17</f>
        <v>-0.20560747663551376</v>
      </c>
      <c r="D16" s="60">
        <f>IS!D19/IS!D17</f>
        <v>-0.16108786610878664</v>
      </c>
      <c r="E16" s="60">
        <f>IS!E19/IS!E17</f>
        <v>-0.16258741258741291</v>
      </c>
      <c r="F16" s="60">
        <f>IS!F19/IS!F17</f>
        <v>-0.17361111111111144</v>
      </c>
      <c r="G16" s="60"/>
      <c r="H16" s="60"/>
      <c r="I16" s="60"/>
      <c r="J16" s="63">
        <v>-0.2</v>
      </c>
      <c r="K16" s="63">
        <v>-0.2</v>
      </c>
      <c r="L16" s="63">
        <v>-0.2</v>
      </c>
      <c r="M16" s="63">
        <v>-0.2</v>
      </c>
      <c r="N16" s="63">
        <v>-0.2</v>
      </c>
      <c r="O16" s="63">
        <v>-0.2</v>
      </c>
      <c r="P16" s="63">
        <v>-0.2</v>
      </c>
      <c r="Q16" s="63">
        <v>-0.2</v>
      </c>
    </row>
    <row r="18" spans="1:17" x14ac:dyDescent="0.45">
      <c r="A18" s="62" t="s">
        <v>31</v>
      </c>
    </row>
    <row r="19" spans="1:17" x14ac:dyDescent="0.45">
      <c r="B19" t="s">
        <v>32</v>
      </c>
      <c r="C19">
        <f>BS!C7/IS!C6*365</f>
        <v>-62.876879212026957</v>
      </c>
      <c r="D19">
        <f>BS!D7/IS!D6*365</f>
        <v>-65.830225760935292</v>
      </c>
      <c r="E19">
        <f>BS!E7/IS!E6*365</f>
        <v>-61.983838483077065</v>
      </c>
      <c r="F19">
        <f>BS!F7/IS!F6*365</f>
        <v>-59.719741451620862</v>
      </c>
      <c r="J19" s="61">
        <v>-59.7</v>
      </c>
      <c r="K19" s="61">
        <v>-59.7</v>
      </c>
      <c r="L19" s="61">
        <v>-59.7</v>
      </c>
      <c r="M19" s="61">
        <v>-59.7</v>
      </c>
      <c r="N19" s="61">
        <v>-59.7</v>
      </c>
      <c r="O19" s="61">
        <v>-59.7</v>
      </c>
      <c r="P19" s="61">
        <v>-59.7</v>
      </c>
      <c r="Q19" s="61">
        <v>-59.7</v>
      </c>
    </row>
    <row r="20" spans="1:17" x14ac:dyDescent="0.45">
      <c r="B20" t="s">
        <v>33</v>
      </c>
      <c r="C20">
        <f>BS!C6/IS!C5*365</f>
        <v>3.4211588483272037</v>
      </c>
      <c r="D20">
        <f>BS!D6/IS!D5*365</f>
        <v>3.166681272456402</v>
      </c>
      <c r="E20">
        <f>BS!E6/IS!E5*365</f>
        <v>3.9929519609114892</v>
      </c>
      <c r="F20">
        <f>BS!F6/IS!F5*365</f>
        <v>3.9129030869246999</v>
      </c>
      <c r="J20" s="61">
        <v>3.9</v>
      </c>
      <c r="K20" s="61">
        <v>3.9</v>
      </c>
      <c r="L20" s="61">
        <v>3.9</v>
      </c>
      <c r="M20" s="61">
        <v>3.9</v>
      </c>
      <c r="N20" s="61">
        <v>3.9</v>
      </c>
      <c r="O20" s="61">
        <v>3.9</v>
      </c>
      <c r="P20" s="61">
        <v>3.9</v>
      </c>
      <c r="Q20" s="61">
        <v>3.9</v>
      </c>
    </row>
    <row r="21" spans="1:17" x14ac:dyDescent="0.45">
      <c r="B21" t="s">
        <v>34</v>
      </c>
      <c r="C21" s="65">
        <f>BS!C8/IS!C5</f>
        <v>2.4441653959996409E-2</v>
      </c>
      <c r="D21" s="65">
        <f>BS!D8/IS!D5</f>
        <v>2.5633160985014461E-2</v>
      </c>
      <c r="E21" s="65">
        <f>BS!E8/IS!E5</f>
        <v>2.1360314783586302E-2</v>
      </c>
      <c r="F21" s="65">
        <f>BS!F8/IS!F5</f>
        <v>2.2861325181900361E-2</v>
      </c>
      <c r="G21" s="65"/>
      <c r="H21" s="65"/>
      <c r="I21" s="65"/>
      <c r="J21" s="63">
        <v>2.3E-2</v>
      </c>
      <c r="K21" s="63">
        <v>2.3E-2</v>
      </c>
      <c r="L21" s="63">
        <v>2.3E-2</v>
      </c>
      <c r="M21" s="63">
        <v>2.3E-2</v>
      </c>
      <c r="N21" s="63">
        <v>2.3E-2</v>
      </c>
      <c r="O21" s="63">
        <v>2.3E-2</v>
      </c>
      <c r="P21" s="63">
        <v>2.3E-2</v>
      </c>
      <c r="Q21" s="63">
        <v>2.3E-2</v>
      </c>
    </row>
    <row r="22" spans="1:17" x14ac:dyDescent="0.45">
      <c r="B22" t="s">
        <v>35</v>
      </c>
      <c r="C22" s="65">
        <f>Calc!C7/IS!C5</f>
        <v>4.5474930487039197E-2</v>
      </c>
      <c r="D22" s="65">
        <f>Calc!D7/IS!D5</f>
        <v>4.9820348786258878E-2</v>
      </c>
      <c r="E22" s="65">
        <f>Calc!E7/IS!E5</f>
        <v>4.423401219354002E-2</v>
      </c>
      <c r="F22" s="65">
        <f>Calc!F7/IS!F5</f>
        <v>3.4270461101304515E-2</v>
      </c>
      <c r="G22" s="65"/>
      <c r="H22" s="65"/>
      <c r="I22" s="65"/>
      <c r="J22" s="63">
        <v>3.4000000000000002E-2</v>
      </c>
      <c r="K22" s="63">
        <v>3.4000000000000002E-2</v>
      </c>
      <c r="L22" s="63">
        <v>3.4000000000000002E-2</v>
      </c>
      <c r="M22" s="63">
        <v>3.4000000000000002E-2</v>
      </c>
      <c r="N22" s="63">
        <v>3.4000000000000002E-2</v>
      </c>
      <c r="O22" s="63">
        <v>3.4000000000000002E-2</v>
      </c>
      <c r="P22" s="63">
        <v>3.4000000000000002E-2</v>
      </c>
      <c r="Q22" s="63">
        <v>3.4000000000000002E-2</v>
      </c>
    </row>
    <row r="23" spans="1:17" x14ac:dyDescent="0.45">
      <c r="B23" t="s">
        <v>84</v>
      </c>
      <c r="C23">
        <f>BS!C13</f>
        <v>105.19999999999982</v>
      </c>
      <c r="D23">
        <f>BS!D13</f>
        <v>93.700000000000159</v>
      </c>
      <c r="E23">
        <f>BS!E13</f>
        <v>80.100000000000136</v>
      </c>
      <c r="F23">
        <f>BS!F13</f>
        <v>76.099999999999909</v>
      </c>
      <c r="J23" s="61">
        <v>76.099999999999994</v>
      </c>
      <c r="K23" s="61">
        <v>76.099999999999994</v>
      </c>
      <c r="L23" s="61">
        <v>76.099999999999994</v>
      </c>
      <c r="M23" s="61">
        <v>76.099999999999994</v>
      </c>
      <c r="N23" s="61">
        <v>76.099999999999994</v>
      </c>
      <c r="O23" s="61">
        <v>76.099999999999994</v>
      </c>
      <c r="P23" s="61">
        <v>76.099999999999994</v>
      </c>
      <c r="Q23" s="61">
        <v>76.099999999999994</v>
      </c>
    </row>
    <row r="25" spans="1:17" x14ac:dyDescent="0.45">
      <c r="B25" t="s">
        <v>36</v>
      </c>
      <c r="C25">
        <f>BS!C18/IS!C6*365</f>
        <v>-60.227838258164851</v>
      </c>
      <c r="D25">
        <f>BS!D18/IS!D6*365</f>
        <v>-63.457468252368479</v>
      </c>
      <c r="E25">
        <f>BS!E18/IS!E6*365</f>
        <v>-58.487498157881809</v>
      </c>
      <c r="F25">
        <f>BS!F18/IS!F6*365</f>
        <v>-58.837272413282676</v>
      </c>
      <c r="J25" s="61">
        <v>-58.8</v>
      </c>
      <c r="K25" s="61">
        <v>-58.8</v>
      </c>
      <c r="L25" s="61">
        <v>-58.8</v>
      </c>
      <c r="M25" s="61">
        <v>-58.8</v>
      </c>
      <c r="N25" s="61">
        <v>-58.8</v>
      </c>
      <c r="O25" s="61">
        <v>-58.8</v>
      </c>
      <c r="P25" s="61">
        <v>-58.8</v>
      </c>
      <c r="Q25" s="61">
        <v>-58.8</v>
      </c>
    </row>
    <row r="26" spans="1:17" x14ac:dyDescent="0.45">
      <c r="B26" t="s">
        <v>85</v>
      </c>
      <c r="C26">
        <f>BS!C29</f>
        <v>699.2</v>
      </c>
      <c r="D26">
        <f>BS!D29</f>
        <v>644.40000000000009</v>
      </c>
      <c r="E26">
        <f>BS!E29</f>
        <v>628.90000000000009</v>
      </c>
      <c r="F26">
        <f>BS!F29</f>
        <v>610.09999999999991</v>
      </c>
      <c r="J26" s="61">
        <v>610.1</v>
      </c>
      <c r="K26" s="61">
        <v>610.1</v>
      </c>
      <c r="L26" s="61">
        <v>610.1</v>
      </c>
      <c r="M26" s="61">
        <v>610.1</v>
      </c>
      <c r="N26" s="61">
        <v>610.1</v>
      </c>
      <c r="O26" s="61">
        <v>610.1</v>
      </c>
      <c r="P26" s="61">
        <v>610.1</v>
      </c>
      <c r="Q26" s="61">
        <v>610.1</v>
      </c>
    </row>
  </sheetData>
  <dataValidations disablePrompts="1" count="1">
    <dataValidation type="list" allowBlank="1" showInputMessage="1" showErrorMessage="1" sqref="J6" xr:uid="{00000000-0002-0000-0300-000000000000}">
      <formula1>$B$7:$B$8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91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37</v>
      </c>
    </row>
    <row r="6" spans="1:17" x14ac:dyDescent="0.45">
      <c r="B6" t="s">
        <v>38</v>
      </c>
      <c r="J6">
        <f>I9</f>
        <v>675.3</v>
      </c>
      <c r="K6">
        <f>J9</f>
        <v>681.69073339999989</v>
      </c>
      <c r="L6">
        <f t="shared" ref="L6:Q6" si="1">K9</f>
        <v>687.7048705929999</v>
      </c>
      <c r="M6">
        <f t="shared" si="1"/>
        <v>713.14307361536294</v>
      </c>
      <c r="N6">
        <f t="shared" si="1"/>
        <v>737.51527908487742</v>
      </c>
      <c r="O6">
        <f t="shared" si="1"/>
        <v>760.86459096611225</v>
      </c>
      <c r="P6">
        <f t="shared" si="1"/>
        <v>783.32864348911619</v>
      </c>
      <c r="Q6">
        <f t="shared" si="1"/>
        <v>805.03048697412567</v>
      </c>
    </row>
    <row r="7" spans="1:17" x14ac:dyDescent="0.45">
      <c r="B7" t="s">
        <v>39</v>
      </c>
      <c r="C7" s="61">
        <v>101.4</v>
      </c>
      <c r="D7" s="61">
        <v>113.7</v>
      </c>
      <c r="E7" s="61">
        <v>102.3</v>
      </c>
      <c r="F7" s="61">
        <v>79.599999999999994</v>
      </c>
      <c r="J7">
        <f>Input!J22*IS!J5</f>
        <v>79.998433399999996</v>
      </c>
      <c r="K7">
        <f>Input!K22*IS!K5</f>
        <v>80.318427133599997</v>
      </c>
      <c r="L7">
        <f>Input!L22*IS!L5</f>
        <v>100.39803391699998</v>
      </c>
      <c r="M7">
        <f>Input!M22*IS!M5</f>
        <v>102.10480049358897</v>
      </c>
      <c r="N7">
        <f>Input!N22*IS!N5</f>
        <v>103.7384773014864</v>
      </c>
      <c r="O7">
        <f>Input!O22*IS!O5</f>
        <v>105.39829293831018</v>
      </c>
      <c r="P7">
        <f>Input!P22*IS!P5</f>
        <v>107.08466562532315</v>
      </c>
      <c r="Q7">
        <f>Input!Q22*IS!Q5</f>
        <v>108.79802027532831</v>
      </c>
    </row>
    <row r="8" spans="1:17" x14ac:dyDescent="0.45">
      <c r="B8" t="s">
        <v>18</v>
      </c>
      <c r="E8">
        <f>IS!E12</f>
        <v>-100.8</v>
      </c>
      <c r="F8">
        <f>IS!F12</f>
        <v>-104.2</v>
      </c>
      <c r="J8">
        <f>Input!J13*Calc!J6</f>
        <v>-73.607699999999994</v>
      </c>
      <c r="K8">
        <f>Input!K13*Calc!K6</f>
        <v>-74.304289940599986</v>
      </c>
      <c r="L8">
        <f>Input!L13*Calc!L6</f>
        <v>-74.959830894636994</v>
      </c>
      <c r="M8">
        <f>Input!M13*Calc!M6</f>
        <v>-77.732595024074556</v>
      </c>
      <c r="N8">
        <f>Input!N13*Calc!N6</f>
        <v>-80.389165420251643</v>
      </c>
      <c r="O8">
        <f>Input!O13*Calc!O6</f>
        <v>-82.934240415306235</v>
      </c>
      <c r="P8">
        <f>Input!P13*Calc!P6</f>
        <v>-85.382822140313664</v>
      </c>
      <c r="Q8">
        <f>Input!Q13*Calc!Q6</f>
        <v>-87.748323080179702</v>
      </c>
    </row>
    <row r="9" spans="1:17" x14ac:dyDescent="0.45">
      <c r="B9" t="s">
        <v>40</v>
      </c>
      <c r="E9">
        <f>BS!E11</f>
        <v>689.2</v>
      </c>
      <c r="F9">
        <f>BS!F11</f>
        <v>675.3</v>
      </c>
      <c r="I9">
        <f>BS!I11</f>
        <v>675.3</v>
      </c>
      <c r="J9">
        <f>SUM(J6:J8)</f>
        <v>681.69073339999989</v>
      </c>
      <c r="K9">
        <f>SUM(K6:K8)</f>
        <v>687.7048705929999</v>
      </c>
      <c r="L9">
        <f t="shared" ref="L9:Q9" si="2">SUM(L6:L8)</f>
        <v>713.14307361536294</v>
      </c>
      <c r="M9">
        <f t="shared" si="2"/>
        <v>737.51527908487742</v>
      </c>
      <c r="N9">
        <f t="shared" si="2"/>
        <v>760.86459096611225</v>
      </c>
      <c r="O9">
        <f t="shared" si="2"/>
        <v>783.32864348911619</v>
      </c>
      <c r="P9">
        <f t="shared" si="2"/>
        <v>805.03048697412567</v>
      </c>
      <c r="Q9">
        <f t="shared" si="2"/>
        <v>826.08018416927428</v>
      </c>
    </row>
    <row r="12" spans="1:17" x14ac:dyDescent="0.45">
      <c r="A12" s="62" t="s">
        <v>41</v>
      </c>
    </row>
    <row r="13" spans="1:17" x14ac:dyDescent="0.45">
      <c r="B13" t="s">
        <v>38</v>
      </c>
      <c r="J13">
        <f>I17</f>
        <v>-43.684999999999953</v>
      </c>
      <c r="K13">
        <f t="shared" ref="K13:Q13" ca="1" si="3">J17</f>
        <v>-77.749397248280388</v>
      </c>
      <c r="L13">
        <f t="shared" ca="1" si="3"/>
        <v>-101.75577863964057</v>
      </c>
      <c r="M13">
        <f t="shared" ca="1" si="3"/>
        <v>-99.301239626818472</v>
      </c>
      <c r="N13">
        <f t="shared" ca="1" si="3"/>
        <v>-104.59235550407422</v>
      </c>
      <c r="O13">
        <f t="shared" ca="1" si="3"/>
        <v>-117.55952086766261</v>
      </c>
      <c r="P13">
        <f t="shared" ca="1" si="3"/>
        <v>-137.22253871028823</v>
      </c>
      <c r="Q13">
        <f t="shared" ca="1" si="3"/>
        <v>-163.72160796225643</v>
      </c>
    </row>
    <row r="14" spans="1:17" x14ac:dyDescent="0.45">
      <c r="B14" t="s">
        <v>42</v>
      </c>
      <c r="J14">
        <f ca="1">IS!J20</f>
        <v>40.597802751719392</v>
      </c>
      <c r="K14">
        <f ca="1">IS!K20</f>
        <v>59.615282608639632</v>
      </c>
      <c r="L14">
        <f ca="1">IS!L20</f>
        <v>96.110802692821878</v>
      </c>
      <c r="M14">
        <f ca="1">IS!M20</f>
        <v>99.603899444344009</v>
      </c>
      <c r="N14">
        <f ca="1">IS!N20</f>
        <v>104.51525179660334</v>
      </c>
      <c r="O14">
        <f ca="1">IS!O20</f>
        <v>111.91728937678911</v>
      </c>
      <c r="P14">
        <f ca="1">IS!P20</f>
        <v>120.87087483377631</v>
      </c>
      <c r="Q14">
        <f ca="1">IS!Q20</f>
        <v>128.4608046068841</v>
      </c>
    </row>
    <row r="15" spans="1:17" x14ac:dyDescent="0.45">
      <c r="B15" t="s">
        <v>145</v>
      </c>
      <c r="J15">
        <f>-Debt!J78</f>
        <v>-74.662199999999828</v>
      </c>
      <c r="K15">
        <f>-Debt!K78</f>
        <v>-83.621663999999811</v>
      </c>
      <c r="L15">
        <f>-Debt!L78</f>
        <v>-93.656263679999782</v>
      </c>
      <c r="M15">
        <f>-Debt!M78</f>
        <v>-104.89501532159976</v>
      </c>
      <c r="N15">
        <f>-Debt!N78</f>
        <v>-117.48241716019173</v>
      </c>
      <c r="O15">
        <f>-Debt!O78</f>
        <v>-131.58030721941472</v>
      </c>
      <c r="P15">
        <f>-Debt!P78</f>
        <v>-147.36994408574449</v>
      </c>
      <c r="Q15">
        <f>-Debt!Q78</f>
        <v>-165.05433737603383</v>
      </c>
    </row>
    <row r="16" spans="1:17" x14ac:dyDescent="0.45">
      <c r="B16" t="s">
        <v>211</v>
      </c>
      <c r="J16">
        <f>Debt!J16</f>
        <v>0</v>
      </c>
      <c r="K16">
        <f>Debt!K16</f>
        <v>0</v>
      </c>
      <c r="L16">
        <f>Debt!L16</f>
        <v>0</v>
      </c>
      <c r="M16">
        <f>Debt!M16</f>
        <v>0</v>
      </c>
      <c r="N16">
        <f>Debt!N16</f>
        <v>0</v>
      </c>
      <c r="O16">
        <f>Debt!O16</f>
        <v>0</v>
      </c>
      <c r="P16">
        <f>Debt!P16</f>
        <v>0</v>
      </c>
      <c r="Q16">
        <f>Debt!Q16</f>
        <v>0</v>
      </c>
    </row>
    <row r="17" spans="1:17" x14ac:dyDescent="0.45">
      <c r="B17" t="s">
        <v>40</v>
      </c>
      <c r="I17">
        <f>BS!I32</f>
        <v>-43.684999999999953</v>
      </c>
      <c r="J17">
        <f ca="1">SUM(J13:J16)</f>
        <v>-77.749397248280388</v>
      </c>
      <c r="K17">
        <f t="shared" ref="K17:Q17" ca="1" si="4">SUM(K13:K15)</f>
        <v>-101.75577863964057</v>
      </c>
      <c r="L17">
        <f t="shared" ca="1" si="4"/>
        <v>-99.301239626818472</v>
      </c>
      <c r="M17">
        <f t="shared" ca="1" si="4"/>
        <v>-104.59235550407422</v>
      </c>
      <c r="N17">
        <f t="shared" ca="1" si="4"/>
        <v>-117.55952086766261</v>
      </c>
      <c r="O17">
        <f t="shared" ca="1" si="4"/>
        <v>-137.22253871028823</v>
      </c>
      <c r="P17">
        <f t="shared" ca="1" si="4"/>
        <v>-163.72160796225643</v>
      </c>
      <c r="Q17">
        <f t="shared" ca="1" si="4"/>
        <v>-200.31514073140616</v>
      </c>
    </row>
    <row r="19" spans="1:17" x14ac:dyDescent="0.45">
      <c r="A19" s="62" t="s">
        <v>43</v>
      </c>
    </row>
    <row r="20" spans="1:17" x14ac:dyDescent="0.45">
      <c r="B20" t="str">
        <f>BS!B6</f>
        <v>Accounts receivable</v>
      </c>
      <c r="F20">
        <f>BS!F6</f>
        <v>24.9</v>
      </c>
      <c r="I20">
        <f>BS!I6</f>
        <v>24.9</v>
      </c>
      <c r="J20">
        <f>Input!J20/365*IS!J5</f>
        <v>25.140522986301367</v>
      </c>
      <c r="K20">
        <f>Input!K20/365*IS!K5</f>
        <v>25.24108507824657</v>
      </c>
      <c r="L20">
        <f>Input!L20/365*IS!L5</f>
        <v>31.551356347808209</v>
      </c>
      <c r="M20">
        <f>Input!M20/365*IS!M5</f>
        <v>32.087729405720943</v>
      </c>
      <c r="N20">
        <f>Input!N20/365*IS!N5</f>
        <v>32.601133076212477</v>
      </c>
      <c r="O20">
        <f>Input!O20/365*IS!O5</f>
        <v>33.122751205431882</v>
      </c>
      <c r="P20">
        <f>Input!P20/365*IS!P5</f>
        <v>33.65271522471879</v>
      </c>
      <c r="Q20">
        <f>Input!Q20/365*IS!Q5</f>
        <v>34.191158668314294</v>
      </c>
    </row>
    <row r="21" spans="1:17" x14ac:dyDescent="0.45">
      <c r="B21" t="str">
        <f>BS!B7</f>
        <v>Inventories</v>
      </c>
      <c r="F21">
        <f>BS!F7</f>
        <v>331.6</v>
      </c>
      <c r="I21">
        <f>BS!I7</f>
        <v>331.6</v>
      </c>
      <c r="J21">
        <f>Input!J19/365*IS!J6</f>
        <v>335.9682797570137</v>
      </c>
      <c r="K21">
        <f>Input!K19/365*IS!K6</f>
        <v>337.31215287604164</v>
      </c>
      <c r="L21">
        <f>Input!L19/365*IS!L6</f>
        <v>421.64019109505216</v>
      </c>
      <c r="M21">
        <f>Input!M19/365*IS!M6</f>
        <v>428.80807434366795</v>
      </c>
      <c r="N21">
        <f>Input!N19/365*IS!N6</f>
        <v>435.66900353316663</v>
      </c>
      <c r="O21">
        <f>Input!O19/365*IS!O6</f>
        <v>442.63970758969731</v>
      </c>
      <c r="P21">
        <f>Input!P19/365*IS!P6</f>
        <v>449.72194291113249</v>
      </c>
      <c r="Q21">
        <f>Input!Q19/365*IS!Q6</f>
        <v>456.91749399771055</v>
      </c>
    </row>
    <row r="22" spans="1:17" x14ac:dyDescent="0.45">
      <c r="B22" t="str">
        <f>BS!B8</f>
        <v>Other current assets</v>
      </c>
      <c r="F22">
        <f>BS!F8</f>
        <v>53.099999999999966</v>
      </c>
      <c r="I22">
        <f>BS!I8</f>
        <v>53.099999999999966</v>
      </c>
      <c r="J22">
        <f>Input!J21*IS!J5</f>
        <v>54.116587299999992</v>
      </c>
      <c r="K22">
        <f>Input!K21*IS!K5</f>
        <v>54.333053649199989</v>
      </c>
      <c r="L22">
        <f>Input!L21*IS!L5</f>
        <v>67.916317061499981</v>
      </c>
      <c r="M22">
        <f>Input!M21*IS!M5</f>
        <v>69.07089445154547</v>
      </c>
      <c r="N22">
        <f>Input!N21*IS!N5</f>
        <v>70.176028762770201</v>
      </c>
      <c r="O22">
        <f>Input!O21*IS!O5</f>
        <v>71.298845222974535</v>
      </c>
      <c r="P22">
        <f>Input!P21*IS!P5</f>
        <v>72.439626746542118</v>
      </c>
      <c r="Q22">
        <f>Input!Q21*IS!Q5</f>
        <v>73.598660774486802</v>
      </c>
    </row>
    <row r="23" spans="1:17" x14ac:dyDescent="0.45">
      <c r="B23" t="str">
        <f>BS!B18</f>
        <v>Accounts payable</v>
      </c>
      <c r="F23">
        <f>BS!F18</f>
        <v>326.7</v>
      </c>
      <c r="I23">
        <f>BS!I18</f>
        <v>326.7</v>
      </c>
      <c r="J23">
        <f>Input!J25/365*IS!J6</f>
        <v>330.90343131846572</v>
      </c>
      <c r="K23">
        <f>Input!K25/365*IS!K6</f>
        <v>332.22704504373951</v>
      </c>
      <c r="L23">
        <f>Input!L25/365*IS!L6</f>
        <v>415.28380630467444</v>
      </c>
      <c r="M23">
        <f>Input!M25/365*IS!M6</f>
        <v>422.34363101185386</v>
      </c>
      <c r="N23">
        <f>Input!N25/365*IS!N6</f>
        <v>429.10112910804349</v>
      </c>
      <c r="O23">
        <f>Input!O25/365*IS!O6</f>
        <v>435.96674717377221</v>
      </c>
      <c r="P23">
        <f>Input!P25/365*IS!P6</f>
        <v>442.94221512855256</v>
      </c>
      <c r="Q23">
        <f>Input!Q25/365*IS!Q6</f>
        <v>450.02929057060936</v>
      </c>
    </row>
    <row r="24" spans="1:17" x14ac:dyDescent="0.45">
      <c r="B24" t="s">
        <v>44</v>
      </c>
      <c r="F24">
        <f>SUM(F20:F22)-F23</f>
        <v>82.899999999999977</v>
      </c>
      <c r="I24">
        <f>SUM(I20:I22)-I23</f>
        <v>82.899999999999977</v>
      </c>
      <c r="J24">
        <f>SUM(J20:J22)-J23</f>
        <v>84.321958724849367</v>
      </c>
      <c r="K24">
        <f t="shared" ref="K24:Q24" si="5">SUM(K20:K22)-K23</f>
        <v>84.659246559748681</v>
      </c>
      <c r="L24">
        <f t="shared" si="5"/>
        <v>105.82405819968591</v>
      </c>
      <c r="M24">
        <f t="shared" si="5"/>
        <v>107.62306718908053</v>
      </c>
      <c r="N24">
        <f t="shared" si="5"/>
        <v>109.34503626410577</v>
      </c>
      <c r="O24">
        <f t="shared" si="5"/>
        <v>111.09455684433158</v>
      </c>
      <c r="P24">
        <f t="shared" si="5"/>
        <v>112.87206975384083</v>
      </c>
      <c r="Q24">
        <f t="shared" si="5"/>
        <v>114.67802286990224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4" width="11.73046875" customWidth="1"/>
    <col min="5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146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46</v>
      </c>
      <c r="C5" s="61">
        <v>2229.8000000000002</v>
      </c>
      <c r="D5" s="61">
        <v>2282.1999999999998</v>
      </c>
      <c r="E5" s="61">
        <v>2312.6999999999998</v>
      </c>
      <c r="F5" s="61">
        <v>2322.6999999999998</v>
      </c>
      <c r="J5">
        <f>F5*(1+Input!J11)</f>
        <v>2352.8950999999997</v>
      </c>
      <c r="K5">
        <f>J5*(1+Input!K11)</f>
        <v>2362.3066803999995</v>
      </c>
      <c r="L5">
        <f>K5*(1+Input!L11)</f>
        <v>2952.8833504999993</v>
      </c>
      <c r="M5">
        <f>L5*(1+Input!M11)</f>
        <v>3003.082367458499</v>
      </c>
      <c r="N5">
        <f>M5*(1+Input!N11)</f>
        <v>3051.1316853378348</v>
      </c>
      <c r="O5">
        <f>N5*(1+Input!O11)</f>
        <v>3099.9497923032404</v>
      </c>
      <c r="P5">
        <f>O5*(1+Input!P11)</f>
        <v>3149.5489889800924</v>
      </c>
      <c r="Q5">
        <f>P5*(1+Input!Q11)</f>
        <v>3199.9417728037738</v>
      </c>
    </row>
    <row r="6" spans="1:17" x14ac:dyDescent="0.45">
      <c r="B6" t="s">
        <v>47</v>
      </c>
      <c r="C6" s="61">
        <v>-1929</v>
      </c>
      <c r="D6" s="61">
        <v>-1984.3999999999999</v>
      </c>
      <c r="E6" s="61">
        <v>-2035.7</v>
      </c>
      <c r="F6" s="61">
        <v>-2026.7</v>
      </c>
      <c r="J6">
        <f>Input!J12*IS!J5</f>
        <v>-2054.0774222999999</v>
      </c>
      <c r="K6">
        <f>Input!K12*IS!K5</f>
        <v>-2062.2937319891994</v>
      </c>
      <c r="L6">
        <f>Input!L12*IS!L5</f>
        <v>-2577.8671649864996</v>
      </c>
      <c r="M6">
        <f>Input!M12*IS!M5</f>
        <v>-2621.6909067912698</v>
      </c>
      <c r="N6">
        <f>Input!N12*IS!N5</f>
        <v>-2663.6379612999299</v>
      </c>
      <c r="O6">
        <f>Input!O12*IS!O5</f>
        <v>-2706.2561686807289</v>
      </c>
      <c r="P6">
        <f>Input!P12*IS!P5</f>
        <v>-2749.5562673796207</v>
      </c>
      <c r="Q6">
        <f>Input!Q12*IS!Q5</f>
        <v>-2793.5491676576944</v>
      </c>
    </row>
    <row r="7" spans="1:17" x14ac:dyDescent="0.45">
      <c r="B7" t="s">
        <v>48</v>
      </c>
      <c r="C7">
        <f>SUM(C5:C6)</f>
        <v>300.80000000000018</v>
      </c>
      <c r="D7">
        <f t="shared" ref="D7:F7" si="1">SUM(D5:D6)</f>
        <v>297.79999999999995</v>
      </c>
      <c r="E7">
        <f t="shared" si="1"/>
        <v>276.99999999999977</v>
      </c>
      <c r="F7">
        <f t="shared" si="1"/>
        <v>295.99999999999977</v>
      </c>
      <c r="J7">
        <f t="shared" ref="J7:K7" si="2">SUM(J5:J6)</f>
        <v>298.81767769999988</v>
      </c>
      <c r="K7">
        <f t="shared" si="2"/>
        <v>300.01294841080016</v>
      </c>
      <c r="L7">
        <f t="shared" ref="L7:Q7" si="3">SUM(L5:L6)</f>
        <v>375.01618551349975</v>
      </c>
      <c r="M7">
        <f t="shared" si="3"/>
        <v>381.39146066722924</v>
      </c>
      <c r="N7">
        <f t="shared" si="3"/>
        <v>387.49372403790494</v>
      </c>
      <c r="O7">
        <f t="shared" si="3"/>
        <v>393.6936236225115</v>
      </c>
      <c r="P7">
        <f t="shared" si="3"/>
        <v>399.99272160047167</v>
      </c>
      <c r="Q7">
        <f t="shared" si="3"/>
        <v>406.3926051460794</v>
      </c>
    </row>
    <row r="9" spans="1:17" x14ac:dyDescent="0.45">
      <c r="B9" t="s">
        <v>49</v>
      </c>
      <c r="C9" s="61">
        <v>-125.6</v>
      </c>
      <c r="D9" s="61">
        <v>-142.19999999999999</v>
      </c>
      <c r="E9" s="61">
        <v>-147</v>
      </c>
      <c r="F9" s="61">
        <v>-161.6</v>
      </c>
      <c r="J9">
        <f>Input!J15*IS!J5</f>
        <v>-141.17370599999998</v>
      </c>
      <c r="K9">
        <f>Input!K15*IS!K5</f>
        <v>-118.11533401999998</v>
      </c>
      <c r="L9">
        <f>Input!L15*IS!L5</f>
        <v>-147.64416752499997</v>
      </c>
      <c r="M9">
        <f>Input!M15*IS!M5</f>
        <v>-150.15411837292496</v>
      </c>
      <c r="N9">
        <f>Input!N15*IS!N5</f>
        <v>-152.55658426689175</v>
      </c>
      <c r="O9">
        <f>Input!O15*IS!O5</f>
        <v>-154.99748961516204</v>
      </c>
      <c r="P9">
        <f>Input!P15*IS!P5</f>
        <v>-157.47744944900464</v>
      </c>
      <c r="Q9">
        <f>Input!Q15*IS!Q5</f>
        <v>-159.99708864018871</v>
      </c>
    </row>
    <row r="10" spans="1:17" x14ac:dyDescent="0.45">
      <c r="B10" t="s">
        <v>50</v>
      </c>
      <c r="C10">
        <f>C7+C9</f>
        <v>175.20000000000019</v>
      </c>
      <c r="D10">
        <f t="shared" ref="D10:F10" si="4">D7+D9</f>
        <v>155.59999999999997</v>
      </c>
      <c r="E10">
        <f t="shared" si="4"/>
        <v>129.99999999999977</v>
      </c>
      <c r="F10">
        <f t="shared" si="4"/>
        <v>134.39999999999978</v>
      </c>
      <c r="J10">
        <f t="shared" ref="J10:K10" si="5">J7+J9</f>
        <v>157.6439716999999</v>
      </c>
      <c r="K10">
        <f t="shared" si="5"/>
        <v>181.89761439080019</v>
      </c>
      <c r="L10">
        <f t="shared" ref="L10:Q10" si="6">L7+L9</f>
        <v>227.37201798849978</v>
      </c>
      <c r="M10">
        <f t="shared" si="6"/>
        <v>231.23734229430428</v>
      </c>
      <c r="N10">
        <f t="shared" si="6"/>
        <v>234.93713977101319</v>
      </c>
      <c r="O10">
        <f t="shared" si="6"/>
        <v>238.69613400734946</v>
      </c>
      <c r="P10">
        <f t="shared" si="6"/>
        <v>242.51527215146703</v>
      </c>
      <c r="Q10">
        <f t="shared" si="6"/>
        <v>246.3955165058907</v>
      </c>
    </row>
    <row r="12" spans="1:17" x14ac:dyDescent="0.45">
      <c r="B12" t="s">
        <v>18</v>
      </c>
      <c r="C12" s="61">
        <v>-91.6</v>
      </c>
      <c r="D12" s="61">
        <v>-94.6</v>
      </c>
      <c r="E12" s="61">
        <v>-100.8</v>
      </c>
      <c r="F12" s="61">
        <v>-104.2</v>
      </c>
      <c r="J12">
        <f>Calc!J8</f>
        <v>-73.607699999999994</v>
      </c>
      <c r="K12">
        <f>Calc!K8</f>
        <v>-74.304289940599986</v>
      </c>
      <c r="L12">
        <f>Calc!L8</f>
        <v>-74.959830894636994</v>
      </c>
      <c r="M12">
        <f>Calc!M8</f>
        <v>-77.732595024074556</v>
      </c>
      <c r="N12">
        <f>Calc!N8</f>
        <v>-80.389165420251643</v>
      </c>
      <c r="O12">
        <f>Calc!O8</f>
        <v>-82.934240415306235</v>
      </c>
      <c r="P12">
        <f>Calc!P8</f>
        <v>-85.382822140313664</v>
      </c>
      <c r="Q12">
        <f>Calc!Q8</f>
        <v>-87.748323080179702</v>
      </c>
    </row>
    <row r="13" spans="1:17" x14ac:dyDescent="0.45">
      <c r="B13" t="s">
        <v>88</v>
      </c>
      <c r="C13" s="61">
        <v>0</v>
      </c>
      <c r="D13" s="61">
        <v>-11.4</v>
      </c>
      <c r="E13" s="61">
        <v>0</v>
      </c>
      <c r="F13" s="61">
        <v>0</v>
      </c>
      <c r="J13">
        <f>Input!J14</f>
        <v>0</v>
      </c>
      <c r="K13">
        <f>Input!K14</f>
        <v>0</v>
      </c>
      <c r="L13">
        <f>Input!L14</f>
        <v>0</v>
      </c>
      <c r="M13">
        <f>Input!M14</f>
        <v>0</v>
      </c>
      <c r="N13">
        <f>Input!N14</f>
        <v>0</v>
      </c>
      <c r="O13">
        <f>Input!O14</f>
        <v>0</v>
      </c>
      <c r="P13">
        <f>Input!P14</f>
        <v>0</v>
      </c>
      <c r="Q13">
        <f>Input!Q14</f>
        <v>0</v>
      </c>
    </row>
    <row r="14" spans="1:17" x14ac:dyDescent="0.45">
      <c r="B14" t="s">
        <v>80</v>
      </c>
      <c r="C14">
        <f>C10-C12-C13</f>
        <v>266.80000000000018</v>
      </c>
      <c r="D14">
        <f t="shared" ref="D14:F14" si="7">D10-D12-D13</f>
        <v>261.59999999999997</v>
      </c>
      <c r="E14">
        <f t="shared" si="7"/>
        <v>230.79999999999978</v>
      </c>
      <c r="F14">
        <f t="shared" si="7"/>
        <v>238.5999999999998</v>
      </c>
      <c r="J14">
        <f t="shared" ref="J14:K14" si="8">J10-J12-J13</f>
        <v>231.25167169999989</v>
      </c>
      <c r="K14">
        <f t="shared" si="8"/>
        <v>256.20190433140016</v>
      </c>
      <c r="L14">
        <f t="shared" ref="L14:Q14" si="9">L10-L12-L13</f>
        <v>302.33184888313679</v>
      </c>
      <c r="M14">
        <f t="shared" si="9"/>
        <v>308.96993731837881</v>
      </c>
      <c r="N14">
        <f t="shared" si="9"/>
        <v>315.32630519126485</v>
      </c>
      <c r="O14">
        <f t="shared" si="9"/>
        <v>321.63037442265568</v>
      </c>
      <c r="P14">
        <f t="shared" si="9"/>
        <v>327.89809429178069</v>
      </c>
      <c r="Q14">
        <f t="shared" si="9"/>
        <v>334.14383958607038</v>
      </c>
    </row>
    <row r="16" spans="1:17" x14ac:dyDescent="0.45">
      <c r="B16" t="s">
        <v>51</v>
      </c>
      <c r="C16" s="61">
        <v>-14.7</v>
      </c>
      <c r="D16" s="61">
        <v>-12.2</v>
      </c>
      <c r="E16" s="61">
        <v>-15.6</v>
      </c>
      <c r="F16" s="61">
        <v>-19.2</v>
      </c>
      <c r="J16">
        <f ca="1">IF(Switch2=1,Debt!J81,0)</f>
        <v>-106.89671826035065</v>
      </c>
      <c r="K16">
        <f ca="1">IF(Switch2=1,Debt!K81,0)</f>
        <v>-107.37851113000065</v>
      </c>
      <c r="L16">
        <f ca="1">IF(Switch2=1,Debt!L81,0)</f>
        <v>-107.23351462247243</v>
      </c>
      <c r="M16">
        <f ca="1">IF(Switch2=1,Debt!M81,0)</f>
        <v>-106.73246798887428</v>
      </c>
      <c r="N16">
        <f ca="1">IF(Switch2=1,Debt!N81,0)</f>
        <v>-104.29307502525901</v>
      </c>
      <c r="O16">
        <f ca="1">IF(Switch2=1,Debt!O81,0)</f>
        <v>-98.799522286363072</v>
      </c>
      <c r="P16">
        <f ca="1">IF(Switch2=1,Debt!P81,0)</f>
        <v>-91.426678609246622</v>
      </c>
      <c r="Q16">
        <f ca="1">IF(Switch2=1,Debt!Q81,0)</f>
        <v>-85.819510747285563</v>
      </c>
    </row>
    <row r="17" spans="2:17" x14ac:dyDescent="0.45">
      <c r="B17" t="s">
        <v>52</v>
      </c>
      <c r="C17">
        <f>SUM(C10,C16:C16)</f>
        <v>160.5000000000002</v>
      </c>
      <c r="D17">
        <f>SUM(D10,D16:D16)</f>
        <v>143.39999999999998</v>
      </c>
      <c r="E17">
        <f>SUM(E10,E16:E16)</f>
        <v>114.39999999999978</v>
      </c>
      <c r="F17">
        <f>SUM(F10,F16:F16)</f>
        <v>115.19999999999978</v>
      </c>
      <c r="J17">
        <f ca="1">SUM(J10,J16:J16)</f>
        <v>50.747253439649242</v>
      </c>
      <c r="K17">
        <f ca="1">SUM(K10,K16:K16)</f>
        <v>74.51910326079954</v>
      </c>
      <c r="L17">
        <f t="shared" ref="L17:Q17" ca="1" si="10">SUM(L10,L16:L16)</f>
        <v>120.13850336602735</v>
      </c>
      <c r="M17">
        <f t="shared" ca="1" si="10"/>
        <v>124.50487430543001</v>
      </c>
      <c r="N17">
        <f t="shared" ca="1" si="10"/>
        <v>130.64406474575418</v>
      </c>
      <c r="O17">
        <f t="shared" ca="1" si="10"/>
        <v>139.89661172098639</v>
      </c>
      <c r="P17">
        <f t="shared" ca="1" si="10"/>
        <v>151.08859354222039</v>
      </c>
      <c r="Q17">
        <f t="shared" ca="1" si="10"/>
        <v>160.57600575860513</v>
      </c>
    </row>
    <row r="19" spans="2:17" x14ac:dyDescent="0.45">
      <c r="B19" t="s">
        <v>53</v>
      </c>
      <c r="C19" s="61">
        <v>-33</v>
      </c>
      <c r="D19" s="61">
        <v>-23.1</v>
      </c>
      <c r="E19" s="61">
        <v>-18.600000000000001</v>
      </c>
      <c r="F19" s="61">
        <v>-20</v>
      </c>
      <c r="J19">
        <f ca="1">Input!J16*IS!J17</f>
        <v>-10.14945068792985</v>
      </c>
      <c r="K19">
        <f ca="1">Input!K16*IS!K17</f>
        <v>-14.903820652159908</v>
      </c>
      <c r="L19">
        <f ca="1">Input!L16*IS!L17</f>
        <v>-24.027700673205473</v>
      </c>
      <c r="M19">
        <f ca="1">Input!M16*IS!M17</f>
        <v>-24.900974861086002</v>
      </c>
      <c r="N19">
        <f ca="1">Input!N16*IS!N17</f>
        <v>-26.128812949150838</v>
      </c>
      <c r="O19">
        <f ca="1">Input!O16*IS!O17</f>
        <v>-27.979322344197278</v>
      </c>
      <c r="P19">
        <f ca="1">Input!P16*IS!P17</f>
        <v>-30.217718708444082</v>
      </c>
      <c r="Q19">
        <f ca="1">Input!Q16*IS!Q17</f>
        <v>-32.115201151721031</v>
      </c>
    </row>
    <row r="20" spans="2:17" x14ac:dyDescent="0.45">
      <c r="B20" t="s">
        <v>42</v>
      </c>
      <c r="C20">
        <f>C17+C19</f>
        <v>127.5000000000002</v>
      </c>
      <c r="D20">
        <f t="shared" ref="D20:F20" si="11">D17+D19</f>
        <v>120.29999999999998</v>
      </c>
      <c r="E20">
        <f t="shared" si="11"/>
        <v>95.799999999999784</v>
      </c>
      <c r="F20">
        <f t="shared" si="11"/>
        <v>95.199999999999775</v>
      </c>
      <c r="J20">
        <f t="shared" ref="J20:K20" ca="1" si="12">J17+J19</f>
        <v>40.597802751719392</v>
      </c>
      <c r="K20">
        <f t="shared" ca="1" si="12"/>
        <v>59.615282608639632</v>
      </c>
      <c r="L20">
        <f t="shared" ref="L20:Q20" ca="1" si="13">L17+L19</f>
        <v>96.110802692821878</v>
      </c>
      <c r="M20">
        <f t="shared" ca="1" si="13"/>
        <v>99.603899444344009</v>
      </c>
      <c r="N20">
        <f t="shared" ca="1" si="13"/>
        <v>104.51525179660334</v>
      </c>
      <c r="O20">
        <f t="shared" ca="1" si="13"/>
        <v>111.91728937678911</v>
      </c>
      <c r="P20">
        <f t="shared" ca="1" si="13"/>
        <v>120.87087483377631</v>
      </c>
      <c r="Q20">
        <f t="shared" ca="1" si="13"/>
        <v>128.4608046068841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147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54</v>
      </c>
      <c r="C5" s="61">
        <v>51.8</v>
      </c>
      <c r="D5" s="61">
        <v>34.299999999999997</v>
      </c>
      <c r="E5" s="61">
        <v>65.900000000000006</v>
      </c>
      <c r="F5" s="61">
        <v>50.1</v>
      </c>
      <c r="H5">
        <f>-F5</f>
        <v>-50.1</v>
      </c>
      <c r="I5">
        <f>SUM(F5:H5)</f>
        <v>0</v>
      </c>
      <c r="J5">
        <f ca="1">CFS!J28</f>
        <v>17.196277656717498</v>
      </c>
      <c r="K5">
        <f ca="1">CFS!K28</f>
        <v>27.695033809364475</v>
      </c>
      <c r="L5">
        <f ca="1">CFS!L28</f>
        <v>30.590305459971532</v>
      </c>
      <c r="M5">
        <f ca="1">CFS!M28</f>
        <v>38.650099611351635</v>
      </c>
      <c r="N5">
        <f ca="1">CFS!N28</f>
        <v>43.685191852923765</v>
      </c>
      <c r="O5">
        <f ca="1">CFS!O28</f>
        <v>48.708302180420787</v>
      </c>
      <c r="P5">
        <f ca="1">CFS!P28</f>
        <v>54.289359321575603</v>
      </c>
      <c r="Q5">
        <f ca="1">CFS!Q28</f>
        <v>110.92275396084415</v>
      </c>
    </row>
    <row r="6" spans="1:17" x14ac:dyDescent="0.45">
      <c r="B6" t="s">
        <v>55</v>
      </c>
      <c r="C6" s="61">
        <v>20.9</v>
      </c>
      <c r="D6" s="61">
        <v>19.8</v>
      </c>
      <c r="E6" s="61">
        <v>25.3</v>
      </c>
      <c r="F6" s="61">
        <v>24.9</v>
      </c>
      <c r="I6">
        <f t="shared" ref="I6:I8" si="1">SUM(F6:H6)</f>
        <v>24.9</v>
      </c>
      <c r="J6">
        <f>Calc!J20</f>
        <v>25.140522986301367</v>
      </c>
      <c r="K6">
        <f>Calc!K20</f>
        <v>25.24108507824657</v>
      </c>
      <c r="L6">
        <f>Calc!L20</f>
        <v>31.551356347808209</v>
      </c>
      <c r="M6">
        <f>Calc!M20</f>
        <v>32.087729405720943</v>
      </c>
      <c r="N6">
        <f>Calc!N20</f>
        <v>32.601133076212477</v>
      </c>
      <c r="O6">
        <f>Calc!O20</f>
        <v>33.122751205431882</v>
      </c>
      <c r="P6">
        <f>Calc!P20</f>
        <v>33.65271522471879</v>
      </c>
      <c r="Q6">
        <f>Calc!Q20</f>
        <v>34.191158668314294</v>
      </c>
    </row>
    <row r="7" spans="1:17" x14ac:dyDescent="0.45">
      <c r="B7" t="s">
        <v>56</v>
      </c>
      <c r="C7" s="61">
        <v>332.3</v>
      </c>
      <c r="D7" s="61">
        <v>357.9</v>
      </c>
      <c r="E7" s="61">
        <v>345.7</v>
      </c>
      <c r="F7" s="61">
        <v>331.6</v>
      </c>
      <c r="I7">
        <f t="shared" si="1"/>
        <v>331.6</v>
      </c>
      <c r="J7">
        <f>Calc!J21</f>
        <v>335.9682797570137</v>
      </c>
      <c r="K7">
        <f>Calc!K21</f>
        <v>337.31215287604164</v>
      </c>
      <c r="L7">
        <f>Calc!L21</f>
        <v>421.64019109505216</v>
      </c>
      <c r="M7">
        <f>Calc!M21</f>
        <v>428.80807434366795</v>
      </c>
      <c r="N7">
        <f>Calc!N21</f>
        <v>435.66900353316663</v>
      </c>
      <c r="O7">
        <f>Calc!O21</f>
        <v>442.63970758969731</v>
      </c>
      <c r="P7">
        <f>Calc!P21</f>
        <v>449.72194291113249</v>
      </c>
      <c r="Q7">
        <f>Calc!Q21</f>
        <v>456.91749399771055</v>
      </c>
    </row>
    <row r="8" spans="1:17" x14ac:dyDescent="0.45">
      <c r="B8" t="s">
        <v>57</v>
      </c>
      <c r="C8" s="61">
        <v>54.5</v>
      </c>
      <c r="D8" s="61">
        <v>58.5</v>
      </c>
      <c r="E8" s="61">
        <v>49.400000000000034</v>
      </c>
      <c r="F8" s="61">
        <v>53.099999999999966</v>
      </c>
      <c r="I8">
        <f t="shared" si="1"/>
        <v>53.099999999999966</v>
      </c>
      <c r="J8">
        <f>Calc!J22</f>
        <v>54.116587299999992</v>
      </c>
      <c r="K8">
        <f>Calc!K22</f>
        <v>54.333053649199989</v>
      </c>
      <c r="L8">
        <f>Calc!L22</f>
        <v>67.916317061499981</v>
      </c>
      <c r="M8">
        <f>Calc!M22</f>
        <v>69.07089445154547</v>
      </c>
      <c r="N8">
        <f>Calc!N22</f>
        <v>70.176028762770201</v>
      </c>
      <c r="O8">
        <f>Calc!O22</f>
        <v>71.298845222974535</v>
      </c>
      <c r="P8">
        <f>Calc!P22</f>
        <v>72.439626746542118</v>
      </c>
      <c r="Q8">
        <f>Calc!Q22</f>
        <v>73.598660774486802</v>
      </c>
    </row>
    <row r="9" spans="1:17" x14ac:dyDescent="0.45">
      <c r="B9" t="s">
        <v>58</v>
      </c>
      <c r="C9">
        <f t="shared" ref="C9:D9" si="2">SUM(C5:C8)</f>
        <v>459.5</v>
      </c>
      <c r="D9">
        <f t="shared" si="2"/>
        <v>470.5</v>
      </c>
      <c r="E9">
        <f>SUM(E5:E8)</f>
        <v>486.3</v>
      </c>
      <c r="F9">
        <f>SUM(F5:F8)</f>
        <v>459.7</v>
      </c>
      <c r="I9">
        <f>SUM(I5:I8)</f>
        <v>409.59999999999997</v>
      </c>
      <c r="J9">
        <f ca="1">SUM(J5:J8)</f>
        <v>432.42166770003257</v>
      </c>
      <c r="K9">
        <f t="shared" ref="K9:Q9" ca="1" si="3">SUM(K5:K8)</f>
        <v>444.58132541285266</v>
      </c>
      <c r="L9">
        <f t="shared" ca="1" si="3"/>
        <v>551.6981699643319</v>
      </c>
      <c r="M9">
        <f t="shared" ca="1" si="3"/>
        <v>568.61679781228599</v>
      </c>
      <c r="N9">
        <f t="shared" ca="1" si="3"/>
        <v>582.13135722507309</v>
      </c>
      <c r="O9">
        <f t="shared" ca="1" si="3"/>
        <v>595.76960619852457</v>
      </c>
      <c r="P9">
        <f t="shared" ca="1" si="3"/>
        <v>610.103644203969</v>
      </c>
      <c r="Q9">
        <f t="shared" ca="1" si="3"/>
        <v>675.63006740135586</v>
      </c>
    </row>
    <row r="11" spans="1:17" x14ac:dyDescent="0.45">
      <c r="B11" t="s">
        <v>59</v>
      </c>
      <c r="C11" s="61">
        <v>661.6</v>
      </c>
      <c r="D11" s="61">
        <v>692.1</v>
      </c>
      <c r="E11" s="61">
        <v>689.2</v>
      </c>
      <c r="F11" s="61">
        <v>675.3</v>
      </c>
      <c r="I11">
        <f t="shared" ref="I11:I14" si="4">SUM(F11:H11)</f>
        <v>675.3</v>
      </c>
      <c r="J11">
        <f>Calc!J9</f>
        <v>681.69073339999989</v>
      </c>
      <c r="K11">
        <f>Calc!K9</f>
        <v>687.7048705929999</v>
      </c>
      <c r="L11">
        <f>Calc!L9</f>
        <v>713.14307361536294</v>
      </c>
      <c r="M11">
        <f>Calc!M9</f>
        <v>737.51527908487742</v>
      </c>
      <c r="N11">
        <f>Calc!N9</f>
        <v>760.86459096611225</v>
      </c>
      <c r="O11">
        <f>Calc!O9</f>
        <v>783.32864348911619</v>
      </c>
      <c r="P11">
        <f>Calc!P9</f>
        <v>805.03048697412567</v>
      </c>
      <c r="Q11">
        <f>Calc!Q9</f>
        <v>826.08018416927428</v>
      </c>
    </row>
    <row r="12" spans="1:17" x14ac:dyDescent="0.45">
      <c r="B12" t="s">
        <v>60</v>
      </c>
      <c r="C12" s="61">
        <v>864.9</v>
      </c>
      <c r="D12" s="61">
        <v>876.5</v>
      </c>
      <c r="E12" s="61">
        <v>892.8</v>
      </c>
      <c r="F12" s="61">
        <v>931.5</v>
      </c>
      <c r="I12">
        <f t="shared" si="4"/>
        <v>931.5</v>
      </c>
      <c r="J12">
        <f>I12+IS!J13</f>
        <v>931.5</v>
      </c>
      <c r="K12">
        <f>J12+IS!K13</f>
        <v>931.5</v>
      </c>
      <c r="L12">
        <f>K12+IS!L13</f>
        <v>931.5</v>
      </c>
      <c r="M12">
        <f>L12+IS!M13</f>
        <v>931.5</v>
      </c>
      <c r="N12">
        <f>M12+IS!N13</f>
        <v>931.5</v>
      </c>
      <c r="O12">
        <f>N12+IS!O13</f>
        <v>931.5</v>
      </c>
      <c r="P12">
        <f>O12+IS!P13</f>
        <v>931.5</v>
      </c>
      <c r="Q12">
        <f>P12+IS!Q13</f>
        <v>931.5</v>
      </c>
    </row>
    <row r="13" spans="1:17" x14ac:dyDescent="0.45">
      <c r="B13" t="s">
        <v>81</v>
      </c>
      <c r="C13" s="61">
        <v>105.19999999999982</v>
      </c>
      <c r="D13" s="61">
        <v>93.700000000000159</v>
      </c>
      <c r="E13" s="61">
        <v>80.100000000000136</v>
      </c>
      <c r="F13" s="61">
        <v>76.099999999999909</v>
      </c>
      <c r="I13">
        <f t="shared" si="4"/>
        <v>76.099999999999909</v>
      </c>
      <c r="J13">
        <f>Input!J23</f>
        <v>76.099999999999994</v>
      </c>
      <c r="K13">
        <f>Input!K23</f>
        <v>76.099999999999994</v>
      </c>
      <c r="L13">
        <f>Input!L23</f>
        <v>76.099999999999994</v>
      </c>
      <c r="M13">
        <f>Input!M23</f>
        <v>76.099999999999994</v>
      </c>
      <c r="N13">
        <f>Input!N23</f>
        <v>76.099999999999994</v>
      </c>
      <c r="O13">
        <f>Input!O23</f>
        <v>76.099999999999994</v>
      </c>
      <c r="P13">
        <f>Input!P23</f>
        <v>76.099999999999994</v>
      </c>
      <c r="Q13">
        <f>Input!Q23</f>
        <v>76.099999999999994</v>
      </c>
    </row>
    <row r="14" spans="1:17" x14ac:dyDescent="0.45">
      <c r="B14" t="s">
        <v>17</v>
      </c>
      <c r="C14" s="61">
        <v>0</v>
      </c>
      <c r="D14" s="61">
        <v>0</v>
      </c>
      <c r="E14" s="61">
        <v>0</v>
      </c>
      <c r="F14" s="61">
        <v>0</v>
      </c>
      <c r="G14">
        <f>-F14+LBO!H49</f>
        <v>633.79999999999859</v>
      </c>
      <c r="I14">
        <f t="shared" si="4"/>
        <v>633.79999999999859</v>
      </c>
      <c r="J14">
        <f>I14</f>
        <v>633.79999999999859</v>
      </c>
      <c r="K14">
        <f t="shared" ref="K14:Q14" si="5">J14</f>
        <v>633.79999999999859</v>
      </c>
      <c r="L14">
        <f t="shared" si="5"/>
        <v>633.79999999999859</v>
      </c>
      <c r="M14">
        <f t="shared" si="5"/>
        <v>633.79999999999859</v>
      </c>
      <c r="N14">
        <f t="shared" si="5"/>
        <v>633.79999999999859</v>
      </c>
      <c r="O14">
        <f t="shared" si="5"/>
        <v>633.79999999999859</v>
      </c>
      <c r="P14">
        <f t="shared" si="5"/>
        <v>633.79999999999859</v>
      </c>
      <c r="Q14">
        <f t="shared" si="5"/>
        <v>633.79999999999859</v>
      </c>
    </row>
    <row r="15" spans="1:17" x14ac:dyDescent="0.45">
      <c r="B15" t="s">
        <v>61</v>
      </c>
      <c r="C15">
        <f>SUM(C9,C11:C14)</f>
        <v>2091.1999999999998</v>
      </c>
      <c r="D15">
        <f t="shared" ref="D15:F15" si="6">SUM(D9,D11:D14)</f>
        <v>2132.8000000000002</v>
      </c>
      <c r="E15">
        <f t="shared" si="6"/>
        <v>2148.4000000000005</v>
      </c>
      <c r="F15">
        <f t="shared" si="6"/>
        <v>2142.6</v>
      </c>
      <c r="I15">
        <f t="shared" ref="I15:J15" si="7">SUM(I9,I11:I14)</f>
        <v>2726.2999999999984</v>
      </c>
      <c r="J15">
        <f t="shared" ca="1" si="7"/>
        <v>2755.5124011000307</v>
      </c>
      <c r="K15">
        <f t="shared" ref="K15:Q15" ca="1" si="8">SUM(K9,K11:K14)</f>
        <v>2773.6861960058513</v>
      </c>
      <c r="L15">
        <f t="shared" ca="1" si="8"/>
        <v>2906.2412435796932</v>
      </c>
      <c r="M15">
        <f t="shared" ca="1" si="8"/>
        <v>2947.5320768971624</v>
      </c>
      <c r="N15">
        <f t="shared" ca="1" si="8"/>
        <v>2984.3959481911843</v>
      </c>
      <c r="O15">
        <f t="shared" ca="1" si="8"/>
        <v>3020.4982496876391</v>
      </c>
      <c r="P15">
        <f t="shared" ca="1" si="8"/>
        <v>3056.534131178093</v>
      </c>
      <c r="Q15">
        <f t="shared" ca="1" si="8"/>
        <v>3143.1102515706289</v>
      </c>
    </row>
    <row r="17" spans="2:17" x14ac:dyDescent="0.45">
      <c r="B17" t="s">
        <v>62</v>
      </c>
      <c r="C17" s="61">
        <v>163.4</v>
      </c>
      <c r="D17" s="61">
        <v>163.1</v>
      </c>
      <c r="E17" s="61">
        <v>202.1</v>
      </c>
      <c r="F17" s="61">
        <v>155.4</v>
      </c>
      <c r="H17">
        <f>-F17+LBO!F35</f>
        <v>-155.4</v>
      </c>
      <c r="I17">
        <f t="shared" ref="I17:I18" si="9">SUM(F17:H17)</f>
        <v>0</v>
      </c>
      <c r="J17">
        <f ca="1">Debt!J28</f>
        <v>0</v>
      </c>
      <c r="K17">
        <f ca="1">Debt!K28</f>
        <v>0</v>
      </c>
      <c r="L17">
        <f ca="1">Debt!L28</f>
        <v>0</v>
      </c>
      <c r="M17">
        <f ca="1">Debt!M28</f>
        <v>0</v>
      </c>
      <c r="N17">
        <f ca="1">Debt!N28</f>
        <v>0</v>
      </c>
      <c r="O17">
        <f ca="1">Debt!O28</f>
        <v>0</v>
      </c>
      <c r="P17">
        <f ca="1">Debt!P28</f>
        <v>0</v>
      </c>
      <c r="Q17">
        <f ca="1">Debt!Q28</f>
        <v>0</v>
      </c>
    </row>
    <row r="18" spans="2:17" x14ac:dyDescent="0.45">
      <c r="B18" t="s">
        <v>63</v>
      </c>
      <c r="C18" s="61">
        <v>318.3</v>
      </c>
      <c r="D18" s="61">
        <v>345</v>
      </c>
      <c r="E18" s="61">
        <v>326.2</v>
      </c>
      <c r="F18" s="61">
        <v>326.7</v>
      </c>
      <c r="I18">
        <f t="shared" si="9"/>
        <v>326.7</v>
      </c>
      <c r="J18">
        <f>Calc!J23</f>
        <v>330.90343131846572</v>
      </c>
      <c r="K18">
        <f>Calc!K23</f>
        <v>332.22704504373951</v>
      </c>
      <c r="L18">
        <f>Calc!L23</f>
        <v>415.28380630467444</v>
      </c>
      <c r="M18">
        <f>Calc!M23</f>
        <v>422.34363101185386</v>
      </c>
      <c r="N18">
        <f>Calc!N23</f>
        <v>429.10112910804349</v>
      </c>
      <c r="O18">
        <f>Calc!O23</f>
        <v>435.96674717377221</v>
      </c>
      <c r="P18">
        <f>Calc!P23</f>
        <v>442.94221512855256</v>
      </c>
      <c r="Q18">
        <f>Calc!Q23</f>
        <v>450.02929057060936</v>
      </c>
    </row>
    <row r="19" spans="2:17" x14ac:dyDescent="0.45">
      <c r="B19" t="s">
        <v>64</v>
      </c>
      <c r="C19">
        <f>SUM(C17:C18)</f>
        <v>481.70000000000005</v>
      </c>
      <c r="D19">
        <f t="shared" ref="D19:F19" si="10">SUM(D17:D18)</f>
        <v>508.1</v>
      </c>
      <c r="E19">
        <f t="shared" si="10"/>
        <v>528.29999999999995</v>
      </c>
      <c r="F19">
        <f t="shared" si="10"/>
        <v>482.1</v>
      </c>
      <c r="I19">
        <f>SUM(I17:I18)</f>
        <v>326.7</v>
      </c>
      <c r="J19">
        <f ca="1">SUM(J17:J18)</f>
        <v>330.90343131846572</v>
      </c>
      <c r="K19">
        <f t="shared" ref="K19:Q19" ca="1" si="11">SUM(K17:K18)</f>
        <v>332.22704504373951</v>
      </c>
      <c r="L19">
        <f t="shared" ca="1" si="11"/>
        <v>415.28380630467444</v>
      </c>
      <c r="M19">
        <f t="shared" ca="1" si="11"/>
        <v>422.34363101185386</v>
      </c>
      <c r="N19">
        <f t="shared" ca="1" si="11"/>
        <v>429.10112910804349</v>
      </c>
      <c r="O19">
        <f t="shared" ca="1" si="11"/>
        <v>435.96674717377221</v>
      </c>
      <c r="P19">
        <f t="shared" ca="1" si="11"/>
        <v>442.94221512855256</v>
      </c>
      <c r="Q19">
        <f t="shared" ca="1" si="11"/>
        <v>450.02929057060936</v>
      </c>
    </row>
    <row r="21" spans="2:17" x14ac:dyDescent="0.45">
      <c r="B21" t="s">
        <v>82</v>
      </c>
      <c r="C21" s="61">
        <v>249.3</v>
      </c>
      <c r="D21" s="61">
        <v>235.9</v>
      </c>
      <c r="E21" s="61">
        <v>223.79999999999998</v>
      </c>
      <c r="F21" s="61">
        <v>197.10000000000002</v>
      </c>
      <c r="H21">
        <f>-F21</f>
        <v>-197.10000000000002</v>
      </c>
      <c r="I21">
        <f t="shared" ref="I21:I29" si="12">SUM(F21:H21)</f>
        <v>0</v>
      </c>
      <c r="J21">
        <f>I21</f>
        <v>0</v>
      </c>
      <c r="K21">
        <f t="shared" ref="K21:Q21" si="13">J21</f>
        <v>0</v>
      </c>
      <c r="L21">
        <f t="shared" si="13"/>
        <v>0</v>
      </c>
      <c r="M21">
        <f t="shared" si="13"/>
        <v>0</v>
      </c>
      <c r="N21">
        <f t="shared" si="13"/>
        <v>0</v>
      </c>
      <c r="O21">
        <f t="shared" si="13"/>
        <v>0</v>
      </c>
      <c r="P21">
        <f t="shared" si="13"/>
        <v>0</v>
      </c>
      <c r="Q21">
        <f t="shared" si="13"/>
        <v>0</v>
      </c>
    </row>
    <row r="22" spans="2:17" x14ac:dyDescent="0.45">
      <c r="B22" t="str">
        <f>LBO!E36</f>
        <v>First Lien</v>
      </c>
      <c r="C22" s="61"/>
      <c r="D22" s="61"/>
      <c r="E22" s="61"/>
      <c r="F22" s="61"/>
      <c r="H22">
        <f>LBO!F36</f>
        <v>400</v>
      </c>
      <c r="I22">
        <f t="shared" si="12"/>
        <v>400</v>
      </c>
      <c r="J22">
        <f ca="1">Debt!J37</f>
        <v>348.41116702984749</v>
      </c>
      <c r="K22">
        <f ca="1">Debt!K37</f>
        <v>265.32606560175418</v>
      </c>
      <c r="L22">
        <f ca="1">Debt!L37</f>
        <v>173.55514922183954</v>
      </c>
      <c r="M22">
        <f ca="1">Debt!M37</f>
        <v>57.604850387784722</v>
      </c>
      <c r="N22">
        <f ca="1">Debt!N37</f>
        <v>0</v>
      </c>
      <c r="O22">
        <f ca="1">Debt!O37</f>
        <v>0</v>
      </c>
      <c r="P22">
        <f ca="1">Debt!P37</f>
        <v>0</v>
      </c>
      <c r="Q22">
        <f ca="1">Debt!Q37</f>
        <v>0</v>
      </c>
    </row>
    <row r="23" spans="2:17" x14ac:dyDescent="0.45">
      <c r="B23" t="str">
        <f>LBO!E37</f>
        <v>Second Lien</v>
      </c>
      <c r="C23" s="61"/>
      <c r="D23" s="61"/>
      <c r="E23" s="61"/>
      <c r="F23" s="61"/>
      <c r="H23">
        <f>LBO!F37</f>
        <v>511</v>
      </c>
      <c r="I23">
        <f t="shared" si="12"/>
        <v>511</v>
      </c>
      <c r="J23">
        <f ca="1">Debt!J46</f>
        <v>511</v>
      </c>
      <c r="K23">
        <f ca="1">Debt!K46</f>
        <v>511</v>
      </c>
      <c r="L23">
        <f ca="1">Debt!L46</f>
        <v>511</v>
      </c>
      <c r="M23">
        <f ca="1">Debt!M46</f>
        <v>511</v>
      </c>
      <c r="N23">
        <f ca="1">Debt!N46</f>
        <v>437.54927482901348</v>
      </c>
      <c r="O23">
        <f ca="1">Debt!O46</f>
        <v>291.42436828775118</v>
      </c>
      <c r="P23">
        <f ca="1">Debt!P46</f>
        <v>128.55629032302443</v>
      </c>
      <c r="Q23">
        <f ca="1">Debt!Q46</f>
        <v>0</v>
      </c>
    </row>
    <row r="24" spans="2:17" x14ac:dyDescent="0.45">
      <c r="B24" t="str">
        <f>LBO!E38</f>
        <v>Unitranche</v>
      </c>
      <c r="C24" s="61"/>
      <c r="D24" s="61"/>
      <c r="E24" s="61"/>
      <c r="F24" s="61"/>
      <c r="H24">
        <f>LBO!F38</f>
        <v>0</v>
      </c>
      <c r="I24">
        <f t="shared" si="12"/>
        <v>0</v>
      </c>
      <c r="J24">
        <f ca="1">Debt!J55</f>
        <v>0</v>
      </c>
      <c r="K24">
        <f ca="1">Debt!K55</f>
        <v>0</v>
      </c>
      <c r="L24">
        <f ca="1">Debt!L55</f>
        <v>0</v>
      </c>
      <c r="M24">
        <f ca="1">Debt!M55</f>
        <v>0</v>
      </c>
      <c r="N24">
        <f ca="1">Debt!N55</f>
        <v>0</v>
      </c>
      <c r="O24">
        <f ca="1">Debt!O55</f>
        <v>0</v>
      </c>
      <c r="P24">
        <f ca="1">Debt!P55</f>
        <v>0</v>
      </c>
      <c r="Q24">
        <f ca="1">Debt!Q55</f>
        <v>0</v>
      </c>
    </row>
    <row r="25" spans="2:17" x14ac:dyDescent="0.45">
      <c r="B25" t="s">
        <v>194</v>
      </c>
      <c r="C25" s="61"/>
      <c r="D25" s="61"/>
      <c r="E25" s="61"/>
      <c r="F25" s="61"/>
      <c r="H25">
        <f>LBO!F39</f>
        <v>0</v>
      </c>
      <c r="I25">
        <f t="shared" si="12"/>
        <v>0</v>
      </c>
      <c r="J25">
        <f>Debt!J61</f>
        <v>0</v>
      </c>
      <c r="K25">
        <f>Debt!K61</f>
        <v>0</v>
      </c>
      <c r="L25">
        <f>Debt!L61</f>
        <v>0</v>
      </c>
      <c r="M25">
        <f>Debt!M61</f>
        <v>0</v>
      </c>
      <c r="N25">
        <f>Debt!N61</f>
        <v>0</v>
      </c>
      <c r="O25">
        <f>Debt!O61</f>
        <v>0</v>
      </c>
      <c r="P25">
        <f>Debt!P61</f>
        <v>0</v>
      </c>
      <c r="Q25">
        <f>Debt!Q61</f>
        <v>0</v>
      </c>
    </row>
    <row r="26" spans="2:17" x14ac:dyDescent="0.45">
      <c r="B26" t="s">
        <v>196</v>
      </c>
      <c r="C26" s="61"/>
      <c r="D26" s="61"/>
      <c r="E26" s="61"/>
      <c r="F26" s="61"/>
      <c r="I26">
        <f t="shared" si="12"/>
        <v>0</v>
      </c>
      <c r="J26">
        <f>Debt!J69</f>
        <v>0</v>
      </c>
      <c r="K26">
        <f>Debt!K69</f>
        <v>0</v>
      </c>
      <c r="L26">
        <f>Debt!L69</f>
        <v>0</v>
      </c>
      <c r="M26">
        <f>Debt!M69</f>
        <v>0</v>
      </c>
      <c r="N26">
        <f>Debt!N69</f>
        <v>0</v>
      </c>
      <c r="O26">
        <f>Debt!O69</f>
        <v>0</v>
      </c>
      <c r="P26">
        <f>Debt!P69</f>
        <v>0</v>
      </c>
      <c r="Q26">
        <f>Debt!Q69</f>
        <v>0</v>
      </c>
    </row>
    <row r="27" spans="2:17" x14ac:dyDescent="0.45">
      <c r="B27" t="str">
        <f>LBO!E40</f>
        <v>Mezzanine</v>
      </c>
      <c r="C27" s="61"/>
      <c r="D27" s="61"/>
      <c r="E27" s="61"/>
      <c r="F27" s="61"/>
      <c r="H27">
        <f>LBO!F40</f>
        <v>300</v>
      </c>
      <c r="I27">
        <f t="shared" si="12"/>
        <v>300</v>
      </c>
      <c r="J27">
        <f>Debt!J74</f>
        <v>336</v>
      </c>
      <c r="K27">
        <f>Debt!K74</f>
        <v>376.32</v>
      </c>
      <c r="L27">
        <f>Debt!L74</f>
        <v>421.47839999999997</v>
      </c>
      <c r="M27">
        <f>Debt!M74</f>
        <v>472.05580799999996</v>
      </c>
      <c r="N27">
        <f>Debt!N74</f>
        <v>528.70250495999994</v>
      </c>
      <c r="O27">
        <f>Debt!O74</f>
        <v>592.14680555519999</v>
      </c>
      <c r="P27">
        <f>Debt!P74</f>
        <v>663.20442222182396</v>
      </c>
      <c r="Q27">
        <f>Debt!Q74</f>
        <v>742.78895288844285</v>
      </c>
    </row>
    <row r="28" spans="2:17" x14ac:dyDescent="0.45">
      <c r="B28" t="str">
        <f>LBO!E41</f>
        <v>Prefs</v>
      </c>
      <c r="C28" s="61"/>
      <c r="D28" s="61"/>
      <c r="E28" s="61"/>
      <c r="F28" s="61"/>
      <c r="H28">
        <f>LBO!F41</f>
        <v>622.18499999999858</v>
      </c>
      <c r="I28">
        <f t="shared" si="12"/>
        <v>622.18499999999858</v>
      </c>
      <c r="J28">
        <f>Debt!J79</f>
        <v>696.84719999999845</v>
      </c>
      <c r="K28">
        <f>Debt!K79</f>
        <v>780.46886399999823</v>
      </c>
      <c r="L28">
        <f>Debt!L79</f>
        <v>874.12512767999806</v>
      </c>
      <c r="M28">
        <f>Debt!M79</f>
        <v>979.02014300159783</v>
      </c>
      <c r="N28">
        <f>Debt!N79</f>
        <v>1096.5025601617895</v>
      </c>
      <c r="O28">
        <f>Debt!O79</f>
        <v>1228.0828673812041</v>
      </c>
      <c r="P28">
        <f>Debt!P79</f>
        <v>1375.4528114669486</v>
      </c>
      <c r="Q28">
        <f>Debt!Q79</f>
        <v>1540.5071488429824</v>
      </c>
    </row>
    <row r="29" spans="2:17" x14ac:dyDescent="0.45">
      <c r="B29" t="s">
        <v>83</v>
      </c>
      <c r="C29" s="61">
        <v>699.2</v>
      </c>
      <c r="D29" s="61">
        <v>644.40000000000009</v>
      </c>
      <c r="E29" s="61">
        <v>628.90000000000009</v>
      </c>
      <c r="F29" s="61">
        <v>610.09999999999991</v>
      </c>
      <c r="I29">
        <f t="shared" si="12"/>
        <v>610.09999999999991</v>
      </c>
      <c r="J29">
        <f>Input!J26</f>
        <v>610.1</v>
      </c>
      <c r="K29">
        <f>Input!K26</f>
        <v>610.1</v>
      </c>
      <c r="L29">
        <f>Input!L26</f>
        <v>610.1</v>
      </c>
      <c r="M29">
        <f>Input!M26</f>
        <v>610.1</v>
      </c>
      <c r="N29">
        <f>Input!N26</f>
        <v>610.1</v>
      </c>
      <c r="O29">
        <f>Input!O26</f>
        <v>610.1</v>
      </c>
      <c r="P29">
        <f>Input!P26</f>
        <v>610.1</v>
      </c>
      <c r="Q29">
        <f>Input!Q26</f>
        <v>610.1</v>
      </c>
    </row>
    <row r="30" spans="2:17" x14ac:dyDescent="0.45">
      <c r="B30" t="s">
        <v>65</v>
      </c>
      <c r="C30">
        <f>SUM(C19,C21:C29)</f>
        <v>1430.2</v>
      </c>
      <c r="D30">
        <f>SUM(D19,D21:D29)</f>
        <v>1388.4</v>
      </c>
      <c r="E30">
        <f>SUM(E19,E21:E29)</f>
        <v>1381</v>
      </c>
      <c r="F30">
        <f>SUM(F19,F21:F29)</f>
        <v>1289.3</v>
      </c>
      <c r="I30">
        <f>SUM(I19,I21:I29)</f>
        <v>2769.9849999999983</v>
      </c>
      <c r="J30">
        <f ca="1">SUM(J19,J21:J29)</f>
        <v>2833.2617983483115</v>
      </c>
      <c r="K30">
        <f t="shared" ref="K30:Q30" ca="1" si="14">SUM(K19,K21:K29)</f>
        <v>2875.4419746454919</v>
      </c>
      <c r="L30">
        <f t="shared" ca="1" si="14"/>
        <v>3005.5424832065119</v>
      </c>
      <c r="M30">
        <f t="shared" ca="1" si="14"/>
        <v>3052.1244324012364</v>
      </c>
      <c r="N30">
        <f t="shared" ca="1" si="14"/>
        <v>3101.9554690588461</v>
      </c>
      <c r="O30">
        <f t="shared" ca="1" si="14"/>
        <v>3157.7207883979277</v>
      </c>
      <c r="P30">
        <f t="shared" ca="1" si="14"/>
        <v>3220.2557391403493</v>
      </c>
      <c r="Q30">
        <f t="shared" ca="1" si="14"/>
        <v>3343.4253923020347</v>
      </c>
    </row>
    <row r="32" spans="2:17" x14ac:dyDescent="0.45">
      <c r="B32" t="s">
        <v>41</v>
      </c>
      <c r="C32" s="61">
        <v>661</v>
      </c>
      <c r="D32" s="61">
        <v>744.4</v>
      </c>
      <c r="E32" s="61">
        <v>767.4</v>
      </c>
      <c r="F32" s="61">
        <v>853.3</v>
      </c>
      <c r="G32">
        <f>-F32</f>
        <v>-853.3</v>
      </c>
      <c r="H32">
        <f>-LBO!D37+LBO!F42</f>
        <v>-43.684999999999953</v>
      </c>
      <c r="I32">
        <f>SUM(F32:H32)</f>
        <v>-43.684999999999953</v>
      </c>
      <c r="J32">
        <f ca="1">Calc!J17</f>
        <v>-77.749397248280388</v>
      </c>
      <c r="K32">
        <f ca="1">Calc!K17</f>
        <v>-101.75577863964057</v>
      </c>
      <c r="L32">
        <f ca="1">Calc!L17</f>
        <v>-99.301239626818472</v>
      </c>
      <c r="M32">
        <f ca="1">Calc!M17</f>
        <v>-104.59235550407422</v>
      </c>
      <c r="N32">
        <f ca="1">Calc!N17</f>
        <v>-117.55952086766261</v>
      </c>
      <c r="O32">
        <f ca="1">Calc!O17</f>
        <v>-137.22253871028823</v>
      </c>
      <c r="P32">
        <f ca="1">Calc!P17</f>
        <v>-163.72160796225643</v>
      </c>
      <c r="Q32">
        <f ca="1">Calc!Q17</f>
        <v>-200.31514073140616</v>
      </c>
    </row>
    <row r="33" spans="2:17" x14ac:dyDescent="0.45">
      <c r="B33" t="s">
        <v>66</v>
      </c>
      <c r="C33">
        <f>SUM(C30,C32)</f>
        <v>2091.1999999999998</v>
      </c>
      <c r="D33">
        <f t="shared" ref="D33:F33" si="15">SUM(D30,D32)</f>
        <v>2132.8000000000002</v>
      </c>
      <c r="E33">
        <f t="shared" si="15"/>
        <v>2148.4</v>
      </c>
      <c r="F33">
        <f t="shared" si="15"/>
        <v>2142.6</v>
      </c>
      <c r="I33">
        <f t="shared" ref="I33:J33" si="16">SUM(I30,I32)</f>
        <v>2726.2999999999984</v>
      </c>
      <c r="J33">
        <f t="shared" ca="1" si="16"/>
        <v>2755.5124011000312</v>
      </c>
      <c r="K33">
        <f t="shared" ref="K33:Q33" ca="1" si="17">SUM(K30,K32)</f>
        <v>2773.6861960058513</v>
      </c>
      <c r="L33">
        <f t="shared" ca="1" si="17"/>
        <v>2906.2412435796932</v>
      </c>
      <c r="M33">
        <f t="shared" ca="1" si="17"/>
        <v>2947.5320768971624</v>
      </c>
      <c r="N33">
        <f t="shared" ca="1" si="17"/>
        <v>2984.3959481911834</v>
      </c>
      <c r="O33">
        <f t="shared" ca="1" si="17"/>
        <v>3020.4982496876396</v>
      </c>
      <c r="P33">
        <f t="shared" ca="1" si="17"/>
        <v>3056.534131178093</v>
      </c>
      <c r="Q33">
        <f t="shared" ca="1" si="17"/>
        <v>3143.1102515706284</v>
      </c>
    </row>
    <row r="35" spans="2:17" x14ac:dyDescent="0.45">
      <c r="B35" t="s">
        <v>67</v>
      </c>
      <c r="C35" s="66" t="str">
        <f>IF(C33=C15,"OK",C15-C33)</f>
        <v>OK</v>
      </c>
      <c r="D35" s="66" t="str">
        <f>IF(D33=D15,"OK",D15-D33)</f>
        <v>OK</v>
      </c>
      <c r="E35" s="66" t="str">
        <f>IF(E33=E15,"OK",E15-E33)</f>
        <v>OK</v>
      </c>
      <c r="F35" s="66" t="str">
        <f>IF(F33=F15,"OK",F15-F33)</f>
        <v>OK</v>
      </c>
      <c r="I35" s="66" t="str">
        <f t="shared" ref="I35:Q35" si="18">IF(I33=I15,"OK",I15-I33)</f>
        <v>OK</v>
      </c>
      <c r="J35" s="66" t="str">
        <f t="shared" ca="1" si="18"/>
        <v>OK</v>
      </c>
      <c r="K35" s="66" t="str">
        <f t="shared" ca="1" si="18"/>
        <v>OK</v>
      </c>
      <c r="L35" s="66" t="str">
        <f t="shared" ca="1" si="18"/>
        <v>OK</v>
      </c>
      <c r="M35" s="66" t="str">
        <f t="shared" ca="1" si="18"/>
        <v>OK</v>
      </c>
      <c r="N35" s="66" t="str">
        <f t="shared" ca="1" si="18"/>
        <v>OK</v>
      </c>
      <c r="O35" s="66" t="str">
        <f t="shared" ca="1" si="18"/>
        <v>OK</v>
      </c>
      <c r="P35" s="66" t="str">
        <f t="shared" ca="1" si="18"/>
        <v>OK</v>
      </c>
      <c r="Q35" s="66" t="str">
        <f t="shared" ca="1" si="18"/>
        <v>OK</v>
      </c>
    </row>
    <row r="40" spans="2:17" x14ac:dyDescent="0.45">
      <c r="G40" s="66"/>
      <c r="H40" s="66"/>
      <c r="I40" s="6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33.1328125" bestFit="1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148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tr">
        <f>IS!B14</f>
        <v xml:space="preserve"> EBITDA</v>
      </c>
      <c r="J5">
        <f>IS!J14</f>
        <v>231.25167169999989</v>
      </c>
      <c r="K5">
        <f>IS!K14</f>
        <v>256.20190433140016</v>
      </c>
      <c r="L5">
        <f>IS!L14</f>
        <v>302.33184888313679</v>
      </c>
      <c r="M5">
        <f>IS!M14</f>
        <v>308.96993731837881</v>
      </c>
      <c r="N5">
        <f>IS!N14</f>
        <v>315.32630519126485</v>
      </c>
      <c r="O5">
        <f>IS!O14</f>
        <v>321.63037442265568</v>
      </c>
      <c r="P5">
        <f>IS!P14</f>
        <v>327.89809429178069</v>
      </c>
      <c r="Q5">
        <f>IS!Q14</f>
        <v>334.14383958607038</v>
      </c>
    </row>
    <row r="6" spans="1:17" x14ac:dyDescent="0.45">
      <c r="B6" t="s">
        <v>152</v>
      </c>
      <c r="J6">
        <f ca="1">IF(Switch2=1,Debt!J82,0)</f>
        <v>-70.896718260350653</v>
      </c>
      <c r="K6">
        <f ca="1">IF(Switch2=1,Debt!K82,0)</f>
        <v>-67.058511130000653</v>
      </c>
      <c r="L6">
        <f ca="1">IF(Switch2=1,Debt!L82,0)</f>
        <v>-62.07511462247242</v>
      </c>
      <c r="M6">
        <f ca="1">IF(Switch2=1,Debt!M82,0)</f>
        <v>-56.155059988874292</v>
      </c>
      <c r="N6">
        <f ca="1">IF(Switch2=1,Debt!N82,0)</f>
        <v>-47.646378065259022</v>
      </c>
      <c r="O6">
        <f ca="1">IF(Switch2=1,Debt!O82,0)</f>
        <v>-35.355221691163088</v>
      </c>
      <c r="P6">
        <f ca="1">IF(Switch2=1,Debt!P82,0)</f>
        <v>-20.369061942622618</v>
      </c>
      <c r="Q6">
        <f ca="1">IF(Switch2=1,Debt!Q82,0)</f>
        <v>-6.2349800806666851</v>
      </c>
    </row>
    <row r="7" spans="1:17" x14ac:dyDescent="0.45">
      <c r="B7" t="s">
        <v>153</v>
      </c>
      <c r="J7">
        <f ca="1">IS!J19</f>
        <v>-10.14945068792985</v>
      </c>
      <c r="K7">
        <f ca="1">IS!K19</f>
        <v>-14.903820652159908</v>
      </c>
      <c r="L7">
        <f ca="1">IS!L19</f>
        <v>-24.027700673205473</v>
      </c>
      <c r="M7">
        <f ca="1">IS!M19</f>
        <v>-24.900974861086002</v>
      </c>
      <c r="N7">
        <f ca="1">IS!N19</f>
        <v>-26.128812949150838</v>
      </c>
      <c r="O7">
        <f ca="1">IS!O19</f>
        <v>-27.979322344197278</v>
      </c>
      <c r="P7">
        <f ca="1">IS!P19</f>
        <v>-30.217718708444082</v>
      </c>
      <c r="Q7">
        <f ca="1">IS!Q19</f>
        <v>-32.115201151721031</v>
      </c>
    </row>
    <row r="8" spans="1:17" x14ac:dyDescent="0.45">
      <c r="B8" t="s">
        <v>68</v>
      </c>
      <c r="J8">
        <f>BS!I13-BS!J13</f>
        <v>0</v>
      </c>
      <c r="K8">
        <f>BS!J13-BS!K13</f>
        <v>0</v>
      </c>
      <c r="L8">
        <f>BS!K13-BS!L13</f>
        <v>0</v>
      </c>
      <c r="M8">
        <f>BS!L13-BS!M13</f>
        <v>0</v>
      </c>
      <c r="N8">
        <f>BS!M13-BS!N13</f>
        <v>0</v>
      </c>
      <c r="O8">
        <f>BS!N13-BS!O13</f>
        <v>0</v>
      </c>
      <c r="P8">
        <f>BS!O13-BS!P13</f>
        <v>0</v>
      </c>
      <c r="Q8">
        <f>BS!P13-BS!Q13</f>
        <v>0</v>
      </c>
    </row>
    <row r="9" spans="1:17" x14ac:dyDescent="0.45">
      <c r="B9" t="s">
        <v>69</v>
      </c>
      <c r="J9">
        <f>BS!J29-BS!I29</f>
        <v>0</v>
      </c>
      <c r="K9">
        <f>BS!K29-BS!J29</f>
        <v>0</v>
      </c>
      <c r="L9">
        <f>BS!L29-BS!K29</f>
        <v>0</v>
      </c>
      <c r="M9">
        <f>BS!M29-BS!L29</f>
        <v>0</v>
      </c>
      <c r="N9">
        <f>BS!N29-BS!M29</f>
        <v>0</v>
      </c>
      <c r="O9">
        <f>BS!O29-BS!N29</f>
        <v>0</v>
      </c>
      <c r="P9">
        <f>BS!P29-BS!O29</f>
        <v>0</v>
      </c>
      <c r="Q9">
        <f>BS!Q29-BS!P29</f>
        <v>0</v>
      </c>
    </row>
    <row r="10" spans="1:17" x14ac:dyDescent="0.45">
      <c r="B10" t="s">
        <v>70</v>
      </c>
      <c r="J10">
        <f>Calc!I24-Calc!J24</f>
        <v>-1.4219587248493895</v>
      </c>
      <c r="K10">
        <f>Calc!J24-Calc!K24</f>
        <v>-0.33728783489931402</v>
      </c>
      <c r="L10">
        <f>Calc!K24-Calc!L24</f>
        <v>-21.164811639937227</v>
      </c>
      <c r="M10">
        <f>Calc!L24-Calc!M24</f>
        <v>-1.7990089893946219</v>
      </c>
      <c r="N10">
        <f>Calc!M24-Calc!N24</f>
        <v>-1.7219690750252425</v>
      </c>
      <c r="O10">
        <f>Calc!N24-Calc!O24</f>
        <v>-1.7495205802258056</v>
      </c>
      <c r="P10">
        <f>Calc!O24-Calc!P24</f>
        <v>-1.7775129095092552</v>
      </c>
      <c r="Q10">
        <f>Calc!P24-Calc!Q24</f>
        <v>-1.8059531160614029</v>
      </c>
    </row>
    <row r="11" spans="1:17" x14ac:dyDescent="0.45">
      <c r="B11" t="s">
        <v>71</v>
      </c>
      <c r="J11">
        <f ca="1">SUM(J5:J10)</f>
        <v>148.78354402687</v>
      </c>
      <c r="K11">
        <f t="shared" ref="K11:Q11" ca="1" si="1">SUM(K5:K10)</f>
        <v>173.90228471434028</v>
      </c>
      <c r="L11">
        <f t="shared" ca="1" si="1"/>
        <v>195.06422194752167</v>
      </c>
      <c r="M11">
        <f t="shared" ca="1" si="1"/>
        <v>226.11489347902389</v>
      </c>
      <c r="N11">
        <f t="shared" ca="1" si="1"/>
        <v>239.82914510182977</v>
      </c>
      <c r="O11">
        <f t="shared" ca="1" si="1"/>
        <v>256.54630980706952</v>
      </c>
      <c r="P11">
        <f t="shared" ca="1" si="1"/>
        <v>275.53380073120474</v>
      </c>
      <c r="Q11">
        <f t="shared" ca="1" si="1"/>
        <v>293.9877052376213</v>
      </c>
    </row>
    <row r="13" spans="1:17" x14ac:dyDescent="0.45">
      <c r="B13" t="s">
        <v>72</v>
      </c>
      <c r="J13">
        <f>-Calc!J7</f>
        <v>-79.998433399999996</v>
      </c>
      <c r="K13">
        <f>-Calc!K7</f>
        <v>-80.318427133599997</v>
      </c>
      <c r="L13">
        <f>-Calc!L7</f>
        <v>-100.39803391699998</v>
      </c>
      <c r="M13">
        <f>-Calc!M7</f>
        <v>-102.10480049358897</v>
      </c>
      <c r="N13">
        <f>-Calc!N7</f>
        <v>-103.7384773014864</v>
      </c>
      <c r="O13">
        <f>-Calc!O7</f>
        <v>-105.39829293831018</v>
      </c>
      <c r="P13">
        <f>-Calc!P7</f>
        <v>-107.08466562532315</v>
      </c>
      <c r="Q13">
        <f>-Calc!Q7</f>
        <v>-108.79802027532831</v>
      </c>
    </row>
    <row r="14" spans="1:17" x14ac:dyDescent="0.45">
      <c r="B14" t="s">
        <v>73</v>
      </c>
      <c r="J14">
        <f>J13</f>
        <v>-79.998433399999996</v>
      </c>
      <c r="K14">
        <f t="shared" ref="K14:Q14" si="2">K13</f>
        <v>-80.318427133599997</v>
      </c>
      <c r="L14">
        <f t="shared" si="2"/>
        <v>-100.39803391699998</v>
      </c>
      <c r="M14">
        <f t="shared" si="2"/>
        <v>-102.10480049358897</v>
      </c>
      <c r="N14">
        <f t="shared" si="2"/>
        <v>-103.7384773014864</v>
      </c>
      <c r="O14">
        <f t="shared" si="2"/>
        <v>-105.39829293831018</v>
      </c>
      <c r="P14">
        <f t="shared" si="2"/>
        <v>-107.08466562532315</v>
      </c>
      <c r="Q14">
        <f t="shared" si="2"/>
        <v>-108.79802027532831</v>
      </c>
    </row>
    <row r="16" spans="1:17" x14ac:dyDescent="0.45">
      <c r="B16" t="s">
        <v>74</v>
      </c>
      <c r="J16">
        <f ca="1">BS!J17-BS!I17</f>
        <v>0</v>
      </c>
      <c r="K16">
        <f ca="1">BS!K17-BS!J17</f>
        <v>0</v>
      </c>
      <c r="L16">
        <f ca="1">BS!L17-BS!K17</f>
        <v>0</v>
      </c>
      <c r="M16">
        <f ca="1">BS!M17-BS!L17</f>
        <v>0</v>
      </c>
      <c r="N16">
        <f ca="1">BS!N17-BS!M17</f>
        <v>0</v>
      </c>
      <c r="O16">
        <f ca="1">BS!O17-BS!N17</f>
        <v>0</v>
      </c>
      <c r="P16">
        <f ca="1">BS!P17-BS!O17</f>
        <v>0</v>
      </c>
      <c r="Q16">
        <f ca="1">BS!Q17-BS!P17</f>
        <v>0</v>
      </c>
    </row>
    <row r="17" spans="2:17" x14ac:dyDescent="0.45">
      <c r="B17" t="s">
        <v>90</v>
      </c>
      <c r="J17">
        <f>BS!J21-BS!I21</f>
        <v>0</v>
      </c>
      <c r="K17">
        <f>BS!K21-BS!J21</f>
        <v>0</v>
      </c>
      <c r="L17">
        <f>BS!L21-BS!K21</f>
        <v>0</v>
      </c>
      <c r="M17">
        <f>BS!M21-BS!L21</f>
        <v>0</v>
      </c>
      <c r="N17">
        <f>BS!N21-BS!M21</f>
        <v>0</v>
      </c>
      <c r="O17">
        <f>BS!O21-BS!N21</f>
        <v>0</v>
      </c>
      <c r="P17">
        <f>BS!P21-BS!O21</f>
        <v>0</v>
      </c>
      <c r="Q17">
        <f>BS!Q21-BS!P21</f>
        <v>0</v>
      </c>
    </row>
    <row r="18" spans="2:17" x14ac:dyDescent="0.45">
      <c r="B18" t="str">
        <f>"Inc (dec) in "&amp;BS!B22</f>
        <v>Inc (dec) in First Lien</v>
      </c>
      <c r="J18">
        <f ca="1">BS!J22-BS!I22</f>
        <v>-51.588832970152509</v>
      </c>
      <c r="K18">
        <f ca="1">BS!K22-BS!J22</f>
        <v>-83.08510142809331</v>
      </c>
      <c r="L18">
        <f ca="1">BS!L22-BS!K22</f>
        <v>-91.770916379914638</v>
      </c>
      <c r="M18">
        <f ca="1">BS!M22-BS!L22</f>
        <v>-115.95029883405482</v>
      </c>
      <c r="N18">
        <f ca="1">BS!N22-BS!M22</f>
        <v>-57.604850387784722</v>
      </c>
      <c r="O18">
        <f ca="1">BS!O22-BS!N22</f>
        <v>0</v>
      </c>
      <c r="P18">
        <f ca="1">BS!P22-BS!O22</f>
        <v>0</v>
      </c>
      <c r="Q18">
        <f ca="1">BS!Q22-BS!P22</f>
        <v>0</v>
      </c>
    </row>
    <row r="19" spans="2:17" x14ac:dyDescent="0.45">
      <c r="B19" t="str">
        <f>"Inc (dec) in "&amp;BS!B23</f>
        <v>Inc (dec) in Second Lien</v>
      </c>
      <c r="J19">
        <f ca="1">BS!J23-BS!I23</f>
        <v>0</v>
      </c>
      <c r="K19">
        <f ca="1">BS!K23-BS!J23</f>
        <v>0</v>
      </c>
      <c r="L19">
        <f ca="1">BS!L23-BS!K23</f>
        <v>0</v>
      </c>
      <c r="M19">
        <f ca="1">BS!M23-BS!L23</f>
        <v>0</v>
      </c>
      <c r="N19">
        <f ca="1">BS!N23-BS!M23</f>
        <v>-73.450725170986516</v>
      </c>
      <c r="O19">
        <f ca="1">BS!O23-BS!N23</f>
        <v>-146.12490654126231</v>
      </c>
      <c r="P19">
        <f ca="1">BS!P23-BS!O23</f>
        <v>-162.86807796472675</v>
      </c>
      <c r="Q19">
        <f ca="1">BS!Q23-BS!P23</f>
        <v>-128.55629032302443</v>
      </c>
    </row>
    <row r="20" spans="2:17" x14ac:dyDescent="0.45">
      <c r="B20" t="str">
        <f>"Inc (dec) in "&amp;BS!B24</f>
        <v>Inc (dec) in Unitranche</v>
      </c>
      <c r="J20">
        <f ca="1">BS!J24-BS!I24</f>
        <v>0</v>
      </c>
      <c r="K20">
        <f ca="1">BS!K24-BS!J24</f>
        <v>0</v>
      </c>
      <c r="L20">
        <f ca="1">BS!L24-BS!K24</f>
        <v>0</v>
      </c>
      <c r="M20">
        <f ca="1">BS!M24-BS!L24</f>
        <v>0</v>
      </c>
      <c r="N20">
        <f ca="1">BS!N24-BS!M24</f>
        <v>0</v>
      </c>
      <c r="O20">
        <f ca="1">BS!O24-BS!N24</f>
        <v>0</v>
      </c>
      <c r="P20">
        <f ca="1">BS!P24-BS!O24</f>
        <v>0</v>
      </c>
      <c r="Q20">
        <f ca="1">BS!Q24-BS!P24</f>
        <v>0</v>
      </c>
    </row>
    <row r="21" spans="2:17" x14ac:dyDescent="0.45">
      <c r="B21" t="str">
        <f>"Inc (dec) in "&amp;BS!B25</f>
        <v>Inc (dec) in Bridge loan</v>
      </c>
      <c r="J21">
        <f>BS!J25-BS!I25</f>
        <v>0</v>
      </c>
      <c r="K21">
        <f>BS!K25-BS!J25</f>
        <v>0</v>
      </c>
      <c r="L21">
        <f>BS!L25-BS!K25</f>
        <v>0</v>
      </c>
      <c r="M21">
        <f>BS!M25-BS!L25</f>
        <v>0</v>
      </c>
      <c r="N21">
        <f>BS!N25-BS!M25</f>
        <v>0</v>
      </c>
      <c r="O21">
        <f>BS!O25-BS!N25</f>
        <v>0</v>
      </c>
      <c r="P21">
        <f>BS!P25-BS!O25</f>
        <v>0</v>
      </c>
      <c r="Q21">
        <f>BS!Q25-BS!P25</f>
        <v>0</v>
      </c>
    </row>
    <row r="22" spans="2:17" x14ac:dyDescent="0.45">
      <c r="B22" t="str">
        <f>"Inc (dec) in "&amp;BS!B26</f>
        <v>Inc (dec) in Lease liability</v>
      </c>
      <c r="J22">
        <f>BS!J26-BS!I26</f>
        <v>0</v>
      </c>
      <c r="K22">
        <f>BS!K26-BS!J26</f>
        <v>0</v>
      </c>
      <c r="L22">
        <f>BS!L26-BS!K26</f>
        <v>0</v>
      </c>
      <c r="M22">
        <f>BS!M26-BS!L26</f>
        <v>0</v>
      </c>
      <c r="N22">
        <f>BS!N26-BS!M26</f>
        <v>0</v>
      </c>
      <c r="O22">
        <f>BS!O26-BS!N26</f>
        <v>0</v>
      </c>
      <c r="P22">
        <f>BS!P26-BS!O26</f>
        <v>0</v>
      </c>
      <c r="Q22">
        <f>BS!Q26-BS!P26</f>
        <v>0</v>
      </c>
    </row>
    <row r="23" spans="2:17" x14ac:dyDescent="0.45">
      <c r="B23" t="s">
        <v>212</v>
      </c>
      <c r="J23">
        <f>Calc!J16</f>
        <v>0</v>
      </c>
      <c r="K23">
        <f>Calc!K16</f>
        <v>0</v>
      </c>
      <c r="L23">
        <f>Calc!L16</f>
        <v>0</v>
      </c>
      <c r="M23">
        <f>Calc!M16</f>
        <v>0</v>
      </c>
      <c r="N23">
        <f>Calc!N16</f>
        <v>0</v>
      </c>
      <c r="O23">
        <f>Calc!O16</f>
        <v>0</v>
      </c>
      <c r="P23">
        <f>Calc!P16</f>
        <v>0</v>
      </c>
      <c r="Q23">
        <f>Calc!Q16</f>
        <v>0</v>
      </c>
    </row>
    <row r="24" spans="2:17" x14ac:dyDescent="0.45">
      <c r="B24" t="s">
        <v>75</v>
      </c>
      <c r="J24">
        <f ca="1">SUM(J16:J23)</f>
        <v>-51.588832970152509</v>
      </c>
      <c r="K24">
        <f t="shared" ref="K24:Q24" ca="1" si="3">SUM(K16:K22)</f>
        <v>-83.08510142809331</v>
      </c>
      <c r="L24">
        <f t="shared" ca="1" si="3"/>
        <v>-91.770916379914638</v>
      </c>
      <c r="M24">
        <f t="shared" ca="1" si="3"/>
        <v>-115.95029883405482</v>
      </c>
      <c r="N24">
        <f t="shared" ca="1" si="3"/>
        <v>-131.05557555877124</v>
      </c>
      <c r="O24">
        <f t="shared" ca="1" si="3"/>
        <v>-146.12490654126231</v>
      </c>
      <c r="P24">
        <f t="shared" ca="1" si="3"/>
        <v>-162.86807796472675</v>
      </c>
      <c r="Q24">
        <f t="shared" ca="1" si="3"/>
        <v>-128.55629032302443</v>
      </c>
    </row>
    <row r="26" spans="2:17" x14ac:dyDescent="0.45">
      <c r="B26" t="s">
        <v>45</v>
      </c>
      <c r="J26">
        <f>I28</f>
        <v>0</v>
      </c>
      <c r="K26">
        <f t="shared" ref="K26:Q26" ca="1" si="4">J28</f>
        <v>17.196277656717498</v>
      </c>
      <c r="L26">
        <f t="shared" ca="1" si="4"/>
        <v>27.695033809364475</v>
      </c>
      <c r="M26">
        <f t="shared" ca="1" si="4"/>
        <v>30.590305459971532</v>
      </c>
      <c r="N26">
        <f t="shared" ca="1" si="4"/>
        <v>38.650099611351635</v>
      </c>
      <c r="O26">
        <f t="shared" ca="1" si="4"/>
        <v>43.685191852923765</v>
      </c>
      <c r="P26">
        <f t="shared" ca="1" si="4"/>
        <v>48.708302180420787</v>
      </c>
      <c r="Q26">
        <f t="shared" ca="1" si="4"/>
        <v>54.289359321575603</v>
      </c>
    </row>
    <row r="27" spans="2:17" x14ac:dyDescent="0.45">
      <c r="B27" t="s">
        <v>76</v>
      </c>
      <c r="J27">
        <f t="shared" ref="J27:Q27" ca="1" si="5">J11+J14+J24</f>
        <v>17.196277656717498</v>
      </c>
      <c r="K27">
        <f t="shared" ca="1" si="5"/>
        <v>10.498756152646976</v>
      </c>
      <c r="L27">
        <f t="shared" ca="1" si="5"/>
        <v>2.8952716506070573</v>
      </c>
      <c r="M27">
        <f t="shared" ca="1" si="5"/>
        <v>8.0597941513801032</v>
      </c>
      <c r="N27">
        <f t="shared" ca="1" si="5"/>
        <v>5.03509224157213</v>
      </c>
      <c r="O27">
        <f t="shared" ca="1" si="5"/>
        <v>5.0231103274970224</v>
      </c>
      <c r="P27">
        <f t="shared" ca="1" si="5"/>
        <v>5.5810571411548153</v>
      </c>
      <c r="Q27">
        <f t="shared" ca="1" si="5"/>
        <v>56.633394639268545</v>
      </c>
    </row>
    <row r="28" spans="2:17" x14ac:dyDescent="0.45">
      <c r="B28" t="s">
        <v>77</v>
      </c>
      <c r="I28">
        <f>BS!I5</f>
        <v>0</v>
      </c>
      <c r="J28">
        <f ca="1">SUM(J26:J27)</f>
        <v>17.196277656717498</v>
      </c>
      <c r="K28">
        <f t="shared" ref="K28:Q28" ca="1" si="6">SUM(K26:K27)</f>
        <v>27.695033809364475</v>
      </c>
      <c r="L28">
        <f t="shared" ca="1" si="6"/>
        <v>30.590305459971532</v>
      </c>
      <c r="M28">
        <f t="shared" ca="1" si="6"/>
        <v>38.650099611351635</v>
      </c>
      <c r="N28">
        <f t="shared" ca="1" si="6"/>
        <v>43.685191852923765</v>
      </c>
      <c r="O28">
        <f t="shared" ca="1" si="6"/>
        <v>48.708302180420787</v>
      </c>
      <c r="P28">
        <f t="shared" ca="1" si="6"/>
        <v>54.289359321575603</v>
      </c>
      <c r="Q28">
        <f t="shared" ca="1" si="6"/>
        <v>110.92275396084415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93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36.3984375" bestFit="1" customWidth="1"/>
    <col min="3" max="14" width="10.59765625" customWidth="1"/>
  </cols>
  <sheetData>
    <row r="1" spans="1:17" ht="28.5" x14ac:dyDescent="0.85">
      <c r="A1" s="5" t="str">
        <f>"Debenhams LBO - "&amp;TEXT(case,0)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82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151</v>
      </c>
    </row>
    <row r="6" spans="1:17" x14ac:dyDescent="0.45">
      <c r="B6" t="str">
        <f>BS!B22</f>
        <v>First Lien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</row>
    <row r="7" spans="1:17" x14ac:dyDescent="0.45">
      <c r="B7" t="str">
        <f>BS!B23</f>
        <v>Second Lien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1</v>
      </c>
    </row>
    <row r="8" spans="1:17" x14ac:dyDescent="0.45">
      <c r="B8" t="str">
        <f>BS!B24</f>
        <v>Unitranche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</row>
    <row r="10" spans="1:17" x14ac:dyDescent="0.45">
      <c r="A10" s="62" t="s">
        <v>137</v>
      </c>
    </row>
    <row r="11" spans="1:17" x14ac:dyDescent="0.45">
      <c r="B11" t="s">
        <v>124</v>
      </c>
      <c r="J11">
        <f>BS!I5</f>
        <v>0</v>
      </c>
      <c r="K11">
        <f ca="1">BS!J5</f>
        <v>17.196277656717498</v>
      </c>
      <c r="L11">
        <f ca="1">BS!K5</f>
        <v>27.695033809364475</v>
      </c>
      <c r="M11">
        <f ca="1">BS!L5</f>
        <v>30.590305459971532</v>
      </c>
      <c r="N11">
        <f ca="1">BS!M5</f>
        <v>38.650099611351635</v>
      </c>
      <c r="O11">
        <f ca="1">BS!N5</f>
        <v>43.685191852923765</v>
      </c>
      <c r="P11">
        <f ca="1">BS!O5</f>
        <v>48.708302180420787</v>
      </c>
      <c r="Q11">
        <f ca="1">BS!P5</f>
        <v>54.289359321575603</v>
      </c>
    </row>
    <row r="12" spans="1:17" x14ac:dyDescent="0.45">
      <c r="B12" t="s">
        <v>125</v>
      </c>
      <c r="J12">
        <f ca="1">CFS!J11</f>
        <v>148.78354402687</v>
      </c>
      <c r="K12">
        <f ca="1">CFS!K11</f>
        <v>173.90228471434028</v>
      </c>
      <c r="L12">
        <f ca="1">CFS!L11</f>
        <v>195.06422194752167</v>
      </c>
      <c r="M12">
        <f ca="1">CFS!M11</f>
        <v>226.11489347902389</v>
      </c>
      <c r="N12">
        <f ca="1">CFS!N11</f>
        <v>239.82914510182977</v>
      </c>
      <c r="O12">
        <f ca="1">CFS!O11</f>
        <v>256.54630980706952</v>
      </c>
      <c r="P12">
        <f ca="1">CFS!P11</f>
        <v>275.53380073120474</v>
      </c>
      <c r="Q12">
        <f ca="1">CFS!Q11</f>
        <v>293.9877052376213</v>
      </c>
    </row>
    <row r="13" spans="1:17" x14ac:dyDescent="0.45">
      <c r="B13" t="s">
        <v>126</v>
      </c>
      <c r="J13">
        <f>CFS!J14</f>
        <v>-79.998433399999996</v>
      </c>
      <c r="K13">
        <f>CFS!K14</f>
        <v>-80.318427133599997</v>
      </c>
      <c r="L13">
        <f>CFS!L14</f>
        <v>-100.39803391699998</v>
      </c>
      <c r="M13">
        <f>CFS!M14</f>
        <v>-102.10480049358897</v>
      </c>
      <c r="N13">
        <f>CFS!N14</f>
        <v>-103.7384773014864</v>
      </c>
      <c r="O13">
        <f>CFS!O14</f>
        <v>-105.39829293831018</v>
      </c>
      <c r="P13">
        <f>CFS!P14</f>
        <v>-107.08466562532315</v>
      </c>
      <c r="Q13">
        <f>CFS!Q14</f>
        <v>-108.79802027532831</v>
      </c>
    </row>
    <row r="14" spans="1:17" x14ac:dyDescent="0.45">
      <c r="B14" t="s">
        <v>209</v>
      </c>
      <c r="J14">
        <f>J60</f>
        <v>0</v>
      </c>
      <c r="K14">
        <f t="shared" ref="K14:Q14" si="1">K60</f>
        <v>0</v>
      </c>
      <c r="L14">
        <f t="shared" si="1"/>
        <v>0</v>
      </c>
      <c r="M14">
        <f t="shared" si="1"/>
        <v>0</v>
      </c>
      <c r="N14">
        <f t="shared" si="1"/>
        <v>0</v>
      </c>
      <c r="O14">
        <f t="shared" si="1"/>
        <v>0</v>
      </c>
      <c r="P14">
        <f t="shared" si="1"/>
        <v>0</v>
      </c>
      <c r="Q14">
        <f t="shared" si="1"/>
        <v>0</v>
      </c>
    </row>
    <row r="15" spans="1:17" x14ac:dyDescent="0.45">
      <c r="B15" t="s">
        <v>210</v>
      </c>
      <c r="J15">
        <f>SUM(J66:J68)</f>
        <v>0</v>
      </c>
      <c r="K15">
        <f t="shared" ref="K15:Q15" si="2">SUM(K66:K68)</f>
        <v>0</v>
      </c>
      <c r="L15">
        <f t="shared" si="2"/>
        <v>0</v>
      </c>
      <c r="M15">
        <f t="shared" si="2"/>
        <v>0</v>
      </c>
      <c r="N15">
        <f t="shared" si="2"/>
        <v>0</v>
      </c>
      <c r="O15">
        <f t="shared" si="2"/>
        <v>0</v>
      </c>
      <c r="P15">
        <f t="shared" si="2"/>
        <v>0</v>
      </c>
      <c r="Q15">
        <f t="shared" si="2"/>
        <v>0</v>
      </c>
    </row>
    <row r="16" spans="1:17" x14ac:dyDescent="0.45">
      <c r="B16" t="s">
        <v>212</v>
      </c>
      <c r="J16">
        <f>-(J66+J60)</f>
        <v>0</v>
      </c>
      <c r="K16">
        <f t="shared" ref="K16:Q16" si="3">-(K66+K60)</f>
        <v>0</v>
      </c>
      <c r="L16">
        <f t="shared" si="3"/>
        <v>0</v>
      </c>
      <c r="M16">
        <f t="shared" si="3"/>
        <v>0</v>
      </c>
      <c r="N16">
        <f t="shared" si="3"/>
        <v>0</v>
      </c>
      <c r="O16">
        <f t="shared" si="3"/>
        <v>0</v>
      </c>
      <c r="P16">
        <f t="shared" si="3"/>
        <v>0</v>
      </c>
      <c r="Q16">
        <f t="shared" si="3"/>
        <v>0</v>
      </c>
    </row>
    <row r="17" spans="2:17" x14ac:dyDescent="0.45">
      <c r="B17" t="s">
        <v>128</v>
      </c>
      <c r="J17">
        <f ca="1">SUM(J11:J16)</f>
        <v>68.785110626870008</v>
      </c>
      <c r="K17">
        <f t="shared" ref="K17:Q17" ca="1" si="4">SUM(K11:K16)</f>
        <v>110.78013523745777</v>
      </c>
      <c r="L17">
        <f t="shared" ca="1" si="4"/>
        <v>122.36122183988617</v>
      </c>
      <c r="M17">
        <f t="shared" ca="1" si="4"/>
        <v>154.60039844540643</v>
      </c>
      <c r="N17">
        <f t="shared" ca="1" si="4"/>
        <v>174.740767411695</v>
      </c>
      <c r="O17">
        <f t="shared" ca="1" si="4"/>
        <v>194.83320872168309</v>
      </c>
      <c r="P17">
        <f t="shared" ca="1" si="4"/>
        <v>217.15743728630235</v>
      </c>
      <c r="Q17">
        <f t="shared" ca="1" si="4"/>
        <v>239.47904428386857</v>
      </c>
    </row>
    <row r="19" spans="2:17" x14ac:dyDescent="0.45">
      <c r="B19" t="s">
        <v>129</v>
      </c>
    </row>
    <row r="20" spans="2:17" x14ac:dyDescent="0.45">
      <c r="B20" t="str">
        <f>B6</f>
        <v>First Lien</v>
      </c>
      <c r="J20">
        <f>J35</f>
        <v>0</v>
      </c>
      <c r="K20">
        <f t="shared" ref="K20:Q20" ca="1" si="5">K35</f>
        <v>0</v>
      </c>
      <c r="L20">
        <f t="shared" ca="1" si="5"/>
        <v>0</v>
      </c>
      <c r="M20">
        <f t="shared" ca="1" si="5"/>
        <v>0</v>
      </c>
      <c r="N20">
        <f t="shared" ca="1" si="5"/>
        <v>0</v>
      </c>
      <c r="O20">
        <f t="shared" ca="1" si="5"/>
        <v>0</v>
      </c>
      <c r="P20">
        <f t="shared" ca="1" si="5"/>
        <v>0</v>
      </c>
      <c r="Q20">
        <f t="shared" ca="1" si="5"/>
        <v>0</v>
      </c>
    </row>
    <row r="21" spans="2:17" x14ac:dyDescent="0.45">
      <c r="B21" t="str">
        <f>B7</f>
        <v>Second Lien</v>
      </c>
      <c r="J21">
        <f>J44</f>
        <v>0</v>
      </c>
      <c r="K21">
        <f t="shared" ref="K21:Q21" ca="1" si="6">K44</f>
        <v>0</v>
      </c>
      <c r="L21">
        <f t="shared" ca="1" si="6"/>
        <v>0</v>
      </c>
      <c r="M21">
        <f t="shared" ca="1" si="6"/>
        <v>0</v>
      </c>
      <c r="N21">
        <f t="shared" ca="1" si="6"/>
        <v>0</v>
      </c>
      <c r="O21">
        <f t="shared" ca="1" si="6"/>
        <v>0</v>
      </c>
      <c r="P21">
        <f t="shared" ca="1" si="6"/>
        <v>0</v>
      </c>
      <c r="Q21">
        <f t="shared" ca="1" si="6"/>
        <v>-128.55629032302443</v>
      </c>
    </row>
    <row r="22" spans="2:17" x14ac:dyDescent="0.45">
      <c r="B22" t="str">
        <f>B8</f>
        <v>Unitranche</v>
      </c>
      <c r="J22">
        <f>J53</f>
        <v>0</v>
      </c>
      <c r="K22">
        <f t="shared" ref="K22:Q22" ca="1" si="7">K53</f>
        <v>0</v>
      </c>
      <c r="L22">
        <f t="shared" ca="1" si="7"/>
        <v>0</v>
      </c>
      <c r="M22">
        <f t="shared" ca="1" si="7"/>
        <v>0</v>
      </c>
      <c r="N22">
        <f t="shared" ca="1" si="7"/>
        <v>0</v>
      </c>
      <c r="O22">
        <f t="shared" ca="1" si="7"/>
        <v>0</v>
      </c>
      <c r="P22">
        <f t="shared" ca="1" si="7"/>
        <v>0</v>
      </c>
      <c r="Q22">
        <f t="shared" ca="1" si="7"/>
        <v>0</v>
      </c>
    </row>
    <row r="23" spans="2:17" x14ac:dyDescent="0.45">
      <c r="B23" t="s">
        <v>140</v>
      </c>
      <c r="J23">
        <f ca="1">SUM(J17,J20:J22)</f>
        <v>68.785110626870008</v>
      </c>
      <c r="K23">
        <f t="shared" ref="K23:Q23" ca="1" si="8">SUM(K17,K20:K22)</f>
        <v>110.78013523745777</v>
      </c>
      <c r="L23">
        <f t="shared" ca="1" si="8"/>
        <v>122.36122183988617</v>
      </c>
      <c r="M23">
        <f t="shared" ca="1" si="8"/>
        <v>154.60039844540643</v>
      </c>
      <c r="N23">
        <f t="shared" ca="1" si="8"/>
        <v>174.740767411695</v>
      </c>
      <c r="O23">
        <f t="shared" ca="1" si="8"/>
        <v>194.83320872168309</v>
      </c>
      <c r="P23">
        <f t="shared" ca="1" si="8"/>
        <v>217.15743728630235</v>
      </c>
      <c r="Q23">
        <f t="shared" ca="1" si="8"/>
        <v>110.92275396084415</v>
      </c>
    </row>
    <row r="25" spans="2:17" x14ac:dyDescent="0.45">
      <c r="B25" t="s">
        <v>62</v>
      </c>
    </row>
    <row r="26" spans="2:17" x14ac:dyDescent="0.45">
      <c r="B26" t="s">
        <v>38</v>
      </c>
      <c r="J26">
        <f>I28</f>
        <v>0</v>
      </c>
      <c r="K26">
        <f t="shared" ref="K26:Q26" ca="1" si="9">J28</f>
        <v>0</v>
      </c>
      <c r="L26">
        <f t="shared" ca="1" si="9"/>
        <v>0</v>
      </c>
      <c r="M26">
        <f t="shared" ca="1" si="9"/>
        <v>0</v>
      </c>
      <c r="N26">
        <f t="shared" ca="1" si="9"/>
        <v>0</v>
      </c>
      <c r="O26">
        <f t="shared" ca="1" si="9"/>
        <v>0</v>
      </c>
      <c r="P26">
        <f t="shared" ca="1" si="9"/>
        <v>0</v>
      </c>
      <c r="Q26">
        <f t="shared" ca="1" si="9"/>
        <v>0</v>
      </c>
    </row>
    <row r="27" spans="2:17" x14ac:dyDescent="0.45">
      <c r="B27" t="s">
        <v>141</v>
      </c>
      <c r="J27">
        <f ca="1">-MIN(J26,J23)</f>
        <v>0</v>
      </c>
      <c r="K27">
        <f t="shared" ref="K27:Q27" ca="1" si="10">-MIN(K26,K23)</f>
        <v>0</v>
      </c>
      <c r="L27">
        <f t="shared" ca="1" si="10"/>
        <v>0</v>
      </c>
      <c r="M27">
        <f t="shared" ca="1" si="10"/>
        <v>0</v>
      </c>
      <c r="N27">
        <f t="shared" ca="1" si="10"/>
        <v>0</v>
      </c>
      <c r="O27">
        <f t="shared" ca="1" si="10"/>
        <v>0</v>
      </c>
      <c r="P27">
        <f t="shared" ca="1" si="10"/>
        <v>0</v>
      </c>
      <c r="Q27">
        <f t="shared" ca="1" si="10"/>
        <v>0</v>
      </c>
    </row>
    <row r="28" spans="2:17" x14ac:dyDescent="0.45">
      <c r="B28" t="s">
        <v>40</v>
      </c>
      <c r="I28">
        <f>BS!I17</f>
        <v>0</v>
      </c>
      <c r="J28">
        <f ca="1">SUM(J26:J27)</f>
        <v>0</v>
      </c>
      <c r="K28">
        <f t="shared" ref="K28:Q28" ca="1" si="11">SUM(K26:K27)</f>
        <v>0</v>
      </c>
      <c r="L28">
        <f t="shared" ca="1" si="11"/>
        <v>0</v>
      </c>
      <c r="M28">
        <f t="shared" ca="1" si="11"/>
        <v>0</v>
      </c>
      <c r="N28">
        <f t="shared" ca="1" si="11"/>
        <v>0</v>
      </c>
      <c r="O28">
        <f t="shared" ca="1" si="11"/>
        <v>0</v>
      </c>
      <c r="P28">
        <f t="shared" ca="1" si="11"/>
        <v>0</v>
      </c>
      <c r="Q28">
        <f t="shared" ca="1" si="11"/>
        <v>0</v>
      </c>
    </row>
    <row r="29" spans="2:17" x14ac:dyDescent="0.45">
      <c r="B29" t="s">
        <v>51</v>
      </c>
      <c r="J29">
        <f ca="1">IF(LBO!$J$35="NA",0,-LBO!$J$35*AVERAGE(Debt!I28:J28))</f>
        <v>0</v>
      </c>
      <c r="K29">
        <f ca="1">IF(LBO!$J$35="NA",0,-LBO!$J$35*AVERAGE(Debt!J28:K28))</f>
        <v>0</v>
      </c>
      <c r="L29">
        <f ca="1">IF(LBO!$J$35="NA",0,-LBO!$J$35*AVERAGE(Debt!K28:L28))</f>
        <v>0</v>
      </c>
      <c r="M29">
        <f ca="1">IF(LBO!$J$35="NA",0,-LBO!$J$35*AVERAGE(Debt!L28:M28))</f>
        <v>0</v>
      </c>
      <c r="N29">
        <f ca="1">IF(LBO!$J$35="NA",0,-LBO!$J$35*AVERAGE(Debt!M28:N28))</f>
        <v>0</v>
      </c>
      <c r="O29">
        <f ca="1">IF(LBO!$J$35="NA",0,-LBO!$J$35*AVERAGE(Debt!N28:O28))</f>
        <v>0</v>
      </c>
      <c r="P29">
        <f ca="1">IF(LBO!$J$35="NA",0,-LBO!$J$35*AVERAGE(Debt!O28:P28))</f>
        <v>0</v>
      </c>
      <c r="Q29">
        <f ca="1">IF(LBO!$J$35="NA",0,-LBO!$J$35*AVERAGE(Debt!P28:Q28))</f>
        <v>0</v>
      </c>
    </row>
    <row r="31" spans="2:17" x14ac:dyDescent="0.45">
      <c r="B31" t="s">
        <v>142</v>
      </c>
      <c r="J31">
        <f ca="1">(J23+J27)*LBO!$J$10</f>
        <v>51.588832970152509</v>
      </c>
      <c r="K31">
        <f ca="1">(K23+K27)*LBO!$J$10</f>
        <v>83.085101428093324</v>
      </c>
      <c r="L31">
        <f ca="1">(L23+L27)*LBO!$J$10</f>
        <v>91.770916379914624</v>
      </c>
      <c r="M31">
        <f ca="1">(M23+M27)*LBO!$J$10</f>
        <v>115.95029883405482</v>
      </c>
      <c r="N31">
        <f ca="1">(N23+N27)*LBO!$J$10</f>
        <v>131.05557555877124</v>
      </c>
      <c r="O31">
        <f ca="1">(O23+O27)*LBO!$J$10</f>
        <v>146.12490654126231</v>
      </c>
      <c r="P31">
        <f ca="1">(P23+P27)*LBO!$J$10</f>
        <v>162.86807796472675</v>
      </c>
      <c r="Q31">
        <f ca="1">(Q23+Q27)*LBO!$J$10</f>
        <v>83.192065470633111</v>
      </c>
    </row>
    <row r="33" spans="2:17" x14ac:dyDescent="0.45">
      <c r="B33" t="s">
        <v>106</v>
      </c>
    </row>
    <row r="34" spans="2:17" x14ac:dyDescent="0.45">
      <c r="B34" t="s">
        <v>130</v>
      </c>
      <c r="J34">
        <f>I37</f>
        <v>400</v>
      </c>
      <c r="K34">
        <f t="shared" ref="K34:Q34" ca="1" si="12">J37</f>
        <v>348.41116702984749</v>
      </c>
      <c r="L34">
        <f t="shared" ca="1" si="12"/>
        <v>265.32606560175418</v>
      </c>
      <c r="M34">
        <f t="shared" ca="1" si="12"/>
        <v>173.55514922183954</v>
      </c>
      <c r="N34">
        <f t="shared" ca="1" si="12"/>
        <v>57.604850387784722</v>
      </c>
      <c r="O34">
        <f t="shared" ca="1" si="12"/>
        <v>0</v>
      </c>
      <c r="P34">
        <f t="shared" ca="1" si="12"/>
        <v>0</v>
      </c>
      <c r="Q34">
        <f t="shared" ca="1" si="12"/>
        <v>0</v>
      </c>
    </row>
    <row r="35" spans="2:17" x14ac:dyDescent="0.45">
      <c r="B35" t="s">
        <v>127</v>
      </c>
      <c r="J35">
        <f>-MIN(J6*I37,$J$34)</f>
        <v>0</v>
      </c>
      <c r="K35">
        <f t="shared" ref="K35:Q35" ca="1" si="13">-MIN(K6*J37,$J$34)</f>
        <v>0</v>
      </c>
      <c r="L35">
        <f t="shared" ca="1" si="13"/>
        <v>0</v>
      </c>
      <c r="M35">
        <f t="shared" ca="1" si="13"/>
        <v>0</v>
      </c>
      <c r="N35">
        <f t="shared" ca="1" si="13"/>
        <v>0</v>
      </c>
      <c r="O35">
        <f t="shared" ca="1" si="13"/>
        <v>0</v>
      </c>
      <c r="P35">
        <f t="shared" ca="1" si="13"/>
        <v>0</v>
      </c>
      <c r="Q35">
        <f t="shared" ca="1" si="13"/>
        <v>0</v>
      </c>
    </row>
    <row r="36" spans="2:17" x14ac:dyDescent="0.45">
      <c r="B36" t="s">
        <v>131</v>
      </c>
      <c r="C36" t="s">
        <v>206</v>
      </c>
      <c r="E36" s="82">
        <v>1</v>
      </c>
      <c r="F36" t="s">
        <v>207</v>
      </c>
      <c r="J36">
        <f ca="1">-MIN(J34+J35,J31)*$E$36</f>
        <v>-51.588832970152509</v>
      </c>
      <c r="K36">
        <f t="shared" ref="K36:Q36" ca="1" si="14">-MIN(K34+K35,K31)*$E$36</f>
        <v>-83.085101428093324</v>
      </c>
      <c r="L36">
        <f t="shared" ca="1" si="14"/>
        <v>-91.770916379914624</v>
      </c>
      <c r="M36">
        <f t="shared" ca="1" si="14"/>
        <v>-115.95029883405482</v>
      </c>
      <c r="N36">
        <f t="shared" ca="1" si="14"/>
        <v>-57.604850387784722</v>
      </c>
      <c r="O36">
        <f t="shared" ca="1" si="14"/>
        <v>0</v>
      </c>
      <c r="P36">
        <f t="shared" ca="1" si="14"/>
        <v>0</v>
      </c>
      <c r="Q36">
        <f t="shared" ca="1" si="14"/>
        <v>0</v>
      </c>
    </row>
    <row r="37" spans="2:17" x14ac:dyDescent="0.45">
      <c r="B37" t="s">
        <v>132</v>
      </c>
      <c r="I37">
        <f>BS!I22</f>
        <v>400</v>
      </c>
      <c r="J37">
        <f ca="1">SUM(J34:J36)</f>
        <v>348.41116702984749</v>
      </c>
      <c r="K37">
        <f t="shared" ref="K37:Q37" ca="1" si="15">SUM(K34:K36)</f>
        <v>265.32606560175418</v>
      </c>
      <c r="L37">
        <f t="shared" ca="1" si="15"/>
        <v>173.55514922183954</v>
      </c>
      <c r="M37">
        <f t="shared" ca="1" si="15"/>
        <v>57.604850387784722</v>
      </c>
      <c r="N37">
        <f t="shared" ca="1" si="15"/>
        <v>0</v>
      </c>
      <c r="O37">
        <f t="shared" ca="1" si="15"/>
        <v>0</v>
      </c>
      <c r="P37">
        <f t="shared" ca="1" si="15"/>
        <v>0</v>
      </c>
      <c r="Q37">
        <f t="shared" ca="1" si="15"/>
        <v>0</v>
      </c>
    </row>
    <row r="38" spans="2:17" x14ac:dyDescent="0.45">
      <c r="B38" t="s">
        <v>51</v>
      </c>
      <c r="J38">
        <f ca="1">IF(LBO!$J$36="NA",0,-LBO!$J$36*AVERAGE(Debt!I37:J37))</f>
        <v>-21.329718260350656</v>
      </c>
      <c r="K38">
        <f ca="1">IF(LBO!$J$36="NA",0,-LBO!$J$36*AVERAGE(Debt!J37:K37))</f>
        <v>-17.491511130000649</v>
      </c>
      <c r="L38">
        <f ca="1">IF(LBO!$J$36="NA",0,-LBO!$J$36*AVERAGE(Debt!K37:L37))</f>
        <v>-12.508114622472421</v>
      </c>
      <c r="M38">
        <f ca="1">IF(LBO!$J$36="NA",0,-LBO!$J$36*AVERAGE(Debt!L37:M37))</f>
        <v>-6.5880599888742921</v>
      </c>
      <c r="N38">
        <f ca="1">IF(LBO!$J$36="NA",0,-LBO!$J$36*AVERAGE(Debt!M37:N37))</f>
        <v>-1.6417382360518646</v>
      </c>
      <c r="O38">
        <f ca="1">IF(LBO!$J$36="NA",0,-LBO!$J$36*AVERAGE(Debt!N37:O37))</f>
        <v>0</v>
      </c>
      <c r="P38">
        <f ca="1">IF(LBO!$J$36="NA",0,-LBO!$J$36*AVERAGE(Debt!O37:P37))</f>
        <v>0</v>
      </c>
      <c r="Q38">
        <f ca="1">IF(LBO!$J$36="NA",0,-LBO!$J$36*AVERAGE(Debt!P37:Q37))</f>
        <v>0</v>
      </c>
    </row>
    <row r="39" spans="2:17" x14ac:dyDescent="0.45">
      <c r="J39" s="60"/>
      <c r="K39" s="60"/>
      <c r="L39" s="60"/>
      <c r="M39" s="60"/>
      <c r="N39" s="60"/>
      <c r="O39" s="60"/>
      <c r="P39" s="60"/>
      <c r="Q39" s="60"/>
    </row>
    <row r="40" spans="2:17" x14ac:dyDescent="0.45">
      <c r="B40" t="s">
        <v>133</v>
      </c>
      <c r="J40">
        <f ca="1">+J31+J36</f>
        <v>0</v>
      </c>
      <c r="K40">
        <f t="shared" ref="K40:Q40" ca="1" si="16">+K31+K36</f>
        <v>0</v>
      </c>
      <c r="L40">
        <f t="shared" ca="1" si="16"/>
        <v>0</v>
      </c>
      <c r="M40">
        <f t="shared" ca="1" si="16"/>
        <v>0</v>
      </c>
      <c r="N40">
        <f t="shared" ca="1" si="16"/>
        <v>73.450725170986516</v>
      </c>
      <c r="O40">
        <f t="shared" ca="1" si="16"/>
        <v>146.12490654126231</v>
      </c>
      <c r="P40">
        <f t="shared" ca="1" si="16"/>
        <v>162.86807796472675</v>
      </c>
      <c r="Q40">
        <f t="shared" ca="1" si="16"/>
        <v>83.192065470633111</v>
      </c>
    </row>
    <row r="42" spans="2:17" x14ac:dyDescent="0.45">
      <c r="B42" t="s">
        <v>107</v>
      </c>
    </row>
    <row r="43" spans="2:17" x14ac:dyDescent="0.45">
      <c r="B43" t="s">
        <v>130</v>
      </c>
      <c r="J43">
        <f>I46</f>
        <v>511</v>
      </c>
      <c r="K43">
        <f t="shared" ref="K43:Q43" ca="1" si="17">J46</f>
        <v>511</v>
      </c>
      <c r="L43">
        <f t="shared" ca="1" si="17"/>
        <v>511</v>
      </c>
      <c r="M43">
        <f t="shared" ca="1" si="17"/>
        <v>511</v>
      </c>
      <c r="N43">
        <f t="shared" ca="1" si="17"/>
        <v>511</v>
      </c>
      <c r="O43">
        <f t="shared" ca="1" si="17"/>
        <v>437.54927482901348</v>
      </c>
      <c r="P43">
        <f t="shared" ca="1" si="17"/>
        <v>291.42436828775118</v>
      </c>
      <c r="Q43">
        <f t="shared" ca="1" si="17"/>
        <v>128.55629032302443</v>
      </c>
    </row>
    <row r="44" spans="2:17" x14ac:dyDescent="0.45">
      <c r="B44" t="s">
        <v>127</v>
      </c>
      <c r="J44">
        <f>-MIN(J7*$I$46,J43)</f>
        <v>0</v>
      </c>
      <c r="K44">
        <f t="shared" ref="K44:Q44" ca="1" si="18">-MIN(K7*$I$46,K43)</f>
        <v>0</v>
      </c>
      <c r="L44">
        <f t="shared" ca="1" si="18"/>
        <v>0</v>
      </c>
      <c r="M44">
        <f t="shared" ca="1" si="18"/>
        <v>0</v>
      </c>
      <c r="N44">
        <f t="shared" ca="1" si="18"/>
        <v>0</v>
      </c>
      <c r="O44">
        <f t="shared" ca="1" si="18"/>
        <v>0</v>
      </c>
      <c r="P44">
        <f t="shared" ca="1" si="18"/>
        <v>0</v>
      </c>
      <c r="Q44">
        <f t="shared" ca="1" si="18"/>
        <v>-128.55629032302443</v>
      </c>
    </row>
    <row r="45" spans="2:17" x14ac:dyDescent="0.45">
      <c r="B45" t="s">
        <v>131</v>
      </c>
      <c r="C45" t="s">
        <v>206</v>
      </c>
      <c r="E45" s="82">
        <v>1</v>
      </c>
      <c r="F45" t="s">
        <v>207</v>
      </c>
      <c r="J45">
        <f ca="1">-MIN(J43+J44,J40)*$E$45</f>
        <v>0</v>
      </c>
      <c r="K45">
        <f t="shared" ref="K45:Q45" ca="1" si="19">-MIN(K43+K44,K40)*$E$45</f>
        <v>0</v>
      </c>
      <c r="L45">
        <f t="shared" ca="1" si="19"/>
        <v>0</v>
      </c>
      <c r="M45">
        <f t="shared" ca="1" si="19"/>
        <v>0</v>
      </c>
      <c r="N45">
        <f t="shared" ca="1" si="19"/>
        <v>-73.450725170986516</v>
      </c>
      <c r="O45">
        <f t="shared" ca="1" si="19"/>
        <v>-146.12490654126231</v>
      </c>
      <c r="P45">
        <f t="shared" ca="1" si="19"/>
        <v>-162.86807796472675</v>
      </c>
      <c r="Q45">
        <f t="shared" ca="1" si="19"/>
        <v>0</v>
      </c>
    </row>
    <row r="46" spans="2:17" x14ac:dyDescent="0.45">
      <c r="B46" t="s">
        <v>132</v>
      </c>
      <c r="I46">
        <f>BS!I23</f>
        <v>511</v>
      </c>
      <c r="J46">
        <f ca="1">SUM(J43:J45)</f>
        <v>511</v>
      </c>
      <c r="K46">
        <f t="shared" ref="K46:Q46" ca="1" si="20">SUM(K43:K45)</f>
        <v>511</v>
      </c>
      <c r="L46">
        <f t="shared" ca="1" si="20"/>
        <v>511</v>
      </c>
      <c r="M46">
        <f t="shared" ca="1" si="20"/>
        <v>511</v>
      </c>
      <c r="N46">
        <f t="shared" ca="1" si="20"/>
        <v>437.54927482901348</v>
      </c>
      <c r="O46">
        <f t="shared" ca="1" si="20"/>
        <v>291.42436828775118</v>
      </c>
      <c r="P46">
        <f t="shared" ca="1" si="20"/>
        <v>128.55629032302443</v>
      </c>
      <c r="Q46">
        <f t="shared" ca="1" si="20"/>
        <v>0</v>
      </c>
    </row>
    <row r="47" spans="2:17" x14ac:dyDescent="0.45">
      <c r="B47" t="s">
        <v>51</v>
      </c>
      <c r="J47">
        <f ca="1">IF(LBO!$J$37="NA",0,-LBO!$J$37*AVERAGE(Debt!I46:J46))</f>
        <v>-49.567</v>
      </c>
      <c r="K47">
        <f ca="1">IF(LBO!$J$37="NA",0,-LBO!$J$37*AVERAGE(Debt!J46:K46))</f>
        <v>-49.567</v>
      </c>
      <c r="L47">
        <f ca="1">IF(LBO!$J$37="NA",0,-LBO!$J$37*AVERAGE(Debt!K46:L46))</f>
        <v>-49.567</v>
      </c>
      <c r="M47">
        <f ca="1">IF(LBO!$J$37="NA",0,-LBO!$J$37*AVERAGE(Debt!L46:M46))</f>
        <v>-49.567</v>
      </c>
      <c r="N47">
        <f ca="1">IF(LBO!$J$37="NA",0,-LBO!$J$37*AVERAGE(Debt!M46:N46))</f>
        <v>-46.004639829207157</v>
      </c>
      <c r="O47">
        <f ca="1">IF(LBO!$J$37="NA",0,-LBO!$J$37*AVERAGE(Debt!N46:O46))</f>
        <v>-35.355221691163088</v>
      </c>
      <c r="P47">
        <f ca="1">IF(LBO!$J$37="NA",0,-LBO!$J$37*AVERAGE(Debt!O46:P46))</f>
        <v>-20.369061942622618</v>
      </c>
      <c r="Q47">
        <f ca="1">IF(LBO!$J$37="NA",0,-LBO!$J$37*AVERAGE(Debt!P46:Q46))</f>
        <v>-6.2349800806666851</v>
      </c>
    </row>
    <row r="49" spans="2:17" x14ac:dyDescent="0.45">
      <c r="B49" t="s">
        <v>208</v>
      </c>
      <c r="J49">
        <f ca="1">J40+J45</f>
        <v>0</v>
      </c>
      <c r="K49">
        <f t="shared" ref="K49:Q49" ca="1" si="21">K40+K45</f>
        <v>0</v>
      </c>
      <c r="L49">
        <f t="shared" ca="1" si="21"/>
        <v>0</v>
      </c>
      <c r="M49">
        <f t="shared" ca="1" si="21"/>
        <v>0</v>
      </c>
      <c r="N49">
        <f t="shared" ca="1" si="21"/>
        <v>0</v>
      </c>
      <c r="O49">
        <f t="shared" ca="1" si="21"/>
        <v>0</v>
      </c>
      <c r="P49">
        <f t="shared" ca="1" si="21"/>
        <v>0</v>
      </c>
      <c r="Q49">
        <f t="shared" ca="1" si="21"/>
        <v>83.192065470633111</v>
      </c>
    </row>
    <row r="51" spans="2:17" x14ac:dyDescent="0.45">
      <c r="B51" t="s">
        <v>187</v>
      </c>
    </row>
    <row r="52" spans="2:17" x14ac:dyDescent="0.45">
      <c r="B52" t="s">
        <v>38</v>
      </c>
      <c r="J52">
        <f>I55</f>
        <v>0</v>
      </c>
      <c r="K52">
        <f t="shared" ref="K52:Q52" ca="1" si="22">J55</f>
        <v>0</v>
      </c>
      <c r="L52">
        <f t="shared" ca="1" si="22"/>
        <v>0</v>
      </c>
      <c r="M52">
        <f t="shared" ca="1" si="22"/>
        <v>0</v>
      </c>
      <c r="N52">
        <f t="shared" ca="1" si="22"/>
        <v>0</v>
      </c>
      <c r="O52">
        <f t="shared" ca="1" si="22"/>
        <v>0</v>
      </c>
      <c r="P52">
        <f t="shared" ca="1" si="22"/>
        <v>0</v>
      </c>
      <c r="Q52">
        <f t="shared" ca="1" si="22"/>
        <v>0</v>
      </c>
    </row>
    <row r="53" spans="2:17" x14ac:dyDescent="0.45">
      <c r="B53" t="s">
        <v>134</v>
      </c>
      <c r="J53">
        <f>-MIN(J8*$I$55,J52)</f>
        <v>0</v>
      </c>
      <c r="K53">
        <f t="shared" ref="K53:Q53" ca="1" si="23">-MIN(K8*$I$55,K52)</f>
        <v>0</v>
      </c>
      <c r="L53">
        <f t="shared" ca="1" si="23"/>
        <v>0</v>
      </c>
      <c r="M53">
        <f t="shared" ca="1" si="23"/>
        <v>0</v>
      </c>
      <c r="N53">
        <f t="shared" ca="1" si="23"/>
        <v>0</v>
      </c>
      <c r="O53">
        <f t="shared" ca="1" si="23"/>
        <v>0</v>
      </c>
      <c r="P53">
        <f t="shared" ca="1" si="23"/>
        <v>0</v>
      </c>
      <c r="Q53">
        <f t="shared" ca="1" si="23"/>
        <v>0</v>
      </c>
    </row>
    <row r="54" spans="2:17" x14ac:dyDescent="0.45">
      <c r="B54" t="s">
        <v>131</v>
      </c>
      <c r="C54" t="s">
        <v>206</v>
      </c>
      <c r="E54" s="82">
        <v>1</v>
      </c>
      <c r="F54" t="s">
        <v>207</v>
      </c>
      <c r="J54">
        <f ca="1">-MIN(J52+J53,J49)*$E$54</f>
        <v>0</v>
      </c>
      <c r="K54">
        <f t="shared" ref="K54:Q54" ca="1" si="24">-MIN(K52+K53,K49)*$E$54</f>
        <v>0</v>
      </c>
      <c r="L54">
        <f t="shared" ca="1" si="24"/>
        <v>0</v>
      </c>
      <c r="M54">
        <f t="shared" ca="1" si="24"/>
        <v>0</v>
      </c>
      <c r="N54">
        <f t="shared" ca="1" si="24"/>
        <v>0</v>
      </c>
      <c r="O54">
        <f t="shared" ca="1" si="24"/>
        <v>0</v>
      </c>
      <c r="P54">
        <f t="shared" ca="1" si="24"/>
        <v>0</v>
      </c>
      <c r="Q54">
        <f t="shared" ca="1" si="24"/>
        <v>0</v>
      </c>
    </row>
    <row r="55" spans="2:17" x14ac:dyDescent="0.45">
      <c r="B55" t="s">
        <v>40</v>
      </c>
      <c r="I55">
        <f>BS!I24</f>
        <v>0</v>
      </c>
      <c r="J55">
        <f ca="1">SUM(J52:J54)</f>
        <v>0</v>
      </c>
      <c r="K55">
        <f t="shared" ref="K55:Q55" ca="1" si="25">SUM(K52:K54)</f>
        <v>0</v>
      </c>
      <c r="L55">
        <f t="shared" ca="1" si="25"/>
        <v>0</v>
      </c>
      <c r="M55">
        <f t="shared" ca="1" si="25"/>
        <v>0</v>
      </c>
      <c r="N55">
        <f t="shared" ca="1" si="25"/>
        <v>0</v>
      </c>
      <c r="O55">
        <f t="shared" ca="1" si="25"/>
        <v>0</v>
      </c>
      <c r="P55">
        <f t="shared" ca="1" si="25"/>
        <v>0</v>
      </c>
      <c r="Q55">
        <f t="shared" ca="1" si="25"/>
        <v>0</v>
      </c>
    </row>
    <row r="56" spans="2:17" x14ac:dyDescent="0.45">
      <c r="B56" t="s">
        <v>51</v>
      </c>
      <c r="J56" s="66">
        <f>IF(LBO!$J$38="NA",0,-LBO!$J$38*AVERAGE(Debt!I55:J55))</f>
        <v>0</v>
      </c>
      <c r="K56" s="66">
        <f>IF(LBO!$J$38="NA",0,-LBO!$J$38*AVERAGE(Debt!J55:K55))</f>
        <v>0</v>
      </c>
      <c r="L56" s="66">
        <f>IF(LBO!$J$38="NA",0,-LBO!$J$38*AVERAGE(Debt!K55:L55))</f>
        <v>0</v>
      </c>
      <c r="M56" s="66">
        <f>IF(LBO!$J$38="NA",0,-LBO!$J$38*AVERAGE(Debt!L55:M55))</f>
        <v>0</v>
      </c>
      <c r="N56" s="66">
        <f>IF(LBO!$J$38="NA",0,-LBO!$J$38*AVERAGE(Debt!M55:N55))</f>
        <v>0</v>
      </c>
      <c r="O56" s="66">
        <f>IF(LBO!$J$38="NA",0,-LBO!$J$38*AVERAGE(Debt!N55:O55))</f>
        <v>0</v>
      </c>
      <c r="P56" s="66">
        <f>IF(LBO!$J$38="NA",0,-LBO!$J$38*AVERAGE(Debt!O55:P55))</f>
        <v>0</v>
      </c>
      <c r="Q56" s="66">
        <f>IF(LBO!$J$38="NA",0,-LBO!$J$38*AVERAGE(Debt!P55:Q55))</f>
        <v>0</v>
      </c>
    </row>
    <row r="58" spans="2:17" x14ac:dyDescent="0.45">
      <c r="B58" t="s">
        <v>194</v>
      </c>
    </row>
    <row r="59" spans="2:17" x14ac:dyDescent="0.45">
      <c r="B59" t="s">
        <v>38</v>
      </c>
      <c r="J59">
        <f>I61</f>
        <v>0</v>
      </c>
      <c r="K59">
        <f t="shared" ref="K59:Q59" si="26">J61</f>
        <v>0</v>
      </c>
      <c r="L59">
        <f t="shared" si="26"/>
        <v>0</v>
      </c>
      <c r="M59">
        <f t="shared" si="26"/>
        <v>0</v>
      </c>
      <c r="N59">
        <f t="shared" si="26"/>
        <v>0</v>
      </c>
      <c r="O59">
        <f t="shared" si="26"/>
        <v>0</v>
      </c>
      <c r="P59">
        <f t="shared" si="26"/>
        <v>0</v>
      </c>
      <c r="Q59">
        <f t="shared" si="26"/>
        <v>0</v>
      </c>
    </row>
    <row r="60" spans="2:17" x14ac:dyDescent="0.45">
      <c r="B60" t="s">
        <v>134</v>
      </c>
      <c r="J60">
        <f>IF(J3=LBO!$D$32,-Debt!$I$61,0)</f>
        <v>0</v>
      </c>
      <c r="K60">
        <f>IF(K3=LBO!$D$32,-Debt!$I$61,0)</f>
        <v>0</v>
      </c>
      <c r="L60">
        <f>IF(L3=LBO!$D$32,-Debt!$I$61,0)</f>
        <v>0</v>
      </c>
      <c r="M60">
        <f>IF(M3=LBO!$D$32,-Debt!$I$61,0)</f>
        <v>0</v>
      </c>
      <c r="N60">
        <f>IF(N3=LBO!$D$32,-Debt!$I$61,0)</f>
        <v>0</v>
      </c>
      <c r="O60">
        <f>IF(O3=LBO!$D$32,-Debt!$I$61,0)</f>
        <v>0</v>
      </c>
      <c r="P60">
        <f>IF(P3=LBO!$D$32,-Debt!$I$61,0)</f>
        <v>0</v>
      </c>
      <c r="Q60">
        <f>IF(Q3=LBO!$D$32,-Debt!$I$61,0)</f>
        <v>0</v>
      </c>
    </row>
    <row r="61" spans="2:17" x14ac:dyDescent="0.45">
      <c r="B61" t="s">
        <v>40</v>
      </c>
      <c r="I61">
        <f>BS!I25</f>
        <v>0</v>
      </c>
      <c r="J61">
        <f>SUM(J59:J60)</f>
        <v>0</v>
      </c>
      <c r="K61">
        <f t="shared" ref="K61:Q61" si="27">SUM(K59:K60)</f>
        <v>0</v>
      </c>
      <c r="L61">
        <f t="shared" si="27"/>
        <v>0</v>
      </c>
      <c r="M61">
        <f t="shared" si="27"/>
        <v>0</v>
      </c>
      <c r="N61">
        <f t="shared" si="27"/>
        <v>0</v>
      </c>
      <c r="O61">
        <f t="shared" si="27"/>
        <v>0</v>
      </c>
      <c r="P61">
        <f t="shared" si="27"/>
        <v>0</v>
      </c>
      <c r="Q61">
        <f t="shared" si="27"/>
        <v>0</v>
      </c>
    </row>
    <row r="62" spans="2:17" x14ac:dyDescent="0.45">
      <c r="B62" t="s">
        <v>51</v>
      </c>
      <c r="J62" s="66">
        <f>IF(LBO!$J$39="NA",0,-LBO!$J$39*AVERAGE(Debt!I61:J61))</f>
        <v>0</v>
      </c>
      <c r="K62" s="66">
        <f>IF(LBO!$J$39="NA",0,-LBO!$J$39*AVERAGE(Debt!J61:K61))</f>
        <v>0</v>
      </c>
      <c r="L62" s="66">
        <f>IF(LBO!$J$39="NA",0,-LBO!$J$39*AVERAGE(Debt!K61:L61))</f>
        <v>0</v>
      </c>
      <c r="M62" s="66">
        <f>IF(LBO!$J$39="NA",0,-LBO!$J$39*AVERAGE(Debt!L61:M61))</f>
        <v>0</v>
      </c>
      <c r="N62" s="66">
        <f>IF(LBO!$J$39="NA",0,-LBO!$J$39*AVERAGE(Debt!M61:N61))</f>
        <v>0</v>
      </c>
      <c r="O62" s="66">
        <f>IF(LBO!$J$39="NA",0,-LBO!$J$39*AVERAGE(Debt!N61:O61))</f>
        <v>0</v>
      </c>
      <c r="P62" s="66">
        <f>IF(LBO!$J$39="NA",0,-LBO!$J$39*AVERAGE(Debt!O61:P61))</f>
        <v>0</v>
      </c>
      <c r="Q62" s="66">
        <f>IF(LBO!$J$39="NA",0,-LBO!$J$39*AVERAGE(Debt!P61:Q61))</f>
        <v>0</v>
      </c>
    </row>
    <row r="64" spans="2:17" x14ac:dyDescent="0.45">
      <c r="B64" t="s">
        <v>196</v>
      </c>
    </row>
    <row r="65" spans="2:17" x14ac:dyDescent="0.45">
      <c r="B65" t="s">
        <v>38</v>
      </c>
      <c r="J65">
        <f>I69</f>
        <v>0</v>
      </c>
      <c r="K65">
        <f t="shared" ref="K65:Q65" si="28">J69</f>
        <v>0</v>
      </c>
      <c r="L65">
        <f t="shared" si="28"/>
        <v>0</v>
      </c>
      <c r="M65">
        <f t="shared" si="28"/>
        <v>0</v>
      </c>
      <c r="N65">
        <f t="shared" si="28"/>
        <v>0</v>
      </c>
      <c r="O65">
        <f t="shared" si="28"/>
        <v>0</v>
      </c>
      <c r="P65">
        <f t="shared" si="28"/>
        <v>0</v>
      </c>
      <c r="Q65">
        <f t="shared" si="28"/>
        <v>0</v>
      </c>
    </row>
    <row r="66" spans="2:17" x14ac:dyDescent="0.45">
      <c r="B66" t="s">
        <v>202</v>
      </c>
      <c r="J66">
        <f>IF(J3=LBO!$D$32,LBO!D31,0)</f>
        <v>0</v>
      </c>
      <c r="K66">
        <f>IF(K3=LBO!$D$32,LBO!E31,0)</f>
        <v>0</v>
      </c>
      <c r="L66">
        <f>IF(L3=LBO!$D$32,LBO!F31,0)</f>
        <v>0</v>
      </c>
      <c r="M66">
        <f>IF(M3=LBO!$D$32,LBO!G31,0)</f>
        <v>0</v>
      </c>
      <c r="N66">
        <f>IF(N3=LBO!$D$32,LBO!H31,0)</f>
        <v>0</v>
      </c>
      <c r="O66">
        <f>IF(O3=LBO!$D$32,LBO!I31,0)</f>
        <v>0</v>
      </c>
      <c r="P66">
        <f>IF(P3=LBO!$D$32,LBO!J31,0)</f>
        <v>0</v>
      </c>
      <c r="Q66">
        <f>IF(Q3=LBO!$D$32,LBO!K31,0)</f>
        <v>0</v>
      </c>
    </row>
    <row r="67" spans="2:17" x14ac:dyDescent="0.45">
      <c r="B67" t="s">
        <v>203</v>
      </c>
      <c r="J67">
        <f>LBO!$F$14*Debt!J65</f>
        <v>0</v>
      </c>
      <c r="K67">
        <f>LBO!$F$14*Debt!K65</f>
        <v>0</v>
      </c>
      <c r="L67">
        <f>LBO!$F$14*Debt!L65</f>
        <v>0</v>
      </c>
      <c r="M67">
        <f>LBO!$F$14*Debt!M65</f>
        <v>0</v>
      </c>
      <c r="N67">
        <f>LBO!$F$14*Debt!N65</f>
        <v>0</v>
      </c>
      <c r="O67">
        <f>LBO!$F$14*Debt!O65</f>
        <v>0</v>
      </c>
      <c r="P67">
        <f>LBO!$F$14*Debt!P65</f>
        <v>0</v>
      </c>
      <c r="Q67">
        <f>LBO!$F$14*Debt!Q65</f>
        <v>0</v>
      </c>
    </row>
    <row r="68" spans="2:17" x14ac:dyDescent="0.45">
      <c r="B68" t="s">
        <v>204</v>
      </c>
      <c r="J68">
        <f>IF(J66&gt;0,0,PMT(LBO!$F$14,LBO!$F$13,LBO!$D$31,0))</f>
        <v>0</v>
      </c>
      <c r="K68">
        <f>IF(K66&gt;0,0,PMT(LBO!$F$14,LBO!$F$13,LBO!$D$31,0))</f>
        <v>0</v>
      </c>
      <c r="L68">
        <f>IF(L66&gt;0,0,PMT(LBO!$F$14,LBO!$F$13,LBO!$D$31,0))</f>
        <v>0</v>
      </c>
      <c r="M68">
        <f>IF(M66&gt;0,0,PMT(LBO!$F$14,LBO!$F$13,LBO!$D$31,0))</f>
        <v>0</v>
      </c>
      <c r="N68">
        <f>IF(N66&gt;0,0,PMT(LBO!$F$14,LBO!$F$13,LBO!$D$31,0))</f>
        <v>0</v>
      </c>
      <c r="O68">
        <f>IF(O66&gt;0,0,PMT(LBO!$F$14,LBO!$F$13,LBO!$D$31,0))</f>
        <v>0</v>
      </c>
      <c r="P68">
        <f>IF(P66&gt;0,0,PMT(LBO!$F$14,LBO!$F$13,LBO!$D$31,0))</f>
        <v>0</v>
      </c>
      <c r="Q68">
        <f>IF(Q66&gt;0,0,PMT(LBO!$F$14,LBO!$F$13,LBO!$D$31,0))</f>
        <v>0</v>
      </c>
    </row>
    <row r="69" spans="2:17" x14ac:dyDescent="0.45">
      <c r="B69" t="s">
        <v>40</v>
      </c>
      <c r="I69" s="78">
        <v>0</v>
      </c>
      <c r="J69">
        <f>SUM(J65:J68)</f>
        <v>0</v>
      </c>
      <c r="K69">
        <f t="shared" ref="K69:Q69" si="29">SUM(K65:K68)</f>
        <v>0</v>
      </c>
      <c r="L69">
        <f t="shared" si="29"/>
        <v>0</v>
      </c>
      <c r="M69">
        <f t="shared" si="29"/>
        <v>0</v>
      </c>
      <c r="N69">
        <f t="shared" si="29"/>
        <v>0</v>
      </c>
      <c r="O69">
        <f t="shared" si="29"/>
        <v>0</v>
      </c>
      <c r="P69">
        <f t="shared" si="29"/>
        <v>0</v>
      </c>
      <c r="Q69">
        <f t="shared" si="29"/>
        <v>0</v>
      </c>
    </row>
    <row r="71" spans="2:17" x14ac:dyDescent="0.45">
      <c r="B71" t="s">
        <v>116</v>
      </c>
    </row>
    <row r="72" spans="2:17" x14ac:dyDescent="0.45">
      <c r="B72" t="s">
        <v>135</v>
      </c>
      <c r="J72">
        <f>I74</f>
        <v>300</v>
      </c>
      <c r="K72">
        <f t="shared" ref="K72:Q72" si="30">J74</f>
        <v>336</v>
      </c>
      <c r="L72">
        <f t="shared" si="30"/>
        <v>376.32</v>
      </c>
      <c r="M72">
        <f t="shared" si="30"/>
        <v>421.47839999999997</v>
      </c>
      <c r="N72">
        <f t="shared" si="30"/>
        <v>472.05580799999996</v>
      </c>
      <c r="O72">
        <f t="shared" si="30"/>
        <v>528.70250495999994</v>
      </c>
      <c r="P72">
        <f t="shared" si="30"/>
        <v>592.14680555519999</v>
      </c>
      <c r="Q72">
        <f t="shared" si="30"/>
        <v>663.20442222182396</v>
      </c>
    </row>
    <row r="73" spans="2:17" x14ac:dyDescent="0.45">
      <c r="B73" t="s">
        <v>136</v>
      </c>
      <c r="J73">
        <f>IF(LBO!$J$40="NA",0,LBO!$J$40*Debt!J72)</f>
        <v>36</v>
      </c>
      <c r="K73">
        <f>IF(LBO!$J$40="NA",0,LBO!$J$40*Debt!K72)</f>
        <v>40.32</v>
      </c>
      <c r="L73">
        <f>IF(LBO!$J$40="NA",0,LBO!$J$40*Debt!L72)</f>
        <v>45.1584</v>
      </c>
      <c r="M73">
        <f>IF(LBO!$J$40="NA",0,LBO!$J$40*Debt!M72)</f>
        <v>50.577407999999991</v>
      </c>
      <c r="N73">
        <f>IF(LBO!$J$40="NA",0,LBO!$J$40*Debt!N72)</f>
        <v>56.646696959999993</v>
      </c>
      <c r="O73">
        <f>IF(LBO!$J$40="NA",0,LBO!$J$40*Debt!O72)</f>
        <v>63.444300595199991</v>
      </c>
      <c r="P73">
        <f>IF(LBO!$J$40="NA",0,LBO!$J$40*Debt!P72)</f>
        <v>71.057616666624</v>
      </c>
      <c r="Q73">
        <f>IF(LBO!$J$40="NA",0,LBO!$J$40*Debt!Q72)</f>
        <v>79.584530666618875</v>
      </c>
    </row>
    <row r="74" spans="2:17" x14ac:dyDescent="0.45">
      <c r="B74" t="s">
        <v>40</v>
      </c>
      <c r="I74">
        <f>LBO!F40</f>
        <v>300</v>
      </c>
      <c r="J74">
        <f>SUM(J72:J73)</f>
        <v>336</v>
      </c>
      <c r="K74">
        <f t="shared" ref="K74:Q74" si="31">SUM(K72:K73)</f>
        <v>376.32</v>
      </c>
      <c r="L74">
        <f t="shared" si="31"/>
        <v>421.47839999999997</v>
      </c>
      <c r="M74">
        <f t="shared" si="31"/>
        <v>472.05580799999996</v>
      </c>
      <c r="N74">
        <f t="shared" si="31"/>
        <v>528.70250495999994</v>
      </c>
      <c r="O74">
        <f t="shared" si="31"/>
        <v>592.14680555519999</v>
      </c>
      <c r="P74">
        <f t="shared" si="31"/>
        <v>663.20442222182396</v>
      </c>
      <c r="Q74">
        <f t="shared" si="31"/>
        <v>742.78895288844285</v>
      </c>
    </row>
    <row r="76" spans="2:17" x14ac:dyDescent="0.45">
      <c r="B76" t="s">
        <v>138</v>
      </c>
    </row>
    <row r="77" spans="2:17" x14ac:dyDescent="0.45">
      <c r="B77" t="s">
        <v>38</v>
      </c>
      <c r="J77">
        <f>I79</f>
        <v>622.18499999999858</v>
      </c>
      <c r="K77">
        <f t="shared" ref="K77:Q77" si="32">J79</f>
        <v>696.84719999999845</v>
      </c>
      <c r="L77">
        <f t="shared" si="32"/>
        <v>780.46886399999823</v>
      </c>
      <c r="M77">
        <f t="shared" si="32"/>
        <v>874.12512767999806</v>
      </c>
      <c r="N77">
        <f t="shared" si="32"/>
        <v>979.02014300159783</v>
      </c>
      <c r="O77">
        <f t="shared" si="32"/>
        <v>1096.5025601617895</v>
      </c>
      <c r="P77">
        <f t="shared" si="32"/>
        <v>1228.0828673812041</v>
      </c>
      <c r="Q77">
        <f t="shared" si="32"/>
        <v>1375.4528114669486</v>
      </c>
    </row>
    <row r="78" spans="2:17" x14ac:dyDescent="0.45">
      <c r="B78" t="s">
        <v>139</v>
      </c>
      <c r="J78">
        <f>LBO!$J$41*Debt!J77</f>
        <v>74.662199999999828</v>
      </c>
      <c r="K78">
        <f>LBO!$J$41*Debt!K77</f>
        <v>83.621663999999811</v>
      </c>
      <c r="L78">
        <f>LBO!$J$41*Debt!L77</f>
        <v>93.656263679999782</v>
      </c>
      <c r="M78">
        <f>LBO!$J$41*Debt!M77</f>
        <v>104.89501532159976</v>
      </c>
      <c r="N78">
        <f>LBO!$J$41*Debt!N77</f>
        <v>117.48241716019173</v>
      </c>
      <c r="O78">
        <f>LBO!$J$41*Debt!O77</f>
        <v>131.58030721941472</v>
      </c>
      <c r="P78">
        <f>LBO!$J$41*Debt!P77</f>
        <v>147.36994408574449</v>
      </c>
      <c r="Q78">
        <f>LBO!$J$41*Debt!Q77</f>
        <v>165.05433737603383</v>
      </c>
    </row>
    <row r="79" spans="2:17" x14ac:dyDescent="0.45">
      <c r="B79" t="s">
        <v>40</v>
      </c>
      <c r="I79">
        <f>LBO!F41</f>
        <v>622.18499999999858</v>
      </c>
      <c r="J79">
        <f>SUM(J77:J78)</f>
        <v>696.84719999999845</v>
      </c>
      <c r="K79">
        <f t="shared" ref="K79:Q79" si="33">SUM(K77:K78)</f>
        <v>780.46886399999823</v>
      </c>
      <c r="L79">
        <f t="shared" si="33"/>
        <v>874.12512767999806</v>
      </c>
      <c r="M79">
        <f t="shared" si="33"/>
        <v>979.02014300159783</v>
      </c>
      <c r="N79">
        <f t="shared" si="33"/>
        <v>1096.5025601617895</v>
      </c>
      <c r="O79">
        <f t="shared" si="33"/>
        <v>1228.0828673812041</v>
      </c>
      <c r="P79">
        <f t="shared" si="33"/>
        <v>1375.4528114669486</v>
      </c>
      <c r="Q79">
        <f t="shared" si="33"/>
        <v>1540.5071488429824</v>
      </c>
    </row>
    <row r="81" spans="1:17" x14ac:dyDescent="0.45">
      <c r="B81" t="s">
        <v>143</v>
      </c>
      <c r="J81">
        <f ca="1">SUM(J29,J38,J47,J56,J62,-J67,-J73)</f>
        <v>-106.89671826035065</v>
      </c>
      <c r="K81">
        <f t="shared" ref="K81:Q81" ca="1" si="34">SUM(K29,K38,K47,K56,K62,-K67,-K73)</f>
        <v>-107.37851113000065</v>
      </c>
      <c r="L81">
        <f t="shared" ca="1" si="34"/>
        <v>-107.23351462247243</v>
      </c>
      <c r="M81">
        <f t="shared" ca="1" si="34"/>
        <v>-106.73246798887428</v>
      </c>
      <c r="N81">
        <f t="shared" ca="1" si="34"/>
        <v>-104.29307502525901</v>
      </c>
      <c r="O81">
        <f t="shared" ca="1" si="34"/>
        <v>-98.799522286363072</v>
      </c>
      <c r="P81">
        <f t="shared" ca="1" si="34"/>
        <v>-91.426678609246622</v>
      </c>
      <c r="Q81">
        <f t="shared" ca="1" si="34"/>
        <v>-85.819510747285563</v>
      </c>
    </row>
    <row r="82" spans="1:17" x14ac:dyDescent="0.45">
      <c r="B82" t="s">
        <v>144</v>
      </c>
      <c r="J82">
        <f ca="1">SUM(J29,J38,J47,J56,J62,-J67)</f>
        <v>-70.896718260350653</v>
      </c>
      <c r="K82">
        <f t="shared" ref="K82:Q82" ca="1" si="35">SUM(K29,K38,K47,K56,K62,-K67)</f>
        <v>-67.058511130000653</v>
      </c>
      <c r="L82">
        <f t="shared" ca="1" si="35"/>
        <v>-62.07511462247242</v>
      </c>
      <c r="M82">
        <f t="shared" ca="1" si="35"/>
        <v>-56.155059988874292</v>
      </c>
      <c r="N82">
        <f t="shared" ca="1" si="35"/>
        <v>-47.646378065259022</v>
      </c>
      <c r="O82">
        <f t="shared" ca="1" si="35"/>
        <v>-35.355221691163088</v>
      </c>
      <c r="P82">
        <f t="shared" ca="1" si="35"/>
        <v>-20.369061942622618</v>
      </c>
      <c r="Q82">
        <f t="shared" ca="1" si="35"/>
        <v>-6.2349800806666851</v>
      </c>
    </row>
    <row r="84" spans="1:17" x14ac:dyDescent="0.45">
      <c r="A84" s="62" t="s">
        <v>154</v>
      </c>
    </row>
    <row r="85" spans="1:17" x14ac:dyDescent="0.45">
      <c r="B85" t="s">
        <v>155</v>
      </c>
      <c r="J85">
        <f>IS!J14</f>
        <v>231.25167169999989</v>
      </c>
      <c r="K85">
        <f>IS!K14</f>
        <v>256.20190433140016</v>
      </c>
      <c r="L85">
        <f>IS!L14</f>
        <v>302.33184888313679</v>
      </c>
      <c r="M85">
        <f>IS!M14</f>
        <v>308.96993731837881</v>
      </c>
      <c r="N85">
        <f>IS!N14</f>
        <v>315.32630519126485</v>
      </c>
      <c r="O85">
        <f>IS!O14</f>
        <v>321.63037442265568</v>
      </c>
      <c r="P85">
        <f>IS!P14</f>
        <v>327.89809429178069</v>
      </c>
      <c r="Q85">
        <f>IS!Q14</f>
        <v>334.14383958607038</v>
      </c>
    </row>
    <row r="86" spans="1:17" x14ac:dyDescent="0.45">
      <c r="B86" t="s">
        <v>156</v>
      </c>
      <c r="J86">
        <f>J85+CFS!J13</f>
        <v>151.25323829999991</v>
      </c>
      <c r="K86">
        <f>K85+CFS!K13</f>
        <v>175.88347719780018</v>
      </c>
      <c r="L86">
        <f>L85+CFS!L13</f>
        <v>201.93381496613682</v>
      </c>
      <c r="M86">
        <f>M85+CFS!M13</f>
        <v>206.86513682478983</v>
      </c>
      <c r="N86">
        <f>N85+CFS!N13</f>
        <v>211.58782788977845</v>
      </c>
      <c r="O86">
        <f>O85+CFS!O13</f>
        <v>216.23208148434549</v>
      </c>
      <c r="P86">
        <f>P85+CFS!P13</f>
        <v>220.81342866645753</v>
      </c>
      <c r="Q86">
        <f>Q85+CFS!Q13</f>
        <v>225.34581931074206</v>
      </c>
    </row>
    <row r="87" spans="1:17" x14ac:dyDescent="0.45">
      <c r="B87" t="s">
        <v>157</v>
      </c>
      <c r="I87">
        <f>SUM(I74,I69,I61,I55,I46,I37,I28)</f>
        <v>1211</v>
      </c>
      <c r="J87">
        <f ca="1">SUM(J74,J69,J61,J55,J46,J37,J28)</f>
        <v>1195.4111670298475</v>
      </c>
      <c r="K87">
        <f t="shared" ref="K87:Q87" ca="1" si="36">SUM(K74,K69,K61,K55,K46,K37,K28)</f>
        <v>1152.6460656017541</v>
      </c>
      <c r="L87">
        <f t="shared" ca="1" si="36"/>
        <v>1106.0335492218396</v>
      </c>
      <c r="M87">
        <f t="shared" ca="1" si="36"/>
        <v>1040.6606583877847</v>
      </c>
      <c r="N87">
        <f t="shared" ca="1" si="36"/>
        <v>966.25177978901343</v>
      </c>
      <c r="O87">
        <f t="shared" ca="1" si="36"/>
        <v>883.57117384295111</v>
      </c>
      <c r="P87">
        <f t="shared" ca="1" si="36"/>
        <v>791.76071254484839</v>
      </c>
      <c r="Q87">
        <f t="shared" ca="1" si="36"/>
        <v>742.78895288844285</v>
      </c>
    </row>
    <row r="89" spans="1:17" x14ac:dyDescent="0.45">
      <c r="B89" t="s">
        <v>158</v>
      </c>
      <c r="J89" s="67">
        <f ca="1">J87/J85</f>
        <v>5.1693082183667007</v>
      </c>
      <c r="K89" s="67">
        <f t="shared" ref="K89:Q89" ca="1" si="37">K87/K85</f>
        <v>4.4989754022702071</v>
      </c>
      <c r="L89" s="67">
        <f t="shared" ca="1" si="37"/>
        <v>3.658342821994137</v>
      </c>
      <c r="M89" s="67">
        <f t="shared" ca="1" si="37"/>
        <v>3.3681615351315988</v>
      </c>
      <c r="N89" s="67">
        <f t="shared" ca="1" si="37"/>
        <v>3.0642916999992185</v>
      </c>
      <c r="O89" s="67">
        <f t="shared" ca="1" si="37"/>
        <v>2.7471633406173477</v>
      </c>
      <c r="P89" s="67">
        <f t="shared" ca="1" si="37"/>
        <v>2.4146548160182313</v>
      </c>
      <c r="Q89" s="67">
        <f t="shared" ca="1" si="37"/>
        <v>2.2229616856279395</v>
      </c>
    </row>
    <row r="90" spans="1:17" x14ac:dyDescent="0.45">
      <c r="B90" t="s">
        <v>159</v>
      </c>
      <c r="J90" s="67">
        <f ca="1">J87/J86</f>
        <v>7.9033756927493712</v>
      </c>
      <c r="K90" s="67">
        <f t="shared" ref="K90:Q90" ca="1" si="38">K87/K86</f>
        <v>6.55346416824292</v>
      </c>
      <c r="L90" s="67">
        <f t="shared" ca="1" si="38"/>
        <v>5.4772082100628632</v>
      </c>
      <c r="M90" s="67">
        <f t="shared" ca="1" si="38"/>
        <v>5.0306236921362011</v>
      </c>
      <c r="N90" s="67">
        <f t="shared" ca="1" si="38"/>
        <v>4.5666699706958518</v>
      </c>
      <c r="O90" s="67">
        <f t="shared" ca="1" si="38"/>
        <v>4.0862168452414354</v>
      </c>
      <c r="P90" s="67">
        <f t="shared" ca="1" si="38"/>
        <v>3.585654719128593</v>
      </c>
      <c r="Q90" s="67">
        <f t="shared" ca="1" si="38"/>
        <v>3.29621803129247</v>
      </c>
    </row>
    <row r="91" spans="1:17" x14ac:dyDescent="0.45">
      <c r="B91" t="s">
        <v>160</v>
      </c>
      <c r="J91" s="67">
        <f ca="1">J85/-J82</f>
        <v>3.2618106645047429</v>
      </c>
      <c r="K91" s="67">
        <f t="shared" ref="K91:Q91" ca="1" si="39">K85/-K82</f>
        <v>3.8205725121860108</v>
      </c>
      <c r="L91" s="67">
        <f t="shared" ca="1" si="39"/>
        <v>4.8704195025954355</v>
      </c>
      <c r="M91" s="67">
        <f t="shared" ca="1" si="39"/>
        <v>5.5020854288036274</v>
      </c>
      <c r="N91" s="67">
        <f t="shared" ca="1" si="39"/>
        <v>6.6180540472431533</v>
      </c>
      <c r="O91" s="67">
        <f t="shared" ca="1" si="39"/>
        <v>9.0971109510266785</v>
      </c>
      <c r="P91" s="67">
        <f t="shared" ca="1" si="39"/>
        <v>16.097849533544213</v>
      </c>
      <c r="Q91" s="67">
        <f t="shared" ca="1" si="39"/>
        <v>53.591805468982592</v>
      </c>
    </row>
    <row r="92" spans="1:17" x14ac:dyDescent="0.45">
      <c r="B92" t="s">
        <v>162</v>
      </c>
      <c r="J92" s="67">
        <f ca="1">J86/-J82</f>
        <v>2.1334307427963002</v>
      </c>
      <c r="K92" s="67">
        <f t="shared" ref="K92:Q92" ca="1" si="40">K86/-K82</f>
        <v>2.6228360014857737</v>
      </c>
      <c r="L92" s="67">
        <f t="shared" ca="1" si="40"/>
        <v>3.2530558532876683</v>
      </c>
      <c r="M92" s="67">
        <f t="shared" ca="1" si="40"/>
        <v>3.6838200665403069</v>
      </c>
      <c r="N92" s="67">
        <f t="shared" ca="1" si="40"/>
        <v>4.4407956382324905</v>
      </c>
      <c r="O92" s="67">
        <f t="shared" ca="1" si="40"/>
        <v>6.1159871481838826</v>
      </c>
      <c r="P92" s="67">
        <f t="shared" ca="1" si="40"/>
        <v>10.840628266950358</v>
      </c>
      <c r="Q92" s="67">
        <f t="shared" ca="1" si="40"/>
        <v>36.142187528311496</v>
      </c>
    </row>
    <row r="93" spans="1:17" x14ac:dyDescent="0.45">
      <c r="B93" t="s">
        <v>161</v>
      </c>
      <c r="J93" s="65">
        <f ca="1">1-J87/$I$87</f>
        <v>1.2872694442735311E-2</v>
      </c>
      <c r="K93" s="65">
        <f t="shared" ref="K93:Q93" ca="1" si="41">1-K87/$I$87</f>
        <v>4.8186568454373191E-2</v>
      </c>
      <c r="L93" s="65">
        <f t="shared" ca="1" si="41"/>
        <v>8.6677498578167089E-2</v>
      </c>
      <c r="M93" s="65">
        <f t="shared" ca="1" si="41"/>
        <v>0.14066006739241566</v>
      </c>
      <c r="N93" s="65">
        <f t="shared" ca="1" si="41"/>
        <v>0.20210422808504258</v>
      </c>
      <c r="O93" s="65">
        <f t="shared" ca="1" si="41"/>
        <v>0.27037888204545735</v>
      </c>
      <c r="P93" s="65">
        <f t="shared" ca="1" si="41"/>
        <v>0.34619264034281716</v>
      </c>
      <c r="Q93" s="65">
        <f t="shared" ca="1" si="41"/>
        <v>0.38663174823415125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E7E7E-E395-4DC0-8D7C-CA1EB23005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C16031-89E2-44A9-A3DE-5364FCA112DC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905C3CA6-69D5-4A1E-A4CF-67E902D0B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Welcome</vt:lpstr>
      <vt:lpstr>Info</vt:lpstr>
      <vt:lpstr>LBO</vt:lpstr>
      <vt:lpstr>Input</vt:lpstr>
      <vt:lpstr>Calc</vt:lpstr>
      <vt:lpstr>IS</vt:lpstr>
      <vt:lpstr>BS</vt:lpstr>
      <vt:lpstr>CFS</vt:lpstr>
      <vt:lpstr>Debt</vt:lpstr>
      <vt:lpstr>case</vt:lpstr>
      <vt:lpstr>date</vt:lpstr>
      <vt:lpstr>switch</vt:lpstr>
      <vt:lpstr>Switch2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 training</dc:creator>
  <cp:lastModifiedBy>Andrew Jones</cp:lastModifiedBy>
  <cp:lastPrinted>2016-08-02T18:28:31Z</cp:lastPrinted>
  <dcterms:created xsi:type="dcterms:W3CDTF">2016-02-03T14:06:14Z</dcterms:created>
  <dcterms:modified xsi:type="dcterms:W3CDTF">2025-03-28T15:55:14Z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