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Project Finance Full Model Build/8160 Renewable Energy - Ratios/11. Case Study - Modeling Debt - Total DSCR/"/>
    </mc:Choice>
  </mc:AlternateContent>
  <xr:revisionPtr revIDLastSave="0" documentId="8_{E5C21970-192D-4C89-B026-93409E26E38A}" xr6:coauthVersionLast="47" xr6:coauthVersionMax="47" xr10:uidLastSave="{00000000-0000-0000-0000-000000000000}"/>
  <bookViews>
    <workbookView xWindow="-98" yWindow="-98" windowWidth="21795" windowHeight="13875" firstSheet="8" activeTab="8" xr2:uid="{EF0FE2B7-6F62-4013-B60E-F852B67F0C79}"/>
  </bookViews>
  <sheets>
    <sheet name="Welcome" sheetId="1" r:id="rId1"/>
    <sheet name="Info" sheetId="6" r:id="rId2"/>
    <sheet name="Assumptions and Outputs" sheetId="2" r:id="rId3"/>
    <sheet name="Operations" sheetId="8" r:id="rId4"/>
    <sheet name="Sources and Uses" sheetId="10" r:id="rId5"/>
    <sheet name="P&amp;L and Tax" sheetId="11" r:id="rId6"/>
    <sheet name="Balance sheet" sheetId="14" r:id="rId7"/>
    <sheet name="Cashflow statement" sheetId="16" r:id="rId8"/>
    <sheet name="Debt" sheetId="15" r:id="rId9"/>
  </sheets>
  <definedNames>
    <definedName name="circ_switch">Info!$N$10</definedName>
    <definedName name="Local_currency">Info!$N$7</definedName>
    <definedName name="_xlnm.Print_Area" localSheetId="2">'Assumptions and Outputs'!$A$1:$P$234</definedName>
    <definedName name="_xlnm.Print_Area" localSheetId="6">'Balance sheet'!$A$1:$S$226</definedName>
    <definedName name="_xlnm.Print_Area" localSheetId="7">'Cashflow statement'!$A$1:$S$219</definedName>
    <definedName name="_xlnm.Print_Area" localSheetId="8">Debt!$A$1:$S$253</definedName>
    <definedName name="_xlnm.Print_Area" localSheetId="3">Operations!$A$1:$S$210</definedName>
    <definedName name="_xlnm.Print_Area" localSheetId="5">'P&amp;L and Tax'!$A$1:$S$241</definedName>
    <definedName name="_xlnm.Print_Area" localSheetId="4">'Sources and Uses'!$A$1:$S$242</definedName>
    <definedName name="start_date">Info!$N$6</definedName>
    <definedName name="today_date">Info!$N$6</definedName>
  </definedNames>
  <calcPr calcId="191028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5" l="1"/>
  <c r="F21" i="15"/>
  <c r="F18" i="15"/>
  <c r="G11" i="15"/>
  <c r="H11" i="15"/>
  <c r="I11" i="15"/>
  <c r="J11" i="15"/>
  <c r="K11" i="15"/>
  <c r="G13" i="15"/>
  <c r="H13" i="15"/>
  <c r="I13" i="15"/>
  <c r="J13" i="15"/>
  <c r="K13" i="15"/>
  <c r="G14" i="15"/>
  <c r="H14" i="15"/>
  <c r="I14" i="15"/>
  <c r="J14" i="15"/>
  <c r="K14" i="15"/>
  <c r="G15" i="15"/>
  <c r="H15" i="15"/>
  <c r="I15" i="15"/>
  <c r="J15" i="15"/>
  <c r="K15" i="15"/>
  <c r="F15" i="15"/>
  <c r="F14" i="15"/>
  <c r="F13" i="15"/>
  <c r="F11" i="15"/>
  <c r="G7" i="15"/>
  <c r="G8" i="15" s="1"/>
  <c r="H7" i="15"/>
  <c r="I7" i="15"/>
  <c r="I8" i="15" s="1"/>
  <c r="J7" i="15"/>
  <c r="K7" i="15"/>
  <c r="H8" i="15"/>
  <c r="J8" i="15"/>
  <c r="K8" i="15"/>
  <c r="F8" i="15"/>
  <c r="F7" i="15"/>
  <c r="G6" i="15"/>
  <c r="H6" i="15"/>
  <c r="I6" i="15"/>
  <c r="J6" i="15"/>
  <c r="K6" i="15"/>
  <c r="F6" i="15"/>
  <c r="F21" i="16"/>
  <c r="G13" i="16"/>
  <c r="H13" i="16"/>
  <c r="I13" i="16"/>
  <c r="J13" i="16"/>
  <c r="K13" i="16"/>
  <c r="F13" i="16"/>
  <c r="G12" i="16"/>
  <c r="H12" i="16"/>
  <c r="I12" i="16"/>
  <c r="J12" i="16"/>
  <c r="K12" i="16"/>
  <c r="F12" i="16"/>
  <c r="G7" i="16"/>
  <c r="H7" i="16"/>
  <c r="I7" i="16"/>
  <c r="J7" i="16"/>
  <c r="K7" i="16"/>
  <c r="G8" i="16"/>
  <c r="H8" i="16"/>
  <c r="I8" i="16"/>
  <c r="J8" i="16"/>
  <c r="K8" i="16"/>
  <c r="F8" i="16"/>
  <c r="F7" i="16"/>
  <c r="G18" i="14"/>
  <c r="H18" i="14"/>
  <c r="I18" i="14"/>
  <c r="J18" i="14"/>
  <c r="K18" i="14"/>
  <c r="F18" i="14"/>
  <c r="G13" i="14"/>
  <c r="H13" i="14"/>
  <c r="I13" i="14"/>
  <c r="J13" i="14"/>
  <c r="K13" i="14"/>
  <c r="F13" i="14"/>
  <c r="F6" i="14"/>
  <c r="F49" i="11"/>
  <c r="F27" i="11"/>
  <c r="G6" i="11"/>
  <c r="H6" i="11"/>
  <c r="I6" i="11"/>
  <c r="J6" i="11"/>
  <c r="K6" i="11"/>
  <c r="F6" i="11"/>
  <c r="F59" i="10"/>
  <c r="F48" i="10"/>
  <c r="G39" i="10"/>
  <c r="G40" i="10" s="1"/>
  <c r="H39" i="10"/>
  <c r="H40" i="10" s="1"/>
  <c r="I39" i="10"/>
  <c r="J39" i="10"/>
  <c r="K39" i="10"/>
  <c r="I40" i="10"/>
  <c r="J40" i="10"/>
  <c r="K40" i="10"/>
  <c r="F40" i="10"/>
  <c r="F39" i="10"/>
  <c r="G36" i="10"/>
  <c r="H36" i="10" s="1"/>
  <c r="F37" i="10"/>
  <c r="F36" i="10"/>
  <c r="G33" i="10"/>
  <c r="G34" i="10" s="1"/>
  <c r="H33" i="10"/>
  <c r="H34" i="10" s="1"/>
  <c r="I33" i="10"/>
  <c r="J33" i="10"/>
  <c r="K33" i="10"/>
  <c r="K34" i="10" s="1"/>
  <c r="I34" i="10"/>
  <c r="J34" i="10"/>
  <c r="F34" i="10"/>
  <c r="F33" i="10"/>
  <c r="G10" i="10"/>
  <c r="H10" i="10"/>
  <c r="I10" i="10"/>
  <c r="J10" i="10"/>
  <c r="K10" i="10"/>
  <c r="F10" i="10"/>
  <c r="G6" i="10"/>
  <c r="G7" i="10" s="1"/>
  <c r="H6" i="10"/>
  <c r="H7" i="10" s="1"/>
  <c r="I6" i="10"/>
  <c r="J6" i="10"/>
  <c r="K6" i="10"/>
  <c r="I7" i="10"/>
  <c r="J7" i="10"/>
  <c r="K7" i="10"/>
  <c r="F7" i="10"/>
  <c r="F6" i="10"/>
  <c r="G30" i="10"/>
  <c r="H30" i="10"/>
  <c r="I30" i="10"/>
  <c r="J30" i="10"/>
  <c r="K30" i="10"/>
  <c r="F30" i="10"/>
  <c r="G29" i="10" a="1"/>
  <c r="G29" i="10" s="1"/>
  <c r="H29" i="10" a="1"/>
  <c r="H29" i="10"/>
  <c r="I29" i="10" a="1"/>
  <c r="I29" i="10" s="1"/>
  <c r="J29" i="10" a="1"/>
  <c r="J29" i="10"/>
  <c r="K29" i="10" a="1"/>
  <c r="K29" i="10" s="1"/>
  <c r="F29" i="10" a="1"/>
  <c r="F29" i="10" s="1"/>
  <c r="G26" i="10"/>
  <c r="H26" i="10" s="1"/>
  <c r="I26" i="10" s="1"/>
  <c r="J26" i="10" s="1"/>
  <c r="K26" i="10" s="1"/>
  <c r="F26" i="10"/>
  <c r="G51" i="8"/>
  <c r="H51" i="8"/>
  <c r="I51" i="8"/>
  <c r="J51" i="8"/>
  <c r="K51" i="8"/>
  <c r="G52" i="8"/>
  <c r="H52" i="8"/>
  <c r="I52" i="8"/>
  <c r="J52" i="8"/>
  <c r="K52" i="8"/>
  <c r="F52" i="8"/>
  <c r="F51" i="8"/>
  <c r="G39" i="8"/>
  <c r="G40" i="8" s="1"/>
  <c r="G42" i="8" s="1"/>
  <c r="G50" i="8" s="1"/>
  <c r="H39" i="8"/>
  <c r="H40" i="8" s="1"/>
  <c r="H42" i="8" s="1"/>
  <c r="H50" i="8" s="1"/>
  <c r="I39" i="8"/>
  <c r="J39" i="8"/>
  <c r="K39" i="8"/>
  <c r="F39" i="8"/>
  <c r="F40" i="8" s="1"/>
  <c r="F42" i="8" s="1"/>
  <c r="F50" i="8" s="1"/>
  <c r="I50" i="8"/>
  <c r="G47" i="8"/>
  <c r="H47" i="8"/>
  <c r="I47" i="8"/>
  <c r="J47" i="8"/>
  <c r="K47" i="8"/>
  <c r="F47" i="8"/>
  <c r="G46" i="8"/>
  <c r="H46" i="8"/>
  <c r="I46" i="8"/>
  <c r="J46" i="8"/>
  <c r="K46" i="8"/>
  <c r="F46" i="8"/>
  <c r="G45" i="8"/>
  <c r="H45" i="8"/>
  <c r="I45" i="8"/>
  <c r="J45" i="8"/>
  <c r="K45" i="8"/>
  <c r="F45" i="8"/>
  <c r="I40" i="8"/>
  <c r="J40" i="8"/>
  <c r="J42" i="8" s="1"/>
  <c r="J50" i="8" s="1"/>
  <c r="K40" i="8"/>
  <c r="K42" i="8" s="1"/>
  <c r="K50" i="8" s="1"/>
  <c r="I42" i="8"/>
  <c r="G36" i="8"/>
  <c r="H36" i="8"/>
  <c r="I36" i="8"/>
  <c r="J36" i="8"/>
  <c r="K36" i="8"/>
  <c r="F36" i="8"/>
  <c r="F34" i="8"/>
  <c r="G34" i="8"/>
  <c r="H34" i="8"/>
  <c r="I34" i="8"/>
  <c r="J34" i="8"/>
  <c r="K34" i="8"/>
  <c r="F35" i="8"/>
  <c r="G35" i="8"/>
  <c r="H35" i="8"/>
  <c r="I35" i="8"/>
  <c r="J35" i="8"/>
  <c r="K35" i="8"/>
  <c r="G33" i="8"/>
  <c r="H33" i="8"/>
  <c r="I33" i="8"/>
  <c r="J33" i="8"/>
  <c r="K33" i="8"/>
  <c r="F33" i="8"/>
  <c r="F30" i="8"/>
  <c r="G30" i="8"/>
  <c r="H30" i="8"/>
  <c r="I30" i="8"/>
  <c r="J30" i="8"/>
  <c r="K30" i="8"/>
  <c r="F31" i="8"/>
  <c r="G31" i="8"/>
  <c r="H31" i="8"/>
  <c r="I31" i="8"/>
  <c r="J31" i="8"/>
  <c r="K31" i="8"/>
  <c r="G29" i="8"/>
  <c r="H29" i="8"/>
  <c r="I29" i="8"/>
  <c r="J29" i="8"/>
  <c r="K29" i="8"/>
  <c r="F29" i="8"/>
  <c r="F26" i="8"/>
  <c r="G26" i="8"/>
  <c r="H26" i="8"/>
  <c r="I26" i="8"/>
  <c r="J26" i="8"/>
  <c r="K26" i="8"/>
  <c r="F27" i="8"/>
  <c r="G27" i="8"/>
  <c r="H27" i="8"/>
  <c r="I27" i="8"/>
  <c r="J27" i="8"/>
  <c r="K27" i="8"/>
  <c r="G25" i="8"/>
  <c r="H25" i="8"/>
  <c r="I25" i="8"/>
  <c r="J25" i="8"/>
  <c r="K25" i="8"/>
  <c r="F25" i="8"/>
  <c r="G22" i="8"/>
  <c r="H22" i="8"/>
  <c r="I22" i="8"/>
  <c r="J22" i="8"/>
  <c r="K22" i="8"/>
  <c r="F22" i="8"/>
  <c r="G18" i="8"/>
  <c r="G20" i="8" s="1"/>
  <c r="H18" i="8"/>
  <c r="H20" i="8" s="1"/>
  <c r="I18" i="8"/>
  <c r="J18" i="8"/>
  <c r="K18" i="8"/>
  <c r="G19" i="8"/>
  <c r="H19" i="8"/>
  <c r="I19" i="8"/>
  <c r="J19" i="8"/>
  <c r="J20" i="8" s="1"/>
  <c r="K19" i="8"/>
  <c r="I20" i="8"/>
  <c r="F20" i="8"/>
  <c r="F19" i="8"/>
  <c r="F18" i="8"/>
  <c r="G17" i="8"/>
  <c r="H17" i="8"/>
  <c r="I17" i="8"/>
  <c r="J17" i="8"/>
  <c r="K17" i="8"/>
  <c r="F17" i="8"/>
  <c r="G15" i="8"/>
  <c r="H15" i="8"/>
  <c r="I15" i="8"/>
  <c r="J15" i="8"/>
  <c r="K15" i="8"/>
  <c r="F15" i="8"/>
  <c r="G14" i="8"/>
  <c r="H14" i="8"/>
  <c r="I14" i="8"/>
  <c r="J14" i="8"/>
  <c r="K14" i="8"/>
  <c r="F14" i="8"/>
  <c r="G13" i="8"/>
  <c r="H13" i="8"/>
  <c r="I13" i="8"/>
  <c r="J13" i="8"/>
  <c r="K13" i="8"/>
  <c r="F13" i="8"/>
  <c r="G10" i="8"/>
  <c r="H10" i="8" s="1"/>
  <c r="I10" i="8" s="1"/>
  <c r="J10" i="8" s="1"/>
  <c r="K10" i="8" s="1"/>
  <c r="F10" i="8"/>
  <c r="G7" i="8"/>
  <c r="H7" i="8"/>
  <c r="I7" i="8"/>
  <c r="J7" i="8"/>
  <c r="K7" i="8"/>
  <c r="F7" i="8"/>
  <c r="G6" i="8"/>
  <c r="H6" i="8"/>
  <c r="I6" i="8"/>
  <c r="J6" i="8"/>
  <c r="K6" i="8"/>
  <c r="F6" i="8"/>
  <c r="L3" i="15"/>
  <c r="L4" i="15"/>
  <c r="L5" i="15"/>
  <c r="L9" i="15"/>
  <c r="L10" i="15"/>
  <c r="L17" i="15"/>
  <c r="L20" i="15"/>
  <c r="L26" i="15"/>
  <c r="L28" i="15"/>
  <c r="L34" i="15"/>
  <c r="L36" i="15"/>
  <c r="L38" i="15"/>
  <c r="L39" i="15"/>
  <c r="L43" i="15"/>
  <c r="L44" i="15"/>
  <c r="L46" i="15"/>
  <c r="L47" i="15"/>
  <c r="L48" i="15"/>
  <c r="L51" i="15"/>
  <c r="L52" i="15"/>
  <c r="L55" i="15"/>
  <c r="L56" i="15"/>
  <c r="L60" i="15"/>
  <c r="L62" i="15"/>
  <c r="L65" i="15"/>
  <c r="L66" i="15"/>
  <c r="L77" i="15"/>
  <c r="L78" i="15"/>
  <c r="L83" i="15"/>
  <c r="L84" i="15"/>
  <c r="L90" i="15"/>
  <c r="L91" i="15"/>
  <c r="L92" i="15"/>
  <c r="L93" i="15"/>
  <c r="L3" i="16"/>
  <c r="L4" i="16"/>
  <c r="L11" i="16"/>
  <c r="L14" i="16"/>
  <c r="L15" i="16"/>
  <c r="L16" i="16"/>
  <c r="L18" i="16"/>
  <c r="L20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3" i="14"/>
  <c r="L4" i="14"/>
  <c r="L5" i="14"/>
  <c r="L8" i="14"/>
  <c r="L10" i="14"/>
  <c r="L11" i="14"/>
  <c r="L12" i="14"/>
  <c r="L16" i="14"/>
  <c r="L19" i="14"/>
  <c r="L20" i="14"/>
  <c r="L22" i="14"/>
  <c r="L26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3" i="11"/>
  <c r="L4" i="11"/>
  <c r="L5" i="11"/>
  <c r="L8" i="11"/>
  <c r="L9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4" i="11"/>
  <c r="L26" i="11"/>
  <c r="L31" i="11"/>
  <c r="L32" i="11"/>
  <c r="L34" i="11"/>
  <c r="L38" i="11"/>
  <c r="L39" i="11"/>
  <c r="L43" i="11"/>
  <c r="L44" i="11"/>
  <c r="L47" i="11"/>
  <c r="L51" i="11"/>
  <c r="L52" i="11"/>
  <c r="L53" i="11"/>
  <c r="L54" i="11"/>
  <c r="L55" i="11"/>
  <c r="L56" i="11"/>
  <c r="L57" i="11"/>
  <c r="L24" i="10"/>
  <c r="L25" i="10"/>
  <c r="L27" i="10"/>
  <c r="L28" i="10"/>
  <c r="L31" i="10"/>
  <c r="L32" i="10"/>
  <c r="L35" i="10"/>
  <c r="L38" i="10"/>
  <c r="L41" i="10"/>
  <c r="L43" i="10"/>
  <c r="L44" i="10"/>
  <c r="L46" i="10"/>
  <c r="L47" i="10"/>
  <c r="L52" i="10"/>
  <c r="L53" i="10"/>
  <c r="L54" i="10"/>
  <c r="L55" i="10"/>
  <c r="L56" i="10"/>
  <c r="L58" i="10"/>
  <c r="L62" i="10"/>
  <c r="L63" i="10"/>
  <c r="L65" i="10"/>
  <c r="L68" i="10"/>
  <c r="L71" i="10"/>
  <c r="L75" i="10"/>
  <c r="L76" i="10"/>
  <c r="L77" i="10"/>
  <c r="L78" i="10"/>
  <c r="L8" i="10"/>
  <c r="L9" i="10"/>
  <c r="L3" i="8"/>
  <c r="L4" i="8"/>
  <c r="L5" i="8"/>
  <c r="L8" i="8"/>
  <c r="L9" i="8"/>
  <c r="L11" i="8"/>
  <c r="L12" i="8"/>
  <c r="L16" i="8"/>
  <c r="L21" i="8"/>
  <c r="L23" i="8"/>
  <c r="L24" i="8"/>
  <c r="L28" i="8"/>
  <c r="L32" i="8"/>
  <c r="L37" i="8"/>
  <c r="L38" i="8"/>
  <c r="L41" i="8"/>
  <c r="L43" i="8"/>
  <c r="L44" i="8"/>
  <c r="L48" i="8"/>
  <c r="L49" i="8"/>
  <c r="L53" i="8"/>
  <c r="L54" i="8"/>
  <c r="L55" i="8"/>
  <c r="L56" i="8"/>
  <c r="L57" i="8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D18" i="8"/>
  <c r="L13" i="8"/>
  <c r="L6" i="15"/>
  <c r="L34" i="10"/>
  <c r="L30" i="10"/>
  <c r="L35" i="8"/>
  <c r="L30" i="8"/>
  <c r="L12" i="16"/>
  <c r="L27" i="8"/>
  <c r="L7" i="10"/>
  <c r="L52" i="8"/>
  <c r="L25" i="8"/>
  <c r="L15" i="15"/>
  <c r="L26" i="10"/>
  <c r="L18" i="14"/>
  <c r="L6" i="8"/>
  <c r="L39" i="10"/>
  <c r="L7" i="16"/>
  <c r="L22" i="8"/>
  <c r="L17" i="8"/>
  <c r="L10" i="8"/>
  <c r="L40" i="8"/>
  <c r="L7" i="15"/>
  <c r="L15" i="8"/>
  <c r="L10" i="10"/>
  <c r="L29" i="8"/>
  <c r="L13" i="16"/>
  <c r="L11" i="15"/>
  <c r="L6" i="11"/>
  <c r="L31" i="8"/>
  <c r="L19" i="8"/>
  <c r="L33" i="8"/>
  <c r="L42" i="8"/>
  <c r="L46" i="8"/>
  <c r="L8" i="15"/>
  <c r="L13" i="15"/>
  <c r="L14" i="15"/>
  <c r="L7" i="8"/>
  <c r="L51" i="8"/>
  <c r="L47" i="8"/>
  <c r="L26" i="8"/>
  <c r="L29" i="10"/>
  <c r="L50" i="8"/>
  <c r="L34" i="8"/>
  <c r="L33" i="10"/>
  <c r="L13" i="14"/>
  <c r="L36" i="8"/>
  <c r="L39" i="8"/>
  <c r="L8" i="16"/>
  <c r="L18" i="8"/>
  <c r="L45" i="8"/>
  <c r="L14" i="8"/>
  <c r="L6" i="10"/>
  <c r="L40" i="10"/>
  <c r="I36" i="10" l="1"/>
  <c r="H37" i="10"/>
  <c r="G37" i="10"/>
  <c r="K20" i="8"/>
  <c r="D76" i="15"/>
  <c r="D72" i="15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2" i="2"/>
  <c r="A1" i="2"/>
  <c r="I114" i="2"/>
  <c r="J114" i="2"/>
  <c r="K114" i="2"/>
  <c r="L114" i="2"/>
  <c r="M114" i="2"/>
  <c r="H116" i="2"/>
  <c r="D86" i="15"/>
  <c r="D82" i="15"/>
  <c r="L20" i="8"/>
  <c r="J36" i="10" l="1"/>
  <c r="I37" i="10"/>
  <c r="D55" i="10"/>
  <c r="A1" i="11"/>
  <c r="A2" i="11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B3" i="11"/>
  <c r="D14" i="11"/>
  <c r="D15" i="11"/>
  <c r="D37" i="11"/>
  <c r="D45" i="11"/>
  <c r="A1" i="14"/>
  <c r="A2" i="14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Q2" i="14" s="1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B3" i="14"/>
  <c r="C13" i="14"/>
  <c r="D13" i="14"/>
  <c r="C18" i="14"/>
  <c r="D18" i="14"/>
  <c r="A1" i="16"/>
  <c r="A2" i="16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Q2" i="16" s="1"/>
  <c r="R2" i="16" s="1"/>
  <c r="S2" i="16" s="1"/>
  <c r="T2" i="16" s="1"/>
  <c r="U2" i="16" s="1"/>
  <c r="V2" i="16" s="1"/>
  <c r="W2" i="16" s="1"/>
  <c r="X2" i="16" s="1"/>
  <c r="Y2" i="16" s="1"/>
  <c r="Z2" i="16" s="1"/>
  <c r="AA2" i="16" s="1"/>
  <c r="B3" i="16"/>
  <c r="B7" i="16"/>
  <c r="B8" i="16"/>
  <c r="B9" i="16"/>
  <c r="A1" i="15"/>
  <c r="A2" i="15"/>
  <c r="F2" i="15"/>
  <c r="B3" i="15"/>
  <c r="D6" i="15"/>
  <c r="C23" i="15"/>
  <c r="D23" i="15"/>
  <c r="C25" i="15"/>
  <c r="C31" i="15"/>
  <c r="D31" i="15"/>
  <c r="C33" i="15"/>
  <c r="D46" i="15"/>
  <c r="D47" i="15"/>
  <c r="D50" i="15"/>
  <c r="D64" i="15"/>
  <c r="A1" i="10"/>
  <c r="A2" i="10"/>
  <c r="F2" i="10"/>
  <c r="G2" i="10" s="1"/>
  <c r="H2" i="10" s="1"/>
  <c r="I2" i="10" s="1"/>
  <c r="B3" i="10"/>
  <c r="C27" i="10"/>
  <c r="D27" i="10"/>
  <c r="C28" i="10"/>
  <c r="D30" i="10"/>
  <c r="D33" i="10"/>
  <c r="C34" i="10"/>
  <c r="D34" i="10"/>
  <c r="D36" i="10"/>
  <c r="C50" i="10"/>
  <c r="D50" i="10"/>
  <c r="C66" i="10"/>
  <c r="D66" i="10"/>
  <c r="C67" i="10"/>
  <c r="J37" i="10" l="1"/>
  <c r="K36" i="10"/>
  <c r="G2" i="15"/>
  <c r="J2" i="10"/>
  <c r="K37" i="10" l="1"/>
  <c r="H2" i="15"/>
  <c r="K2" i="10"/>
  <c r="L37" i="10"/>
  <c r="L36" i="10"/>
  <c r="I2" i="15" l="1"/>
  <c r="L2" i="10"/>
  <c r="J2" i="15" l="1"/>
  <c r="M2" i="10"/>
  <c r="K2" i="15" l="1"/>
  <c r="N2" i="10"/>
  <c r="L2" i="15" l="1"/>
  <c r="O2" i="10"/>
  <c r="M2" i="15" l="1"/>
  <c r="P2" i="10"/>
  <c r="N2" i="15" l="1"/>
  <c r="Q2" i="10"/>
  <c r="O2" i="15" l="1"/>
  <c r="R2" i="10"/>
  <c r="P2" i="15" l="1"/>
  <c r="S2" i="10"/>
  <c r="Q2" i="15" l="1"/>
  <c r="T2" i="10"/>
  <c r="R2" i="15" l="1"/>
  <c r="U2" i="10"/>
  <c r="S2" i="15" l="1"/>
  <c r="V2" i="10"/>
  <c r="T2" i="15" l="1"/>
  <c r="W2" i="10"/>
  <c r="U2" i="15" l="1"/>
  <c r="X2" i="10"/>
  <c r="V2" i="15" l="1"/>
  <c r="Y2" i="10"/>
  <c r="W2" i="15" l="1"/>
  <c r="Z2" i="10"/>
  <c r="X2" i="15" l="1"/>
  <c r="AA2" i="10"/>
  <c r="Y2" i="15" l="1"/>
  <c r="D68" i="2"/>
  <c r="D45" i="2"/>
  <c r="D28" i="10" s="1"/>
  <c r="Z2" i="15" l="1"/>
  <c r="D67" i="10"/>
  <c r="D46" i="8"/>
  <c r="D45" i="8"/>
  <c r="D39" i="8"/>
  <c r="D38" i="8"/>
  <c r="D30" i="8"/>
  <c r="D31" i="8"/>
  <c r="D29" i="8"/>
  <c r="D26" i="8"/>
  <c r="D25" i="8"/>
  <c r="B27" i="2"/>
  <c r="B28" i="2"/>
  <c r="D15" i="8"/>
  <c r="D19" i="8"/>
  <c r="D14" i="8"/>
  <c r="D13" i="8"/>
  <c r="F2" i="8"/>
  <c r="D10" i="8"/>
  <c r="D6" i="8"/>
  <c r="G2" i="8" l="1"/>
  <c r="AA2" i="15"/>
  <c r="H2" i="8"/>
  <c r="B3" i="8"/>
  <c r="A2" i="8"/>
  <c r="A1" i="8"/>
  <c r="I2" i="8" l="1"/>
  <c r="J2" i="8" l="1"/>
  <c r="K2" i="8" l="1"/>
  <c r="L2" i="8" l="1"/>
  <c r="M2" i="8" l="1"/>
  <c r="N2" i="8" l="1"/>
  <c r="O2" i="8" l="1"/>
  <c r="P2" i="8" l="1"/>
  <c r="C50" i="2"/>
  <c r="B51" i="2"/>
  <c r="C48" i="2"/>
  <c r="B36" i="2"/>
  <c r="B35" i="2"/>
  <c r="Q2" i="8" l="1"/>
  <c r="D29" i="2"/>
  <c r="D27" i="8" s="1"/>
  <c r="B3" i="2"/>
  <c r="D59" i="2"/>
  <c r="D46" i="11" s="1"/>
  <c r="D75" i="2"/>
  <c r="D73" i="10" s="1"/>
  <c r="D33" i="15" s="1"/>
  <c r="D73" i="2"/>
  <c r="D50" i="2"/>
  <c r="D37" i="10" s="1"/>
  <c r="A2" i="6"/>
  <c r="A7" i="1"/>
  <c r="N13" i="10" l="1"/>
  <c r="G13" i="10"/>
  <c r="F13" i="10"/>
  <c r="K13" i="10"/>
  <c r="H13" i="10"/>
  <c r="I13" i="10"/>
  <c r="O13" i="10"/>
  <c r="J13" i="10"/>
  <c r="L13" i="10"/>
  <c r="M13" i="10"/>
  <c r="D72" i="10"/>
  <c r="D25" i="15" s="1"/>
  <c r="D77" i="2"/>
  <c r="D79" i="15" s="1"/>
  <c r="R2" i="8"/>
  <c r="A1" i="6"/>
  <c r="P13" i="10" l="1"/>
  <c r="Q13" i="10"/>
  <c r="S2" i="8"/>
  <c r="R13" i="10" l="1"/>
  <c r="T2" i="8"/>
  <c r="S13" i="10" l="1"/>
  <c r="U2" i="8"/>
  <c r="T13" i="10" l="1"/>
  <c r="V2" i="8"/>
  <c r="U13" i="10" l="1"/>
  <c r="W2" i="8"/>
  <c r="V13" i="10" l="1"/>
  <c r="X2" i="8"/>
  <c r="W13" i="10" l="1"/>
  <c r="Y2" i="8"/>
  <c r="X13" i="10" l="1"/>
  <c r="Z2" i="8"/>
  <c r="Y13" i="10" l="1"/>
  <c r="AA2" i="8"/>
  <c r="Z13" i="10" l="1"/>
  <c r="AA13" i="10" l="1"/>
  <c r="M14" i="10" l="1"/>
  <c r="M16" i="10" s="1"/>
  <c r="N14" i="10"/>
  <c r="N16" i="10" s="1"/>
  <c r="O14" i="10"/>
  <c r="O16" i="10" s="1"/>
  <c r="P14" i="10"/>
  <c r="Q14" i="10"/>
  <c r="R14" i="10"/>
  <c r="S14" i="10"/>
  <c r="T14" i="10"/>
  <c r="U14" i="10"/>
  <c r="U16" i="10" s="1"/>
  <c r="V14" i="10"/>
  <c r="V16" i="10" s="1"/>
  <c r="W14" i="10"/>
  <c r="W16" i="10" s="1"/>
  <c r="X14" i="10"/>
  <c r="Y14" i="10"/>
  <c r="Z14" i="10"/>
  <c r="AA14" i="10"/>
  <c r="F15" i="10"/>
  <c r="G15" i="10"/>
  <c r="H15" i="10"/>
  <c r="I15" i="10"/>
  <c r="J15" i="10"/>
  <c r="K15" i="10"/>
  <c r="L15" i="10"/>
  <c r="M15" i="10"/>
  <c r="N15" i="10"/>
  <c r="O15" i="10"/>
  <c r="P15" i="10"/>
  <c r="P16" i="10" s="1"/>
  <c r="Q15" i="10"/>
  <c r="Q16" i="10" s="1"/>
  <c r="R15" i="10"/>
  <c r="S15" i="10"/>
  <c r="T15" i="10"/>
  <c r="T16" i="10" s="1"/>
  <c r="U15" i="10"/>
  <c r="V15" i="10"/>
  <c r="W15" i="10"/>
  <c r="X15" i="10"/>
  <c r="X16" i="10" s="1"/>
  <c r="Y15" i="10"/>
  <c r="Y16" i="10" s="1"/>
  <c r="Z15" i="10"/>
  <c r="AA15" i="10"/>
  <c r="R16" i="10"/>
  <c r="S16" i="10"/>
  <c r="Z16" i="10"/>
  <c r="AA16" i="10"/>
  <c r="M18" i="10"/>
  <c r="M21" i="10" s="1"/>
  <c r="N18" i="10"/>
  <c r="O18" i="10"/>
  <c r="P18" i="10"/>
  <c r="P21" i="10" s="1"/>
  <c r="P23" i="10" s="1"/>
  <c r="Q18" i="10"/>
  <c r="R18" i="10"/>
  <c r="S18" i="10"/>
  <c r="T18" i="10"/>
  <c r="T21" i="10" s="1"/>
  <c r="T23" i="10" s="1"/>
  <c r="U18" i="10"/>
  <c r="U21" i="10" s="1"/>
  <c r="V18" i="10"/>
  <c r="W18" i="10"/>
  <c r="X18" i="10"/>
  <c r="X21" i="10" s="1"/>
  <c r="X23" i="10" s="1"/>
  <c r="Y18" i="10"/>
  <c r="Z18" i="10"/>
  <c r="AA18" i="10"/>
  <c r="M19" i="10"/>
  <c r="N19" i="10"/>
  <c r="N21" i="10" s="1"/>
  <c r="N23" i="10" s="1"/>
  <c r="O19" i="10"/>
  <c r="O21" i="10" s="1"/>
  <c r="O23" i="10" s="1"/>
  <c r="P19" i="10"/>
  <c r="Q19" i="10"/>
  <c r="R19" i="10"/>
  <c r="S19" i="10"/>
  <c r="T19" i="10"/>
  <c r="U19" i="10"/>
  <c r="V19" i="10"/>
  <c r="V21" i="10" s="1"/>
  <c r="V23" i="10" s="1"/>
  <c r="W19" i="10"/>
  <c r="W21" i="10" s="1"/>
  <c r="W23" i="10" s="1"/>
  <c r="X19" i="10"/>
  <c r="Y19" i="10"/>
  <c r="Z19" i="10"/>
  <c r="AA19" i="10"/>
  <c r="M20" i="10"/>
  <c r="N20" i="10"/>
  <c r="O20" i="10"/>
  <c r="P20" i="10"/>
  <c r="Q20" i="10"/>
  <c r="Q21" i="10" s="1"/>
  <c r="Q23" i="10" s="1"/>
  <c r="R20" i="10"/>
  <c r="S20" i="10"/>
  <c r="T20" i="10"/>
  <c r="U20" i="10"/>
  <c r="V20" i="10"/>
  <c r="W20" i="10"/>
  <c r="X20" i="10"/>
  <c r="Y20" i="10"/>
  <c r="Y21" i="10" s="1"/>
  <c r="Y23" i="10" s="1"/>
  <c r="Z20" i="10"/>
  <c r="AA20" i="10"/>
  <c r="R21" i="10"/>
  <c r="R23" i="10" s="1"/>
  <c r="S21" i="10"/>
  <c r="S23" i="10" s="1"/>
  <c r="Z21" i="10"/>
  <c r="Z23" i="10" s="1"/>
  <c r="AA21" i="10"/>
  <c r="AA23" i="10" s="1"/>
  <c r="U23" i="10" l="1"/>
  <c r="M23" i="10"/>
  <c r="F42" i="10" l="1"/>
  <c r="F14" i="10" s="1"/>
  <c r="F16" i="10" s="1"/>
  <c r="G42" i="10"/>
  <c r="G14" i="10" s="1"/>
  <c r="G16" i="10" s="1"/>
  <c r="H42" i="10"/>
  <c r="H14" i="10" s="1"/>
  <c r="H16" i="10" s="1"/>
  <c r="I42" i="10"/>
  <c r="I14" i="10" s="1"/>
  <c r="I16" i="10" s="1"/>
  <c r="J42" i="10"/>
  <c r="J14" i="10" s="1"/>
  <c r="J16" i="10" s="1"/>
  <c r="K42" i="10"/>
  <c r="K14" i="10" s="1"/>
  <c r="K16" i="10" s="1"/>
  <c r="L42" i="10"/>
  <c r="L14" i="10" l="1"/>
  <c r="L16" i="10" s="1"/>
  <c r="F45" i="10"/>
  <c r="G45" i="10"/>
  <c r="H45" i="10"/>
  <c r="I45" i="10"/>
  <c r="J45" i="10"/>
  <c r="K45" i="10"/>
  <c r="D49" i="10"/>
  <c r="F50" i="10" s="1"/>
  <c r="F49" i="10"/>
  <c r="G49" i="10"/>
  <c r="H49" i="10"/>
  <c r="I49" i="10"/>
  <c r="J49" i="10"/>
  <c r="K49" i="10"/>
  <c r="L49" i="10"/>
  <c r="L45" i="10"/>
  <c r="F6" i="16" l="1"/>
  <c r="F51" i="10"/>
  <c r="F7" i="11"/>
  <c r="F10" i="11" s="1"/>
  <c r="F40" i="11" s="1"/>
  <c r="D54" i="10"/>
  <c r="D56" i="10" s="1"/>
  <c r="F57" i="10" s="1"/>
  <c r="G48" i="10" l="1"/>
  <c r="G50" i="10" s="1"/>
  <c r="F14" i="14"/>
  <c r="F15" i="14" s="1"/>
  <c r="F23" i="11"/>
  <c r="F25" i="11" s="1"/>
  <c r="F28" i="11" s="1"/>
  <c r="F33" i="11"/>
  <c r="G7" i="11" l="1"/>
  <c r="G10" i="11" s="1"/>
  <c r="G40" i="11" s="1"/>
  <c r="G6" i="16"/>
  <c r="G51" i="10"/>
  <c r="H48" i="10" s="1"/>
  <c r="H50" i="10" s="1"/>
  <c r="F29" i="11"/>
  <c r="F35" i="11" s="1"/>
  <c r="F36" i="11" s="1"/>
  <c r="F37" i="11" s="1"/>
  <c r="F41" i="11" s="1"/>
  <c r="F60" i="10"/>
  <c r="F35" i="15" s="1"/>
  <c r="G23" i="11" l="1"/>
  <c r="G25" i="11" s="1"/>
  <c r="G28" i="11" s="1"/>
  <c r="F18" i="10"/>
  <c r="F17" i="16"/>
  <c r="F19" i="16" s="1"/>
  <c r="G33" i="11"/>
  <c r="H7" i="11"/>
  <c r="H10" i="11" s="1"/>
  <c r="H40" i="11" s="1"/>
  <c r="H6" i="16"/>
  <c r="G14" i="14"/>
  <c r="G15" i="14" s="1"/>
  <c r="H51" i="10"/>
  <c r="I48" i="10" s="1"/>
  <c r="I50" i="10" s="1"/>
  <c r="F45" i="11"/>
  <c r="F48" i="11" s="1"/>
  <c r="F50" i="11" s="1"/>
  <c r="F12" i="15" s="1"/>
  <c r="F16" i="15" s="1"/>
  <c r="F46" i="11"/>
  <c r="F30" i="11"/>
  <c r="G27" i="11" s="1"/>
  <c r="F42" i="11"/>
  <c r="F61" i="10"/>
  <c r="F61" i="15" l="1"/>
  <c r="F19" i="15"/>
  <c r="G29" i="11"/>
  <c r="G35" i="11" s="1"/>
  <c r="G36" i="11" s="1"/>
  <c r="G37" i="11" s="1"/>
  <c r="G41" i="11" s="1"/>
  <c r="G42" i="11" s="1"/>
  <c r="H33" i="11"/>
  <c r="H23" i="11"/>
  <c r="H25" i="11" s="1"/>
  <c r="H28" i="11" s="1"/>
  <c r="I7" i="11"/>
  <c r="I10" i="11" s="1"/>
  <c r="I40" i="11" s="1"/>
  <c r="I6" i="16"/>
  <c r="H14" i="14"/>
  <c r="H15" i="14" s="1"/>
  <c r="F7" i="14"/>
  <c r="F9" i="14" s="1"/>
  <c r="G6" i="14" s="1"/>
  <c r="F5" i="16"/>
  <c r="G59" i="10"/>
  <c r="G57" i="10" s="1"/>
  <c r="G60" i="10" s="1"/>
  <c r="G35" i="15" s="1"/>
  <c r="F23" i="14"/>
  <c r="G49" i="11"/>
  <c r="F17" i="14"/>
  <c r="I51" i="10"/>
  <c r="F64" i="10"/>
  <c r="G30" i="11" l="1"/>
  <c r="H27" i="11" s="1"/>
  <c r="G46" i="11"/>
  <c r="H49" i="11" s="1"/>
  <c r="G45" i="11"/>
  <c r="G48" i="11" s="1"/>
  <c r="G50" i="11" s="1"/>
  <c r="G12" i="15" s="1"/>
  <c r="G16" i="15" s="1"/>
  <c r="I23" i="11"/>
  <c r="I25" i="11" s="1"/>
  <c r="I28" i="11" s="1"/>
  <c r="H29" i="11"/>
  <c r="H35" i="11" s="1"/>
  <c r="H36" i="11" s="1"/>
  <c r="H37" i="11" s="1"/>
  <c r="H41" i="11" s="1"/>
  <c r="H45" i="11" s="1"/>
  <c r="H48" i="11" s="1"/>
  <c r="G18" i="10"/>
  <c r="G17" i="16"/>
  <c r="G19" i="16" s="1"/>
  <c r="I33" i="11"/>
  <c r="G7" i="14"/>
  <c r="G9" i="14" s="1"/>
  <c r="G24" i="14" s="1"/>
  <c r="G5" i="16"/>
  <c r="F21" i="14"/>
  <c r="F9" i="16"/>
  <c r="F10" i="16" s="1"/>
  <c r="F22" i="16" s="1"/>
  <c r="F23" i="16" s="1"/>
  <c r="G21" i="16" s="1"/>
  <c r="G61" i="10"/>
  <c r="H59" i="10" s="1"/>
  <c r="H57" i="10" s="1"/>
  <c r="H60" i="10" s="1"/>
  <c r="H35" i="15" s="1"/>
  <c r="F24" i="14"/>
  <c r="G64" i="10"/>
  <c r="G66" i="10" s="1"/>
  <c r="J48" i="10"/>
  <c r="J50" i="10" s="1"/>
  <c r="I14" i="14"/>
  <c r="I15" i="14" s="1"/>
  <c r="F66" i="10"/>
  <c r="G61" i="15" l="1"/>
  <c r="G17" i="14"/>
  <c r="G9" i="16" s="1"/>
  <c r="G10" i="16" s="1"/>
  <c r="G22" i="16" s="1"/>
  <c r="G23" i="16" s="1"/>
  <c r="H21" i="16" s="1"/>
  <c r="G19" i="10"/>
  <c r="G22" i="15"/>
  <c r="F19" i="10"/>
  <c r="F22" i="15"/>
  <c r="H30" i="11"/>
  <c r="I27" i="11" s="1"/>
  <c r="I29" i="11" s="1"/>
  <c r="I35" i="11" s="1"/>
  <c r="I36" i="11" s="1"/>
  <c r="I37" i="11" s="1"/>
  <c r="I41" i="11" s="1"/>
  <c r="I42" i="11" s="1"/>
  <c r="H42" i="11"/>
  <c r="H7" i="14" s="1"/>
  <c r="H46" i="11"/>
  <c r="I49" i="11" s="1"/>
  <c r="F25" i="14"/>
  <c r="F27" i="14" s="1"/>
  <c r="H61" i="10"/>
  <c r="I59" i="10" s="1"/>
  <c r="I57" i="10" s="1"/>
  <c r="I60" i="10" s="1"/>
  <c r="I35" i="15" s="1"/>
  <c r="H17" i="16"/>
  <c r="H19" i="16" s="1"/>
  <c r="J7" i="11"/>
  <c r="J10" i="11" s="1"/>
  <c r="J40" i="11" s="1"/>
  <c r="J6" i="16"/>
  <c r="G23" i="14"/>
  <c r="H6" i="14"/>
  <c r="H50" i="11"/>
  <c r="H12" i="15" s="1"/>
  <c r="H16" i="15" s="1"/>
  <c r="J51" i="10"/>
  <c r="K48" i="10" s="1"/>
  <c r="K50" i="10" s="1"/>
  <c r="H18" i="10"/>
  <c r="H64" i="10"/>
  <c r="H66" i="10" s="1"/>
  <c r="F67" i="10"/>
  <c r="G67" i="10"/>
  <c r="L48" i="10"/>
  <c r="K6" i="16" l="1"/>
  <c r="H61" i="15"/>
  <c r="G21" i="14"/>
  <c r="G25" i="14" s="1"/>
  <c r="G27" i="14" s="1"/>
  <c r="G20" i="10"/>
  <c r="G21" i="10" s="1"/>
  <c r="G23" i="10" s="1"/>
  <c r="G30" i="15"/>
  <c r="F20" i="10"/>
  <c r="F21" i="10" s="1"/>
  <c r="F23" i="10" s="1"/>
  <c r="F30" i="15"/>
  <c r="H19" i="10"/>
  <c r="H22" i="15"/>
  <c r="I30" i="11"/>
  <c r="J27" i="11" s="1"/>
  <c r="H23" i="14"/>
  <c r="I45" i="11"/>
  <c r="I48" i="11" s="1"/>
  <c r="I50" i="11" s="1"/>
  <c r="I12" i="15" s="1"/>
  <c r="I16" i="15" s="1"/>
  <c r="I46" i="11"/>
  <c r="I17" i="14" s="1"/>
  <c r="H5" i="16"/>
  <c r="H17" i="14"/>
  <c r="H9" i="16" s="1"/>
  <c r="J33" i="11"/>
  <c r="J23" i="11"/>
  <c r="J25" i="11" s="1"/>
  <c r="I61" i="10"/>
  <c r="J59" i="10" s="1"/>
  <c r="J57" i="10" s="1"/>
  <c r="J60" i="10" s="1"/>
  <c r="I17" i="16"/>
  <c r="I19" i="16" s="1"/>
  <c r="I7" i="14"/>
  <c r="I5" i="16"/>
  <c r="H9" i="14"/>
  <c r="I6" i="14" s="1"/>
  <c r="J14" i="14"/>
  <c r="J15" i="14" s="1"/>
  <c r="K7" i="11"/>
  <c r="K51" i="10"/>
  <c r="K14" i="14" s="1"/>
  <c r="H67" i="10"/>
  <c r="I18" i="10"/>
  <c r="I64" i="10"/>
  <c r="F69" i="10"/>
  <c r="G69" i="10"/>
  <c r="H69" i="10"/>
  <c r="L6" i="16"/>
  <c r="L50" i="10"/>
  <c r="I61" i="15" l="1"/>
  <c r="J17" i="16"/>
  <c r="J19" i="16" s="1"/>
  <c r="J35" i="15"/>
  <c r="H20" i="10"/>
  <c r="H21" i="10" s="1"/>
  <c r="H23" i="10" s="1"/>
  <c r="H30" i="15"/>
  <c r="J29" i="11"/>
  <c r="J49" i="11"/>
  <c r="H21" i="14"/>
  <c r="H10" i="16"/>
  <c r="H22" i="16" s="1"/>
  <c r="H23" i="16" s="1"/>
  <c r="I21" i="16" s="1"/>
  <c r="I23" i="14"/>
  <c r="J28" i="11"/>
  <c r="I9" i="14"/>
  <c r="J6" i="14" s="1"/>
  <c r="H24" i="14"/>
  <c r="I21" i="14"/>
  <c r="I9" i="16"/>
  <c r="I10" i="16" s="1"/>
  <c r="I22" i="16" s="1"/>
  <c r="K15" i="14"/>
  <c r="K10" i="11"/>
  <c r="K40" i="11" s="1"/>
  <c r="I66" i="10"/>
  <c r="I22" i="15" s="1"/>
  <c r="I67" i="10"/>
  <c r="J18" i="10"/>
  <c r="J64" i="10"/>
  <c r="J61" i="10"/>
  <c r="F70" i="10"/>
  <c r="G70" i="10"/>
  <c r="H70" i="10"/>
  <c r="L51" i="10"/>
  <c r="L14" i="14"/>
  <c r="L7" i="11"/>
  <c r="L15" i="14"/>
  <c r="I20" i="10" l="1"/>
  <c r="I30" i="15"/>
  <c r="J35" i="11"/>
  <c r="J36" i="11" s="1"/>
  <c r="J37" i="11" s="1"/>
  <c r="J41" i="11" s="1"/>
  <c r="J45" i="11" s="1"/>
  <c r="J48" i="11" s="1"/>
  <c r="J50" i="11" s="1"/>
  <c r="J12" i="15" s="1"/>
  <c r="J16" i="15" s="1"/>
  <c r="I24" i="14"/>
  <c r="I25" i="14" s="1"/>
  <c r="I27" i="14" s="1"/>
  <c r="H25" i="14"/>
  <c r="H27" i="14" s="1"/>
  <c r="J30" i="11"/>
  <c r="K27" i="11" s="1"/>
  <c r="I23" i="16"/>
  <c r="J21" i="16" s="1"/>
  <c r="K59" i="10"/>
  <c r="K57" i="10" s="1"/>
  <c r="J23" i="14"/>
  <c r="K23" i="11"/>
  <c r="K33" i="11"/>
  <c r="I70" i="10"/>
  <c r="J66" i="10"/>
  <c r="J67" i="10"/>
  <c r="J30" i="15" s="1"/>
  <c r="I19" i="10"/>
  <c r="I69" i="10"/>
  <c r="F72" i="10"/>
  <c r="G72" i="10"/>
  <c r="H72" i="10"/>
  <c r="L10" i="11"/>
  <c r="L27" i="11"/>
  <c r="L40" i="11"/>
  <c r="L23" i="11"/>
  <c r="L57" i="10"/>
  <c r="J61" i="15" l="1"/>
  <c r="I21" i="10"/>
  <c r="I23" i="10" s="1"/>
  <c r="J46" i="11"/>
  <c r="K49" i="11" s="1"/>
  <c r="J42" i="11"/>
  <c r="J7" i="14" s="1"/>
  <c r="J9" i="14" s="1"/>
  <c r="K6" i="14" s="1"/>
  <c r="J19" i="10"/>
  <c r="J22" i="15"/>
  <c r="J69" i="10"/>
  <c r="J72" i="10" s="1"/>
  <c r="K25" i="11"/>
  <c r="I72" i="10"/>
  <c r="J20" i="10"/>
  <c r="J70" i="10"/>
  <c r="J73" i="10" s="1"/>
  <c r="K60" i="10"/>
  <c r="F73" i="10"/>
  <c r="G73" i="10"/>
  <c r="H73" i="10"/>
  <c r="I73" i="10"/>
  <c r="L59" i="10"/>
  <c r="L33" i="11"/>
  <c r="L49" i="11"/>
  <c r="L6" i="14"/>
  <c r="L25" i="11"/>
  <c r="L60" i="10"/>
  <c r="J17" i="14" l="1"/>
  <c r="J9" i="16" s="1"/>
  <c r="J5" i="16"/>
  <c r="K17" i="16"/>
  <c r="K35" i="15"/>
  <c r="J21" i="10"/>
  <c r="J23" i="10" s="1"/>
  <c r="J24" i="14"/>
  <c r="K28" i="11"/>
  <c r="K29" i="11"/>
  <c r="L18" i="10"/>
  <c r="K18" i="10"/>
  <c r="K64" i="10"/>
  <c r="K61" i="10"/>
  <c r="K23" i="14" s="1"/>
  <c r="F74" i="10"/>
  <c r="G74" i="10"/>
  <c r="H74" i="10"/>
  <c r="I74" i="10"/>
  <c r="J74" i="10"/>
  <c r="L35" i="15"/>
  <c r="L17" i="16"/>
  <c r="L28" i="11"/>
  <c r="L29" i="11"/>
  <c r="L64" i="10"/>
  <c r="L23" i="14"/>
  <c r="J21" i="14" l="1"/>
  <c r="J25" i="14" s="1"/>
  <c r="J27" i="14" s="1"/>
  <c r="J10" i="16"/>
  <c r="J22" i="16" s="1"/>
  <c r="J23" i="16" s="1"/>
  <c r="K21" i="16" s="1"/>
  <c r="K19" i="16"/>
  <c r="K35" i="11"/>
  <c r="K30" i="11"/>
  <c r="K66" i="10"/>
  <c r="K22" i="15" s="1"/>
  <c r="K67" i="10"/>
  <c r="K30" i="15" s="1"/>
  <c r="L61" i="10"/>
  <c r="L30" i="11"/>
  <c r="L21" i="16"/>
  <c r="L19" i="16"/>
  <c r="K36" i="11" l="1"/>
  <c r="K37" i="11" s="1"/>
  <c r="K41" i="11" s="1"/>
  <c r="K20" i="10"/>
  <c r="K70" i="10"/>
  <c r="K19" i="10"/>
  <c r="K69" i="10"/>
  <c r="L66" i="10"/>
  <c r="L35" i="11"/>
  <c r="L30" i="15"/>
  <c r="L67" i="10"/>
  <c r="L36" i="11"/>
  <c r="L22" i="15"/>
  <c r="L69" i="10"/>
  <c r="L70" i="10"/>
  <c r="L20" i="10" l="1"/>
  <c r="L19" i="10"/>
  <c r="D30" i="15"/>
  <c r="D22" i="15"/>
  <c r="K46" i="11"/>
  <c r="K17" i="14" s="1"/>
  <c r="K45" i="11"/>
  <c r="K48" i="11" s="1"/>
  <c r="K42" i="11"/>
  <c r="K21" i="10"/>
  <c r="K23" i="10" s="1"/>
  <c r="K73" i="10"/>
  <c r="K72" i="10"/>
  <c r="L41" i="11"/>
  <c r="L37" i="11"/>
  <c r="L17" i="14"/>
  <c r="L42" i="11"/>
  <c r="L73" i="10"/>
  <c r="L72" i="10"/>
  <c r="L21" i="10" l="1"/>
  <c r="L23" i="10" s="1"/>
  <c r="F31" i="15"/>
  <c r="F23" i="15"/>
  <c r="K7" i="14"/>
  <c r="K9" i="14" s="1"/>
  <c r="K24" i="14" s="1"/>
  <c r="K5" i="16"/>
  <c r="K21" i="14"/>
  <c r="K9" i="16"/>
  <c r="K50" i="11"/>
  <c r="K12" i="15" s="1"/>
  <c r="K74" i="10"/>
  <c r="L48" i="11"/>
  <c r="L45" i="11"/>
  <c r="L24" i="14"/>
  <c r="L46" i="11"/>
  <c r="L74" i="10"/>
  <c r="L21" i="14"/>
  <c r="L9" i="16"/>
  <c r="F58" i="15" l="1"/>
  <c r="F32" i="15"/>
  <c r="G29" i="15" s="1"/>
  <c r="G31" i="15" s="1"/>
  <c r="F24" i="15"/>
  <c r="K16" i="15"/>
  <c r="K25" i="14"/>
  <c r="K10" i="16"/>
  <c r="K22" i="16" s="1"/>
  <c r="L12" i="15"/>
  <c r="L9" i="14"/>
  <c r="L50" i="11"/>
  <c r="L5" i="16"/>
  <c r="L7" i="14"/>
  <c r="L16" i="15"/>
  <c r="L25" i="14"/>
  <c r="F25" i="15" l="1"/>
  <c r="K61" i="15"/>
  <c r="F33" i="15"/>
  <c r="G32" i="15"/>
  <c r="H29" i="15" s="1"/>
  <c r="H31" i="15" s="1"/>
  <c r="G21" i="15"/>
  <c r="G23" i="15" s="1"/>
  <c r="K23" i="16"/>
  <c r="K27" i="14"/>
  <c r="L27" i="14"/>
  <c r="L61" i="15"/>
  <c r="L10" i="16"/>
  <c r="L23" i="16"/>
  <c r="L22" i="16"/>
  <c r="F27" i="15" l="1"/>
  <c r="F57" i="15"/>
  <c r="F40" i="15"/>
  <c r="G58" i="15"/>
  <c r="F37" i="15"/>
  <c r="F49" i="15" s="1"/>
  <c r="G33" i="15"/>
  <c r="H32" i="15"/>
  <c r="I29" i="15" s="1"/>
  <c r="I31" i="15" s="1"/>
  <c r="G24" i="15"/>
  <c r="F59" i="15" l="1"/>
  <c r="F63" i="15" s="1"/>
  <c r="F64" i="15" s="1"/>
  <c r="F50" i="15"/>
  <c r="F53" i="15" s="1"/>
  <c r="H33" i="15"/>
  <c r="I32" i="15"/>
  <c r="J29" i="15" s="1"/>
  <c r="J31" i="15" s="1"/>
  <c r="G25" i="15"/>
  <c r="H21" i="15"/>
  <c r="H23" i="15" s="1"/>
  <c r="G40" i="15" l="1"/>
  <c r="H58" i="15"/>
  <c r="F41" i="15"/>
  <c r="F42" i="15" s="1"/>
  <c r="F45" i="15" s="1"/>
  <c r="G57" i="15"/>
  <c r="G18" i="15"/>
  <c r="G19" i="15" s="1"/>
  <c r="G27" i="15" s="1"/>
  <c r="G37" i="15" s="1"/>
  <c r="G49" i="15" s="1"/>
  <c r="F54" i="15"/>
  <c r="I33" i="15"/>
  <c r="J32" i="15"/>
  <c r="J33" i="15" s="1"/>
  <c r="H24" i="15"/>
  <c r="G59" i="15" l="1"/>
  <c r="G63" i="15" s="1"/>
  <c r="G64" i="15" s="1"/>
  <c r="G50" i="15"/>
  <c r="G53" i="15" s="1"/>
  <c r="G54" i="15" s="1"/>
  <c r="K29" i="15"/>
  <c r="H25" i="15"/>
  <c r="I21" i="15"/>
  <c r="I23" i="15" s="1"/>
  <c r="L29" i="15"/>
  <c r="H40" i="15" l="1"/>
  <c r="I58" i="15"/>
  <c r="G41" i="15"/>
  <c r="G42" i="15" s="1"/>
  <c r="G45" i="15" s="1"/>
  <c r="H57" i="15"/>
  <c r="K31" i="15"/>
  <c r="H18" i="15"/>
  <c r="H19" i="15" s="1"/>
  <c r="H27" i="15" s="1"/>
  <c r="H37" i="15" s="1"/>
  <c r="H49" i="15" s="1"/>
  <c r="I24" i="15"/>
  <c r="L31" i="15"/>
  <c r="H59" i="15" l="1"/>
  <c r="H63" i="15" s="1"/>
  <c r="H64" i="15" s="1"/>
  <c r="H50" i="15"/>
  <c r="H53" i="15" s="1"/>
  <c r="H54" i="15" s="1"/>
  <c r="K32" i="15"/>
  <c r="J21" i="15"/>
  <c r="J23" i="15" s="1"/>
  <c r="I25" i="15"/>
  <c r="L32" i="15"/>
  <c r="I40" i="15" l="1"/>
  <c r="J58" i="15"/>
  <c r="H41" i="15"/>
  <c r="H42" i="15" s="1"/>
  <c r="H45" i="15" s="1"/>
  <c r="I57" i="15"/>
  <c r="K33" i="15"/>
  <c r="I18" i="15"/>
  <c r="I19" i="15" s="1"/>
  <c r="I27" i="15" s="1"/>
  <c r="I37" i="15" s="1"/>
  <c r="I49" i="15" s="1"/>
  <c r="J24" i="15"/>
  <c r="I59" i="15" l="1"/>
  <c r="I63" i="15" s="1"/>
  <c r="I64" i="15" s="1"/>
  <c r="I50" i="15"/>
  <c r="I53" i="15" s="1"/>
  <c r="I54" i="15" s="1"/>
  <c r="K21" i="15"/>
  <c r="J25" i="15"/>
  <c r="L33" i="15"/>
  <c r="L21" i="15"/>
  <c r="I41" i="15" l="1"/>
  <c r="I42" i="15" s="1"/>
  <c r="I45" i="15" s="1"/>
  <c r="J57" i="15"/>
  <c r="J18" i="15"/>
  <c r="J19" i="15" s="1"/>
  <c r="J27" i="15" s="1"/>
  <c r="J37" i="15" s="1"/>
  <c r="J49" i="15" s="1"/>
  <c r="K23" i="15"/>
  <c r="L23" i="15"/>
  <c r="J59" i="15" l="1"/>
  <c r="J63" i="15" s="1"/>
  <c r="J64" i="15" s="1"/>
  <c r="J40" i="15"/>
  <c r="K58" i="15"/>
  <c r="J50" i="15"/>
  <c r="J53" i="15" s="1"/>
  <c r="J54" i="15" s="1"/>
  <c r="K24" i="15"/>
  <c r="L40" i="15"/>
  <c r="L58" i="15"/>
  <c r="K18" i="15" l="1"/>
  <c r="K19" i="15" s="1"/>
  <c r="K25" i="15"/>
  <c r="L24" i="15"/>
  <c r="L19" i="15"/>
  <c r="L25" i="15"/>
  <c r="J41" i="15" l="1"/>
  <c r="J42" i="15" s="1"/>
  <c r="J45" i="15" s="1"/>
  <c r="K57" i="15"/>
  <c r="K27" i="15"/>
  <c r="K37" i="15" s="1"/>
  <c r="K49" i="15" s="1"/>
  <c r="L41" i="15"/>
  <c r="L42" i="15"/>
  <c r="L45" i="15"/>
  <c r="L57" i="15"/>
  <c r="L18" i="15"/>
  <c r="L49" i="15"/>
  <c r="K59" i="15" l="1"/>
  <c r="K63" i="15" s="1"/>
  <c r="K50" i="15"/>
  <c r="K53" i="15" s="1"/>
  <c r="K54" i="15" s="1"/>
  <c r="L37" i="15"/>
  <c r="L27" i="15"/>
  <c r="L63" i="15"/>
  <c r="L54" i="15"/>
  <c r="K64" i="15" l="1"/>
  <c r="L50" i="15"/>
  <c r="L59" i="15"/>
  <c r="L53" i="15"/>
  <c r="D89" i="15" l="1"/>
  <c r="L64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<sst xmlns="http://schemas.openxmlformats.org/spreadsheetml/2006/main" count="426" uniqueCount="326">
  <si>
    <t>Renewable Energy Modeling</t>
  </si>
  <si>
    <t>This document is for training purposes only. Financial Edge accepts no responsibility or liability for any other purpose or usage.</t>
  </si>
  <si>
    <t>Features</t>
  </si>
  <si>
    <t>Model Details</t>
  </si>
  <si>
    <t>Company name</t>
  </si>
  <si>
    <t>Sussex wind</t>
  </si>
  <si>
    <t>Date</t>
  </si>
  <si>
    <t>Currency</t>
  </si>
  <si>
    <t>GBP</t>
  </si>
  <si>
    <t>Units</t>
  </si>
  <si>
    <t>Thousands</t>
  </si>
  <si>
    <t>Analyst Name</t>
  </si>
  <si>
    <t>Firstname Lastname</t>
  </si>
  <si>
    <t>Circular Switch</t>
  </si>
  <si>
    <t>Tab Structure</t>
  </si>
  <si>
    <t>Formatting</t>
  </si>
  <si>
    <t>Assumptions and outputs</t>
  </si>
  <si>
    <t>Operations</t>
  </si>
  <si>
    <t>Input</t>
  </si>
  <si>
    <t>Sources and uses</t>
  </si>
  <si>
    <t>Hard coded</t>
  </si>
  <si>
    <t>P&amp;L and tax</t>
  </si>
  <si>
    <t>Formulas</t>
  </si>
  <si>
    <t>Balance sheet</t>
  </si>
  <si>
    <t>Line that will be deferred</t>
  </si>
  <si>
    <t>Cashflow statement</t>
  </si>
  <si>
    <t>Circular line</t>
  </si>
  <si>
    <t>Debt</t>
  </si>
  <si>
    <t>Assumptions</t>
  </si>
  <si>
    <t>General</t>
  </si>
  <si>
    <t xml:space="preserve">Inflation </t>
  </si>
  <si>
    <t>Timing</t>
  </si>
  <si>
    <t>Capex starts in year ending</t>
  </si>
  <si>
    <t>Project starts in year ending</t>
  </si>
  <si>
    <t>Debt grace period ends</t>
  </si>
  <si>
    <t>Plant Capacity</t>
  </si>
  <si>
    <t>Maximum capacity</t>
  </si>
  <si>
    <t>MW</t>
  </si>
  <si>
    <t>Percentage ramp-up in 1st year of operations</t>
  </si>
  <si>
    <t>Turbine efficiency</t>
  </si>
  <si>
    <t>% Capacity</t>
  </si>
  <si>
    <t>Hours per day</t>
  </si>
  <si>
    <t>Hours</t>
  </si>
  <si>
    <t>Days per year</t>
  </si>
  <si>
    <t>Days</t>
  </si>
  <si>
    <t>Outage - scheduled</t>
  </si>
  <si>
    <t>Hrs/yr</t>
  </si>
  <si>
    <t>Outage - forced</t>
  </si>
  <si>
    <t>Customers</t>
  </si>
  <si>
    <t>Offtaker 1 name</t>
  </si>
  <si>
    <t>Government</t>
  </si>
  <si>
    <t>Offtaker 2 name</t>
  </si>
  <si>
    <t>HEC energy</t>
  </si>
  <si>
    <t>% Total</t>
  </si>
  <si>
    <t>Electricity sales - Industrial</t>
  </si>
  <si>
    <t>Offtaker capacity charge agreement - Debt service</t>
  </si>
  <si>
    <t>Offtaker capacity charge agreement - Fixed costs</t>
  </si>
  <si>
    <t>Pricing</t>
  </si>
  <si>
    <t>£</t>
  </si>
  <si>
    <t>Industrial price in real terms per MWh</t>
  </si>
  <si>
    <t>Costs</t>
  </si>
  <si>
    <t>Variable costs % of electricity revenues</t>
  </si>
  <si>
    <t>Fixed costs in real terms (not including depreciation)</t>
  </si>
  <si>
    <t>Capex</t>
  </si>
  <si>
    <t>Capex % of total in year 1</t>
  </si>
  <si>
    <t>Capex % of total in year 2</t>
  </si>
  <si>
    <t>Purchase currency</t>
  </si>
  <si>
    <t>USD</t>
  </si>
  <si>
    <t>Capex per MW of capacity in real terms</t>
  </si>
  <si>
    <t>Overrun</t>
  </si>
  <si>
    <t>% Capex</t>
  </si>
  <si>
    <t>Initial Exchange rate</t>
  </si>
  <si>
    <t>% per year</t>
  </si>
  <si>
    <t>Depreciation per year</t>
  </si>
  <si>
    <t>% Cost</t>
  </si>
  <si>
    <t>Tax</t>
  </si>
  <si>
    <t>Tax rate</t>
  </si>
  <si>
    <t>Interest deductibility restriction (thin cap rules)</t>
  </si>
  <si>
    <t>% EBITDA</t>
  </si>
  <si>
    <t>% Tax paid during year</t>
  </si>
  <si>
    <t>%</t>
  </si>
  <si>
    <t>% Tax paid next year</t>
  </si>
  <si>
    <t>Working capital</t>
  </si>
  <si>
    <t>Receivables</t>
  </si>
  <si>
    <t>Payables</t>
  </si>
  <si>
    <t>Debt financing (%)</t>
  </si>
  <si>
    <t>Debt (Senior)</t>
  </si>
  <si>
    <t>% Debt</t>
  </si>
  <si>
    <t>Debt (Junior)</t>
  </si>
  <si>
    <t>Repayment period after grace period - Senior</t>
  </si>
  <si>
    <t>Years</t>
  </si>
  <si>
    <t>Repayment period after grace period - Junior</t>
  </si>
  <si>
    <t xml:space="preserve">Base interest rate </t>
  </si>
  <si>
    <t>Credit margin Senior</t>
  </si>
  <si>
    <t>Interest rate Senior</t>
  </si>
  <si>
    <t>Credit margin Junior</t>
  </si>
  <si>
    <t>Interest rate Junior</t>
  </si>
  <si>
    <t>Weighted average cost of debt</t>
  </si>
  <si>
    <t>Deposit rate</t>
  </si>
  <si>
    <t>% Per yr</t>
  </si>
  <si>
    <t>Minimum total DSCR</t>
  </si>
  <si>
    <t>Minimum senior debt DSCR</t>
  </si>
  <si>
    <t>Minimum junior debtDSCR</t>
  </si>
  <si>
    <t>Target minimum LLCR</t>
  </si>
  <si>
    <t>Target minimum Interest Cover Ratio</t>
  </si>
  <si>
    <t>Dividends</t>
  </si>
  <si>
    <t>Dividend Payout % of cash available for distributions</t>
  </si>
  <si>
    <t>Dividend condition: DSCR minimum</t>
  </si>
  <si>
    <t>Target IRR</t>
  </si>
  <si>
    <t>Outputs</t>
  </si>
  <si>
    <t>Breaches</t>
  </si>
  <si>
    <t>Returns</t>
  </si>
  <si>
    <t>Issuance of equity</t>
  </si>
  <si>
    <t>Total cashflows</t>
  </si>
  <si>
    <t>IRR</t>
  </si>
  <si>
    <t>Sensitivity data tables</t>
  </si>
  <si>
    <t>Sensitivity of IRR to P90/50 scenarios and debt levels</t>
  </si>
  <si>
    <t>P90</t>
  </si>
  <si>
    <t>P50</t>
  </si>
  <si>
    <t>Sensitivity of total breaches to P90/50 scenarios and debt levels</t>
  </si>
  <si>
    <t>End</t>
  </si>
  <si>
    <t>Flags</t>
  </si>
  <si>
    <t>Project operational</t>
  </si>
  <si>
    <t>Yr end</t>
  </si>
  <si>
    <t>Project ramp up year 1</t>
  </si>
  <si>
    <t>Inflation</t>
  </si>
  <si>
    <t>Inflation index with base of 1</t>
  </si>
  <si>
    <t>Capacity</t>
  </si>
  <si>
    <t>Project capacity %</t>
  </si>
  <si>
    <t>Ramp up</t>
  </si>
  <si>
    <t>Project capacity MW</t>
  </si>
  <si>
    <t>Max MW</t>
  </si>
  <si>
    <t>Achieved total capacity MW</t>
  </si>
  <si>
    <t>Efficiency</t>
  </si>
  <si>
    <t>Max operational hrs</t>
  </si>
  <si>
    <t>Outage - scheduled hrs</t>
  </si>
  <si>
    <t>Outage - forced hrs</t>
  </si>
  <si>
    <t>Available hrs</t>
  </si>
  <si>
    <t>Achieved MWh</t>
  </si>
  <si>
    <t>Revenue</t>
  </si>
  <si>
    <t>Sales - Government Mwh</t>
  </si>
  <si>
    <t>Sales - HEC energy MWh</t>
  </si>
  <si>
    <t>Sales - Industrial MWh</t>
  </si>
  <si>
    <t>Prices - Government per MWh</t>
  </si>
  <si>
    <t>Real price</t>
  </si>
  <si>
    <t>Prices - HEC energy per MWh</t>
  </si>
  <si>
    <t>Prices - Industrial per MWh</t>
  </si>
  <si>
    <t xml:space="preserve">Sales - Government </t>
  </si>
  <si>
    <t xml:space="preserve">Sales - HEC energy </t>
  </si>
  <si>
    <t xml:space="preserve">Sales - Industrial </t>
  </si>
  <si>
    <t>Electricity revenue</t>
  </si>
  <si>
    <t>Capacity charge - debt service</t>
  </si>
  <si>
    <t>% Cover</t>
  </si>
  <si>
    <t>Capacity charge - fixed costs</t>
  </si>
  <si>
    <t>Capacity charge revenue</t>
  </si>
  <si>
    <t>Total revenue</t>
  </si>
  <si>
    <t>Variable costs</t>
  </si>
  <si>
    <t>% Elec rev</t>
  </si>
  <si>
    <t>Fixed costs</t>
  </si>
  <si>
    <t>Real cost</t>
  </si>
  <si>
    <t>Total costs</t>
  </si>
  <si>
    <t>Outputs and ratios</t>
  </si>
  <si>
    <t>EBITDA</t>
  </si>
  <si>
    <t>Average revenue per MWh</t>
  </si>
  <si>
    <t>EBITDA margin</t>
  </si>
  <si>
    <t>Int during construction (IDC)</t>
  </si>
  <si>
    <t>Sources and uses summary</t>
  </si>
  <si>
    <t>You'd normally see a sources and uses table as a summary, it'll fetch from below</t>
  </si>
  <si>
    <t>Debt Serv Res Acc buildup</t>
  </si>
  <si>
    <t>Total uses</t>
  </si>
  <si>
    <t>Equity issued</t>
  </si>
  <si>
    <t>Senior debt drawndown</t>
  </si>
  <si>
    <t>Junior debt drawndown</t>
  </si>
  <si>
    <t>Total sources</t>
  </si>
  <si>
    <t>Check</t>
  </si>
  <si>
    <t>Installed capacity</t>
  </si>
  <si>
    <t>Capex year</t>
  </si>
  <si>
    <t>Capex % of total</t>
  </si>
  <si>
    <t xml:space="preserve">Installed capacity </t>
  </si>
  <si>
    <t>Uses</t>
  </si>
  <si>
    <t>Capex per MW  in USD 000s</t>
  </si>
  <si>
    <t>Real</t>
  </si>
  <si>
    <t>Capex per MW with overrun</t>
  </si>
  <si>
    <t>FX rate index</t>
  </si>
  <si>
    <t>Change/yr</t>
  </si>
  <si>
    <t>FX rate GBP/1USD</t>
  </si>
  <si>
    <t>Initial rate</t>
  </si>
  <si>
    <t>Capex per MW in GBP 000s</t>
  </si>
  <si>
    <t>Capex for installed capacity</t>
  </si>
  <si>
    <t>IDC (interest added to PPE)</t>
  </si>
  <si>
    <t>Total funding need</t>
  </si>
  <si>
    <t>Capex/depreciation</t>
  </si>
  <si>
    <t>Beginning PPE</t>
  </si>
  <si>
    <t>Capex (including IDC)</t>
  </si>
  <si>
    <t>Total capex</t>
  </si>
  <si>
    <t>Depreciation</t>
  </si>
  <si>
    <t>PPE at net book value</t>
  </si>
  <si>
    <t>Equity financing</t>
  </si>
  <si>
    <t>Funding split calculation</t>
  </si>
  <si>
    <t>Total need</t>
  </si>
  <si>
    <t xml:space="preserve">Equity </t>
  </si>
  <si>
    <t>Max equity</t>
  </si>
  <si>
    <t>Equity finance remaining</t>
  </si>
  <si>
    <t>Equity finance beginning</t>
  </si>
  <si>
    <t>Equity finance added</t>
  </si>
  <si>
    <t>Equity finance ending</t>
  </si>
  <si>
    <t>Debt financing &amp; IDC</t>
  </si>
  <si>
    <t>Debt financing required</t>
  </si>
  <si>
    <t>Senior debt drawdown</t>
  </si>
  <si>
    <t>Junior debt drawdown</t>
  </si>
  <si>
    <t>Senior debt drawn</t>
  </si>
  <si>
    <t>Junior debt  drawn</t>
  </si>
  <si>
    <t>IDC senior debt</t>
  </si>
  <si>
    <t>Int rate</t>
  </si>
  <si>
    <t>IDC junior debt</t>
  </si>
  <si>
    <t>Total IDC</t>
  </si>
  <si>
    <t>Profit before tax</t>
  </si>
  <si>
    <t>Interest income</t>
  </si>
  <si>
    <t>Interest expense</t>
  </si>
  <si>
    <t>Thin capitalisation/BEPs</t>
  </si>
  <si>
    <t>Interest as a % of EBITDA</t>
  </si>
  <si>
    <t>Disallowed int as a % of EBITDA</t>
  </si>
  <si>
    <t>Limit</t>
  </si>
  <si>
    <t>Extra interest up to allowance</t>
  </si>
  <si>
    <t>Disallowed int beginning</t>
  </si>
  <si>
    <t>Disallowed in year</t>
  </si>
  <si>
    <t>Used in year</t>
  </si>
  <si>
    <t>Disallowed int ending</t>
  </si>
  <si>
    <t>Net operating losses (NOLs)</t>
  </si>
  <si>
    <t>PBT</t>
  </si>
  <si>
    <t>Thin capitalisation adjustment</t>
  </si>
  <si>
    <t>Taxable profits before NOLs</t>
  </si>
  <si>
    <t>NOL carry fwd beginning</t>
  </si>
  <si>
    <t>NOL created in year</t>
  </si>
  <si>
    <t>NOL used in year</t>
  </si>
  <si>
    <t>NOL carry fwd ending</t>
  </si>
  <si>
    <t>Taxable profits</t>
  </si>
  <si>
    <t>NOL adjustment</t>
  </si>
  <si>
    <t>Taxable profit</t>
  </si>
  <si>
    <t>Tax expense</t>
  </si>
  <si>
    <t>Profit after tax</t>
  </si>
  <si>
    <t>Net income</t>
  </si>
  <si>
    <t>Tax payable</t>
  </si>
  <si>
    <t>Tax paid on profits made in year</t>
  </si>
  <si>
    <t>Tax cashflow on profits made in year</t>
  </si>
  <si>
    <t>Tax cashflow on last year's payable</t>
  </si>
  <si>
    <t>Total tax cashflow</t>
  </si>
  <si>
    <t>Balance sheet calculations</t>
  </si>
  <si>
    <t>Beginning retained earnings</t>
  </si>
  <si>
    <t>Ending retained earnings</t>
  </si>
  <si>
    <t>Cash</t>
  </si>
  <si>
    <t>PPE</t>
  </si>
  <si>
    <t>Total assets</t>
  </si>
  <si>
    <t>Trade payables</t>
  </si>
  <si>
    <t>Senior debt</t>
  </si>
  <si>
    <t>Junior debt</t>
  </si>
  <si>
    <t>Total liabilities</t>
  </si>
  <si>
    <t>Equity</t>
  </si>
  <si>
    <t>Retained earnings</t>
  </si>
  <si>
    <t>Total liabilities and equity</t>
  </si>
  <si>
    <t>Operating cashflows</t>
  </si>
  <si>
    <t>Investing cashflows</t>
  </si>
  <si>
    <t>Senior debt issuance/repayment</t>
  </si>
  <si>
    <t>Junior debt issuance/repayment</t>
  </si>
  <si>
    <t>Equity issuance</t>
  </si>
  <si>
    <t>Financing cashflows</t>
  </si>
  <si>
    <t>Opening cash</t>
  </si>
  <si>
    <t>Net cashflow</t>
  </si>
  <si>
    <t>Ending cash</t>
  </si>
  <si>
    <t>Grace period</t>
  </si>
  <si>
    <t>Ending</t>
  </si>
  <si>
    <t>Interest during construction (IDC)</t>
  </si>
  <si>
    <t>DSCR/LLCR/IC measured</t>
  </si>
  <si>
    <t>Debt cashflows</t>
  </si>
  <si>
    <t>Cash taxes</t>
  </si>
  <si>
    <t>Change in receivables</t>
  </si>
  <si>
    <t>Change in trade payables</t>
  </si>
  <si>
    <t>CF available for debt service (CFADS)</t>
  </si>
  <si>
    <t>Beginning cash</t>
  </si>
  <si>
    <t>Cash available for senior debt</t>
  </si>
  <si>
    <t>Beginning senior debt</t>
  </si>
  <si>
    <t>Issuance of debt</t>
  </si>
  <si>
    <t xml:space="preserve">Total </t>
  </si>
  <si>
    <t>Mandatory repayment</t>
  </si>
  <si>
    <t>Ending senior debt</t>
  </si>
  <si>
    <t>Interest</t>
  </si>
  <si>
    <t>Cash available for junior debt</t>
  </si>
  <si>
    <t>Beginning junior debt</t>
  </si>
  <si>
    <t>Ending junior debt</t>
  </si>
  <si>
    <t>Cash after financing</t>
  </si>
  <si>
    <t xml:space="preserve">DSRA </t>
  </si>
  <si>
    <t>Next year's mandatory debt payments</t>
  </si>
  <si>
    <t>Next year's interest payments</t>
  </si>
  <si>
    <t>DSRA requirement</t>
  </si>
  <si>
    <t>Cash available for distributions</t>
  </si>
  <si>
    <t>Dividend covenant flag</t>
  </si>
  <si>
    <t>Min DSCR</t>
  </si>
  <si>
    <t>Div %</t>
  </si>
  <si>
    <t>Cash attracting interest</t>
  </si>
  <si>
    <t>Cashflow check</t>
  </si>
  <si>
    <t>Check of debt ending cash to CFS ending cash</t>
  </si>
  <si>
    <t>Overall DSCR</t>
  </si>
  <si>
    <t>Total interest expense</t>
  </si>
  <si>
    <t>Total mandatory payments</t>
  </si>
  <si>
    <t>Total debt service</t>
  </si>
  <si>
    <t>CFADS</t>
  </si>
  <si>
    <t>Total DSCR</t>
  </si>
  <si>
    <t>DSCR breach</t>
  </si>
  <si>
    <t>Target</t>
  </si>
  <si>
    <t>Individual debt tranche DSCR</t>
  </si>
  <si>
    <t>Senior debt service</t>
  </si>
  <si>
    <t>Junior debt service</t>
  </si>
  <si>
    <t>Cashflow available for senior debt</t>
  </si>
  <si>
    <t>Senior debt DSCR</t>
  </si>
  <si>
    <t>Cashflow available for junior debt</t>
  </si>
  <si>
    <t>Junior debt DSCR</t>
  </si>
  <si>
    <t>LLCR</t>
  </si>
  <si>
    <t>NPV of CFADS</t>
  </si>
  <si>
    <t>Cost of debt</t>
  </si>
  <si>
    <t>Outstanding loan balances</t>
  </si>
  <si>
    <t>LLCR breach</t>
  </si>
  <si>
    <t>Interest cover</t>
  </si>
  <si>
    <t>Interest cover breach</t>
  </si>
  <si>
    <t>Breaches of any covenant</t>
  </si>
  <si>
    <t>Any breaches</t>
  </si>
  <si>
    <t># Breaches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</si>
</sst>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_);\(##,###.\)\,0.0_);@_ⴆ"/>
    <numFmt numFmtId="177" formatCode="#,##0.00_);\(#,##0.00\)\,0.0_);@_)"/>
    <numFmt numFmtId="178" formatCode="0.0%"/>
    <numFmt numFmtId="179" formatCode="#,##0.00\ \x_);\(#,##0.00\ \x\);"/>
    <numFmt numFmtId="180" formatCode="#,##0.00_);\(#,##0.00\);0.00_);@_)"/>
    <numFmt numFmtId="181" formatCode="#,##0.000_);\(#,##0.000\);0.000_);@_)"/>
    <numFmt numFmtId="182" formatCode="#,##0.0%_);\(#,##0.0%\)"/>
    <numFmt numFmtId="183" formatCode="&quot;Year &quot;#,##0_);\(#,##0.0\);0.0_);@_)"/>
  </numFmts>
  <fonts count="4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8"/>
      <color theme="0"/>
      <name val="Calibri"/>
      <family val="2"/>
      <scheme val="minor"/>
    </font>
    <font>
      <i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rgb="FF16326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67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1" fontId="30" fillId="37" borderId="11" applyNumberFormat="0">
      <protection locked="0"/>
    </xf>
  </cellStyleXfs>
  <cellXfs count="121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5" fontId="4" fillId="0" borderId="0" xfId="50" applyNumberFormat="1">
      <alignment horizontal="left" vertical="center"/>
    </xf>
    <xf numFmtId="172" fontId="30" fillId="37" borderId="11" xfId="57" applyFont="1" applyFill="1" applyBorder="1" applyProtection="1">
      <protection locked="0"/>
    </xf>
    <xf numFmtId="176" fontId="30" fillId="37" borderId="11" xfId="66" applyNumberFormat="1">
      <protection locked="0"/>
    </xf>
    <xf numFmtId="1" fontId="0" fillId="0" borderId="0" xfId="0" applyNumberFormat="1"/>
    <xf numFmtId="14" fontId="0" fillId="0" borderId="0" xfId="0" applyNumberFormat="1"/>
    <xf numFmtId="170" fontId="30" fillId="37" borderId="11" xfId="66" applyNumberFormat="1">
      <protection locked="0"/>
    </xf>
    <xf numFmtId="172" fontId="0" fillId="0" borderId="0" xfId="57" applyFont="1" applyFill="1"/>
    <xf numFmtId="177" fontId="30" fillId="37" borderId="11" xfId="66" applyNumberFormat="1">
      <protection locked="0"/>
    </xf>
    <xf numFmtId="172" fontId="0" fillId="0" borderId="0" xfId="57" applyFont="1" applyFill="1" applyBorder="1"/>
    <xf numFmtId="170" fontId="4" fillId="0" borderId="0" xfId="50" applyNumberFormat="1" applyFill="1">
      <alignment horizontal="left" vertical="center"/>
    </xf>
    <xf numFmtId="175" fontId="4" fillId="0" borderId="0" xfId="50" applyNumberFormat="1" applyFill="1">
      <alignment horizontal="left" vertical="center"/>
    </xf>
    <xf numFmtId="172" fontId="30" fillId="37" borderId="11" xfId="61" applyNumberFormat="1">
      <protection locked="0"/>
    </xf>
    <xf numFmtId="178" fontId="0" fillId="0" borderId="0" xfId="0" applyNumberFormat="1"/>
    <xf numFmtId="179" fontId="30" fillId="37" borderId="11" xfId="56" applyNumberFormat="1" applyFont="1" applyFill="1" applyBorder="1" applyProtection="1">
      <protection locked="0"/>
    </xf>
    <xf numFmtId="171" fontId="30" fillId="37" borderId="11" xfId="56" applyFont="1" applyFill="1" applyBorder="1" applyProtection="1">
      <protection locked="0"/>
    </xf>
    <xf numFmtId="171" fontId="30" fillId="37" borderId="11" xfId="61">
      <protection locked="0"/>
    </xf>
    <xf numFmtId="170" fontId="30" fillId="0" borderId="11" xfId="66" applyNumberFormat="1" applyFill="1">
      <protection locked="0"/>
    </xf>
    <xf numFmtId="168" fontId="30" fillId="37" borderId="11" xfId="55" applyFont="1" applyFill="1" applyBorder="1" applyProtection="1">
      <protection locked="0"/>
    </xf>
    <xf numFmtId="174" fontId="35" fillId="0" borderId="0" xfId="0" applyFont="1"/>
    <xf numFmtId="174" fontId="30" fillId="37" borderId="11" xfId="66" applyNumberFormat="1">
      <protection locked="0"/>
    </xf>
    <xf numFmtId="168" fontId="0" fillId="0" borderId="0" xfId="55" applyFont="1"/>
    <xf numFmtId="172" fontId="30" fillId="37" borderId="11" xfId="66" applyNumberFormat="1">
      <protection locked="0"/>
    </xf>
    <xf numFmtId="174" fontId="37" fillId="0" borderId="0" xfId="0" applyFont="1"/>
    <xf numFmtId="174" fontId="4" fillId="0" borderId="0" xfId="50" applyNumberFormat="1">
      <alignment horizontal="left" vertical="center"/>
    </xf>
    <xf numFmtId="174" fontId="30" fillId="0" borderId="0" xfId="58" applyNumberFormat="1" applyFill="1"/>
    <xf numFmtId="174" fontId="38" fillId="2" borderId="0" xfId="0" applyFont="1" applyFill="1" applyAlignment="1">
      <alignment vertical="center"/>
    </xf>
    <xf numFmtId="170" fontId="39" fillId="0" borderId="0" xfId="54" applyFont="1">
      <alignment vertical="top"/>
    </xf>
    <xf numFmtId="180" fontId="0" fillId="0" borderId="0" xfId="0" applyNumberFormat="1"/>
    <xf numFmtId="174" fontId="0" fillId="0" borderId="13" xfId="0" applyBorder="1"/>
    <xf numFmtId="181" fontId="0" fillId="0" borderId="0" xfId="0" applyNumberFormat="1"/>
    <xf numFmtId="168" fontId="0" fillId="0" borderId="0" xfId="55" applyFont="1" applyBorder="1"/>
    <xf numFmtId="174" fontId="0" fillId="39" borderId="0" xfId="0" applyFill="1"/>
    <xf numFmtId="172" fontId="36" fillId="0" borderId="0" xfId="57" applyFont="1" applyFill="1"/>
    <xf numFmtId="172" fontId="3" fillId="0" borderId="0" xfId="57" applyFont="1" applyFill="1" applyAlignment="1">
      <alignment vertical="top"/>
    </xf>
    <xf numFmtId="172" fontId="0" fillId="39" borderId="0" xfId="57" applyFont="1" applyFill="1"/>
    <xf numFmtId="174" fontId="0" fillId="40" borderId="0" xfId="0" applyFill="1"/>
    <xf numFmtId="175" fontId="0" fillId="0" borderId="0" xfId="0" applyNumberFormat="1"/>
    <xf numFmtId="174" fontId="4" fillId="0" borderId="0" xfId="50" applyNumberFormat="1" applyFill="1">
      <alignment horizontal="left" vertical="center"/>
    </xf>
    <xf numFmtId="168" fontId="30" fillId="37" borderId="11" xfId="66" applyNumberFormat="1">
      <protection locked="0"/>
    </xf>
    <xf numFmtId="174" fontId="40" fillId="0" borderId="0" xfId="0" applyFont="1"/>
    <xf numFmtId="174" fontId="41" fillId="0" borderId="0" xfId="50" applyNumberFormat="1" applyFont="1">
      <alignment horizontal="left" vertical="center"/>
    </xf>
    <xf numFmtId="172" fontId="42" fillId="0" borderId="0" xfId="57" applyFont="1" applyFill="1"/>
    <xf numFmtId="182" fontId="0" fillId="0" borderId="0" xfId="0" applyNumberFormat="1"/>
    <xf numFmtId="183" fontId="0" fillId="0" borderId="0" xfId="0" applyNumberFormat="1"/>
    <xf numFmtId="172" fontId="27" fillId="2" borderId="0" xfId="57" applyFont="1" applyAlignment="1">
      <alignment horizontal="center"/>
    </xf>
    <xf numFmtId="168" fontId="36" fillId="0" borderId="0" xfId="55" applyFont="1"/>
    <xf numFmtId="170" fontId="2" fillId="39" borderId="0" xfId="51" applyNumberFormat="1" applyFont="1" applyFill="1" applyAlignment="1"/>
    <xf numFmtId="170" fontId="2" fillId="40" borderId="0" xfId="51" applyNumberFormat="1" applyFont="1" applyFill="1" applyAlignment="1"/>
    <xf numFmtId="174" fontId="0" fillId="41" borderId="0" xfId="0" applyFill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34" fillId="5" borderId="0" xfId="51" applyNumberFormat="1" applyFont="1" applyAlignment="1">
      <alignment horizontal="left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Input 2" xfId="66" xr:uid="{27836D72-5E17-409C-B1B5-DD9DB150ADBC}"/>
    <cellStyle name="Linked Cell" xfId="18" builtinId="24" hidden="1"/>
    <cellStyle name="Multiple" xfId="56" xr:uid="{00000000-0005-0000-0000-000033000000}"/>
    <cellStyle name="Neutral" xfId="14" builtinId="28" hidden="1"/>
    <cellStyle name="Normal" xfId="0" builtinId="0" customBuiltin="1"/>
    <cellStyle name="Normal 2" xfId="65" xr:uid="{00000000-0005-0000-0000-000036000000}"/>
    <cellStyle name="Note" xfId="21" builtinId="10" hidden="1"/>
    <cellStyle name="Notes and Comments" xfId="59" xr:uid="{00000000-0005-0000-0000-000038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C000000}"/>
    <cellStyle name="Row Label" xfId="54" xr:uid="{00000000-0005-0000-0000-00003D000000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="130" zoomScaleNormal="13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328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22" customFormat="1" ht="75" customHeight="1" x14ac:dyDescent="0.4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110"/>
      <c r="D4" s="110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112" t="s">
        <v>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s="23" customFormat="1" ht="15" customHeight="1" x14ac:dyDescent="0.4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s="23" customFormat="1" ht="15" customHeight="1" x14ac:dyDescent="0.45">
      <c r="A7" s="112" t="str">
        <f ca="1">"© "&amp;YEAR(TODAY())&amp;" Financial Edge Training "</f>
        <v xml:space="preserve">© 2024 Financial Edge Training 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113"/>
      <c r="H9" s="113"/>
      <c r="I9" s="113"/>
      <c r="J9" s="113"/>
      <c r="K9" s="28"/>
    </row>
    <row r="10" spans="1:14" s="23" customFormat="1" ht="15" customHeight="1" x14ac:dyDescent="0.45">
      <c r="B10" s="24"/>
      <c r="C10" s="24"/>
      <c r="F10" s="28"/>
      <c r="G10" s="113"/>
      <c r="H10" s="113"/>
      <c r="I10" s="113"/>
      <c r="J10" s="113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109"/>
      <c r="H12" s="109"/>
      <c r="I12" s="109"/>
      <c r="J12" s="109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109"/>
      <c r="H13" s="109"/>
      <c r="I13" s="109"/>
      <c r="J13" s="109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109"/>
      <c r="H14" s="109"/>
      <c r="I14" s="109"/>
      <c r="J14" s="109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109"/>
      <c r="H16" s="109"/>
      <c r="I16" s="109"/>
      <c r="J16" s="109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="130" zoomScaleNormal="130" workbookViewId="0">
      <selection activeCell="N10" sqref="N10:Q10"/>
    </sheetView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328125" customWidth="1"/>
    <col min="4" max="4" width="2.86328125" customWidth="1"/>
    <col min="5" max="7" width="1.3984375" customWidth="1"/>
    <col min="8" max="8" width="2.86328125" customWidth="1"/>
    <col min="9" max="9" width="42.8632812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86328125" bestFit="1" customWidth="1"/>
  </cols>
  <sheetData>
    <row r="1" spans="1:18" s="34" customFormat="1" ht="45" customHeight="1" x14ac:dyDescent="0.85">
      <c r="A1" s="13" t="str">
        <f>Welcome!A2</f>
        <v>Renewable Energy 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tr">
        <f ca="1">RIGHT(CELL("filename",A1),LEN(CELL("filename",A1))-SEARCH("]",CELL("filename", A1)))</f>
        <v>Info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115" t="s">
        <v>2</v>
      </c>
      <c r="C4" s="115"/>
      <c r="D4" s="115"/>
      <c r="E4" s="115"/>
      <c r="F4" s="115"/>
      <c r="G4" s="115"/>
      <c r="H4" s="115"/>
      <c r="I4" s="115"/>
      <c r="K4" s="1"/>
      <c r="L4" s="115" t="s">
        <v>3</v>
      </c>
      <c r="M4" s="115"/>
      <c r="N4" s="115"/>
      <c r="O4" s="115"/>
      <c r="P4" s="115"/>
      <c r="Q4" s="40"/>
      <c r="R4" s="40"/>
    </row>
    <row r="5" spans="1:18" s="2" customFormat="1" ht="15" customHeight="1" x14ac:dyDescent="0.45">
      <c r="A5" s="17"/>
      <c r="B5" s="8"/>
      <c r="C5" s="54"/>
      <c r="D5" s="18"/>
      <c r="E5" s="18"/>
      <c r="F5" s="18"/>
      <c r="G5" s="18"/>
      <c r="H5" s="18"/>
      <c r="I5" s="18"/>
      <c r="K5" s="1"/>
      <c r="L5" s="9" t="s">
        <v>4</v>
      </c>
      <c r="M5" s="9"/>
      <c r="N5" s="118" t="s">
        <v>5</v>
      </c>
      <c r="O5" s="118"/>
      <c r="P5" s="118"/>
      <c r="Q5" s="118"/>
      <c r="R5" s="40"/>
    </row>
    <row r="6" spans="1:18" s="2" customFormat="1" ht="15" customHeight="1" x14ac:dyDescent="0.4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6</v>
      </c>
      <c r="M6" s="9"/>
      <c r="N6" s="119">
        <v>54788</v>
      </c>
      <c r="O6" s="119"/>
      <c r="P6" s="119"/>
      <c r="Q6" s="119"/>
      <c r="R6" s="40"/>
    </row>
    <row r="7" spans="1:18" s="2" customFormat="1" ht="15" customHeight="1" x14ac:dyDescent="0.4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7</v>
      </c>
      <c r="M7" s="9"/>
      <c r="N7" s="118" t="s">
        <v>8</v>
      </c>
      <c r="O7" s="118"/>
      <c r="P7" s="118"/>
      <c r="Q7" s="118"/>
      <c r="R7" s="40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9</v>
      </c>
      <c r="M8" s="9"/>
      <c r="N8" s="118" t="s">
        <v>10</v>
      </c>
      <c r="O8" s="118"/>
      <c r="P8" s="118"/>
      <c r="Q8" s="118"/>
      <c r="R8" s="40"/>
    </row>
    <row r="9" spans="1:18" s="2" customFormat="1" ht="15" customHeight="1" x14ac:dyDescent="0.45">
      <c r="A9" s="41"/>
      <c r="B9" s="8"/>
      <c r="C9" s="18"/>
      <c r="D9" s="41"/>
      <c r="E9" s="41"/>
      <c r="F9" s="41"/>
      <c r="G9" s="41"/>
      <c r="H9" s="41"/>
      <c r="I9" s="41"/>
      <c r="K9" s="18"/>
      <c r="L9" s="9" t="s">
        <v>11</v>
      </c>
      <c r="M9" s="9"/>
      <c r="N9" s="118" t="s">
        <v>12</v>
      </c>
      <c r="O9" s="118"/>
      <c r="P9" s="118"/>
      <c r="Q9" s="118"/>
      <c r="R9" s="40"/>
    </row>
    <row r="10" spans="1:18" s="2" customFormat="1" ht="15" customHeight="1" x14ac:dyDescent="0.45">
      <c r="A10" s="39"/>
      <c r="B10" s="8"/>
      <c r="C10" s="18"/>
      <c r="D10" s="39"/>
      <c r="E10" s="39"/>
      <c r="F10" s="39"/>
      <c r="G10" s="39"/>
      <c r="H10" s="39"/>
      <c r="I10" s="39"/>
      <c r="K10" s="18"/>
      <c r="L10" s="9" t="s">
        <v>13</v>
      </c>
      <c r="M10" s="9"/>
      <c r="N10" s="120">
        <v>0</v>
      </c>
      <c r="O10" s="120"/>
      <c r="P10" s="120"/>
      <c r="Q10" s="120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8"/>
      <c r="M11" s="58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4"/>
      <c r="B13" s="117" t="s">
        <v>14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N13" s="1"/>
      <c r="O13" s="115" t="s">
        <v>15</v>
      </c>
      <c r="P13" s="115"/>
      <c r="Q13" s="115"/>
      <c r="R13" s="57"/>
    </row>
    <row r="14" spans="1:18" s="2" customFormat="1" ht="15" customHeight="1" x14ac:dyDescent="0.45">
      <c r="A14" s="55"/>
      <c r="B14" s="116"/>
      <c r="C14" s="116"/>
      <c r="D14" s="114" t="s">
        <v>16</v>
      </c>
      <c r="E14" s="114"/>
      <c r="F14" s="114"/>
      <c r="G14" s="114"/>
      <c r="H14" s="114"/>
      <c r="I14" s="114"/>
      <c r="J14" s="114"/>
      <c r="K14" s="114"/>
      <c r="L14" s="114"/>
      <c r="N14" s="17"/>
      <c r="O14" s="27"/>
      <c r="P14" s="22"/>
      <c r="Q14" s="22"/>
      <c r="R14" s="55"/>
    </row>
    <row r="15" spans="1:18" s="2" customFormat="1" ht="15" customHeight="1" x14ac:dyDescent="0.45">
      <c r="A15" s="55"/>
      <c r="B15" s="114"/>
      <c r="C15" s="114"/>
      <c r="D15" s="114" t="s">
        <v>17</v>
      </c>
      <c r="E15" s="114"/>
      <c r="F15" s="114"/>
      <c r="G15" s="114"/>
      <c r="H15" s="114"/>
      <c r="I15" s="114"/>
      <c r="J15" s="114"/>
      <c r="K15" s="114"/>
      <c r="L15" s="114"/>
      <c r="N15" s="3"/>
      <c r="O15" s="27"/>
      <c r="P15" s="52" t="s">
        <v>18</v>
      </c>
      <c r="Q15" s="22"/>
      <c r="R15" s="55"/>
    </row>
    <row r="16" spans="1:18" s="2" customFormat="1" ht="15" customHeight="1" x14ac:dyDescent="0.45">
      <c r="A16" s="55"/>
      <c r="B16" s="114"/>
      <c r="C16" s="114"/>
      <c r="D16" s="114" t="s">
        <v>19</v>
      </c>
      <c r="E16" s="114"/>
      <c r="F16" s="114"/>
      <c r="G16" s="114"/>
      <c r="H16" s="114"/>
      <c r="I16" s="114"/>
      <c r="J16" s="114"/>
      <c r="K16" s="114"/>
      <c r="L16" s="114"/>
      <c r="N16" s="18"/>
      <c r="O16" s="27"/>
      <c r="P16" s="36" t="s">
        <v>20</v>
      </c>
      <c r="Q16" s="22"/>
      <c r="R16" s="55"/>
    </row>
    <row r="17" spans="1:18" s="2" customFormat="1" ht="15" customHeight="1" x14ac:dyDescent="0.45">
      <c r="A17" s="55"/>
      <c r="B17" s="114"/>
      <c r="C17" s="114"/>
      <c r="D17" s="114" t="s">
        <v>21</v>
      </c>
      <c r="E17" s="114"/>
      <c r="F17" s="114"/>
      <c r="G17" s="114"/>
      <c r="H17" s="114"/>
      <c r="I17" s="114"/>
      <c r="J17" s="114"/>
      <c r="K17" s="114"/>
      <c r="L17" s="114"/>
      <c r="N17" s="18"/>
      <c r="O17" s="27"/>
      <c r="P17" t="s">
        <v>22</v>
      </c>
      <c r="Q17" s="22"/>
      <c r="R17" s="55"/>
    </row>
    <row r="18" spans="1:18" s="2" customFormat="1" ht="15" customHeight="1" x14ac:dyDescent="0.45">
      <c r="A18" s="39"/>
      <c r="B18" s="114"/>
      <c r="C18" s="114"/>
      <c r="D18" s="114" t="s">
        <v>23</v>
      </c>
      <c r="E18" s="114"/>
      <c r="F18" s="114"/>
      <c r="G18" s="114"/>
      <c r="H18" s="114"/>
      <c r="I18" s="114"/>
      <c r="J18" s="114"/>
      <c r="K18" s="114"/>
      <c r="L18" s="114"/>
      <c r="N18" s="39"/>
      <c r="O18" s="53"/>
      <c r="P18" s="105" t="s">
        <v>24</v>
      </c>
      <c r="Q18" s="53"/>
      <c r="R18" s="39"/>
    </row>
    <row r="19" spans="1:18" x14ac:dyDescent="0.45">
      <c r="A19" s="39"/>
      <c r="B19" s="114"/>
      <c r="C19" s="114"/>
      <c r="D19" s="114" t="s">
        <v>25</v>
      </c>
      <c r="E19" s="114"/>
      <c r="F19" s="114"/>
      <c r="G19" s="114"/>
      <c r="H19" s="114"/>
      <c r="I19" s="114"/>
      <c r="J19" s="114"/>
      <c r="K19" s="114"/>
      <c r="L19" s="114"/>
      <c r="M19" s="2"/>
      <c r="N19" s="39"/>
      <c r="O19" s="53"/>
      <c r="P19" s="106" t="s">
        <v>26</v>
      </c>
      <c r="Q19" s="53"/>
      <c r="R19" s="39"/>
    </row>
    <row r="20" spans="1:18" ht="14.65" thickBot="1" x14ac:dyDescent="0.5">
      <c r="A20" s="44"/>
      <c r="B20" s="44"/>
      <c r="C20" s="44"/>
      <c r="D20" s="56" t="s">
        <v>27</v>
      </c>
      <c r="E20" s="56"/>
      <c r="F20" s="56"/>
      <c r="G20" s="56"/>
      <c r="H20" s="56"/>
      <c r="I20" s="56"/>
      <c r="J20" s="56"/>
      <c r="K20" s="56"/>
      <c r="L20" s="56"/>
      <c r="N20" s="44"/>
      <c r="O20" s="44"/>
      <c r="P20" s="44"/>
      <c r="Q20" s="44"/>
      <c r="R20" s="44"/>
    </row>
  </sheetData>
  <mergeCells count="22">
    <mergeCell ref="B17:C17"/>
    <mergeCell ref="L4:P4"/>
    <mergeCell ref="B4:I4"/>
    <mergeCell ref="B13:L13"/>
    <mergeCell ref="B19:C19"/>
    <mergeCell ref="D19:L19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B16:C16"/>
    <mergeCell ref="O13:Q13"/>
    <mergeCell ref="D14:L14"/>
    <mergeCell ref="D15:L15"/>
    <mergeCell ref="B14:C14"/>
    <mergeCell ref="B15:C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40"/>
  <sheetViews>
    <sheetView zoomScale="130" zoomScaleNormal="130" workbookViewId="0">
      <pane xSplit="4" ySplit="2" topLeftCell="E75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50" style="16" bestFit="1" customWidth="1"/>
    <col min="3" max="4" width="10.1328125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Assumptions and Outputs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/>
      <c r="B3" s="77" t="str">
        <f>"all in "&amp;Local_currency&amp;" 000s unless stated"</f>
        <v>all in GBP 000s unless stated</v>
      </c>
      <c r="L3" t="str">
        <f t="shared" ref="L3:L34" ca="1" si="1">IF(ISBLANK(K3),"",_xlfn.FORMULATEXT(K3))</f>
        <v/>
      </c>
    </row>
    <row r="4" spans="1:27" ht="15" customHeight="1" x14ac:dyDescent="0.45">
      <c r="A4"/>
      <c r="B4" s="77"/>
      <c r="L4" t="str">
        <f t="shared" ca="1" si="1"/>
        <v/>
      </c>
    </row>
    <row r="5" spans="1:27" ht="15" customHeight="1" x14ac:dyDescent="0.45">
      <c r="A5" s="15" t="s">
        <v>28</v>
      </c>
      <c r="B5"/>
      <c r="L5" t="str">
        <f t="shared" ca="1" si="1"/>
        <v/>
      </c>
    </row>
    <row r="6" spans="1:27" ht="15" customHeight="1" x14ac:dyDescent="0.45">
      <c r="A6"/>
      <c r="L6" t="str">
        <f t="shared" ca="1" si="1"/>
        <v/>
      </c>
    </row>
    <row r="7" spans="1:27" ht="15" customHeight="1" x14ac:dyDescent="0.45">
      <c r="A7" s="15" t="s">
        <v>29</v>
      </c>
      <c r="L7" t="str">
        <f t="shared" ca="1" si="1"/>
        <v/>
      </c>
    </row>
    <row r="8" spans="1:27" ht="15" customHeight="1" x14ac:dyDescent="0.45">
      <c r="A8" s="59"/>
      <c r="B8" t="s">
        <v>30</v>
      </c>
      <c r="D8" s="60">
        <v>0.04</v>
      </c>
      <c r="L8" t="str">
        <f t="shared" ca="1" si="1"/>
        <v/>
      </c>
    </row>
    <row r="9" spans="1:27" ht="15" customHeight="1" x14ac:dyDescent="0.45">
      <c r="A9" s="59"/>
      <c r="B9"/>
      <c r="L9" t="str">
        <f t="shared" ca="1" si="1"/>
        <v/>
      </c>
    </row>
    <row r="10" spans="1:27" ht="15" customHeight="1" x14ac:dyDescent="0.45">
      <c r="A10" s="15" t="s">
        <v>31</v>
      </c>
      <c r="B10"/>
      <c r="D10" s="62"/>
      <c r="L10" t="str">
        <f t="shared" ca="1" si="1"/>
        <v/>
      </c>
    </row>
    <row r="11" spans="1:27" ht="15" customHeight="1" x14ac:dyDescent="0.45">
      <c r="A11" s="59"/>
      <c r="B11" t="s">
        <v>32</v>
      </c>
      <c r="D11" s="76">
        <v>55153</v>
      </c>
      <c r="L11" t="str">
        <f t="shared" ca="1" si="1"/>
        <v/>
      </c>
    </row>
    <row r="12" spans="1:27" ht="15" customHeight="1" x14ac:dyDescent="0.45">
      <c r="A12" s="59"/>
      <c r="B12" t="s">
        <v>33</v>
      </c>
      <c r="D12" s="76">
        <v>55884</v>
      </c>
      <c r="E12" s="63"/>
      <c r="L12" t="str">
        <f t="shared" ca="1" si="1"/>
        <v/>
      </c>
    </row>
    <row r="13" spans="1:27" ht="15" customHeight="1" x14ac:dyDescent="0.45">
      <c r="A13" s="69"/>
      <c r="B13" t="s">
        <v>34</v>
      </c>
      <c r="D13" s="97">
        <v>56249</v>
      </c>
      <c r="L13" t="str">
        <f t="shared" ca="1" si="1"/>
        <v/>
      </c>
    </row>
    <row r="14" spans="1:27" ht="15" customHeight="1" x14ac:dyDescent="0.45">
      <c r="A14" s="59"/>
      <c r="B14"/>
      <c r="L14" t="str">
        <f t="shared" ca="1" si="1"/>
        <v/>
      </c>
    </row>
    <row r="15" spans="1:27" ht="15" customHeight="1" x14ac:dyDescent="0.45">
      <c r="A15" s="15" t="s">
        <v>35</v>
      </c>
      <c r="B15"/>
      <c r="L15" t="str">
        <f t="shared" ca="1" si="1"/>
        <v/>
      </c>
    </row>
    <row r="16" spans="1:27" ht="15" customHeight="1" x14ac:dyDescent="0.45">
      <c r="A16" s="59"/>
      <c r="B16" t="s">
        <v>36</v>
      </c>
      <c r="C16" t="s">
        <v>37</v>
      </c>
      <c r="D16" s="64">
        <v>200</v>
      </c>
      <c r="L16" t="str">
        <f t="shared" ca="1" si="1"/>
        <v/>
      </c>
    </row>
    <row r="17" spans="1:12" ht="15" customHeight="1" x14ac:dyDescent="0.45">
      <c r="A17" s="59"/>
      <c r="B17" t="s">
        <v>38</v>
      </c>
      <c r="D17" s="60">
        <v>0.8</v>
      </c>
      <c r="L17" t="str">
        <f t="shared" ca="1" si="1"/>
        <v/>
      </c>
    </row>
    <row r="18" spans="1:12" ht="15" customHeight="1" x14ac:dyDescent="0.45">
      <c r="A18" s="59"/>
      <c r="B18" t="s">
        <v>39</v>
      </c>
      <c r="C18" t="s">
        <v>40</v>
      </c>
      <c r="D18" s="60">
        <v>0.4</v>
      </c>
      <c r="L18" t="str">
        <f t="shared" ca="1" si="1"/>
        <v/>
      </c>
    </row>
    <row r="19" spans="1:12" ht="15" customHeight="1" x14ac:dyDescent="0.45">
      <c r="A19" s="59"/>
      <c r="B19" t="s">
        <v>41</v>
      </c>
      <c r="C19" t="s">
        <v>42</v>
      </c>
      <c r="D19" s="64">
        <v>24</v>
      </c>
      <c r="L19" t="str">
        <f t="shared" ca="1" si="1"/>
        <v/>
      </c>
    </row>
    <row r="20" spans="1:12" ht="15" customHeight="1" x14ac:dyDescent="0.45">
      <c r="A20" s="59"/>
      <c r="B20" t="s">
        <v>43</v>
      </c>
      <c r="C20" t="s">
        <v>44</v>
      </c>
      <c r="D20" s="64">
        <v>365</v>
      </c>
      <c r="L20" t="str">
        <f t="shared" ca="1" si="1"/>
        <v/>
      </c>
    </row>
    <row r="21" spans="1:12" ht="15" customHeight="1" x14ac:dyDescent="0.45">
      <c r="A21" s="59"/>
      <c r="B21" t="s">
        <v>45</v>
      </c>
      <c r="C21" t="s">
        <v>46</v>
      </c>
      <c r="D21" s="64">
        <v>240</v>
      </c>
      <c r="L21" t="str">
        <f t="shared" ca="1" si="1"/>
        <v/>
      </c>
    </row>
    <row r="22" spans="1:12" ht="15" customHeight="1" x14ac:dyDescent="0.45">
      <c r="A22" s="59"/>
      <c r="B22" t="s">
        <v>47</v>
      </c>
      <c r="C22" t="s">
        <v>46</v>
      </c>
      <c r="D22" s="64">
        <v>380</v>
      </c>
      <c r="L22" t="str">
        <f t="shared" ca="1" si="1"/>
        <v/>
      </c>
    </row>
    <row r="23" spans="1:12" ht="15" customHeight="1" x14ac:dyDescent="0.45">
      <c r="A23" s="59"/>
      <c r="B23"/>
      <c r="L23" t="str">
        <f t="shared" ca="1" si="1"/>
        <v/>
      </c>
    </row>
    <row r="24" spans="1:12" ht="15" customHeight="1" x14ac:dyDescent="0.45">
      <c r="A24" s="59" t="s">
        <v>48</v>
      </c>
      <c r="B24"/>
      <c r="L24" t="str">
        <f t="shared" ca="1" si="1"/>
        <v/>
      </c>
    </row>
    <row r="25" spans="1:12" ht="15" customHeight="1" x14ac:dyDescent="0.45">
      <c r="A25" s="59"/>
      <c r="B25" t="s">
        <v>49</v>
      </c>
      <c r="D25" s="64" t="s">
        <v>50</v>
      </c>
      <c r="L25" t="str">
        <f t="shared" ca="1" si="1"/>
        <v/>
      </c>
    </row>
    <row r="26" spans="1:12" ht="15" customHeight="1" x14ac:dyDescent="0.45">
      <c r="A26" s="59"/>
      <c r="B26" t="s">
        <v>51</v>
      </c>
      <c r="D26" s="64" t="s">
        <v>52</v>
      </c>
      <c r="L26" t="str">
        <f t="shared" ca="1" si="1"/>
        <v/>
      </c>
    </row>
    <row r="27" spans="1:12" ht="15" customHeight="1" x14ac:dyDescent="0.45">
      <c r="A27" s="59"/>
      <c r="B27" t="str">
        <f>"Electricity sales - "&amp;D25</f>
        <v>Electricity sales - Government</v>
      </c>
      <c r="C27" t="s">
        <v>53</v>
      </c>
      <c r="D27" s="60">
        <v>0.55000000000000004</v>
      </c>
      <c r="L27" t="str">
        <f t="shared" ca="1" si="1"/>
        <v/>
      </c>
    </row>
    <row r="28" spans="1:12" ht="15" customHeight="1" x14ac:dyDescent="0.45">
      <c r="A28" s="59"/>
      <c r="B28" t="str">
        <f>"Electricity sales - "&amp;D26</f>
        <v>Electricity sales - HEC energy</v>
      </c>
      <c r="C28" t="s">
        <v>53</v>
      </c>
      <c r="D28" s="60">
        <v>0.25</v>
      </c>
      <c r="L28" t="str">
        <f t="shared" ca="1" si="1"/>
        <v/>
      </c>
    </row>
    <row r="29" spans="1:12" ht="15" customHeight="1" x14ac:dyDescent="0.45">
      <c r="A29" s="59"/>
      <c r="B29" t="s">
        <v>54</v>
      </c>
      <c r="C29" t="s">
        <v>53</v>
      </c>
      <c r="D29" s="65">
        <f>1-SUM(D27:D28)</f>
        <v>0.19999999999999996</v>
      </c>
      <c r="L29" t="str">
        <f t="shared" ca="1" si="1"/>
        <v/>
      </c>
    </row>
    <row r="30" spans="1:12" ht="15" customHeight="1" x14ac:dyDescent="0.45">
      <c r="A30" s="59"/>
      <c r="B30"/>
      <c r="D30" s="65"/>
      <c r="L30" t="str">
        <f t="shared" ca="1" si="1"/>
        <v/>
      </c>
    </row>
    <row r="31" spans="1:12" ht="15" customHeight="1" x14ac:dyDescent="0.45">
      <c r="A31" s="59"/>
      <c r="B31" t="s">
        <v>55</v>
      </c>
      <c r="D31" s="60">
        <v>1</v>
      </c>
      <c r="L31" t="str">
        <f t="shared" ca="1" si="1"/>
        <v/>
      </c>
    </row>
    <row r="32" spans="1:12" ht="15" customHeight="1" x14ac:dyDescent="0.45">
      <c r="A32" s="59"/>
      <c r="B32" t="s">
        <v>56</v>
      </c>
      <c r="D32" s="60">
        <v>0.6</v>
      </c>
      <c r="L32" t="str">
        <f t="shared" ca="1" si="1"/>
        <v/>
      </c>
    </row>
    <row r="33" spans="1:12" ht="15" customHeight="1" x14ac:dyDescent="0.45">
      <c r="A33" s="59"/>
      <c r="B33"/>
      <c r="L33" t="str">
        <f t="shared" ca="1" si="1"/>
        <v/>
      </c>
    </row>
    <row r="34" spans="1:12" ht="15" customHeight="1" x14ac:dyDescent="0.45">
      <c r="A34" s="15" t="s">
        <v>57</v>
      </c>
      <c r="B34"/>
      <c r="L34" t="str">
        <f t="shared" ca="1" si="1"/>
        <v/>
      </c>
    </row>
    <row r="35" spans="1:12" ht="15" customHeight="1" x14ac:dyDescent="0.45">
      <c r="A35" s="59"/>
      <c r="B35" t="str">
        <f>D25&amp;" price in real terms per MWh"</f>
        <v>Government price in real terms per MWh</v>
      </c>
      <c r="C35" t="s">
        <v>58</v>
      </c>
      <c r="D35" s="61">
        <v>40</v>
      </c>
      <c r="L35" t="str">
        <f t="shared" ref="L35:L66" ca="1" si="2">IF(ISBLANK(K35),"",_xlfn.FORMULATEXT(K35))</f>
        <v/>
      </c>
    </row>
    <row r="36" spans="1:12" ht="15" customHeight="1" x14ac:dyDescent="0.45">
      <c r="A36" s="59"/>
      <c r="B36" t="str">
        <f>D26&amp;" price in real terms per MWh"</f>
        <v>HEC energy price in real terms per MWh</v>
      </c>
      <c r="C36" t="s">
        <v>58</v>
      </c>
      <c r="D36" s="61">
        <v>30</v>
      </c>
      <c r="L36" t="str">
        <f t="shared" ca="1" si="2"/>
        <v/>
      </c>
    </row>
    <row r="37" spans="1:12" ht="15" customHeight="1" x14ac:dyDescent="0.45">
      <c r="A37" s="59"/>
      <c r="B37" t="s">
        <v>59</v>
      </c>
      <c r="C37" t="s">
        <v>58</v>
      </c>
      <c r="D37" s="61">
        <v>50</v>
      </c>
      <c r="L37" t="str">
        <f t="shared" ca="1" si="2"/>
        <v/>
      </c>
    </row>
    <row r="38" spans="1:12" ht="15" customHeight="1" x14ac:dyDescent="0.45">
      <c r="A38" s="59"/>
      <c r="B38"/>
      <c r="D38" s="67"/>
      <c r="L38" t="str">
        <f t="shared" ca="1" si="2"/>
        <v/>
      </c>
    </row>
    <row r="39" spans="1:12" ht="15" customHeight="1" x14ac:dyDescent="0.45">
      <c r="A39" s="15" t="s">
        <v>60</v>
      </c>
      <c r="B39"/>
      <c r="L39" t="str">
        <f t="shared" ca="1" si="2"/>
        <v/>
      </c>
    </row>
    <row r="40" spans="1:12" ht="15" customHeight="1" x14ac:dyDescent="0.45">
      <c r="A40" s="59"/>
      <c r="B40" t="s">
        <v>61</v>
      </c>
      <c r="D40" s="60">
        <v>0.15</v>
      </c>
      <c r="L40" t="str">
        <f t="shared" ca="1" si="2"/>
        <v/>
      </c>
    </row>
    <row r="41" spans="1:12" ht="15" customHeight="1" x14ac:dyDescent="0.45">
      <c r="A41" s="59"/>
      <c r="B41" t="s">
        <v>62</v>
      </c>
      <c r="D41" s="61">
        <v>20000</v>
      </c>
      <c r="L41" t="str">
        <f t="shared" ca="1" si="2"/>
        <v/>
      </c>
    </row>
    <row r="42" spans="1:12" ht="15" customHeight="1" x14ac:dyDescent="0.45">
      <c r="A42" s="59"/>
      <c r="B42"/>
      <c r="D42" s="67"/>
      <c r="L42" t="str">
        <f t="shared" ca="1" si="2"/>
        <v/>
      </c>
    </row>
    <row r="43" spans="1:12" ht="15" customHeight="1" x14ac:dyDescent="0.45">
      <c r="A43" s="15" t="s">
        <v>63</v>
      </c>
      <c r="B43"/>
      <c r="L43" t="str">
        <f t="shared" ca="1" si="2"/>
        <v/>
      </c>
    </row>
    <row r="44" spans="1:12" ht="15" customHeight="1" x14ac:dyDescent="0.45">
      <c r="A44" s="59"/>
      <c r="B44" t="s">
        <v>64</v>
      </c>
      <c r="C44" s="102">
        <v>1</v>
      </c>
      <c r="D44" s="60">
        <v>0.2</v>
      </c>
      <c r="L44" t="str">
        <f t="shared" ca="1" si="2"/>
        <v/>
      </c>
    </row>
    <row r="45" spans="1:12" ht="15" customHeight="1" x14ac:dyDescent="0.45">
      <c r="A45" s="59"/>
      <c r="B45" t="s">
        <v>65</v>
      </c>
      <c r="C45" s="102">
        <v>2</v>
      </c>
      <c r="D45" s="65">
        <f>1-D44</f>
        <v>0.8</v>
      </c>
      <c r="L45" t="str">
        <f t="shared" ca="1" si="2"/>
        <v/>
      </c>
    </row>
    <row r="46" spans="1:12" ht="15" customHeight="1" x14ac:dyDescent="0.45">
      <c r="A46" s="59"/>
      <c r="B46"/>
      <c r="D46" s="65"/>
      <c r="L46" t="str">
        <f t="shared" ca="1" si="2"/>
        <v/>
      </c>
    </row>
    <row r="47" spans="1:12" ht="15" customHeight="1" x14ac:dyDescent="0.45">
      <c r="B47" t="s">
        <v>66</v>
      </c>
      <c r="D47" s="78" t="s">
        <v>67</v>
      </c>
      <c r="L47" t="str">
        <f t="shared" ca="1" si="2"/>
        <v/>
      </c>
    </row>
    <row r="48" spans="1:12" ht="15" customHeight="1" x14ac:dyDescent="0.45">
      <c r="A48" s="59"/>
      <c r="B48" t="s">
        <v>68</v>
      </c>
      <c r="C48" t="str">
        <f>D47&amp;" 000s"</f>
        <v>USD 000s</v>
      </c>
      <c r="D48" s="64">
        <v>1300</v>
      </c>
      <c r="L48" t="str">
        <f t="shared" ca="1" si="2"/>
        <v/>
      </c>
    </row>
    <row r="49" spans="1:12" ht="15" customHeight="1" x14ac:dyDescent="0.45">
      <c r="A49" s="59"/>
      <c r="B49" t="s">
        <v>69</v>
      </c>
      <c r="C49" t="s">
        <v>70</v>
      </c>
      <c r="D49" s="60">
        <v>0</v>
      </c>
      <c r="L49" t="str">
        <f t="shared" ca="1" si="2"/>
        <v/>
      </c>
    </row>
    <row r="50" spans="1:12" ht="15" customHeight="1" x14ac:dyDescent="0.45">
      <c r="A50" s="59"/>
      <c r="B50" t="s">
        <v>71</v>
      </c>
      <c r="C50" t="str">
        <f>Local_currency&amp;"/ 1"&amp;D47</f>
        <v>GBP/ 1USD</v>
      </c>
      <c r="D50" s="66">
        <f>1/1.25</f>
        <v>0.8</v>
      </c>
      <c r="L50" t="str">
        <f t="shared" ca="1" si="2"/>
        <v/>
      </c>
    </row>
    <row r="51" spans="1:12" ht="15" customHeight="1" x14ac:dyDescent="0.45">
      <c r="A51" s="59"/>
      <c r="B51" t="str">
        <f>"Local currency devaluation vs "&amp;D47</f>
        <v>Local currency devaluation vs USD</v>
      </c>
      <c r="C51" t="s">
        <v>72</v>
      </c>
      <c r="D51" s="60">
        <v>0.03</v>
      </c>
      <c r="L51" t="str">
        <f t="shared" ca="1" si="2"/>
        <v/>
      </c>
    </row>
    <row r="52" spans="1:12" ht="15" customHeight="1" x14ac:dyDescent="0.45">
      <c r="A52" s="59"/>
      <c r="B52"/>
      <c r="L52" t="str">
        <f t="shared" ca="1" si="2"/>
        <v/>
      </c>
    </row>
    <row r="53" spans="1:12" ht="15" customHeight="1" x14ac:dyDescent="0.45">
      <c r="A53" s="59"/>
      <c r="B53" t="s">
        <v>73</v>
      </c>
      <c r="C53" t="s">
        <v>74</v>
      </c>
      <c r="D53" s="60">
        <v>0.05</v>
      </c>
      <c r="L53" t="str">
        <f t="shared" ca="1" si="2"/>
        <v/>
      </c>
    </row>
    <row r="54" spans="1:12" ht="15" customHeight="1" x14ac:dyDescent="0.45">
      <c r="A54" s="59"/>
      <c r="B54"/>
      <c r="L54" t="str">
        <f t="shared" ca="1" si="2"/>
        <v/>
      </c>
    </row>
    <row r="55" spans="1:12" ht="15" customHeight="1" x14ac:dyDescent="0.45">
      <c r="A55" s="68" t="s">
        <v>75</v>
      </c>
      <c r="B55"/>
      <c r="L55" t="str">
        <f t="shared" ca="1" si="2"/>
        <v/>
      </c>
    </row>
    <row r="56" spans="1:12" ht="15" customHeight="1" x14ac:dyDescent="0.45">
      <c r="A56" s="69"/>
      <c r="B56" t="s">
        <v>76</v>
      </c>
      <c r="D56" s="60">
        <v>0.25</v>
      </c>
      <c r="L56" t="str">
        <f t="shared" ca="1" si="2"/>
        <v/>
      </c>
    </row>
    <row r="57" spans="1:12" ht="15" customHeight="1" x14ac:dyDescent="0.45">
      <c r="A57" s="69"/>
      <c r="B57" t="s">
        <v>77</v>
      </c>
      <c r="C57" t="s">
        <v>78</v>
      </c>
      <c r="D57" s="60">
        <v>0.3</v>
      </c>
      <c r="L57" t="str">
        <f t="shared" ca="1" si="2"/>
        <v/>
      </c>
    </row>
    <row r="58" spans="1:12" ht="15" customHeight="1" x14ac:dyDescent="0.45">
      <c r="A58" s="69"/>
      <c r="B58" t="s">
        <v>79</v>
      </c>
      <c r="C58" t="s">
        <v>80</v>
      </c>
      <c r="D58" s="60">
        <v>0.5</v>
      </c>
      <c r="E58" s="81"/>
      <c r="L58" t="str">
        <f t="shared" ca="1" si="2"/>
        <v/>
      </c>
    </row>
    <row r="59" spans="1:12" ht="15" customHeight="1" x14ac:dyDescent="0.45">
      <c r="A59" s="69"/>
      <c r="B59" t="s">
        <v>81</v>
      </c>
      <c r="C59" t="s">
        <v>80</v>
      </c>
      <c r="D59" s="65">
        <f>1-D58</f>
        <v>0.5</v>
      </c>
      <c r="L59" t="str">
        <f t="shared" ca="1" si="2"/>
        <v/>
      </c>
    </row>
    <row r="60" spans="1:12" ht="15" customHeight="1" x14ac:dyDescent="0.45">
      <c r="A60" s="59"/>
      <c r="B60"/>
      <c r="L60" t="str">
        <f t="shared" ca="1" si="2"/>
        <v/>
      </c>
    </row>
    <row r="61" spans="1:12" ht="15" customHeight="1" x14ac:dyDescent="0.45">
      <c r="A61" s="69" t="s">
        <v>82</v>
      </c>
      <c r="B61"/>
      <c r="D61" s="67"/>
      <c r="L61" t="str">
        <f t="shared" ca="1" si="2"/>
        <v/>
      </c>
    </row>
    <row r="62" spans="1:12" ht="15" customHeight="1" x14ac:dyDescent="0.45">
      <c r="A62" s="59"/>
      <c r="B62" t="s">
        <v>83</v>
      </c>
      <c r="C62" t="s">
        <v>44</v>
      </c>
      <c r="D62" s="64">
        <v>30</v>
      </c>
      <c r="L62" t="str">
        <f t="shared" ca="1" si="2"/>
        <v/>
      </c>
    </row>
    <row r="63" spans="1:12" ht="15" customHeight="1" x14ac:dyDescent="0.45">
      <c r="A63" s="59"/>
      <c r="B63" t="s">
        <v>84</v>
      </c>
      <c r="C63" t="s">
        <v>44</v>
      </c>
      <c r="D63" s="64">
        <v>60</v>
      </c>
      <c r="L63" t="str">
        <f t="shared" ca="1" si="2"/>
        <v/>
      </c>
    </row>
    <row r="64" spans="1:12" ht="15" customHeight="1" x14ac:dyDescent="0.45">
      <c r="A64" s="59"/>
      <c r="B64"/>
      <c r="L64" t="str">
        <f t="shared" ca="1" si="2"/>
        <v/>
      </c>
    </row>
    <row r="65" spans="1:12" ht="15" customHeight="1" x14ac:dyDescent="0.45">
      <c r="A65" s="68" t="s">
        <v>27</v>
      </c>
      <c r="B65"/>
      <c r="L65" t="str">
        <f t="shared" ca="1" si="2"/>
        <v/>
      </c>
    </row>
    <row r="66" spans="1:12" ht="15" customHeight="1" x14ac:dyDescent="0.45">
      <c r="A66" s="69"/>
      <c r="B66" t="s">
        <v>85</v>
      </c>
      <c r="D66" s="60">
        <v>0.5</v>
      </c>
      <c r="E66" s="81"/>
      <c r="L66" t="str">
        <f t="shared" ca="1" si="2"/>
        <v/>
      </c>
    </row>
    <row r="67" spans="1:12" ht="15" customHeight="1" x14ac:dyDescent="0.45">
      <c r="A67" s="69"/>
      <c r="B67" t="s">
        <v>86</v>
      </c>
      <c r="C67" t="s">
        <v>87</v>
      </c>
      <c r="D67" s="60">
        <v>0.7</v>
      </c>
      <c r="L67" t="str">
        <f t="shared" ref="L67:L98" ca="1" si="3">IF(ISBLANK(K67),"",_xlfn.FORMULATEXT(K67))</f>
        <v/>
      </c>
    </row>
    <row r="68" spans="1:12" ht="15" customHeight="1" x14ac:dyDescent="0.45">
      <c r="A68" s="69"/>
      <c r="B68" t="s">
        <v>88</v>
      </c>
      <c r="C68" t="s">
        <v>87</v>
      </c>
      <c r="D68" s="65">
        <f>1-D67</f>
        <v>0.30000000000000004</v>
      </c>
      <c r="L68" t="str">
        <f t="shared" ca="1" si="3"/>
        <v/>
      </c>
    </row>
    <row r="69" spans="1:12" ht="15" customHeight="1" x14ac:dyDescent="0.45">
      <c r="A69" s="69"/>
      <c r="B69" t="s">
        <v>89</v>
      </c>
      <c r="C69" t="s">
        <v>90</v>
      </c>
      <c r="D69" s="64">
        <v>15</v>
      </c>
      <c r="E69" s="81"/>
      <c r="L69" t="str">
        <f t="shared" ca="1" si="3"/>
        <v/>
      </c>
    </row>
    <row r="70" spans="1:12" ht="15" customHeight="1" x14ac:dyDescent="0.45">
      <c r="A70" s="69"/>
      <c r="B70" t="s">
        <v>91</v>
      </c>
      <c r="C70" t="s">
        <v>90</v>
      </c>
      <c r="D70" s="64">
        <v>18</v>
      </c>
      <c r="L70" t="str">
        <f t="shared" ca="1" si="3"/>
        <v/>
      </c>
    </row>
    <row r="71" spans="1:12" ht="15" customHeight="1" x14ac:dyDescent="0.45">
      <c r="A71" s="69"/>
      <c r="B71" t="s">
        <v>92</v>
      </c>
      <c r="D71" s="70">
        <v>0.03</v>
      </c>
      <c r="L71" t="str">
        <f t="shared" ca="1" si="3"/>
        <v/>
      </c>
    </row>
    <row r="72" spans="1:12" ht="15" customHeight="1" x14ac:dyDescent="0.45">
      <c r="A72" s="69"/>
      <c r="B72" t="s">
        <v>93</v>
      </c>
      <c r="D72" s="70">
        <v>8.0000000000000002E-3</v>
      </c>
      <c r="L72" t="str">
        <f t="shared" ca="1" si="3"/>
        <v/>
      </c>
    </row>
    <row r="73" spans="1:12" ht="15" customHeight="1" x14ac:dyDescent="0.45">
      <c r="A73" s="69"/>
      <c r="B73" t="s">
        <v>94</v>
      </c>
      <c r="D73" s="67">
        <f>SUM(D71:D72)</f>
        <v>3.7999999999999999E-2</v>
      </c>
      <c r="L73" t="str">
        <f t="shared" ca="1" si="3"/>
        <v/>
      </c>
    </row>
    <row r="74" spans="1:12" ht="15" customHeight="1" x14ac:dyDescent="0.45">
      <c r="A74" s="69"/>
      <c r="B74" t="s">
        <v>95</v>
      </c>
      <c r="D74" s="70">
        <v>3.7999999999999999E-2</v>
      </c>
      <c r="L74" t="str">
        <f t="shared" ca="1" si="3"/>
        <v/>
      </c>
    </row>
    <row r="75" spans="1:12" ht="15" customHeight="1" x14ac:dyDescent="0.45">
      <c r="A75" s="69"/>
      <c r="B75" t="s">
        <v>96</v>
      </c>
      <c r="D75" s="67">
        <f>+D71+D74</f>
        <v>6.8000000000000005E-2</v>
      </c>
      <c r="L75" t="str">
        <f t="shared" ca="1" si="3"/>
        <v/>
      </c>
    </row>
    <row r="76" spans="1:12" ht="15" customHeight="1" x14ac:dyDescent="0.45">
      <c r="A76" s="69"/>
      <c r="B76"/>
      <c r="D76" s="71"/>
      <c r="L76" t="str">
        <f t="shared" ca="1" si="3"/>
        <v/>
      </c>
    </row>
    <row r="77" spans="1:12" ht="15" customHeight="1" x14ac:dyDescent="0.45">
      <c r="A77" s="69"/>
      <c r="B77" t="s">
        <v>97</v>
      </c>
      <c r="D77" s="65">
        <f>D73*D67+D75*D68</f>
        <v>4.7E-2</v>
      </c>
      <c r="L77" t="str">
        <f t="shared" ca="1" si="3"/>
        <v/>
      </c>
    </row>
    <row r="78" spans="1:12" ht="15" customHeight="1" x14ac:dyDescent="0.45">
      <c r="A78" s="69"/>
      <c r="B78"/>
      <c r="D78" s="71"/>
      <c r="L78" t="str">
        <f t="shared" ca="1" si="3"/>
        <v/>
      </c>
    </row>
    <row r="79" spans="1:12" ht="15" customHeight="1" x14ac:dyDescent="0.45">
      <c r="A79" s="69"/>
      <c r="B79" t="s">
        <v>98</v>
      </c>
      <c r="C79" t="s">
        <v>99</v>
      </c>
      <c r="D79" s="60">
        <v>0.01</v>
      </c>
      <c r="L79" t="str">
        <f t="shared" ca="1" si="3"/>
        <v/>
      </c>
    </row>
    <row r="80" spans="1:12" ht="15" customHeight="1" x14ac:dyDescent="0.45">
      <c r="A80"/>
      <c r="B80"/>
      <c r="L80" t="str">
        <f t="shared" ca="1" si="3"/>
        <v/>
      </c>
    </row>
    <row r="81" spans="1:12" ht="15" customHeight="1" x14ac:dyDescent="0.45">
      <c r="A81" s="69"/>
      <c r="B81" t="s">
        <v>100</v>
      </c>
      <c r="D81" s="72">
        <v>1.25</v>
      </c>
      <c r="L81" t="str">
        <f t="shared" ca="1" si="3"/>
        <v/>
      </c>
    </row>
    <row r="82" spans="1:12" ht="15" customHeight="1" x14ac:dyDescent="0.45">
      <c r="A82" s="69"/>
      <c r="B82" t="s">
        <v>101</v>
      </c>
      <c r="D82" s="72">
        <v>1.5</v>
      </c>
      <c r="L82" t="str">
        <f t="shared" ca="1" si="3"/>
        <v/>
      </c>
    </row>
    <row r="83" spans="1:12" ht="15" customHeight="1" x14ac:dyDescent="0.45">
      <c r="A83" s="69"/>
      <c r="B83" t="s">
        <v>102</v>
      </c>
      <c r="D83" s="72">
        <v>2</v>
      </c>
      <c r="L83" t="str">
        <f t="shared" ca="1" si="3"/>
        <v/>
      </c>
    </row>
    <row r="84" spans="1:12" ht="15" customHeight="1" x14ac:dyDescent="0.45">
      <c r="A84"/>
      <c r="B84" t="s">
        <v>103</v>
      </c>
      <c r="D84" s="73">
        <v>1.5</v>
      </c>
      <c r="L84" t="str">
        <f t="shared" ca="1" si="3"/>
        <v/>
      </c>
    </row>
    <row r="85" spans="1:12" ht="15" customHeight="1" x14ac:dyDescent="0.45">
      <c r="A85" s="69"/>
      <c r="B85" t="s">
        <v>104</v>
      </c>
      <c r="D85" s="73">
        <v>1.5</v>
      </c>
      <c r="L85" t="str">
        <f t="shared" ca="1" si="3"/>
        <v/>
      </c>
    </row>
    <row r="86" spans="1:12" ht="15" customHeight="1" x14ac:dyDescent="0.45">
      <c r="A86" s="69"/>
      <c r="B86"/>
      <c r="L86" t="str">
        <f t="shared" ca="1" si="3"/>
        <v/>
      </c>
    </row>
    <row r="87" spans="1:12" ht="15" customHeight="1" x14ac:dyDescent="0.45">
      <c r="A87" s="68" t="s">
        <v>105</v>
      </c>
      <c r="B87"/>
      <c r="L87" t="str">
        <f t="shared" ca="1" si="3"/>
        <v/>
      </c>
    </row>
    <row r="88" spans="1:12" ht="15" customHeight="1" x14ac:dyDescent="0.45">
      <c r="A88" s="59"/>
      <c r="B88" t="s">
        <v>106</v>
      </c>
      <c r="D88" s="60">
        <v>1</v>
      </c>
      <c r="L88" t="str">
        <f t="shared" ca="1" si="3"/>
        <v/>
      </c>
    </row>
    <row r="89" spans="1:12" ht="15" customHeight="1" x14ac:dyDescent="0.45">
      <c r="A89" s="69"/>
      <c r="B89" t="s">
        <v>107</v>
      </c>
      <c r="D89" s="74">
        <v>2</v>
      </c>
      <c r="L89" t="str">
        <f t="shared" ca="1" si="3"/>
        <v/>
      </c>
    </row>
    <row r="90" spans="1:12" ht="15" customHeight="1" x14ac:dyDescent="0.45">
      <c r="A90" s="59"/>
      <c r="B90" t="s">
        <v>108</v>
      </c>
      <c r="C90" s="65"/>
      <c r="D90" s="80">
        <v>0.12</v>
      </c>
      <c r="L90" t="str">
        <f t="shared" ca="1" si="3"/>
        <v/>
      </c>
    </row>
    <row r="91" spans="1:12" ht="15" customHeight="1" x14ac:dyDescent="0.45">
      <c r="A91" s="69"/>
      <c r="L91" t="str">
        <f t="shared" ca="1" si="3"/>
        <v/>
      </c>
    </row>
    <row r="92" spans="1:12" ht="15" customHeight="1" x14ac:dyDescent="0.45">
      <c r="A92" s="82" t="s">
        <v>109</v>
      </c>
      <c r="C92" s="75"/>
      <c r="D92" s="75"/>
      <c r="L92" t="str">
        <f t="shared" ca="1" si="3"/>
        <v/>
      </c>
    </row>
    <row r="93" spans="1:12" ht="15" customHeight="1" x14ac:dyDescent="0.45">
      <c r="A93" s="99"/>
      <c r="C93" s="75"/>
      <c r="D93" s="75"/>
      <c r="L93" t="str">
        <f t="shared" ca="1" si="3"/>
        <v/>
      </c>
    </row>
    <row r="94" spans="1:12" ht="15" customHeight="1" x14ac:dyDescent="0.45">
      <c r="A94" s="82" t="s">
        <v>110</v>
      </c>
      <c r="B94" s="77"/>
      <c r="L94" t="str">
        <f t="shared" ca="1" si="3"/>
        <v/>
      </c>
    </row>
    <row r="95" spans="1:12" ht="15" customHeight="1" x14ac:dyDescent="0.45">
      <c r="A95" s="82"/>
      <c r="B95" s="77"/>
      <c r="L95" t="str">
        <f t="shared" ca="1" si="3"/>
        <v/>
      </c>
    </row>
    <row r="96" spans="1:12" ht="15" customHeight="1" x14ac:dyDescent="0.45">
      <c r="A96" s="82" t="s">
        <v>111</v>
      </c>
      <c r="B96"/>
      <c r="L96" t="str">
        <f t="shared" ca="1" si="3"/>
        <v/>
      </c>
    </row>
    <row r="97" spans="1:13" ht="15" customHeight="1" x14ac:dyDescent="0.45">
      <c r="A97" s="82"/>
      <c r="B97" t="s">
        <v>112</v>
      </c>
      <c r="L97" t="str">
        <f t="shared" ca="1" si="3"/>
        <v/>
      </c>
    </row>
    <row r="98" spans="1:13" ht="15" customHeight="1" x14ac:dyDescent="0.45">
      <c r="A98" s="82"/>
      <c r="B98" t="s">
        <v>105</v>
      </c>
      <c r="L98" t="str">
        <f t="shared" ca="1" si="3"/>
        <v/>
      </c>
    </row>
    <row r="99" spans="1:13" ht="15" customHeight="1" x14ac:dyDescent="0.45">
      <c r="A99" s="82"/>
      <c r="B99" t="s">
        <v>113</v>
      </c>
      <c r="L99" t="str">
        <f t="shared" ref="L99:L101" ca="1" si="4">IF(ISBLANK(K99),"",_xlfn.FORMULATEXT(K99))</f>
        <v/>
      </c>
    </row>
    <row r="100" spans="1:13" ht="15" customHeight="1" x14ac:dyDescent="0.45">
      <c r="A100" s="82"/>
      <c r="B100"/>
      <c r="L100" t="str">
        <f t="shared" ca="1" si="4"/>
        <v/>
      </c>
    </row>
    <row r="101" spans="1:13" ht="15" customHeight="1" x14ac:dyDescent="0.45">
      <c r="A101" s="82"/>
      <c r="B101" t="s">
        <v>114</v>
      </c>
      <c r="C101" s="65"/>
      <c r="L101" t="str">
        <f t="shared" ca="1" si="4"/>
        <v/>
      </c>
    </row>
    <row r="102" spans="1:13" ht="15" customHeight="1" x14ac:dyDescent="0.45">
      <c r="A102" s="82"/>
      <c r="B102"/>
      <c r="C102" s="65"/>
    </row>
    <row r="103" spans="1:13" ht="15" customHeight="1" x14ac:dyDescent="0.45">
      <c r="A103" s="82" t="s">
        <v>115</v>
      </c>
      <c r="B103"/>
      <c r="C103" s="65"/>
    </row>
    <row r="104" spans="1:13" ht="15" customHeight="1" x14ac:dyDescent="0.45">
      <c r="A104" s="82"/>
      <c r="B104"/>
      <c r="C104" s="65"/>
      <c r="F104" s="98" t="s">
        <v>116</v>
      </c>
    </row>
    <row r="105" spans="1:13" ht="15" customHeight="1" x14ac:dyDescent="0.45">
      <c r="A105" s="82"/>
      <c r="B105"/>
      <c r="K105" t="s">
        <v>87</v>
      </c>
    </row>
    <row r="106" spans="1:13" ht="15" customHeight="1" x14ac:dyDescent="0.45">
      <c r="A106" s="82"/>
      <c r="B106"/>
      <c r="H106" s="65"/>
      <c r="I106" s="103">
        <v>0.5</v>
      </c>
      <c r="J106" s="103">
        <v>0.6</v>
      </c>
      <c r="K106" s="103">
        <v>0.7</v>
      </c>
      <c r="L106" s="103">
        <v>0.8</v>
      </c>
      <c r="M106" s="103">
        <v>0.9</v>
      </c>
    </row>
    <row r="107" spans="1:13" ht="15" customHeight="1" x14ac:dyDescent="0.45">
      <c r="A107" s="82"/>
      <c r="E107" t="s">
        <v>39</v>
      </c>
      <c r="G107" t="s">
        <v>117</v>
      </c>
      <c r="H107" s="103">
        <v>0.25</v>
      </c>
      <c r="I107" s="65"/>
      <c r="J107" s="65"/>
      <c r="K107" s="65"/>
      <c r="L107" s="65"/>
      <c r="M107" s="65"/>
    </row>
    <row r="108" spans="1:13" ht="15" customHeight="1" x14ac:dyDescent="0.45">
      <c r="A108" s="82"/>
      <c r="B108"/>
      <c r="G108" t="s">
        <v>118</v>
      </c>
      <c r="H108" s="103">
        <v>0.4</v>
      </c>
      <c r="I108" s="65"/>
      <c r="J108" s="65"/>
      <c r="K108" s="100"/>
      <c r="L108" s="91"/>
      <c r="M108" s="91"/>
    </row>
    <row r="109" spans="1:13" ht="15" customHeight="1" x14ac:dyDescent="0.45">
      <c r="A109" s="82"/>
      <c r="B109"/>
    </row>
    <row r="110" spans="1:13" ht="15" customHeight="1" x14ac:dyDescent="0.45">
      <c r="A110" s="82"/>
      <c r="B110"/>
    </row>
    <row r="111" spans="1:13" ht="15" customHeight="1" x14ac:dyDescent="0.45">
      <c r="A111" s="82"/>
      <c r="B111"/>
      <c r="F111" s="98" t="s">
        <v>119</v>
      </c>
    </row>
    <row r="112" spans="1:13" ht="15" customHeight="1" x14ac:dyDescent="0.45">
      <c r="A112" s="82"/>
      <c r="B112"/>
    </row>
    <row r="113" spans="1:13" ht="15" customHeight="1" x14ac:dyDescent="0.45">
      <c r="A113" s="82"/>
      <c r="B113"/>
      <c r="K113" t="s">
        <v>87</v>
      </c>
    </row>
    <row r="114" spans="1:13" ht="15" customHeight="1" x14ac:dyDescent="0.45">
      <c r="A114" s="82"/>
      <c r="B114"/>
      <c r="I114" s="103">
        <f>I106</f>
        <v>0.5</v>
      </c>
      <c r="J114" s="103">
        <f>J106</f>
        <v>0.6</v>
      </c>
      <c r="K114" s="103">
        <f>K106</f>
        <v>0.7</v>
      </c>
      <c r="L114" s="103">
        <f>L106</f>
        <v>0.8</v>
      </c>
      <c r="M114" s="103">
        <f>M106</f>
        <v>0.9</v>
      </c>
    </row>
    <row r="115" spans="1:13" ht="15" customHeight="1" x14ac:dyDescent="0.45">
      <c r="A115"/>
      <c r="B115"/>
      <c r="E115" t="s">
        <v>39</v>
      </c>
      <c r="G115" t="s">
        <v>117</v>
      </c>
      <c r="H115" s="103">
        <v>0.25</v>
      </c>
    </row>
    <row r="116" spans="1:13" ht="15" customHeight="1" x14ac:dyDescent="0.45">
      <c r="A116" s="82"/>
      <c r="B116"/>
      <c r="G116" t="s">
        <v>118</v>
      </c>
      <c r="H116" s="103">
        <f>H108</f>
        <v>0.4</v>
      </c>
    </row>
    <row r="117" spans="1:13" ht="15" customHeight="1" x14ac:dyDescent="0.45">
      <c r="A117" s="59" t="s">
        <v>120</v>
      </c>
    </row>
    <row r="118" spans="1:13" ht="15" customHeight="1" x14ac:dyDescent="0.45">
      <c r="A118" s="59"/>
    </row>
    <row r="119" spans="1:13" ht="15" customHeight="1" x14ac:dyDescent="0.45">
      <c r="A119"/>
      <c r="B119"/>
    </row>
    <row r="120" spans="1:13" ht="15" customHeight="1" x14ac:dyDescent="0.45">
      <c r="A120"/>
      <c r="B120"/>
    </row>
    <row r="121" spans="1:13" ht="15" customHeight="1" x14ac:dyDescent="0.45">
      <c r="A121"/>
      <c r="B121"/>
    </row>
    <row r="122" spans="1:13" ht="15" customHeight="1" x14ac:dyDescent="0.45">
      <c r="A122"/>
      <c r="B122"/>
    </row>
    <row r="123" spans="1:13" ht="15" customHeight="1" x14ac:dyDescent="0.45">
      <c r="A123"/>
      <c r="B123"/>
    </row>
    <row r="124" spans="1:13" ht="15" customHeight="1" x14ac:dyDescent="0.45">
      <c r="A124"/>
      <c r="B124"/>
    </row>
    <row r="125" spans="1:13" ht="15" customHeight="1" x14ac:dyDescent="0.45">
      <c r="A125"/>
      <c r="B125"/>
    </row>
    <row r="126" spans="1:13" ht="15" customHeight="1" x14ac:dyDescent="0.45">
      <c r="A126"/>
      <c r="B126"/>
    </row>
    <row r="127" spans="1:13" ht="15" customHeight="1" x14ac:dyDescent="0.45">
      <c r="A127"/>
      <c r="B127"/>
    </row>
    <row r="128" spans="1:13" ht="15" customHeight="1" x14ac:dyDescent="0.45">
      <c r="A128"/>
      <c r="B128"/>
    </row>
    <row r="129" spans="1:2" ht="15" customHeight="1" x14ac:dyDescent="0.45">
      <c r="A129"/>
      <c r="B129"/>
    </row>
    <row r="130" spans="1:2" ht="15" customHeight="1" x14ac:dyDescent="0.45">
      <c r="A130"/>
      <c r="B130"/>
    </row>
    <row r="131" spans="1:2" ht="15" customHeight="1" x14ac:dyDescent="0.45">
      <c r="A131"/>
      <c r="B131"/>
    </row>
    <row r="132" spans="1:2" ht="15" customHeight="1" x14ac:dyDescent="0.45">
      <c r="A132"/>
      <c r="B132"/>
    </row>
    <row r="133" spans="1:2" ht="15" customHeight="1" x14ac:dyDescent="0.45">
      <c r="A133"/>
      <c r="B133"/>
    </row>
    <row r="134" spans="1:2" ht="15" customHeight="1" x14ac:dyDescent="0.45">
      <c r="A134"/>
      <c r="B134"/>
    </row>
    <row r="135" spans="1:2" ht="15" customHeight="1" x14ac:dyDescent="0.45">
      <c r="A135"/>
      <c r="B135"/>
    </row>
    <row r="136" spans="1:2" ht="15" customHeight="1" x14ac:dyDescent="0.45">
      <c r="A136"/>
      <c r="B136"/>
    </row>
    <row r="137" spans="1:2" ht="15" customHeight="1" x14ac:dyDescent="0.45">
      <c r="A137"/>
      <c r="B137"/>
    </row>
    <row r="138" spans="1:2" ht="15" customHeight="1" x14ac:dyDescent="0.45">
      <c r="A138"/>
      <c r="B138"/>
    </row>
    <row r="139" spans="1:2" ht="15" customHeight="1" x14ac:dyDescent="0.45">
      <c r="A139"/>
      <c r="B139"/>
    </row>
    <row r="140" spans="1:2" ht="15" customHeight="1" x14ac:dyDescent="0.45">
      <c r="A140"/>
      <c r="B140"/>
    </row>
    <row r="141" spans="1:2" ht="15" customHeight="1" x14ac:dyDescent="0.45">
      <c r="A141"/>
      <c r="B141"/>
    </row>
    <row r="142" spans="1:2" ht="15" customHeight="1" x14ac:dyDescent="0.45">
      <c r="A142"/>
      <c r="B142"/>
    </row>
    <row r="143" spans="1:2" ht="15" customHeight="1" x14ac:dyDescent="0.45">
      <c r="A143"/>
      <c r="B143"/>
    </row>
    <row r="144" spans="1:2" ht="15" customHeight="1" x14ac:dyDescent="0.45">
      <c r="A144"/>
      <c r="B144"/>
    </row>
    <row r="145" spans="1:2" ht="15" customHeight="1" x14ac:dyDescent="0.45">
      <c r="A145"/>
      <c r="B145"/>
    </row>
    <row r="146" spans="1:2" ht="15" customHeight="1" x14ac:dyDescent="0.45">
      <c r="A146"/>
      <c r="B146"/>
    </row>
    <row r="147" spans="1:2" ht="15" customHeight="1" x14ac:dyDescent="0.45">
      <c r="A147"/>
      <c r="B147"/>
    </row>
    <row r="148" spans="1:2" ht="15" customHeight="1" x14ac:dyDescent="0.45">
      <c r="A148"/>
      <c r="B148"/>
    </row>
    <row r="149" spans="1:2" ht="15" customHeight="1" x14ac:dyDescent="0.45">
      <c r="A149"/>
      <c r="B149"/>
    </row>
    <row r="150" spans="1:2" ht="15" customHeight="1" x14ac:dyDescent="0.45">
      <c r="A150"/>
      <c r="B150"/>
    </row>
    <row r="151" spans="1:2" ht="15" customHeight="1" x14ac:dyDescent="0.45">
      <c r="A151"/>
      <c r="B151"/>
    </row>
    <row r="152" spans="1:2" ht="15" customHeight="1" x14ac:dyDescent="0.45">
      <c r="A152"/>
      <c r="B152"/>
    </row>
    <row r="153" spans="1:2" ht="15" customHeight="1" x14ac:dyDescent="0.45">
      <c r="A153"/>
      <c r="B153"/>
    </row>
    <row r="154" spans="1:2" ht="15" customHeight="1" x14ac:dyDescent="0.45">
      <c r="A154"/>
      <c r="B154"/>
    </row>
    <row r="155" spans="1:2" ht="15" customHeight="1" x14ac:dyDescent="0.45">
      <c r="A155"/>
      <c r="B155"/>
    </row>
    <row r="156" spans="1:2" ht="15" customHeight="1" x14ac:dyDescent="0.45">
      <c r="A156"/>
      <c r="B156"/>
    </row>
    <row r="157" spans="1:2" ht="15" customHeight="1" x14ac:dyDescent="0.45">
      <c r="A157"/>
      <c r="B157"/>
    </row>
    <row r="158" spans="1:2" ht="15" customHeight="1" x14ac:dyDescent="0.45">
      <c r="A158"/>
      <c r="B158"/>
    </row>
    <row r="159" spans="1:2" ht="15" customHeight="1" x14ac:dyDescent="0.45">
      <c r="A159"/>
      <c r="B159"/>
    </row>
    <row r="160" spans="1:2" ht="15" customHeight="1" x14ac:dyDescent="0.45">
      <c r="A160"/>
      <c r="B160"/>
    </row>
    <row r="161" spans="1:2" ht="15" customHeight="1" x14ac:dyDescent="0.45">
      <c r="A161"/>
      <c r="B161"/>
    </row>
    <row r="162" spans="1:2" ht="15" customHeight="1" x14ac:dyDescent="0.45">
      <c r="A162"/>
      <c r="B162"/>
    </row>
    <row r="163" spans="1:2" ht="15" customHeight="1" x14ac:dyDescent="0.45">
      <c r="A163"/>
      <c r="B163"/>
    </row>
    <row r="164" spans="1:2" ht="15" customHeight="1" x14ac:dyDescent="0.45">
      <c r="A164"/>
      <c r="B164"/>
    </row>
    <row r="165" spans="1:2" ht="15" customHeight="1" x14ac:dyDescent="0.45">
      <c r="A165"/>
      <c r="B165"/>
    </row>
    <row r="166" spans="1:2" ht="15" customHeight="1" x14ac:dyDescent="0.45">
      <c r="A166"/>
      <c r="B166"/>
    </row>
    <row r="167" spans="1:2" ht="15" customHeight="1" x14ac:dyDescent="0.45">
      <c r="A167"/>
      <c r="B167"/>
    </row>
    <row r="168" spans="1:2" ht="15" customHeight="1" x14ac:dyDescent="0.45">
      <c r="A168"/>
      <c r="B168"/>
    </row>
    <row r="169" spans="1:2" ht="15" customHeight="1" x14ac:dyDescent="0.45">
      <c r="A169"/>
      <c r="B169"/>
    </row>
    <row r="170" spans="1:2" ht="15" customHeight="1" x14ac:dyDescent="0.45">
      <c r="A170"/>
      <c r="B170"/>
    </row>
    <row r="171" spans="1:2" ht="15" customHeight="1" x14ac:dyDescent="0.45">
      <c r="A171"/>
      <c r="B171"/>
    </row>
    <row r="172" spans="1:2" ht="15" customHeight="1" x14ac:dyDescent="0.45">
      <c r="A172"/>
      <c r="B172"/>
    </row>
    <row r="173" spans="1:2" ht="15" customHeight="1" x14ac:dyDescent="0.45">
      <c r="A173"/>
      <c r="B173"/>
    </row>
    <row r="174" spans="1:2" ht="15" customHeight="1" x14ac:dyDescent="0.45">
      <c r="A174"/>
      <c r="B174"/>
    </row>
    <row r="175" spans="1:2" ht="15" customHeight="1" x14ac:dyDescent="0.45">
      <c r="A175"/>
      <c r="B175"/>
    </row>
    <row r="176" spans="1:2" ht="15" customHeight="1" x14ac:dyDescent="0.45">
      <c r="A176"/>
      <c r="B176"/>
    </row>
    <row r="177" spans="1:2" ht="15" customHeight="1" x14ac:dyDescent="0.45">
      <c r="A177"/>
      <c r="B177"/>
    </row>
    <row r="178" spans="1:2" ht="15" customHeight="1" x14ac:dyDescent="0.45">
      <c r="A178"/>
      <c r="B178"/>
    </row>
    <row r="179" spans="1:2" ht="15" customHeight="1" x14ac:dyDescent="0.45">
      <c r="A179"/>
      <c r="B179"/>
    </row>
    <row r="180" spans="1:2" ht="15" customHeight="1" x14ac:dyDescent="0.45">
      <c r="A180"/>
      <c r="B180"/>
    </row>
    <row r="181" spans="1:2" ht="15" customHeight="1" x14ac:dyDescent="0.45">
      <c r="A181"/>
      <c r="B181"/>
    </row>
    <row r="182" spans="1:2" ht="15" customHeight="1" x14ac:dyDescent="0.45">
      <c r="A182"/>
      <c r="B182"/>
    </row>
    <row r="183" spans="1:2" ht="15" customHeight="1" x14ac:dyDescent="0.45">
      <c r="A183"/>
      <c r="B183"/>
    </row>
    <row r="184" spans="1:2" ht="15" customHeight="1" x14ac:dyDescent="0.45">
      <c r="A184"/>
      <c r="B184"/>
    </row>
    <row r="185" spans="1:2" ht="15" customHeight="1" x14ac:dyDescent="0.45">
      <c r="A185"/>
      <c r="B185"/>
    </row>
    <row r="186" spans="1:2" ht="15" customHeight="1" x14ac:dyDescent="0.45">
      <c r="A186"/>
      <c r="B186"/>
    </row>
    <row r="187" spans="1:2" ht="15" customHeight="1" x14ac:dyDescent="0.45">
      <c r="A187"/>
      <c r="B187"/>
    </row>
    <row r="188" spans="1:2" ht="15" customHeight="1" x14ac:dyDescent="0.45">
      <c r="A188"/>
      <c r="B188"/>
    </row>
    <row r="189" spans="1:2" ht="15" customHeight="1" x14ac:dyDescent="0.45">
      <c r="A189"/>
      <c r="B189"/>
    </row>
    <row r="190" spans="1:2" ht="15" customHeight="1" x14ac:dyDescent="0.45">
      <c r="A190"/>
      <c r="B190"/>
    </row>
    <row r="191" spans="1:2" ht="15" customHeight="1" x14ac:dyDescent="0.45">
      <c r="A191"/>
      <c r="B191"/>
    </row>
    <row r="192" spans="1:2" ht="15" customHeight="1" x14ac:dyDescent="0.45">
      <c r="A192"/>
      <c r="B192"/>
    </row>
    <row r="193" spans="1:2" ht="15" customHeight="1" x14ac:dyDescent="0.45">
      <c r="A193"/>
      <c r="B193"/>
    </row>
    <row r="194" spans="1:2" ht="15" customHeight="1" x14ac:dyDescent="0.45">
      <c r="A194"/>
      <c r="B194"/>
    </row>
    <row r="195" spans="1:2" ht="15" customHeight="1" x14ac:dyDescent="0.45">
      <c r="A195"/>
      <c r="B195"/>
    </row>
    <row r="196" spans="1:2" ht="15" customHeight="1" x14ac:dyDescent="0.45">
      <c r="A196"/>
      <c r="B196"/>
    </row>
    <row r="197" spans="1:2" ht="15" customHeight="1" x14ac:dyDescent="0.45">
      <c r="A197"/>
      <c r="B197"/>
    </row>
    <row r="198" spans="1:2" ht="15" customHeight="1" x14ac:dyDescent="0.45">
      <c r="A198"/>
      <c r="B198"/>
    </row>
    <row r="199" spans="1:2" ht="15" customHeight="1" x14ac:dyDescent="0.45">
      <c r="A199"/>
      <c r="B199"/>
    </row>
    <row r="200" spans="1:2" ht="15" customHeight="1" x14ac:dyDescent="0.45">
      <c r="A200"/>
      <c r="B200"/>
    </row>
    <row r="201" spans="1:2" ht="15" customHeight="1" x14ac:dyDescent="0.45">
      <c r="A201"/>
      <c r="B201"/>
    </row>
    <row r="202" spans="1:2" ht="15" customHeight="1" x14ac:dyDescent="0.45">
      <c r="A202"/>
      <c r="B202"/>
    </row>
    <row r="203" spans="1:2" ht="15" customHeight="1" x14ac:dyDescent="0.45">
      <c r="A203"/>
      <c r="B203"/>
    </row>
    <row r="204" spans="1:2" ht="15" customHeight="1" x14ac:dyDescent="0.45">
      <c r="A204"/>
      <c r="B204"/>
    </row>
    <row r="205" spans="1:2" ht="15" customHeight="1" x14ac:dyDescent="0.45">
      <c r="A205"/>
      <c r="B205"/>
    </row>
    <row r="206" spans="1:2" ht="15" customHeight="1" x14ac:dyDescent="0.45">
      <c r="A206"/>
      <c r="B206"/>
    </row>
    <row r="207" spans="1:2" ht="15" customHeight="1" x14ac:dyDescent="0.45">
      <c r="A207"/>
      <c r="B207"/>
    </row>
    <row r="208" spans="1:2" ht="15" customHeight="1" x14ac:dyDescent="0.45">
      <c r="A208"/>
      <c r="B208"/>
    </row>
    <row r="209" spans="1:2" ht="15" customHeight="1" x14ac:dyDescent="0.45">
      <c r="A209"/>
      <c r="B209"/>
    </row>
    <row r="210" spans="1:2" ht="15" customHeight="1" x14ac:dyDescent="0.45">
      <c r="A210"/>
      <c r="B210"/>
    </row>
    <row r="211" spans="1:2" ht="15" customHeight="1" x14ac:dyDescent="0.45">
      <c r="A211"/>
      <c r="B211"/>
    </row>
    <row r="212" spans="1:2" ht="15" customHeight="1" x14ac:dyDescent="0.45">
      <c r="A212"/>
      <c r="B212"/>
    </row>
    <row r="213" spans="1:2" ht="15" customHeight="1" x14ac:dyDescent="0.45">
      <c r="A213"/>
      <c r="B213"/>
    </row>
    <row r="214" spans="1:2" ht="15" customHeight="1" x14ac:dyDescent="0.45">
      <c r="A214"/>
      <c r="B214"/>
    </row>
    <row r="215" spans="1:2" ht="15" customHeight="1" x14ac:dyDescent="0.45">
      <c r="A215"/>
      <c r="B215"/>
    </row>
    <row r="216" spans="1:2" ht="15" customHeight="1" x14ac:dyDescent="0.45">
      <c r="A216"/>
      <c r="B216"/>
    </row>
    <row r="217" spans="1:2" ht="15" customHeight="1" x14ac:dyDescent="0.45">
      <c r="A217"/>
      <c r="B217"/>
    </row>
    <row r="218" spans="1:2" ht="15" customHeight="1" x14ac:dyDescent="0.45">
      <c r="A218"/>
      <c r="B218"/>
    </row>
    <row r="219" spans="1:2" ht="15" customHeight="1" x14ac:dyDescent="0.45">
      <c r="A219"/>
      <c r="B219"/>
    </row>
    <row r="220" spans="1:2" ht="15" customHeight="1" x14ac:dyDescent="0.45">
      <c r="A220"/>
      <c r="B220"/>
    </row>
    <row r="221" spans="1:2" ht="15" customHeight="1" x14ac:dyDescent="0.45">
      <c r="A221"/>
      <c r="B221"/>
    </row>
    <row r="222" spans="1:2" ht="15" customHeight="1" x14ac:dyDescent="0.45">
      <c r="A222"/>
      <c r="B222"/>
    </row>
    <row r="223" spans="1:2" ht="15" customHeight="1" x14ac:dyDescent="0.45">
      <c r="A223"/>
      <c r="B223"/>
    </row>
    <row r="224" spans="1:2" ht="15" customHeight="1" x14ac:dyDescent="0.45">
      <c r="A224"/>
      <c r="B224"/>
    </row>
    <row r="225" spans="1:2" ht="15" customHeight="1" x14ac:dyDescent="0.45">
      <c r="A225"/>
      <c r="B225"/>
    </row>
    <row r="226" spans="1:2" ht="15" customHeight="1" x14ac:dyDescent="0.45">
      <c r="A226"/>
      <c r="B226"/>
    </row>
    <row r="227" spans="1:2" ht="15" customHeight="1" x14ac:dyDescent="0.45">
      <c r="A227"/>
      <c r="B227"/>
    </row>
    <row r="228" spans="1:2" ht="15" customHeight="1" x14ac:dyDescent="0.45">
      <c r="A228"/>
      <c r="B228"/>
    </row>
    <row r="229" spans="1:2" ht="15" customHeight="1" x14ac:dyDescent="0.45">
      <c r="A229"/>
      <c r="B229"/>
    </row>
    <row r="230" spans="1:2" ht="15" customHeight="1" x14ac:dyDescent="0.45">
      <c r="A230"/>
      <c r="B230"/>
    </row>
    <row r="231" spans="1:2" ht="15" customHeight="1" x14ac:dyDescent="0.45">
      <c r="A231"/>
      <c r="B231"/>
    </row>
    <row r="232" spans="1:2" ht="15" customHeight="1" x14ac:dyDescent="0.45">
      <c r="A232"/>
      <c r="B232"/>
    </row>
    <row r="233" spans="1:2" ht="15" customHeight="1" x14ac:dyDescent="0.45">
      <c r="A233"/>
      <c r="B233"/>
    </row>
    <row r="234" spans="1:2" ht="15" customHeight="1" x14ac:dyDescent="0.45">
      <c r="A234"/>
      <c r="B234"/>
    </row>
    <row r="235" spans="1:2" ht="15" customHeight="1" x14ac:dyDescent="0.45">
      <c r="A235"/>
      <c r="B235"/>
    </row>
    <row r="236" spans="1:2" ht="15" customHeight="1" x14ac:dyDescent="0.45">
      <c r="A236"/>
      <c r="B236"/>
    </row>
    <row r="237" spans="1:2" ht="15" customHeight="1" x14ac:dyDescent="0.45">
      <c r="A237"/>
      <c r="B237"/>
    </row>
    <row r="238" spans="1:2" ht="15" customHeight="1" x14ac:dyDescent="0.45">
      <c r="A238"/>
      <c r="B238"/>
    </row>
    <row r="239" spans="1:2" ht="15" customHeight="1" x14ac:dyDescent="0.45">
      <c r="A239"/>
      <c r="B239"/>
    </row>
    <row r="240" spans="1:2" ht="15" customHeight="1" x14ac:dyDescent="0.45">
      <c r="A240"/>
      <c r="B240"/>
    </row>
    <row r="241" spans="1:2" ht="15" customHeight="1" x14ac:dyDescent="0.45">
      <c r="A241"/>
      <c r="B241"/>
    </row>
    <row r="242" spans="1:2" ht="15" customHeight="1" x14ac:dyDescent="0.45">
      <c r="A242"/>
      <c r="B242"/>
    </row>
    <row r="243" spans="1:2" ht="15" customHeight="1" x14ac:dyDescent="0.45">
      <c r="A243"/>
      <c r="B243"/>
    </row>
    <row r="244" spans="1:2" ht="15" customHeight="1" x14ac:dyDescent="0.45">
      <c r="A244"/>
      <c r="B244"/>
    </row>
    <row r="245" spans="1:2" ht="15" customHeight="1" x14ac:dyDescent="0.45">
      <c r="A245"/>
      <c r="B245"/>
    </row>
    <row r="246" spans="1:2" ht="15" customHeight="1" x14ac:dyDescent="0.45">
      <c r="A246"/>
      <c r="B246"/>
    </row>
    <row r="247" spans="1:2" ht="15" customHeight="1" x14ac:dyDescent="0.45">
      <c r="A247"/>
      <c r="B247"/>
    </row>
    <row r="248" spans="1:2" ht="15" customHeight="1" x14ac:dyDescent="0.45">
      <c r="A248"/>
      <c r="B248"/>
    </row>
    <row r="249" spans="1:2" ht="15" customHeight="1" x14ac:dyDescent="0.45">
      <c r="A249"/>
      <c r="B249"/>
    </row>
    <row r="250" spans="1:2" ht="15" customHeight="1" x14ac:dyDescent="0.45">
      <c r="A250"/>
      <c r="B250"/>
    </row>
    <row r="251" spans="1:2" ht="15" customHeight="1" x14ac:dyDescent="0.45">
      <c r="A251"/>
      <c r="B251"/>
    </row>
    <row r="252" spans="1:2" ht="15" customHeight="1" x14ac:dyDescent="0.45">
      <c r="A252"/>
      <c r="B252"/>
    </row>
    <row r="253" spans="1:2" ht="15" customHeight="1" x14ac:dyDescent="0.45">
      <c r="A253"/>
      <c r="B253"/>
    </row>
    <row r="254" spans="1:2" ht="15" customHeight="1" x14ac:dyDescent="0.45">
      <c r="A254"/>
      <c r="B254"/>
    </row>
    <row r="255" spans="1:2" ht="15" customHeight="1" x14ac:dyDescent="0.45">
      <c r="A255"/>
      <c r="B255"/>
    </row>
    <row r="256" spans="1:2" ht="15" customHeight="1" x14ac:dyDescent="0.45">
      <c r="A256"/>
      <c r="B256"/>
    </row>
    <row r="257" spans="1:2" ht="15" customHeight="1" x14ac:dyDescent="0.45">
      <c r="A257"/>
      <c r="B257"/>
    </row>
    <row r="258" spans="1:2" ht="15" customHeight="1" x14ac:dyDescent="0.45">
      <c r="A258"/>
      <c r="B258"/>
    </row>
    <row r="259" spans="1:2" ht="15" customHeight="1" x14ac:dyDescent="0.45">
      <c r="A259"/>
      <c r="B259"/>
    </row>
    <row r="260" spans="1:2" ht="15" customHeight="1" x14ac:dyDescent="0.45">
      <c r="A260"/>
      <c r="B260"/>
    </row>
    <row r="261" spans="1:2" ht="15" customHeight="1" x14ac:dyDescent="0.45">
      <c r="A261"/>
      <c r="B261"/>
    </row>
    <row r="262" spans="1:2" ht="15" customHeight="1" x14ac:dyDescent="0.45">
      <c r="A262"/>
      <c r="B262"/>
    </row>
    <row r="263" spans="1:2" ht="15" customHeight="1" x14ac:dyDescent="0.45">
      <c r="A263"/>
      <c r="B263"/>
    </row>
    <row r="264" spans="1:2" ht="15" customHeight="1" x14ac:dyDescent="0.45">
      <c r="A264"/>
      <c r="B264"/>
    </row>
    <row r="265" spans="1:2" ht="15" customHeight="1" x14ac:dyDescent="0.45">
      <c r="A265"/>
      <c r="B265"/>
    </row>
    <row r="266" spans="1:2" ht="15" customHeight="1" x14ac:dyDescent="0.45">
      <c r="A266"/>
      <c r="B266"/>
    </row>
    <row r="267" spans="1:2" ht="15" customHeight="1" x14ac:dyDescent="0.45">
      <c r="A267"/>
      <c r="B267"/>
    </row>
    <row r="268" spans="1:2" ht="15" customHeight="1" x14ac:dyDescent="0.45">
      <c r="A268"/>
      <c r="B268"/>
    </row>
    <row r="269" spans="1:2" ht="15" customHeight="1" x14ac:dyDescent="0.45">
      <c r="A269"/>
      <c r="B269"/>
    </row>
    <row r="270" spans="1:2" ht="15" customHeight="1" x14ac:dyDescent="0.45">
      <c r="A270"/>
      <c r="B270"/>
    </row>
    <row r="271" spans="1:2" ht="15" customHeight="1" x14ac:dyDescent="0.45">
      <c r="A271"/>
      <c r="B271"/>
    </row>
    <row r="272" spans="1:2" ht="15" customHeight="1" x14ac:dyDescent="0.45">
      <c r="A272"/>
      <c r="B272"/>
    </row>
    <row r="273" spans="1:2" ht="15" customHeight="1" x14ac:dyDescent="0.45">
      <c r="A273"/>
      <c r="B273"/>
    </row>
    <row r="274" spans="1:2" ht="15" customHeight="1" x14ac:dyDescent="0.45">
      <c r="A274"/>
      <c r="B274"/>
    </row>
    <row r="275" spans="1:2" ht="15" customHeight="1" x14ac:dyDescent="0.45">
      <c r="A275"/>
      <c r="B275"/>
    </row>
    <row r="276" spans="1:2" ht="15" customHeight="1" x14ac:dyDescent="0.45">
      <c r="A276"/>
      <c r="B276"/>
    </row>
    <row r="277" spans="1:2" ht="15" customHeight="1" x14ac:dyDescent="0.45">
      <c r="A277"/>
      <c r="B277"/>
    </row>
    <row r="278" spans="1:2" ht="15" customHeight="1" x14ac:dyDescent="0.45">
      <c r="A278"/>
      <c r="B278"/>
    </row>
    <row r="279" spans="1:2" ht="15" customHeight="1" x14ac:dyDescent="0.45">
      <c r="A279"/>
      <c r="B279"/>
    </row>
    <row r="280" spans="1:2" ht="15" customHeight="1" x14ac:dyDescent="0.45">
      <c r="A280"/>
      <c r="B280"/>
    </row>
    <row r="281" spans="1:2" ht="15" customHeight="1" x14ac:dyDescent="0.45">
      <c r="A281"/>
      <c r="B281"/>
    </row>
    <row r="282" spans="1:2" ht="15" customHeight="1" x14ac:dyDescent="0.45">
      <c r="A282"/>
      <c r="B282"/>
    </row>
    <row r="283" spans="1:2" ht="15" customHeight="1" x14ac:dyDescent="0.45">
      <c r="A283"/>
      <c r="B283"/>
    </row>
    <row r="284" spans="1:2" ht="15" customHeight="1" x14ac:dyDescent="0.45">
      <c r="A284"/>
      <c r="B284"/>
    </row>
    <row r="285" spans="1:2" ht="15" customHeight="1" x14ac:dyDescent="0.45">
      <c r="A285"/>
      <c r="B285"/>
    </row>
    <row r="286" spans="1:2" ht="15" customHeight="1" x14ac:dyDescent="0.45">
      <c r="A286"/>
      <c r="B286"/>
    </row>
    <row r="287" spans="1:2" ht="15" customHeight="1" x14ac:dyDescent="0.45">
      <c r="A287"/>
      <c r="B287"/>
    </row>
    <row r="288" spans="1:2" ht="15" customHeight="1" x14ac:dyDescent="0.45">
      <c r="A288"/>
      <c r="B288"/>
    </row>
    <row r="289" spans="1:2" ht="15" customHeight="1" x14ac:dyDescent="0.45">
      <c r="A289"/>
      <c r="B289"/>
    </row>
    <row r="290" spans="1:2" ht="15" customHeight="1" x14ac:dyDescent="0.45">
      <c r="A290"/>
      <c r="B290"/>
    </row>
    <row r="291" spans="1:2" ht="15" customHeight="1" x14ac:dyDescent="0.45">
      <c r="A291"/>
      <c r="B291"/>
    </row>
    <row r="292" spans="1:2" ht="15" customHeight="1" x14ac:dyDescent="0.45">
      <c r="A292"/>
      <c r="B292"/>
    </row>
    <row r="293" spans="1:2" ht="15" customHeight="1" x14ac:dyDescent="0.45">
      <c r="A293"/>
      <c r="B293"/>
    </row>
    <row r="294" spans="1:2" ht="15" customHeight="1" x14ac:dyDescent="0.45">
      <c r="A294"/>
      <c r="B294"/>
    </row>
    <row r="295" spans="1:2" ht="15" customHeight="1" x14ac:dyDescent="0.45">
      <c r="A295"/>
      <c r="B295"/>
    </row>
    <row r="296" spans="1:2" ht="15" customHeight="1" x14ac:dyDescent="0.45">
      <c r="A296"/>
      <c r="B296"/>
    </row>
    <row r="297" spans="1:2" ht="15" customHeight="1" x14ac:dyDescent="0.45">
      <c r="A297"/>
      <c r="B297"/>
    </row>
    <row r="298" spans="1:2" ht="15" customHeight="1" x14ac:dyDescent="0.45">
      <c r="A298"/>
      <c r="B298"/>
    </row>
    <row r="299" spans="1:2" ht="15" customHeight="1" x14ac:dyDescent="0.45">
      <c r="A299"/>
      <c r="B299"/>
    </row>
    <row r="300" spans="1:2" ht="15" customHeight="1" x14ac:dyDescent="0.45">
      <c r="A300"/>
      <c r="B300"/>
    </row>
    <row r="301" spans="1:2" ht="15" customHeight="1" x14ac:dyDescent="0.45">
      <c r="A301"/>
      <c r="B301"/>
    </row>
    <row r="302" spans="1:2" ht="15" customHeight="1" x14ac:dyDescent="0.45">
      <c r="A302"/>
      <c r="B302"/>
    </row>
    <row r="303" spans="1:2" ht="15" customHeight="1" x14ac:dyDescent="0.45">
      <c r="A303"/>
      <c r="B303"/>
    </row>
    <row r="304" spans="1:2" ht="15" customHeight="1" x14ac:dyDescent="0.45">
      <c r="A304"/>
      <c r="B304"/>
    </row>
    <row r="305" spans="1:2" ht="15" customHeight="1" x14ac:dyDescent="0.45">
      <c r="A305"/>
      <c r="B305"/>
    </row>
    <row r="306" spans="1:2" ht="15" customHeight="1" x14ac:dyDescent="0.45">
      <c r="A306"/>
      <c r="B306"/>
    </row>
    <row r="307" spans="1:2" ht="15" customHeight="1" x14ac:dyDescent="0.45">
      <c r="A307"/>
      <c r="B307"/>
    </row>
    <row r="308" spans="1:2" ht="15" customHeight="1" x14ac:dyDescent="0.45">
      <c r="A308"/>
      <c r="B308"/>
    </row>
    <row r="309" spans="1:2" ht="15" customHeight="1" x14ac:dyDescent="0.45">
      <c r="A309"/>
      <c r="B309"/>
    </row>
    <row r="310" spans="1:2" ht="15" customHeight="1" x14ac:dyDescent="0.45">
      <c r="A310"/>
      <c r="B310"/>
    </row>
    <row r="311" spans="1:2" ht="15" customHeight="1" x14ac:dyDescent="0.45">
      <c r="A311"/>
      <c r="B311"/>
    </row>
    <row r="312" spans="1:2" ht="15" customHeight="1" x14ac:dyDescent="0.45">
      <c r="A312"/>
      <c r="B312"/>
    </row>
    <row r="313" spans="1:2" ht="15" customHeight="1" x14ac:dyDescent="0.45">
      <c r="A313"/>
      <c r="B313"/>
    </row>
    <row r="314" spans="1:2" ht="15" customHeight="1" x14ac:dyDescent="0.45">
      <c r="A314"/>
      <c r="B314"/>
    </row>
    <row r="315" spans="1:2" ht="15" customHeight="1" x14ac:dyDescent="0.45">
      <c r="A315"/>
      <c r="B315"/>
    </row>
    <row r="316" spans="1:2" ht="15" customHeight="1" x14ac:dyDescent="0.45">
      <c r="A316"/>
      <c r="B316"/>
    </row>
    <row r="317" spans="1:2" ht="15" customHeight="1" x14ac:dyDescent="0.45">
      <c r="A317"/>
      <c r="B317"/>
    </row>
    <row r="318" spans="1:2" ht="15" customHeight="1" x14ac:dyDescent="0.45">
      <c r="A318"/>
      <c r="B318"/>
    </row>
    <row r="319" spans="1:2" ht="15" customHeight="1" x14ac:dyDescent="0.45">
      <c r="A319"/>
      <c r="B319"/>
    </row>
    <row r="320" spans="1:2" ht="15" customHeight="1" x14ac:dyDescent="0.45">
      <c r="A320"/>
      <c r="B320"/>
    </row>
    <row r="321" spans="1:2" ht="15" customHeight="1" x14ac:dyDescent="0.45">
      <c r="A321"/>
      <c r="B321"/>
    </row>
    <row r="322" spans="1:2" ht="15" customHeight="1" x14ac:dyDescent="0.45">
      <c r="A322"/>
      <c r="B322"/>
    </row>
    <row r="323" spans="1:2" ht="15" customHeight="1" x14ac:dyDescent="0.45">
      <c r="A323"/>
      <c r="B323"/>
    </row>
    <row r="324" spans="1:2" ht="15" customHeight="1" x14ac:dyDescent="0.45">
      <c r="A324"/>
      <c r="B324"/>
    </row>
    <row r="325" spans="1:2" ht="15" customHeight="1" x14ac:dyDescent="0.45">
      <c r="A325"/>
      <c r="B325"/>
    </row>
    <row r="326" spans="1:2" ht="15" customHeight="1" x14ac:dyDescent="0.45">
      <c r="A326"/>
      <c r="B326"/>
    </row>
    <row r="327" spans="1:2" ht="15" customHeight="1" x14ac:dyDescent="0.45">
      <c r="A327"/>
      <c r="B327"/>
    </row>
    <row r="328" spans="1:2" ht="15" customHeight="1" x14ac:dyDescent="0.45">
      <c r="A328"/>
      <c r="B328"/>
    </row>
    <row r="329" spans="1:2" ht="15" customHeight="1" x14ac:dyDescent="0.45">
      <c r="A329"/>
      <c r="B329"/>
    </row>
    <row r="330" spans="1:2" ht="15" customHeight="1" x14ac:dyDescent="0.45">
      <c r="A330"/>
      <c r="B330"/>
    </row>
    <row r="331" spans="1:2" ht="15" customHeight="1" x14ac:dyDescent="0.45">
      <c r="A331"/>
      <c r="B331"/>
    </row>
    <row r="332" spans="1:2" ht="15" customHeight="1" x14ac:dyDescent="0.45">
      <c r="A332"/>
      <c r="B332"/>
    </row>
    <row r="333" spans="1:2" ht="15" customHeight="1" x14ac:dyDescent="0.45">
      <c r="A333"/>
      <c r="B333"/>
    </row>
    <row r="334" spans="1:2" ht="15" customHeight="1" x14ac:dyDescent="0.45">
      <c r="A334"/>
      <c r="B334"/>
    </row>
    <row r="335" spans="1:2" ht="15" customHeight="1" x14ac:dyDescent="0.45">
      <c r="A335"/>
      <c r="B335"/>
    </row>
    <row r="336" spans="1:2" ht="15" customHeight="1" x14ac:dyDescent="0.45">
      <c r="A336"/>
      <c r="B336"/>
    </row>
    <row r="337" spans="1:2" ht="15" customHeight="1" x14ac:dyDescent="0.45">
      <c r="A337"/>
      <c r="B337"/>
    </row>
    <row r="338" spans="1:2" ht="15" customHeight="1" x14ac:dyDescent="0.45">
      <c r="A338"/>
      <c r="B338"/>
    </row>
    <row r="339" spans="1:2" ht="15" customHeight="1" x14ac:dyDescent="0.45">
      <c r="A339"/>
      <c r="B339"/>
    </row>
    <row r="340" spans="1:2" ht="15" customHeight="1" x14ac:dyDescent="0.45">
      <c r="A340"/>
      <c r="B340"/>
    </row>
    <row r="341" spans="1:2" ht="15" customHeight="1" x14ac:dyDescent="0.45">
      <c r="A341"/>
      <c r="B341"/>
    </row>
    <row r="342" spans="1:2" ht="15" customHeight="1" x14ac:dyDescent="0.45">
      <c r="A342"/>
      <c r="B342"/>
    </row>
    <row r="343" spans="1:2" ht="15" customHeight="1" x14ac:dyDescent="0.45">
      <c r="A343"/>
      <c r="B343"/>
    </row>
    <row r="344" spans="1:2" ht="15" customHeight="1" x14ac:dyDescent="0.45">
      <c r="A344"/>
      <c r="B344"/>
    </row>
    <row r="345" spans="1:2" ht="15" customHeight="1" x14ac:dyDescent="0.45">
      <c r="A345"/>
      <c r="B345"/>
    </row>
    <row r="346" spans="1:2" ht="15" customHeight="1" x14ac:dyDescent="0.45">
      <c r="A346"/>
      <c r="B346"/>
    </row>
    <row r="347" spans="1:2" ht="15" customHeight="1" x14ac:dyDescent="0.45">
      <c r="A347"/>
      <c r="B347"/>
    </row>
    <row r="348" spans="1:2" ht="15" customHeight="1" x14ac:dyDescent="0.45">
      <c r="A348"/>
      <c r="B348"/>
    </row>
    <row r="349" spans="1:2" ht="15" customHeight="1" x14ac:dyDescent="0.45">
      <c r="A349"/>
      <c r="B349"/>
    </row>
    <row r="350" spans="1:2" ht="15" customHeight="1" x14ac:dyDescent="0.45">
      <c r="A350"/>
      <c r="B350"/>
    </row>
    <row r="351" spans="1:2" ht="15" customHeight="1" x14ac:dyDescent="0.45">
      <c r="A351"/>
      <c r="B351"/>
    </row>
    <row r="352" spans="1:2" ht="15" customHeight="1" x14ac:dyDescent="0.45">
      <c r="A352"/>
      <c r="B352"/>
    </row>
    <row r="353" spans="1:2" ht="15" customHeight="1" x14ac:dyDescent="0.45">
      <c r="A353"/>
      <c r="B353"/>
    </row>
    <row r="354" spans="1:2" ht="15" customHeight="1" x14ac:dyDescent="0.45">
      <c r="A354"/>
      <c r="B354"/>
    </row>
    <row r="355" spans="1:2" ht="15" customHeight="1" x14ac:dyDescent="0.45">
      <c r="A355"/>
      <c r="B355"/>
    </row>
    <row r="356" spans="1:2" ht="15" customHeight="1" x14ac:dyDescent="0.45">
      <c r="A356"/>
      <c r="B356"/>
    </row>
    <row r="357" spans="1:2" ht="15" customHeight="1" x14ac:dyDescent="0.45">
      <c r="A357"/>
      <c r="B357"/>
    </row>
    <row r="358" spans="1:2" ht="15" customHeight="1" x14ac:dyDescent="0.45">
      <c r="A358"/>
      <c r="B358"/>
    </row>
    <row r="359" spans="1:2" ht="15" customHeight="1" x14ac:dyDescent="0.45">
      <c r="A359"/>
      <c r="B359"/>
    </row>
    <row r="360" spans="1:2" ht="15" customHeight="1" x14ac:dyDescent="0.45">
      <c r="A360"/>
      <c r="B360"/>
    </row>
    <row r="361" spans="1:2" ht="15" customHeight="1" x14ac:dyDescent="0.45">
      <c r="A361"/>
      <c r="B361"/>
    </row>
    <row r="362" spans="1:2" ht="15" customHeight="1" x14ac:dyDescent="0.45">
      <c r="A362"/>
      <c r="B362"/>
    </row>
    <row r="363" spans="1:2" ht="15" customHeight="1" x14ac:dyDescent="0.45">
      <c r="A363"/>
      <c r="B363"/>
    </row>
    <row r="364" spans="1:2" ht="15" customHeight="1" x14ac:dyDescent="0.45">
      <c r="A364"/>
      <c r="B364"/>
    </row>
    <row r="365" spans="1:2" ht="15" customHeight="1" x14ac:dyDescent="0.45">
      <c r="A365"/>
      <c r="B365"/>
    </row>
    <row r="366" spans="1:2" ht="15" customHeight="1" x14ac:dyDescent="0.45">
      <c r="A366"/>
      <c r="B366"/>
    </row>
    <row r="367" spans="1:2" ht="15" customHeight="1" x14ac:dyDescent="0.45">
      <c r="A367"/>
      <c r="B367"/>
    </row>
    <row r="368" spans="1:2" ht="15" customHeight="1" x14ac:dyDescent="0.45">
      <c r="A368"/>
      <c r="B368"/>
    </row>
    <row r="369" spans="1:2" ht="15" customHeight="1" x14ac:dyDescent="0.45">
      <c r="A369"/>
      <c r="B369"/>
    </row>
    <row r="370" spans="1:2" ht="15" customHeight="1" x14ac:dyDescent="0.45">
      <c r="A370"/>
      <c r="B370"/>
    </row>
    <row r="371" spans="1:2" ht="15" customHeight="1" x14ac:dyDescent="0.45">
      <c r="A371"/>
      <c r="B371"/>
    </row>
    <row r="372" spans="1:2" ht="15" customHeight="1" x14ac:dyDescent="0.45">
      <c r="A372"/>
      <c r="B372"/>
    </row>
    <row r="373" spans="1:2" ht="15" customHeight="1" x14ac:dyDescent="0.45">
      <c r="A373"/>
      <c r="B373"/>
    </row>
    <row r="374" spans="1:2" ht="15" customHeight="1" x14ac:dyDescent="0.45">
      <c r="A374"/>
      <c r="B374"/>
    </row>
    <row r="375" spans="1:2" ht="15" customHeight="1" x14ac:dyDescent="0.45">
      <c r="A375"/>
      <c r="B375"/>
    </row>
    <row r="376" spans="1:2" ht="15" customHeight="1" x14ac:dyDescent="0.45">
      <c r="A376"/>
      <c r="B376"/>
    </row>
    <row r="377" spans="1:2" ht="15" customHeight="1" x14ac:dyDescent="0.45">
      <c r="A377"/>
      <c r="B377"/>
    </row>
    <row r="378" spans="1:2" ht="15" customHeight="1" x14ac:dyDescent="0.45">
      <c r="A378"/>
      <c r="B378"/>
    </row>
    <row r="379" spans="1:2" ht="15" customHeight="1" x14ac:dyDescent="0.45">
      <c r="A379"/>
      <c r="B379"/>
    </row>
    <row r="380" spans="1:2" ht="15" customHeight="1" x14ac:dyDescent="0.45">
      <c r="A380"/>
      <c r="B380"/>
    </row>
    <row r="381" spans="1:2" ht="15" customHeight="1" x14ac:dyDescent="0.45">
      <c r="A381"/>
      <c r="B381"/>
    </row>
    <row r="382" spans="1:2" ht="15" customHeight="1" x14ac:dyDescent="0.45">
      <c r="A382"/>
      <c r="B382"/>
    </row>
    <row r="383" spans="1:2" ht="15" customHeight="1" x14ac:dyDescent="0.45">
      <c r="A383"/>
      <c r="B383"/>
    </row>
    <row r="384" spans="1:2" ht="15" customHeight="1" x14ac:dyDescent="0.45">
      <c r="A384"/>
      <c r="B384"/>
    </row>
    <row r="385" spans="1:2" ht="15" customHeight="1" x14ac:dyDescent="0.45">
      <c r="A385"/>
      <c r="B385"/>
    </row>
    <row r="386" spans="1:2" ht="15" customHeight="1" x14ac:dyDescent="0.45">
      <c r="A386"/>
      <c r="B386"/>
    </row>
    <row r="387" spans="1:2" ht="15" customHeight="1" x14ac:dyDescent="0.45">
      <c r="A387"/>
      <c r="B387"/>
    </row>
    <row r="388" spans="1:2" ht="15" customHeight="1" x14ac:dyDescent="0.45">
      <c r="A388"/>
      <c r="B388"/>
    </row>
    <row r="389" spans="1:2" ht="15" customHeight="1" x14ac:dyDescent="0.45">
      <c r="A389"/>
      <c r="B389"/>
    </row>
    <row r="390" spans="1:2" ht="15" customHeight="1" x14ac:dyDescent="0.45">
      <c r="A390"/>
      <c r="B390"/>
    </row>
    <row r="391" spans="1:2" ht="15" customHeight="1" x14ac:dyDescent="0.45">
      <c r="A391"/>
      <c r="B391"/>
    </row>
    <row r="392" spans="1:2" ht="15" customHeight="1" x14ac:dyDescent="0.45">
      <c r="A392"/>
      <c r="B392"/>
    </row>
    <row r="393" spans="1:2" ht="15" customHeight="1" x14ac:dyDescent="0.45">
      <c r="A393"/>
      <c r="B393"/>
    </row>
    <row r="394" spans="1:2" ht="15" customHeight="1" x14ac:dyDescent="0.45">
      <c r="A394"/>
      <c r="B394"/>
    </row>
    <row r="395" spans="1:2" ht="15" customHeight="1" x14ac:dyDescent="0.45">
      <c r="A395"/>
      <c r="B395"/>
    </row>
    <row r="396" spans="1:2" ht="15" customHeight="1" x14ac:dyDescent="0.45">
      <c r="A396"/>
      <c r="B396"/>
    </row>
    <row r="397" spans="1:2" ht="15" customHeight="1" x14ac:dyDescent="0.45">
      <c r="A397"/>
      <c r="B397"/>
    </row>
    <row r="398" spans="1:2" ht="15" customHeight="1" x14ac:dyDescent="0.45">
      <c r="A398"/>
      <c r="B398"/>
    </row>
    <row r="399" spans="1:2" ht="15" customHeight="1" x14ac:dyDescent="0.45">
      <c r="A399"/>
      <c r="B399"/>
    </row>
    <row r="400" spans="1:2" ht="15" customHeight="1" x14ac:dyDescent="0.45">
      <c r="A400"/>
      <c r="B400"/>
    </row>
    <row r="401" spans="1:2" ht="15" customHeight="1" x14ac:dyDescent="0.45">
      <c r="A401"/>
      <c r="B401"/>
    </row>
    <row r="402" spans="1:2" ht="15" customHeight="1" x14ac:dyDescent="0.45">
      <c r="A402"/>
      <c r="B402"/>
    </row>
    <row r="403" spans="1:2" ht="15" customHeight="1" x14ac:dyDescent="0.45">
      <c r="A403"/>
      <c r="B403"/>
    </row>
    <row r="404" spans="1:2" ht="15" customHeight="1" x14ac:dyDescent="0.45">
      <c r="A404"/>
      <c r="B404"/>
    </row>
    <row r="405" spans="1:2" ht="15" customHeight="1" x14ac:dyDescent="0.45">
      <c r="A405"/>
      <c r="B405"/>
    </row>
    <row r="406" spans="1:2" ht="15" customHeight="1" x14ac:dyDescent="0.45">
      <c r="A406"/>
      <c r="B406"/>
    </row>
    <row r="407" spans="1:2" ht="15" customHeight="1" x14ac:dyDescent="0.45">
      <c r="A407"/>
      <c r="B407"/>
    </row>
    <row r="408" spans="1:2" ht="15" customHeight="1" x14ac:dyDescent="0.45">
      <c r="A408"/>
      <c r="B408"/>
    </row>
    <row r="409" spans="1:2" ht="15" customHeight="1" x14ac:dyDescent="0.45">
      <c r="A409"/>
      <c r="B409"/>
    </row>
    <row r="410" spans="1:2" ht="15" customHeight="1" x14ac:dyDescent="0.45">
      <c r="A410"/>
      <c r="B410"/>
    </row>
    <row r="411" spans="1:2" ht="15" customHeight="1" x14ac:dyDescent="0.45">
      <c r="A411"/>
      <c r="B411"/>
    </row>
    <row r="412" spans="1:2" ht="15" customHeight="1" x14ac:dyDescent="0.45">
      <c r="A412"/>
      <c r="B412"/>
    </row>
    <row r="413" spans="1:2" ht="15" customHeight="1" x14ac:dyDescent="0.45">
      <c r="A413"/>
      <c r="B413"/>
    </row>
    <row r="414" spans="1:2" ht="15" customHeight="1" x14ac:dyDescent="0.45">
      <c r="A414"/>
      <c r="B414"/>
    </row>
    <row r="415" spans="1:2" ht="15" customHeight="1" x14ac:dyDescent="0.45">
      <c r="A415"/>
      <c r="B415"/>
    </row>
    <row r="416" spans="1:2" ht="15" customHeight="1" x14ac:dyDescent="0.45">
      <c r="A416"/>
      <c r="B416"/>
    </row>
    <row r="417" spans="1:2" ht="15" customHeight="1" x14ac:dyDescent="0.45">
      <c r="A417"/>
      <c r="B417"/>
    </row>
    <row r="418" spans="1:2" ht="15" customHeight="1" x14ac:dyDescent="0.45">
      <c r="A418"/>
      <c r="B418"/>
    </row>
    <row r="419" spans="1:2" ht="15" customHeight="1" x14ac:dyDescent="0.45">
      <c r="A419"/>
      <c r="B419"/>
    </row>
    <row r="420" spans="1:2" ht="15" customHeight="1" x14ac:dyDescent="0.45">
      <c r="A420"/>
      <c r="B420"/>
    </row>
    <row r="421" spans="1:2" ht="15" customHeight="1" x14ac:dyDescent="0.45">
      <c r="A421"/>
      <c r="B421"/>
    </row>
    <row r="422" spans="1:2" ht="15" customHeight="1" x14ac:dyDescent="0.45">
      <c r="A422"/>
      <c r="B422"/>
    </row>
    <row r="423" spans="1:2" ht="15" customHeight="1" x14ac:dyDescent="0.45">
      <c r="A423"/>
      <c r="B423"/>
    </row>
    <row r="424" spans="1:2" ht="15" customHeight="1" x14ac:dyDescent="0.45">
      <c r="A424"/>
      <c r="B424"/>
    </row>
    <row r="425" spans="1:2" ht="15" customHeight="1" x14ac:dyDescent="0.45">
      <c r="A425"/>
      <c r="B425"/>
    </row>
    <row r="426" spans="1:2" ht="15" customHeight="1" x14ac:dyDescent="0.45">
      <c r="A426"/>
      <c r="B426"/>
    </row>
    <row r="427" spans="1:2" ht="15" customHeight="1" x14ac:dyDescent="0.45">
      <c r="A427"/>
      <c r="B427"/>
    </row>
    <row r="428" spans="1:2" ht="15" customHeight="1" x14ac:dyDescent="0.45">
      <c r="A428"/>
      <c r="B428"/>
    </row>
    <row r="429" spans="1:2" ht="15" customHeight="1" x14ac:dyDescent="0.45">
      <c r="A429"/>
      <c r="B429"/>
    </row>
    <row r="430" spans="1:2" ht="15" customHeight="1" x14ac:dyDescent="0.45">
      <c r="A430"/>
      <c r="B430"/>
    </row>
    <row r="431" spans="1:2" ht="15" customHeight="1" x14ac:dyDescent="0.45">
      <c r="A431"/>
      <c r="B431"/>
    </row>
    <row r="432" spans="1:2" ht="15" customHeight="1" x14ac:dyDescent="0.45">
      <c r="A432"/>
      <c r="B432"/>
    </row>
    <row r="433" spans="1:2" ht="15" customHeight="1" x14ac:dyDescent="0.45">
      <c r="A433"/>
      <c r="B433"/>
    </row>
    <row r="434" spans="1:2" ht="15" customHeight="1" x14ac:dyDescent="0.45">
      <c r="A434"/>
      <c r="B434"/>
    </row>
    <row r="435" spans="1:2" ht="15" customHeight="1" x14ac:dyDescent="0.45">
      <c r="A435"/>
      <c r="B435"/>
    </row>
    <row r="436" spans="1:2" ht="15" customHeight="1" x14ac:dyDescent="0.45">
      <c r="A436"/>
      <c r="B436"/>
    </row>
    <row r="437" spans="1:2" ht="15" customHeight="1" x14ac:dyDescent="0.45">
      <c r="A437"/>
      <c r="B437"/>
    </row>
    <row r="438" spans="1:2" ht="15" customHeight="1" x14ac:dyDescent="0.45">
      <c r="A438"/>
      <c r="B438"/>
    </row>
    <row r="439" spans="1:2" ht="15" customHeight="1" x14ac:dyDescent="0.45">
      <c r="A439"/>
      <c r="B439"/>
    </row>
    <row r="440" spans="1:2" ht="15" customHeight="1" x14ac:dyDescent="0.45">
      <c r="A440"/>
      <c r="B440"/>
    </row>
  </sheetData>
  <sortState xmlns:xlrd2="http://schemas.microsoft.com/office/spreadsheetml/2017/richdata2" ref="K249:K266">
    <sortCondition ref="K249:K266"/>
  </sortState>
  <conditionalFormatting sqref="C94">
    <cfRule type="cellIs" dxfId="2" priority="5" operator="greaterThan">
      <formula>0</formula>
    </cfRule>
  </conditionalFormatting>
  <conditionalFormatting sqref="I107:M108">
    <cfRule type="cellIs" dxfId="1" priority="1" operator="greaterThan">
      <formula>$D$90</formula>
    </cfRule>
  </conditionalFormatting>
  <conditionalFormatting sqref="I115:M116">
    <cfRule type="cellIs" dxfId="0" priority="4" operator="greaterThan">
      <formula>0</formula>
    </cfRule>
  </conditionalFormatting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1B5D-2EE1-4573-89E8-ECD3BC424C9A}">
  <dimension ref="A1:AF41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52" sqref="H52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3" width="10.1328125" style="85" customWidth="1"/>
    <col min="4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Operations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M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ref="N2:Z2" si="1">EDATE(M2,12)</f>
        <v>58075</v>
      </c>
      <c r="O2" s="11">
        <f t="shared" si="1"/>
        <v>58440</v>
      </c>
      <c r="P2" s="11">
        <f t="shared" si="1"/>
        <v>58806</v>
      </c>
      <c r="Q2" s="11">
        <f t="shared" si="1"/>
        <v>59171</v>
      </c>
      <c r="R2" s="11">
        <f t="shared" si="1"/>
        <v>59536</v>
      </c>
      <c r="S2" s="11">
        <f t="shared" si="1"/>
        <v>59901</v>
      </c>
      <c r="T2" s="11">
        <f t="shared" si="1"/>
        <v>60267</v>
      </c>
      <c r="U2" s="11">
        <f t="shared" si="1"/>
        <v>60632</v>
      </c>
      <c r="V2" s="11">
        <f t="shared" si="1"/>
        <v>60997</v>
      </c>
      <c r="W2" s="11">
        <f t="shared" si="1"/>
        <v>61362</v>
      </c>
      <c r="X2" s="11">
        <f t="shared" si="1"/>
        <v>61728</v>
      </c>
      <c r="Y2" s="11">
        <f t="shared" si="1"/>
        <v>62093</v>
      </c>
      <c r="Z2" s="11">
        <f t="shared" si="1"/>
        <v>62458</v>
      </c>
      <c r="AA2" s="11">
        <f t="shared" ref="AA2" si="2">EDATE(Z2,12)</f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  <c r="L3" t="str">
        <f t="shared" ref="L3:L34" ca="1" si="3">IF(ISBLANK(K3),"",_xlfn.FORMULATEXT(K3))</f>
        <v/>
      </c>
    </row>
    <row r="4" spans="1:27" ht="15" customHeight="1" x14ac:dyDescent="0.45">
      <c r="A4" s="82"/>
      <c r="B4"/>
      <c r="C4" s="77"/>
      <c r="D4"/>
      <c r="L4" t="str">
        <f t="shared" ca="1" si="3"/>
        <v/>
      </c>
    </row>
    <row r="5" spans="1:27" ht="15" customHeight="1" x14ac:dyDescent="0.45">
      <c r="A5" s="82" t="s">
        <v>121</v>
      </c>
      <c r="B5"/>
      <c r="C5" s="77"/>
      <c r="D5"/>
      <c r="L5" t="str">
        <f t="shared" ca="1" si="3"/>
        <v/>
      </c>
    </row>
    <row r="6" spans="1:27" ht="15" customHeight="1" x14ac:dyDescent="0.45">
      <c r="A6" s="82"/>
      <c r="B6" t="s">
        <v>122</v>
      </c>
      <c r="C6" t="s">
        <v>123</v>
      </c>
      <c r="D6" s="89">
        <f>'Assumptions and Outputs'!D12</f>
        <v>55884</v>
      </c>
      <c r="F6">
        <f>IF(F2&gt;=$D$6,1,0)</f>
        <v>0</v>
      </c>
      <c r="G6">
        <f t="shared" ref="G6:K6" si="4">IF(G2&gt;=$D$6,1,0)</f>
        <v>0</v>
      </c>
      <c r="H6">
        <f t="shared" si="4"/>
        <v>1</v>
      </c>
      <c r="I6">
        <f t="shared" si="4"/>
        <v>1</v>
      </c>
      <c r="J6">
        <f t="shared" si="4"/>
        <v>1</v>
      </c>
      <c r="K6">
        <f t="shared" si="4"/>
        <v>1</v>
      </c>
      <c r="L6" t="str">
        <f t="shared" ca="1" si="3"/>
        <v>=IF(K2&gt;=$D$6,1,0)</v>
      </c>
    </row>
    <row r="7" spans="1:27" ht="15" customHeight="1" x14ac:dyDescent="0.45">
      <c r="A7" s="82"/>
      <c r="B7" t="s">
        <v>124</v>
      </c>
      <c r="C7"/>
      <c r="D7"/>
      <c r="F7">
        <f>IF(SUM($F$6:F6)=1,1,0)</f>
        <v>0</v>
      </c>
      <c r="G7">
        <f>IF(SUM($F$6:G6)=1,1,0)</f>
        <v>0</v>
      </c>
      <c r="H7">
        <f>IF(SUM($F$6:H6)=1,1,0)</f>
        <v>1</v>
      </c>
      <c r="I7">
        <f>IF(SUM($F$6:I6)=1,1,0)</f>
        <v>0</v>
      </c>
      <c r="J7">
        <f>IF(SUM($F$6:J6)=1,1,0)</f>
        <v>0</v>
      </c>
      <c r="K7">
        <f>IF(SUM($F$6:K6)=1,1,0)</f>
        <v>0</v>
      </c>
      <c r="L7" t="str">
        <f t="shared" ca="1" si="3"/>
        <v>=IF(SUM($F$6:K6)=1,1,0)</v>
      </c>
    </row>
    <row r="8" spans="1:27" ht="15" customHeight="1" x14ac:dyDescent="0.45">
      <c r="A8" s="82"/>
      <c r="B8"/>
      <c r="C8"/>
      <c r="D8"/>
      <c r="L8" t="str">
        <f t="shared" ca="1" si="3"/>
        <v/>
      </c>
    </row>
    <row r="9" spans="1:27" ht="15" customHeight="1" x14ac:dyDescent="0.45">
      <c r="A9" s="82" t="s">
        <v>125</v>
      </c>
      <c r="B9"/>
      <c r="C9"/>
      <c r="D9"/>
      <c r="L9" t="str">
        <f t="shared" ca="1" si="3"/>
        <v/>
      </c>
    </row>
    <row r="10" spans="1:27" ht="15" customHeight="1" x14ac:dyDescent="0.45">
      <c r="A10" s="82"/>
      <c r="B10" t="s">
        <v>126</v>
      </c>
      <c r="C10" t="s">
        <v>30</v>
      </c>
      <c r="D10" s="67">
        <f>'Assumptions and Outputs'!D8</f>
        <v>0.04</v>
      </c>
      <c r="E10" s="83">
        <v>1</v>
      </c>
      <c r="F10" s="86">
        <f>(1+$D$10)*E10</f>
        <v>1.04</v>
      </c>
      <c r="G10" s="86">
        <f t="shared" ref="G10:K10" si="5">(1+$D$10)*F10</f>
        <v>1.0816000000000001</v>
      </c>
      <c r="H10" s="86">
        <f t="shared" si="5"/>
        <v>1.1248640000000001</v>
      </c>
      <c r="I10" s="86">
        <f t="shared" si="5"/>
        <v>1.1698585600000002</v>
      </c>
      <c r="J10" s="86">
        <f t="shared" si="5"/>
        <v>1.2166529024000003</v>
      </c>
      <c r="K10" s="86">
        <f t="shared" si="5"/>
        <v>1.2653190184960004</v>
      </c>
      <c r="L10" s="86" t="str">
        <f t="shared" ca="1" si="3"/>
        <v>=(1+$D$10)*J10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15" customHeight="1" x14ac:dyDescent="0.45">
      <c r="A11" s="82"/>
      <c r="B11"/>
      <c r="C11"/>
      <c r="D11"/>
      <c r="L11" t="str">
        <f t="shared" ca="1" si="3"/>
        <v/>
      </c>
    </row>
    <row r="12" spans="1:27" ht="15" customHeight="1" x14ac:dyDescent="0.45">
      <c r="A12" s="82" t="s">
        <v>127</v>
      </c>
      <c r="B12"/>
      <c r="C12"/>
      <c r="D12"/>
      <c r="F12" s="101"/>
      <c r="G12" s="101"/>
      <c r="H12" s="101"/>
      <c r="I12" s="101"/>
      <c r="J12" s="101"/>
      <c r="L12" t="str">
        <f t="shared" ca="1" si="3"/>
        <v/>
      </c>
    </row>
    <row r="13" spans="1:27" ht="15" customHeight="1" x14ac:dyDescent="0.45">
      <c r="A13" s="82"/>
      <c r="B13" t="s">
        <v>128</v>
      </c>
      <c r="C13" t="s">
        <v>129</v>
      </c>
      <c r="D13" s="67">
        <f>'Assumptions and Outputs'!D17</f>
        <v>0.8</v>
      </c>
      <c r="F13" s="67">
        <f>F6*IF(F7=1,$D$13,1)</f>
        <v>0</v>
      </c>
      <c r="G13" s="67">
        <f t="shared" ref="G13:K13" si="6">G6*IF(G7=1,$D$13,1)</f>
        <v>0</v>
      </c>
      <c r="H13" s="67">
        <f t="shared" si="6"/>
        <v>0.8</v>
      </c>
      <c r="I13" s="67">
        <f t="shared" si="6"/>
        <v>1</v>
      </c>
      <c r="J13" s="67">
        <f t="shared" si="6"/>
        <v>1</v>
      </c>
      <c r="K13" s="67">
        <f t="shared" si="6"/>
        <v>1</v>
      </c>
      <c r="L13" s="67" t="str">
        <f t="shared" ca="1" si="3"/>
        <v>=K6*IF(K7=1,$D$13,1)</v>
      </c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ht="15" customHeight="1" x14ac:dyDescent="0.45">
      <c r="A14" s="82"/>
      <c r="B14" t="s">
        <v>130</v>
      </c>
      <c r="C14" t="s">
        <v>131</v>
      </c>
      <c r="D14">
        <f>'Assumptions and Outputs'!D16</f>
        <v>200</v>
      </c>
      <c r="F14">
        <f>$D$14*F13</f>
        <v>0</v>
      </c>
      <c r="G14">
        <f t="shared" ref="G14:K14" si="7">$D$14*G13</f>
        <v>0</v>
      </c>
      <c r="H14">
        <f t="shared" si="7"/>
        <v>160</v>
      </c>
      <c r="I14">
        <f t="shared" si="7"/>
        <v>200</v>
      </c>
      <c r="J14">
        <f t="shared" si="7"/>
        <v>200</v>
      </c>
      <c r="K14">
        <f t="shared" si="7"/>
        <v>200</v>
      </c>
      <c r="L14" t="str">
        <f t="shared" ca="1" si="3"/>
        <v>=$D$14*K13</v>
      </c>
    </row>
    <row r="15" spans="1:27" ht="15" customHeight="1" x14ac:dyDescent="0.45">
      <c r="A15" s="82"/>
      <c r="B15" t="s">
        <v>132</v>
      </c>
      <c r="C15" t="s">
        <v>133</v>
      </c>
      <c r="D15" s="67">
        <f>'Assumptions and Outputs'!D18</f>
        <v>0.4</v>
      </c>
      <c r="F15">
        <f>$D$15*F14</f>
        <v>0</v>
      </c>
      <c r="G15">
        <f t="shared" ref="G15:K15" si="8">$D$15*G14</f>
        <v>0</v>
      </c>
      <c r="H15">
        <f t="shared" si="8"/>
        <v>64</v>
      </c>
      <c r="I15">
        <f t="shared" si="8"/>
        <v>80</v>
      </c>
      <c r="J15">
        <f t="shared" si="8"/>
        <v>80</v>
      </c>
      <c r="K15">
        <f t="shared" si="8"/>
        <v>80</v>
      </c>
      <c r="L15" t="str">
        <f t="shared" ca="1" si="3"/>
        <v>=$D$15*K14</v>
      </c>
    </row>
    <row r="16" spans="1:27" ht="15" customHeight="1" x14ac:dyDescent="0.45">
      <c r="A16" s="82"/>
      <c r="B16"/>
      <c r="C16"/>
      <c r="D16"/>
      <c r="L16" t="str">
        <f t="shared" ca="1" si="3"/>
        <v/>
      </c>
    </row>
    <row r="17" spans="1:27" ht="15" customHeight="1" x14ac:dyDescent="0.45">
      <c r="A17" s="82"/>
      <c r="B17" t="s">
        <v>134</v>
      </c>
      <c r="C17"/>
      <c r="D17"/>
      <c r="F17">
        <f>'Assumptions and Outputs'!$D$20*'Assumptions and Outputs'!$D$19</f>
        <v>8760</v>
      </c>
      <c r="G17">
        <f>'Assumptions and Outputs'!$D$20*'Assumptions and Outputs'!$D$19</f>
        <v>8760</v>
      </c>
      <c r="H17">
        <f>'Assumptions and Outputs'!$D$20*'Assumptions and Outputs'!$D$19</f>
        <v>8760</v>
      </c>
      <c r="I17">
        <f>'Assumptions and Outputs'!$D$20*'Assumptions and Outputs'!$D$19</f>
        <v>8760</v>
      </c>
      <c r="J17">
        <f>'Assumptions and Outputs'!$D$20*'Assumptions and Outputs'!$D$19</f>
        <v>8760</v>
      </c>
      <c r="K17">
        <f>'Assumptions and Outputs'!$D$20*'Assumptions and Outputs'!$D$19</f>
        <v>8760</v>
      </c>
      <c r="L17" t="str">
        <f t="shared" ca="1" si="3"/>
        <v>='Assumptions and Outputs'!$D$20*'Assumptions and Outputs'!$D$19</v>
      </c>
    </row>
    <row r="18" spans="1:27" ht="15" customHeight="1" x14ac:dyDescent="0.45">
      <c r="A18" s="82"/>
      <c r="B18" t="s">
        <v>135</v>
      </c>
      <c r="C18" t="s">
        <v>46</v>
      </c>
      <c r="D18">
        <f>'Assumptions and Outputs'!D21</f>
        <v>240</v>
      </c>
      <c r="F18">
        <f>$D$18*-1</f>
        <v>-240</v>
      </c>
      <c r="G18">
        <f t="shared" ref="G18:K18" si="9">$D$18*-1</f>
        <v>-240</v>
      </c>
      <c r="H18">
        <f t="shared" si="9"/>
        <v>-240</v>
      </c>
      <c r="I18">
        <f t="shared" si="9"/>
        <v>-240</v>
      </c>
      <c r="J18">
        <f t="shared" si="9"/>
        <v>-240</v>
      </c>
      <c r="K18">
        <f t="shared" si="9"/>
        <v>-240</v>
      </c>
      <c r="L18" t="str">
        <f t="shared" ca="1" si="3"/>
        <v>=$D$18*-1</v>
      </c>
    </row>
    <row r="19" spans="1:27" ht="15" customHeight="1" x14ac:dyDescent="0.45">
      <c r="A19" s="82"/>
      <c r="B19" t="s">
        <v>136</v>
      </c>
      <c r="C19" t="s">
        <v>46</v>
      </c>
      <c r="D19">
        <f>'Assumptions and Outputs'!D22</f>
        <v>380</v>
      </c>
      <c r="F19">
        <f>$D$19*-1</f>
        <v>-380</v>
      </c>
      <c r="G19">
        <f t="shared" ref="G19:K19" si="10">$D$19*-1</f>
        <v>-380</v>
      </c>
      <c r="H19">
        <f t="shared" si="10"/>
        <v>-380</v>
      </c>
      <c r="I19">
        <f t="shared" si="10"/>
        <v>-380</v>
      </c>
      <c r="J19">
        <f t="shared" si="10"/>
        <v>-380</v>
      </c>
      <c r="K19">
        <f t="shared" si="10"/>
        <v>-380</v>
      </c>
      <c r="L19" t="str">
        <f t="shared" ca="1" si="3"/>
        <v>=$D$19*-1</v>
      </c>
    </row>
    <row r="20" spans="1:27" ht="15" customHeight="1" x14ac:dyDescent="0.45">
      <c r="A20" s="82"/>
      <c r="B20" t="s">
        <v>137</v>
      </c>
      <c r="C20"/>
      <c r="D20"/>
      <c r="F20">
        <f>SUM(F17:F19)</f>
        <v>8140</v>
      </c>
      <c r="G20">
        <f t="shared" ref="G20:K20" si="11">SUM(G17:G19)</f>
        <v>8140</v>
      </c>
      <c r="H20">
        <f t="shared" si="11"/>
        <v>8140</v>
      </c>
      <c r="I20">
        <f t="shared" si="11"/>
        <v>8140</v>
      </c>
      <c r="J20">
        <f t="shared" si="11"/>
        <v>8140</v>
      </c>
      <c r="K20">
        <f t="shared" si="11"/>
        <v>8140</v>
      </c>
      <c r="L20" t="str">
        <f t="shared" ca="1" si="3"/>
        <v>=SUM(K17:K19)</v>
      </c>
    </row>
    <row r="21" spans="1:27" ht="15" customHeight="1" x14ac:dyDescent="0.45">
      <c r="A21" s="82"/>
      <c r="B21"/>
      <c r="C21"/>
      <c r="D21"/>
      <c r="L21" t="str">
        <f t="shared" ca="1" si="3"/>
        <v/>
      </c>
    </row>
    <row r="22" spans="1:27" ht="15" customHeight="1" x14ac:dyDescent="0.45">
      <c r="A22" s="82"/>
      <c r="B22" t="s">
        <v>138</v>
      </c>
      <c r="C22"/>
      <c r="D22"/>
      <c r="F22">
        <f>F15*F20</f>
        <v>0</v>
      </c>
      <c r="G22">
        <f t="shared" ref="G22:K22" si="12">G15*G20</f>
        <v>0</v>
      </c>
      <c r="H22">
        <f t="shared" si="12"/>
        <v>520960</v>
      </c>
      <c r="I22">
        <f t="shared" si="12"/>
        <v>651200</v>
      </c>
      <c r="J22">
        <f t="shared" si="12"/>
        <v>651200</v>
      </c>
      <c r="K22">
        <f t="shared" si="12"/>
        <v>651200</v>
      </c>
      <c r="L22" t="str">
        <f t="shared" ca="1" si="3"/>
        <v>=K15*K20</v>
      </c>
    </row>
    <row r="23" spans="1:27" ht="15" customHeight="1" x14ac:dyDescent="0.45">
      <c r="A23" s="82"/>
      <c r="B23"/>
      <c r="C23"/>
      <c r="D23"/>
      <c r="L23" t="str">
        <f t="shared" ca="1" si="3"/>
        <v/>
      </c>
    </row>
    <row r="24" spans="1:27" ht="15" customHeight="1" x14ac:dyDescent="0.45">
      <c r="A24" s="82" t="s">
        <v>139</v>
      </c>
      <c r="B24"/>
      <c r="C24"/>
      <c r="D24"/>
      <c r="L24" t="str">
        <f t="shared" ca="1" si="3"/>
        <v/>
      </c>
    </row>
    <row r="25" spans="1:27" ht="15" customHeight="1" x14ac:dyDescent="0.45">
      <c r="A25" s="82"/>
      <c r="B25" t="s">
        <v>140</v>
      </c>
      <c r="C25" t="s">
        <v>53</v>
      </c>
      <c r="D25" s="67">
        <f>'Assumptions and Outputs'!D27</f>
        <v>0.55000000000000004</v>
      </c>
      <c r="F25">
        <f>$D25*F$22</f>
        <v>0</v>
      </c>
      <c r="G25">
        <f t="shared" ref="G25:K27" si="13">$D25*G$22</f>
        <v>0</v>
      </c>
      <c r="H25">
        <f t="shared" si="13"/>
        <v>286528</v>
      </c>
      <c r="I25">
        <f t="shared" si="13"/>
        <v>358160</v>
      </c>
      <c r="J25">
        <f t="shared" si="13"/>
        <v>358160</v>
      </c>
      <c r="K25">
        <f t="shared" si="13"/>
        <v>358160</v>
      </c>
      <c r="L25" t="str">
        <f t="shared" ca="1" si="3"/>
        <v>=$D25*K$22</v>
      </c>
    </row>
    <row r="26" spans="1:27" ht="15" customHeight="1" x14ac:dyDescent="0.45">
      <c r="A26" s="82"/>
      <c r="B26" t="s">
        <v>141</v>
      </c>
      <c r="C26" t="s">
        <v>53</v>
      </c>
      <c r="D26" s="67">
        <f>'Assumptions and Outputs'!D28</f>
        <v>0.25</v>
      </c>
      <c r="F26">
        <f t="shared" ref="F26:F27" si="14">$D26*F$22</f>
        <v>0</v>
      </c>
      <c r="G26">
        <f t="shared" si="13"/>
        <v>0</v>
      </c>
      <c r="H26">
        <f t="shared" si="13"/>
        <v>130240</v>
      </c>
      <c r="I26">
        <f t="shared" si="13"/>
        <v>162800</v>
      </c>
      <c r="J26">
        <f t="shared" si="13"/>
        <v>162800</v>
      </c>
      <c r="K26">
        <f t="shared" si="13"/>
        <v>162800</v>
      </c>
      <c r="L26" t="str">
        <f t="shared" ca="1" si="3"/>
        <v>=$D26*K$22</v>
      </c>
    </row>
    <row r="27" spans="1:27" ht="15" customHeight="1" x14ac:dyDescent="0.45">
      <c r="A27" s="82"/>
      <c r="B27" t="s">
        <v>142</v>
      </c>
      <c r="C27" t="s">
        <v>53</v>
      </c>
      <c r="D27" s="67">
        <f>'Assumptions and Outputs'!D29</f>
        <v>0.19999999999999996</v>
      </c>
      <c r="F27">
        <f t="shared" si="14"/>
        <v>0</v>
      </c>
      <c r="G27">
        <f t="shared" si="13"/>
        <v>0</v>
      </c>
      <c r="H27">
        <f t="shared" si="13"/>
        <v>104191.99999999997</v>
      </c>
      <c r="I27">
        <f t="shared" si="13"/>
        <v>130239.99999999997</v>
      </c>
      <c r="J27">
        <f t="shared" si="13"/>
        <v>130239.99999999997</v>
      </c>
      <c r="K27">
        <f t="shared" si="13"/>
        <v>130239.99999999997</v>
      </c>
      <c r="L27" t="str">
        <f t="shared" ca="1" si="3"/>
        <v>=$D27*K$22</v>
      </c>
    </row>
    <row r="28" spans="1:27" ht="15" customHeight="1" x14ac:dyDescent="0.45">
      <c r="A28" s="82"/>
      <c r="B28"/>
      <c r="C28"/>
      <c r="D28"/>
      <c r="L28" t="str">
        <f t="shared" ca="1" si="3"/>
        <v/>
      </c>
    </row>
    <row r="29" spans="1:27" ht="15" customHeight="1" x14ac:dyDescent="0.45">
      <c r="A29" s="82"/>
      <c r="B29" t="s">
        <v>143</v>
      </c>
      <c r="C29" t="s">
        <v>144</v>
      </c>
      <c r="D29" s="86">
        <f>'Assumptions and Outputs'!D35/1000</f>
        <v>0.04</v>
      </c>
      <c r="F29" s="88">
        <f>$D29*F$10</f>
        <v>4.1600000000000005E-2</v>
      </c>
      <c r="G29" s="88">
        <f t="shared" ref="G29:K31" si="15">$D29*G$10</f>
        <v>4.3264000000000004E-2</v>
      </c>
      <c r="H29" s="88">
        <f t="shared" si="15"/>
        <v>4.4994560000000003E-2</v>
      </c>
      <c r="I29" s="88">
        <f t="shared" si="15"/>
        <v>4.6794342400000008E-2</v>
      </c>
      <c r="J29" s="88">
        <f t="shared" si="15"/>
        <v>4.8666116096000016E-2</v>
      </c>
      <c r="K29" s="88">
        <f t="shared" si="15"/>
        <v>5.0612760739840015E-2</v>
      </c>
      <c r="L29" s="88" t="str">
        <f t="shared" ca="1" si="3"/>
        <v>=$D29*K$10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ht="15" customHeight="1" x14ac:dyDescent="0.45">
      <c r="A30" s="82"/>
      <c r="B30" t="s">
        <v>145</v>
      </c>
      <c r="C30" t="s">
        <v>144</v>
      </c>
      <c r="D30" s="86">
        <f>'Assumptions and Outputs'!D36/1000</f>
        <v>0.03</v>
      </c>
      <c r="F30" s="88">
        <f t="shared" ref="F30:F31" si="16">$D30*F$10</f>
        <v>3.1199999999999999E-2</v>
      </c>
      <c r="G30" s="88">
        <f t="shared" si="15"/>
        <v>3.2448000000000005E-2</v>
      </c>
      <c r="H30" s="88">
        <f t="shared" si="15"/>
        <v>3.3745919999999999E-2</v>
      </c>
      <c r="I30" s="88">
        <f t="shared" si="15"/>
        <v>3.5095756800000003E-2</v>
      </c>
      <c r="J30" s="88">
        <f t="shared" si="15"/>
        <v>3.649958707200001E-2</v>
      </c>
      <c r="K30" s="88">
        <f t="shared" si="15"/>
        <v>3.7959570554880008E-2</v>
      </c>
      <c r="L30" s="88" t="str">
        <f t="shared" ca="1" si="3"/>
        <v>=$D30*K$10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ht="15" customHeight="1" x14ac:dyDescent="0.45">
      <c r="A31" s="82"/>
      <c r="B31" t="s">
        <v>146</v>
      </c>
      <c r="C31" t="s">
        <v>144</v>
      </c>
      <c r="D31" s="86">
        <f>'Assumptions and Outputs'!D37/1000</f>
        <v>0.05</v>
      </c>
      <c r="F31" s="88">
        <f t="shared" si="16"/>
        <v>5.2000000000000005E-2</v>
      </c>
      <c r="G31" s="88">
        <f t="shared" si="15"/>
        <v>5.408000000000001E-2</v>
      </c>
      <c r="H31" s="88">
        <f t="shared" si="15"/>
        <v>5.6243200000000007E-2</v>
      </c>
      <c r="I31" s="88">
        <f t="shared" si="15"/>
        <v>5.8492928000000013E-2</v>
      </c>
      <c r="J31" s="88">
        <f t="shared" si="15"/>
        <v>6.0832645120000021E-2</v>
      </c>
      <c r="K31" s="88">
        <f t="shared" si="15"/>
        <v>6.3265950924800016E-2</v>
      </c>
      <c r="L31" s="88" t="str">
        <f t="shared" ca="1" si="3"/>
        <v>=$D31*K$10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27" ht="15" customHeight="1" x14ac:dyDescent="0.45">
      <c r="A32" s="82"/>
      <c r="B32"/>
      <c r="C32"/>
      <c r="D32"/>
      <c r="L32" t="str">
        <f t="shared" ca="1" si="3"/>
        <v/>
      </c>
    </row>
    <row r="33" spans="1:32" ht="15" customHeight="1" x14ac:dyDescent="0.45">
      <c r="A33" s="82"/>
      <c r="B33" t="s">
        <v>147</v>
      </c>
      <c r="C33"/>
      <c r="D33"/>
      <c r="F33">
        <f>F25*F29</f>
        <v>0</v>
      </c>
      <c r="G33">
        <f t="shared" ref="G33:K33" si="17">G25*G29</f>
        <v>0</v>
      </c>
      <c r="H33">
        <f t="shared" si="17"/>
        <v>12892.20128768</v>
      </c>
      <c r="I33">
        <f t="shared" si="17"/>
        <v>16759.861673984004</v>
      </c>
      <c r="J33">
        <f t="shared" si="17"/>
        <v>17430.256140943366</v>
      </c>
      <c r="K33">
        <f t="shared" si="17"/>
        <v>18127.466386581102</v>
      </c>
      <c r="L33" t="str">
        <f t="shared" ca="1" si="3"/>
        <v>=K25*K29</v>
      </c>
    </row>
    <row r="34" spans="1:32" ht="15" customHeight="1" x14ac:dyDescent="0.45">
      <c r="A34" s="82"/>
      <c r="B34" t="s">
        <v>148</v>
      </c>
      <c r="C34"/>
      <c r="D34"/>
      <c r="F34">
        <f t="shared" ref="F34:K34" si="18">F26*F30</f>
        <v>0</v>
      </c>
      <c r="G34">
        <f t="shared" si="18"/>
        <v>0</v>
      </c>
      <c r="H34">
        <f t="shared" si="18"/>
        <v>4395.0686207999997</v>
      </c>
      <c r="I34">
        <f t="shared" si="18"/>
        <v>5713.5892070400005</v>
      </c>
      <c r="J34">
        <f t="shared" si="18"/>
        <v>5942.1327753216019</v>
      </c>
      <c r="K34">
        <f t="shared" si="18"/>
        <v>6179.8180863344651</v>
      </c>
      <c r="L34" t="str">
        <f t="shared" ca="1" si="3"/>
        <v>=K26*K30</v>
      </c>
    </row>
    <row r="35" spans="1:32" ht="15" customHeight="1" x14ac:dyDescent="0.45">
      <c r="A35" s="82"/>
      <c r="B35" t="s">
        <v>149</v>
      </c>
      <c r="C35"/>
      <c r="D35"/>
      <c r="F35">
        <f t="shared" ref="F35:K35" si="19">F27*F31</f>
        <v>0</v>
      </c>
      <c r="G35">
        <f t="shared" si="19"/>
        <v>0</v>
      </c>
      <c r="H35">
        <f t="shared" si="19"/>
        <v>5860.0914943999987</v>
      </c>
      <c r="I35">
        <f t="shared" si="19"/>
        <v>7618.1189427199997</v>
      </c>
      <c r="J35">
        <f t="shared" si="19"/>
        <v>7922.8437004288007</v>
      </c>
      <c r="K35">
        <f t="shared" si="19"/>
        <v>8239.7574484459528</v>
      </c>
      <c r="L35" t="str">
        <f t="shared" ref="L35:L57" ca="1" si="20">IF(ISBLANK(K35),"",_xlfn.FORMULATEXT(K35))</f>
        <v>=K27*K31</v>
      </c>
    </row>
    <row r="36" spans="1:32" ht="15" customHeight="1" x14ac:dyDescent="0.45">
      <c r="A36" s="82"/>
      <c r="B36" t="s">
        <v>150</v>
      </c>
      <c r="C36"/>
      <c r="D36"/>
      <c r="F36" s="87">
        <f>SUM(F33:F35)</f>
        <v>0</v>
      </c>
      <c r="G36" s="87">
        <f t="shared" ref="G36:K36" si="21">SUM(G33:G35)</f>
        <v>0</v>
      </c>
      <c r="H36" s="87">
        <f t="shared" si="21"/>
        <v>23147.36140288</v>
      </c>
      <c r="I36" s="87">
        <f t="shared" si="21"/>
        <v>30091.569823744005</v>
      </c>
      <c r="J36" s="87">
        <f t="shared" si="21"/>
        <v>31295.232616693771</v>
      </c>
      <c r="K36" s="87">
        <f t="shared" si="21"/>
        <v>32547.041921361517</v>
      </c>
      <c r="L36" s="87" t="str">
        <f t="shared" ca="1" si="20"/>
        <v>=SUM(K33:K35)</v>
      </c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32" ht="15" customHeight="1" x14ac:dyDescent="0.45">
      <c r="A37" s="82"/>
      <c r="C37"/>
      <c r="D37"/>
      <c r="L37" t="str">
        <f t="shared" ca="1" si="20"/>
        <v/>
      </c>
    </row>
    <row r="38" spans="1:32" ht="15" customHeight="1" x14ac:dyDescent="0.45">
      <c r="A38" s="82"/>
      <c r="B38" t="s">
        <v>151</v>
      </c>
      <c r="C38" t="s">
        <v>152</v>
      </c>
      <c r="D38" s="67">
        <f>'Assumptions and Outputs'!D31</f>
        <v>1</v>
      </c>
      <c r="E38" s="94"/>
      <c r="F38" s="90"/>
      <c r="G38" s="90"/>
      <c r="H38" s="90"/>
      <c r="I38" s="90"/>
      <c r="J38" s="90"/>
      <c r="K38" s="90"/>
      <c r="L38" s="90" t="str">
        <f t="shared" ca="1" si="20"/>
        <v/>
      </c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F38" s="81"/>
    </row>
    <row r="39" spans="1:32" ht="15" customHeight="1" x14ac:dyDescent="0.45">
      <c r="A39" s="96"/>
      <c r="B39" t="s">
        <v>153</v>
      </c>
      <c r="C39" t="s">
        <v>152</v>
      </c>
      <c r="D39" s="67">
        <f>'Assumptions and Outputs'!D32</f>
        <v>0.6</v>
      </c>
      <c r="F39" s="90">
        <f>F46*-1*$D$39</f>
        <v>0</v>
      </c>
      <c r="G39" s="90">
        <f t="shared" ref="G39:K39" si="22">G46*-1*$D$39</f>
        <v>0</v>
      </c>
      <c r="H39" s="90">
        <f t="shared" si="22"/>
        <v>13498.368</v>
      </c>
      <c r="I39" s="90">
        <f t="shared" si="22"/>
        <v>14038.302720000002</v>
      </c>
      <c r="J39" s="90">
        <f t="shared" si="22"/>
        <v>14599.834828800003</v>
      </c>
      <c r="K39" s="90">
        <f t="shared" si="22"/>
        <v>15183.828221952004</v>
      </c>
      <c r="L39" s="90" t="str">
        <f t="shared" ca="1" si="20"/>
        <v>=K46*-1*$D$39</v>
      </c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1:32" ht="15" customHeight="1" x14ac:dyDescent="0.45">
      <c r="A40" s="82"/>
      <c r="B40" t="s">
        <v>154</v>
      </c>
      <c r="C40"/>
      <c r="D40"/>
      <c r="F40" s="87">
        <f>SUM(F38:F39)</f>
        <v>0</v>
      </c>
      <c r="G40" s="87">
        <f t="shared" ref="G40:K40" si="23">SUM(G38:G39)</f>
        <v>0</v>
      </c>
      <c r="H40" s="87">
        <f t="shared" si="23"/>
        <v>13498.368</v>
      </c>
      <c r="I40" s="87">
        <f t="shared" si="23"/>
        <v>14038.302720000002</v>
      </c>
      <c r="J40" s="87">
        <f t="shared" si="23"/>
        <v>14599.834828800003</v>
      </c>
      <c r="K40" s="87">
        <f t="shared" si="23"/>
        <v>15183.828221952004</v>
      </c>
      <c r="L40" s="87" t="str">
        <f t="shared" ca="1" si="20"/>
        <v>=SUM(K38:K39)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</row>
    <row r="41" spans="1:32" ht="15" customHeight="1" x14ac:dyDescent="0.45">
      <c r="A41" s="82"/>
      <c r="B41"/>
      <c r="C41"/>
      <c r="D41"/>
      <c r="L41" t="str">
        <f t="shared" ca="1" si="20"/>
        <v/>
      </c>
    </row>
    <row r="42" spans="1:32" ht="15" customHeight="1" x14ac:dyDescent="0.45">
      <c r="A42" s="82"/>
      <c r="B42" t="s">
        <v>155</v>
      </c>
      <c r="C42"/>
      <c r="D42"/>
      <c r="F42">
        <f>F36+F40</f>
        <v>0</v>
      </c>
      <c r="G42">
        <f t="shared" ref="G42:K42" si="24">G36+G40</f>
        <v>0</v>
      </c>
      <c r="H42">
        <f t="shared" si="24"/>
        <v>36645.729402880002</v>
      </c>
      <c r="I42">
        <f t="shared" si="24"/>
        <v>44129.872543744008</v>
      </c>
      <c r="J42">
        <f t="shared" si="24"/>
        <v>45895.067445493776</v>
      </c>
      <c r="K42">
        <f t="shared" si="24"/>
        <v>47730.870143313521</v>
      </c>
      <c r="L42" t="str">
        <f t="shared" ca="1" si="20"/>
        <v>=K36+K40</v>
      </c>
    </row>
    <row r="43" spans="1:32" ht="15" customHeight="1" x14ac:dyDescent="0.45">
      <c r="A43" s="82"/>
      <c r="B43"/>
      <c r="C43"/>
      <c r="D43"/>
      <c r="L43" t="str">
        <f t="shared" ca="1" si="20"/>
        <v/>
      </c>
    </row>
    <row r="44" spans="1:32" ht="15" customHeight="1" x14ac:dyDescent="0.45">
      <c r="A44" s="82" t="s">
        <v>60</v>
      </c>
      <c r="B44"/>
      <c r="C44"/>
      <c r="D44"/>
      <c r="L44" t="str">
        <f t="shared" ca="1" si="20"/>
        <v/>
      </c>
    </row>
    <row r="45" spans="1:32" ht="15" customHeight="1" x14ac:dyDescent="0.45">
      <c r="A45" s="82"/>
      <c r="B45" t="s">
        <v>156</v>
      </c>
      <c r="C45" t="s">
        <v>157</v>
      </c>
      <c r="D45" s="67">
        <f>'Assumptions and Outputs'!D40</f>
        <v>0.15</v>
      </c>
      <c r="F45">
        <f>$D$45*F36*-1</f>
        <v>0</v>
      </c>
      <c r="G45">
        <f t="shared" ref="G45:K45" si="25">$D$45*G36*-1</f>
        <v>0</v>
      </c>
      <c r="H45">
        <f t="shared" si="25"/>
        <v>-3472.1042104319999</v>
      </c>
      <c r="I45">
        <f t="shared" si="25"/>
        <v>-4513.7354735616009</v>
      </c>
      <c r="J45">
        <f t="shared" si="25"/>
        <v>-4694.2848925040653</v>
      </c>
      <c r="K45">
        <f t="shared" si="25"/>
        <v>-4882.0562882042277</v>
      </c>
      <c r="L45" t="str">
        <f t="shared" ca="1" si="20"/>
        <v>=$D$45*K36*-1</v>
      </c>
    </row>
    <row r="46" spans="1:32" ht="15" customHeight="1" x14ac:dyDescent="0.45">
      <c r="A46" s="82"/>
      <c r="B46" t="s">
        <v>158</v>
      </c>
      <c r="C46" t="s">
        <v>159</v>
      </c>
      <c r="D46">
        <f>'Assumptions and Outputs'!D41</f>
        <v>20000</v>
      </c>
      <c r="F46">
        <f>$D$46*F10*F6*-1</f>
        <v>0</v>
      </c>
      <c r="G46">
        <f t="shared" ref="G46:K46" si="26">$D$46*G10*G6*-1</f>
        <v>0</v>
      </c>
      <c r="H46">
        <f t="shared" si="26"/>
        <v>-22497.280000000002</v>
      </c>
      <c r="I46">
        <f t="shared" si="26"/>
        <v>-23397.171200000004</v>
      </c>
      <c r="J46">
        <f t="shared" si="26"/>
        <v>-24333.058048000006</v>
      </c>
      <c r="K46">
        <f t="shared" si="26"/>
        <v>-25306.380369920007</v>
      </c>
      <c r="L46" t="str">
        <f t="shared" ca="1" si="20"/>
        <v>=$D$46*K10*K6*-1</v>
      </c>
    </row>
    <row r="47" spans="1:32" ht="15" customHeight="1" x14ac:dyDescent="0.45">
      <c r="A47" s="82"/>
      <c r="B47" t="s">
        <v>160</v>
      </c>
      <c r="C47"/>
      <c r="D47"/>
      <c r="F47" s="87">
        <f>SUM(F45:F46)</f>
        <v>0</v>
      </c>
      <c r="G47" s="87">
        <f t="shared" ref="G47:K47" si="27">SUM(G45:G46)</f>
        <v>0</v>
      </c>
      <c r="H47" s="87">
        <f t="shared" si="27"/>
        <v>-25969.384210432003</v>
      </c>
      <c r="I47" s="87">
        <f t="shared" si="27"/>
        <v>-27910.906673561607</v>
      </c>
      <c r="J47" s="87">
        <f t="shared" si="27"/>
        <v>-29027.342940504073</v>
      </c>
      <c r="K47" s="87">
        <f t="shared" si="27"/>
        <v>-30188.436658124236</v>
      </c>
      <c r="L47" s="87" t="str">
        <f t="shared" ca="1" si="20"/>
        <v>=SUM(K45:K46)</v>
      </c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</row>
    <row r="48" spans="1:32" ht="15" customHeight="1" x14ac:dyDescent="0.45">
      <c r="A48" s="82"/>
      <c r="B48"/>
      <c r="C48"/>
      <c r="D48"/>
      <c r="L48" t="str">
        <f t="shared" ca="1" si="20"/>
        <v/>
      </c>
    </row>
    <row r="49" spans="1:28" ht="15" customHeight="1" x14ac:dyDescent="0.45">
      <c r="A49" s="82" t="s">
        <v>161</v>
      </c>
      <c r="B49"/>
      <c r="C49"/>
      <c r="D49"/>
      <c r="L49" t="str">
        <f t="shared" ca="1" si="20"/>
        <v/>
      </c>
    </row>
    <row r="50" spans="1:28" ht="15" customHeight="1" x14ac:dyDescent="0.45">
      <c r="A50" s="82"/>
      <c r="B50" t="s">
        <v>162</v>
      </c>
      <c r="C50" s="77"/>
      <c r="D50"/>
      <c r="F50">
        <f>F42+F47</f>
        <v>0</v>
      </c>
      <c r="G50">
        <f t="shared" ref="G50:K50" si="28">G42+G47</f>
        <v>0</v>
      </c>
      <c r="H50">
        <f t="shared" si="28"/>
        <v>10676.345192448</v>
      </c>
      <c r="I50">
        <f t="shared" si="28"/>
        <v>16218.965870182401</v>
      </c>
      <c r="J50">
        <f t="shared" si="28"/>
        <v>16867.724504989703</v>
      </c>
      <c r="K50">
        <f t="shared" si="28"/>
        <v>17542.433485189285</v>
      </c>
      <c r="L50" t="str">
        <f t="shared" ca="1" si="20"/>
        <v>=K42+K47</v>
      </c>
    </row>
    <row r="51" spans="1:28" ht="15" customHeight="1" x14ac:dyDescent="0.45">
      <c r="A51" s="82"/>
      <c r="B51" t="s">
        <v>163</v>
      </c>
      <c r="C51" s="77"/>
      <c r="D51"/>
      <c r="F51" s="88" t="str">
        <f>IFERROR(F36/F22,"na")</f>
        <v>na</v>
      </c>
      <c r="G51" s="88" t="str">
        <f t="shared" ref="G51:K51" si="29">IFERROR(G36/G22,"na")</f>
        <v>na</v>
      </c>
      <c r="H51" s="88">
        <f t="shared" si="29"/>
        <v>4.4432128000000001E-2</v>
      </c>
      <c r="I51" s="88">
        <f t="shared" si="29"/>
        <v>4.6209413120000008E-2</v>
      </c>
      <c r="J51" s="88">
        <f t="shared" si="29"/>
        <v>4.8057789644800016E-2</v>
      </c>
      <c r="K51" s="88">
        <f t="shared" si="29"/>
        <v>4.998010123059201E-2</v>
      </c>
      <c r="L51" s="88" t="str">
        <f t="shared" ca="1" si="20"/>
        <v>=IFERROR(K36/K22,"na")</v>
      </c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</row>
    <row r="52" spans="1:28" ht="15" customHeight="1" x14ac:dyDescent="0.45">
      <c r="A52" s="82"/>
      <c r="B52" t="s">
        <v>164</v>
      </c>
      <c r="C52" s="77"/>
      <c r="D52"/>
      <c r="F52" s="67" t="str">
        <f>IFERROR(F50/F42,"na")</f>
        <v>na</v>
      </c>
      <c r="G52" s="67" t="str">
        <f t="shared" ref="G52:K52" si="30">IFERROR(G50/G42,"na")</f>
        <v>na</v>
      </c>
      <c r="H52" s="67">
        <f t="shared" si="30"/>
        <v>0.29133941025086929</v>
      </c>
      <c r="I52" s="67">
        <f t="shared" si="30"/>
        <v>0.36752804699594932</v>
      </c>
      <c r="J52" s="67">
        <f t="shared" si="30"/>
        <v>0.36752804699594938</v>
      </c>
      <c r="K52" s="67">
        <f t="shared" si="30"/>
        <v>0.36752804699594932</v>
      </c>
      <c r="L52" s="67" t="str">
        <f t="shared" ca="1" si="20"/>
        <v>=IFERROR(K50/K42,"na")</v>
      </c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" customHeight="1" x14ac:dyDescent="0.45">
      <c r="A53" s="82"/>
      <c r="B53"/>
      <c r="C53" s="77"/>
      <c r="D53"/>
      <c r="L53" t="str">
        <f t="shared" ca="1" si="20"/>
        <v/>
      </c>
    </row>
    <row r="54" spans="1:28" ht="15" customHeight="1" x14ac:dyDescent="0.45">
      <c r="A54" s="59" t="s">
        <v>120</v>
      </c>
      <c r="B54"/>
      <c r="C54" s="77"/>
      <c r="D54"/>
      <c r="F54" s="88"/>
      <c r="G54" s="88"/>
      <c r="H54" s="88"/>
      <c r="I54" s="88"/>
      <c r="J54" s="88"/>
      <c r="K54" s="88"/>
      <c r="L54" s="88" t="str">
        <f t="shared" ca="1" si="20"/>
        <v/>
      </c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8" ht="15" customHeight="1" x14ac:dyDescent="0.45">
      <c r="A55" s="82"/>
      <c r="B55"/>
      <c r="C55" s="77"/>
      <c r="D55"/>
      <c r="L55" t="str">
        <f t="shared" ca="1" si="20"/>
        <v/>
      </c>
    </row>
    <row r="56" spans="1:28" ht="15" customHeight="1" x14ac:dyDescent="0.45">
      <c r="A56" s="82"/>
      <c r="B56"/>
      <c r="C56" s="77"/>
      <c r="D56"/>
      <c r="L56" t="str">
        <f t="shared" ca="1" si="20"/>
        <v/>
      </c>
    </row>
    <row r="57" spans="1:28" ht="15" customHeight="1" x14ac:dyDescent="0.45">
      <c r="A57" s="82"/>
      <c r="B57"/>
      <c r="C57" s="77"/>
      <c r="D57"/>
      <c r="L57" t="str">
        <f t="shared" ca="1" si="20"/>
        <v/>
      </c>
    </row>
    <row r="58" spans="1:28" ht="15" customHeight="1" x14ac:dyDescent="0.45">
      <c r="A58" s="82"/>
      <c r="B58"/>
      <c r="C58" s="77"/>
      <c r="D58"/>
    </row>
    <row r="59" spans="1:28" ht="15" customHeight="1" x14ac:dyDescent="0.45">
      <c r="A59" s="82"/>
      <c r="B59"/>
      <c r="C59" s="77"/>
      <c r="D59"/>
    </row>
    <row r="60" spans="1:28" ht="15" customHeight="1" x14ac:dyDescent="0.45">
      <c r="A60" s="82"/>
      <c r="B60"/>
      <c r="C60" s="77"/>
      <c r="D60"/>
    </row>
    <row r="61" spans="1:28" ht="15" customHeight="1" x14ac:dyDescent="0.45">
      <c r="A61" s="82"/>
      <c r="B61"/>
      <c r="C61" s="77"/>
      <c r="D61"/>
    </row>
    <row r="62" spans="1:28" ht="15" customHeight="1" x14ac:dyDescent="0.45">
      <c r="A62" s="82"/>
      <c r="B62"/>
      <c r="C62" s="77"/>
      <c r="D62"/>
    </row>
    <row r="63" spans="1:28" ht="15" customHeight="1" x14ac:dyDescent="0.45">
      <c r="A63" s="82"/>
      <c r="B63"/>
      <c r="C63" s="77"/>
      <c r="D63"/>
    </row>
    <row r="64" spans="1:28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/>
      <c r="B118"/>
      <c r="C118" s="77"/>
      <c r="D118"/>
    </row>
    <row r="119" spans="1:4" ht="15" customHeight="1" x14ac:dyDescent="0.45">
      <c r="A119"/>
      <c r="B119"/>
      <c r="C119" s="77"/>
      <c r="D119"/>
    </row>
    <row r="120" spans="1:4" ht="15" customHeight="1" x14ac:dyDescent="0.45">
      <c r="A120"/>
      <c r="B120"/>
      <c r="C120" s="77"/>
      <c r="D120"/>
    </row>
    <row r="121" spans="1:4" ht="15" customHeight="1" x14ac:dyDescent="0.45">
      <c r="A121"/>
      <c r="B121"/>
      <c r="C121" s="77"/>
      <c r="D121"/>
    </row>
    <row r="122" spans="1:4" ht="15" customHeight="1" x14ac:dyDescent="0.45">
      <c r="A122"/>
      <c r="B122"/>
      <c r="C122" s="77"/>
      <c r="D122"/>
    </row>
    <row r="123" spans="1:4" ht="15" customHeight="1" x14ac:dyDescent="0.45">
      <c r="A123"/>
      <c r="B123"/>
      <c r="C123" s="77"/>
      <c r="D123"/>
    </row>
    <row r="124" spans="1:4" ht="15" customHeight="1" x14ac:dyDescent="0.45">
      <c r="A124"/>
      <c r="B124"/>
      <c r="C124" s="77"/>
      <c r="D124"/>
    </row>
    <row r="125" spans="1:4" ht="15" customHeight="1" x14ac:dyDescent="0.45">
      <c r="A125"/>
      <c r="B125"/>
      <c r="C125" s="77"/>
      <c r="D125"/>
    </row>
    <row r="126" spans="1:4" ht="15" customHeight="1" x14ac:dyDescent="0.45">
      <c r="A126"/>
      <c r="B126"/>
      <c r="C126" s="77"/>
      <c r="D126"/>
    </row>
    <row r="127" spans="1:4" ht="15" customHeight="1" x14ac:dyDescent="0.45">
      <c r="A127"/>
      <c r="B127"/>
      <c r="C127" s="77"/>
      <c r="D127"/>
    </row>
    <row r="128" spans="1:4" ht="15" customHeight="1" x14ac:dyDescent="0.45">
      <c r="A128"/>
      <c r="B128"/>
      <c r="C128" s="77"/>
      <c r="D128"/>
    </row>
    <row r="129" spans="3:3" customFormat="1" ht="15" customHeight="1" x14ac:dyDescent="0.45">
      <c r="C129" s="77"/>
    </row>
    <row r="130" spans="3:3" customFormat="1" ht="15" customHeight="1" x14ac:dyDescent="0.45">
      <c r="C130" s="77"/>
    </row>
    <row r="131" spans="3:3" customFormat="1" ht="15" customHeight="1" x14ac:dyDescent="0.45">
      <c r="C131" s="77"/>
    </row>
    <row r="132" spans="3:3" customFormat="1" ht="15" customHeight="1" x14ac:dyDescent="0.45">
      <c r="C132" s="77"/>
    </row>
    <row r="133" spans="3:3" customFormat="1" ht="15" customHeight="1" x14ac:dyDescent="0.45">
      <c r="C133" s="77"/>
    </row>
    <row r="134" spans="3:3" customFormat="1" ht="15" customHeight="1" x14ac:dyDescent="0.45">
      <c r="C134" s="77"/>
    </row>
    <row r="135" spans="3:3" customFormat="1" ht="15" customHeight="1" x14ac:dyDescent="0.45">
      <c r="C135" s="77"/>
    </row>
    <row r="136" spans="3:3" customFormat="1" ht="15" customHeight="1" x14ac:dyDescent="0.45">
      <c r="C136" s="77"/>
    </row>
    <row r="137" spans="3:3" customFormat="1" ht="15" customHeight="1" x14ac:dyDescent="0.45">
      <c r="C137" s="77"/>
    </row>
    <row r="138" spans="3:3" customFormat="1" ht="15" customHeight="1" x14ac:dyDescent="0.45">
      <c r="C138" s="77"/>
    </row>
    <row r="139" spans="3:3" customFormat="1" ht="15" customHeight="1" x14ac:dyDescent="0.45">
      <c r="C139" s="77"/>
    </row>
    <row r="140" spans="3:3" customFormat="1" ht="15" customHeight="1" x14ac:dyDescent="0.45">
      <c r="C140" s="77"/>
    </row>
    <row r="141" spans="3:3" customFormat="1" ht="15" customHeight="1" x14ac:dyDescent="0.45">
      <c r="C141" s="77"/>
    </row>
    <row r="142" spans="3:3" customFormat="1" ht="15" customHeight="1" x14ac:dyDescent="0.45">
      <c r="C142" s="77"/>
    </row>
    <row r="143" spans="3:3" customFormat="1" ht="15" customHeight="1" x14ac:dyDescent="0.45">
      <c r="C143" s="77"/>
    </row>
    <row r="144" spans="3:3" customFormat="1" ht="15" customHeight="1" x14ac:dyDescent="0.45">
      <c r="C144" s="77"/>
    </row>
    <row r="145" spans="3:3" customFormat="1" ht="15" customHeight="1" x14ac:dyDescent="0.45">
      <c r="C145" s="77"/>
    </row>
    <row r="146" spans="3:3" customFormat="1" ht="15" customHeight="1" x14ac:dyDescent="0.45">
      <c r="C146" s="77"/>
    </row>
    <row r="147" spans="3:3" customFormat="1" ht="15" customHeight="1" x14ac:dyDescent="0.45">
      <c r="C147" s="77"/>
    </row>
    <row r="148" spans="3:3" customFormat="1" ht="15" customHeight="1" x14ac:dyDescent="0.45">
      <c r="C148" s="77"/>
    </row>
    <row r="149" spans="3:3" customFormat="1" ht="15" customHeight="1" x14ac:dyDescent="0.45">
      <c r="C149" s="77"/>
    </row>
    <row r="150" spans="3:3" customFormat="1" ht="15" customHeight="1" x14ac:dyDescent="0.45">
      <c r="C150" s="77"/>
    </row>
    <row r="151" spans="3:3" customFormat="1" ht="15" customHeight="1" x14ac:dyDescent="0.45">
      <c r="C151" s="77"/>
    </row>
    <row r="152" spans="3:3" customFormat="1" ht="15" customHeight="1" x14ac:dyDescent="0.45">
      <c r="C152" s="77"/>
    </row>
    <row r="153" spans="3:3" customFormat="1" ht="15" customHeight="1" x14ac:dyDescent="0.45">
      <c r="C153" s="77"/>
    </row>
    <row r="154" spans="3:3" customFormat="1" ht="15" customHeight="1" x14ac:dyDescent="0.45">
      <c r="C154" s="77"/>
    </row>
    <row r="155" spans="3:3" customFormat="1" ht="15" customHeight="1" x14ac:dyDescent="0.45">
      <c r="C155" s="77"/>
    </row>
    <row r="156" spans="3:3" customFormat="1" ht="15" customHeight="1" x14ac:dyDescent="0.45">
      <c r="C156" s="77"/>
    </row>
    <row r="157" spans="3:3" customFormat="1" ht="15" customHeight="1" x14ac:dyDescent="0.45">
      <c r="C157" s="77"/>
    </row>
    <row r="158" spans="3:3" customFormat="1" ht="15" customHeight="1" x14ac:dyDescent="0.45">
      <c r="C158" s="77"/>
    </row>
    <row r="159" spans="3:3" customFormat="1" ht="15" customHeight="1" x14ac:dyDescent="0.45">
      <c r="C159" s="77"/>
    </row>
    <row r="160" spans="3:3" customFormat="1" ht="15" customHeight="1" x14ac:dyDescent="0.45">
      <c r="C160" s="77"/>
    </row>
    <row r="161" spans="3:3" customFormat="1" ht="15" customHeight="1" x14ac:dyDescent="0.45">
      <c r="C161" s="77"/>
    </row>
    <row r="162" spans="3:3" customFormat="1" ht="15" customHeight="1" x14ac:dyDescent="0.45">
      <c r="C162" s="77"/>
    </row>
    <row r="163" spans="3:3" customFormat="1" ht="15" customHeight="1" x14ac:dyDescent="0.45">
      <c r="C163" s="77"/>
    </row>
    <row r="164" spans="3:3" customFormat="1" ht="15" customHeight="1" x14ac:dyDescent="0.45">
      <c r="C164" s="77"/>
    </row>
    <row r="165" spans="3:3" customFormat="1" ht="15" customHeight="1" x14ac:dyDescent="0.45">
      <c r="C165" s="77"/>
    </row>
    <row r="166" spans="3:3" customFormat="1" ht="15" customHeight="1" x14ac:dyDescent="0.45">
      <c r="C166" s="77"/>
    </row>
    <row r="167" spans="3:3" customFormat="1" ht="15" customHeight="1" x14ac:dyDescent="0.45">
      <c r="C167" s="77"/>
    </row>
    <row r="168" spans="3:3" customFormat="1" ht="15" customHeight="1" x14ac:dyDescent="0.45">
      <c r="C168" s="77"/>
    </row>
    <row r="169" spans="3:3" customFormat="1" ht="15" customHeight="1" x14ac:dyDescent="0.45">
      <c r="C169" s="77"/>
    </row>
    <row r="170" spans="3:3" customFormat="1" ht="15" customHeight="1" x14ac:dyDescent="0.45">
      <c r="C170" s="77"/>
    </row>
    <row r="171" spans="3:3" customFormat="1" ht="15" customHeight="1" x14ac:dyDescent="0.45">
      <c r="C171" s="77"/>
    </row>
    <row r="172" spans="3:3" customFormat="1" ht="15" customHeight="1" x14ac:dyDescent="0.45">
      <c r="C172" s="77"/>
    </row>
    <row r="173" spans="3:3" customFormat="1" ht="15" customHeight="1" x14ac:dyDescent="0.45">
      <c r="C173" s="77"/>
    </row>
    <row r="174" spans="3:3" customFormat="1" ht="15" customHeight="1" x14ac:dyDescent="0.45">
      <c r="C174" s="77"/>
    </row>
    <row r="175" spans="3:3" customFormat="1" ht="15" customHeight="1" x14ac:dyDescent="0.45">
      <c r="C175" s="77"/>
    </row>
    <row r="176" spans="3:3" customFormat="1" ht="15" customHeight="1" x14ac:dyDescent="0.45">
      <c r="C176" s="77"/>
    </row>
    <row r="177" spans="3:3" customFormat="1" ht="15" customHeight="1" x14ac:dyDescent="0.45">
      <c r="C177" s="77"/>
    </row>
    <row r="178" spans="3:3" customFormat="1" ht="15" customHeight="1" x14ac:dyDescent="0.45">
      <c r="C178" s="77"/>
    </row>
    <row r="179" spans="3:3" customFormat="1" ht="15" customHeight="1" x14ac:dyDescent="0.45">
      <c r="C179" s="77"/>
    </row>
    <row r="180" spans="3:3" customFormat="1" ht="15" customHeight="1" x14ac:dyDescent="0.45">
      <c r="C180" s="77"/>
    </row>
    <row r="181" spans="3:3" customFormat="1" ht="15" customHeight="1" x14ac:dyDescent="0.45">
      <c r="C181" s="77"/>
    </row>
    <row r="182" spans="3:3" customFormat="1" ht="15" customHeight="1" x14ac:dyDescent="0.45">
      <c r="C182" s="77"/>
    </row>
    <row r="183" spans="3:3" customFormat="1" ht="15" customHeight="1" x14ac:dyDescent="0.45">
      <c r="C183" s="77"/>
    </row>
    <row r="184" spans="3:3" customFormat="1" ht="15" customHeight="1" x14ac:dyDescent="0.45">
      <c r="C184" s="77"/>
    </row>
    <row r="185" spans="3:3" customFormat="1" ht="15" customHeight="1" x14ac:dyDescent="0.45">
      <c r="C185" s="77"/>
    </row>
    <row r="186" spans="3:3" customFormat="1" ht="15" customHeight="1" x14ac:dyDescent="0.45">
      <c r="C186" s="77"/>
    </row>
    <row r="187" spans="3:3" customFormat="1" ht="15" customHeight="1" x14ac:dyDescent="0.45">
      <c r="C187" s="77"/>
    </row>
    <row r="188" spans="3:3" customFormat="1" ht="15" customHeight="1" x14ac:dyDescent="0.45">
      <c r="C188" s="77"/>
    </row>
    <row r="189" spans="3:3" customFormat="1" ht="15" customHeight="1" x14ac:dyDescent="0.45">
      <c r="C189" s="77"/>
    </row>
    <row r="190" spans="3:3" customFormat="1" ht="15" customHeight="1" x14ac:dyDescent="0.45">
      <c r="C190" s="77"/>
    </row>
    <row r="191" spans="3:3" customFormat="1" ht="15" customHeight="1" x14ac:dyDescent="0.45">
      <c r="C191" s="77"/>
    </row>
    <row r="192" spans="3:3" customFormat="1" ht="15" customHeight="1" x14ac:dyDescent="0.45">
      <c r="C192" s="77"/>
    </row>
    <row r="193" spans="3:3" customFormat="1" ht="15" customHeight="1" x14ac:dyDescent="0.45">
      <c r="C193" s="77"/>
    </row>
    <row r="194" spans="3:3" customFormat="1" ht="15" customHeight="1" x14ac:dyDescent="0.45">
      <c r="C194" s="77"/>
    </row>
    <row r="195" spans="3:3" customFormat="1" ht="15" customHeight="1" x14ac:dyDescent="0.45">
      <c r="C195" s="77"/>
    </row>
    <row r="196" spans="3:3" customFormat="1" ht="15" customHeight="1" x14ac:dyDescent="0.45">
      <c r="C196" s="77"/>
    </row>
    <row r="197" spans="3:3" customFormat="1" ht="15" customHeight="1" x14ac:dyDescent="0.45">
      <c r="C197" s="77"/>
    </row>
    <row r="198" spans="3:3" customFormat="1" ht="15" customHeight="1" x14ac:dyDescent="0.45">
      <c r="C198" s="77"/>
    </row>
    <row r="199" spans="3:3" customFormat="1" ht="15" customHeight="1" x14ac:dyDescent="0.45">
      <c r="C199" s="77"/>
    </row>
    <row r="200" spans="3:3" customFormat="1" ht="15" customHeight="1" x14ac:dyDescent="0.45">
      <c r="C200" s="77"/>
    </row>
    <row r="201" spans="3:3" customFormat="1" ht="15" customHeight="1" x14ac:dyDescent="0.45">
      <c r="C201" s="77"/>
    </row>
    <row r="202" spans="3:3" customFormat="1" ht="15" customHeight="1" x14ac:dyDescent="0.45">
      <c r="C202" s="77"/>
    </row>
    <row r="203" spans="3:3" customFormat="1" ht="15" customHeight="1" x14ac:dyDescent="0.45">
      <c r="C203" s="77"/>
    </row>
    <row r="204" spans="3:3" customFormat="1" ht="15" customHeight="1" x14ac:dyDescent="0.45">
      <c r="C204" s="77"/>
    </row>
    <row r="205" spans="3:3" customFormat="1" ht="15" customHeight="1" x14ac:dyDescent="0.45">
      <c r="C205" s="77"/>
    </row>
    <row r="206" spans="3:3" customFormat="1" ht="15" customHeight="1" x14ac:dyDescent="0.45">
      <c r="C206" s="77"/>
    </row>
    <row r="207" spans="3:3" customFormat="1" ht="15" customHeight="1" x14ac:dyDescent="0.45">
      <c r="C207" s="77"/>
    </row>
    <row r="208" spans="3:3" customFormat="1" ht="15" customHeight="1" x14ac:dyDescent="0.45">
      <c r="C208" s="77"/>
    </row>
    <row r="209" spans="3:3" customFormat="1" ht="15" customHeight="1" x14ac:dyDescent="0.45">
      <c r="C209" s="77"/>
    </row>
    <row r="210" spans="3:3" customFormat="1" ht="15" customHeight="1" x14ac:dyDescent="0.45">
      <c r="C210" s="77"/>
    </row>
    <row r="211" spans="3:3" customFormat="1" ht="15" customHeight="1" x14ac:dyDescent="0.45">
      <c r="C211" s="77"/>
    </row>
    <row r="212" spans="3:3" customFormat="1" ht="15" customHeight="1" x14ac:dyDescent="0.45">
      <c r="C212" s="77"/>
    </row>
    <row r="213" spans="3:3" customFormat="1" ht="15" customHeight="1" x14ac:dyDescent="0.45">
      <c r="C213" s="77"/>
    </row>
    <row r="214" spans="3:3" customFormat="1" ht="15" customHeight="1" x14ac:dyDescent="0.45">
      <c r="C214" s="77"/>
    </row>
    <row r="215" spans="3:3" customFormat="1" ht="15" customHeight="1" x14ac:dyDescent="0.45">
      <c r="C215" s="77"/>
    </row>
    <row r="216" spans="3:3" customFormat="1" ht="15" customHeight="1" x14ac:dyDescent="0.45">
      <c r="C216" s="77"/>
    </row>
    <row r="217" spans="3:3" customFormat="1" ht="15" customHeight="1" x14ac:dyDescent="0.45">
      <c r="C217" s="77"/>
    </row>
    <row r="218" spans="3:3" customFormat="1" ht="15" customHeight="1" x14ac:dyDescent="0.45">
      <c r="C218" s="77"/>
    </row>
    <row r="219" spans="3:3" customFormat="1" ht="15" customHeight="1" x14ac:dyDescent="0.45">
      <c r="C219" s="77"/>
    </row>
    <row r="220" spans="3:3" customFormat="1" ht="15" customHeight="1" x14ac:dyDescent="0.45">
      <c r="C220" s="77"/>
    </row>
    <row r="221" spans="3:3" customFormat="1" ht="15" customHeight="1" x14ac:dyDescent="0.45">
      <c r="C221" s="77"/>
    </row>
    <row r="222" spans="3:3" customFormat="1" ht="15" customHeight="1" x14ac:dyDescent="0.45">
      <c r="C222" s="77"/>
    </row>
    <row r="223" spans="3:3" customFormat="1" ht="15" customHeight="1" x14ac:dyDescent="0.45">
      <c r="C223" s="77"/>
    </row>
    <row r="224" spans="3:3" customFormat="1" ht="15" customHeight="1" x14ac:dyDescent="0.45">
      <c r="C224" s="77"/>
    </row>
    <row r="225" spans="3:3" customFormat="1" ht="15" customHeight="1" x14ac:dyDescent="0.45">
      <c r="C225" s="77"/>
    </row>
    <row r="226" spans="3:3" customFormat="1" ht="15" customHeight="1" x14ac:dyDescent="0.45">
      <c r="C226" s="77"/>
    </row>
    <row r="227" spans="3:3" customFormat="1" ht="15" customHeight="1" x14ac:dyDescent="0.45">
      <c r="C227" s="77"/>
    </row>
    <row r="228" spans="3:3" customFormat="1" ht="15" customHeight="1" x14ac:dyDescent="0.45">
      <c r="C228" s="77"/>
    </row>
    <row r="229" spans="3:3" customFormat="1" ht="15" customHeight="1" x14ac:dyDescent="0.45">
      <c r="C229" s="77"/>
    </row>
    <row r="230" spans="3:3" customFormat="1" ht="15" customHeight="1" x14ac:dyDescent="0.45">
      <c r="C230" s="77"/>
    </row>
    <row r="231" spans="3:3" customFormat="1" ht="15" customHeight="1" x14ac:dyDescent="0.45">
      <c r="C231" s="77"/>
    </row>
    <row r="232" spans="3:3" customFormat="1" ht="15" customHeight="1" x14ac:dyDescent="0.45">
      <c r="C232" s="77"/>
    </row>
    <row r="233" spans="3:3" customFormat="1" ht="15" customHeight="1" x14ac:dyDescent="0.45">
      <c r="C233" s="77"/>
    </row>
    <row r="234" spans="3:3" customFormat="1" ht="15" customHeight="1" x14ac:dyDescent="0.45">
      <c r="C234" s="77"/>
    </row>
    <row r="235" spans="3:3" customFormat="1" ht="15" customHeight="1" x14ac:dyDescent="0.45">
      <c r="C235" s="77"/>
    </row>
    <row r="236" spans="3:3" customFormat="1" ht="15" customHeight="1" x14ac:dyDescent="0.45">
      <c r="C236" s="77"/>
    </row>
    <row r="237" spans="3:3" customFormat="1" ht="15" customHeight="1" x14ac:dyDescent="0.45">
      <c r="C237" s="77"/>
    </row>
    <row r="238" spans="3:3" customFormat="1" ht="15" customHeight="1" x14ac:dyDescent="0.45">
      <c r="C238" s="77"/>
    </row>
    <row r="239" spans="3:3" customFormat="1" ht="15" customHeight="1" x14ac:dyDescent="0.45">
      <c r="C239" s="77"/>
    </row>
    <row r="240" spans="3:3" customFormat="1" ht="15" customHeight="1" x14ac:dyDescent="0.45">
      <c r="C240" s="77"/>
    </row>
    <row r="241" spans="3:3" customFormat="1" ht="15" customHeight="1" x14ac:dyDescent="0.45">
      <c r="C241" s="77"/>
    </row>
    <row r="242" spans="3:3" customFormat="1" ht="15" customHeight="1" x14ac:dyDescent="0.45">
      <c r="C242" s="77"/>
    </row>
    <row r="243" spans="3:3" customFormat="1" ht="15" customHeight="1" x14ac:dyDescent="0.45">
      <c r="C243" s="77"/>
    </row>
    <row r="244" spans="3:3" customFormat="1" ht="15" customHeight="1" x14ac:dyDescent="0.45">
      <c r="C244" s="77"/>
    </row>
    <row r="245" spans="3:3" customFormat="1" ht="15" customHeight="1" x14ac:dyDescent="0.45">
      <c r="C245" s="77"/>
    </row>
    <row r="246" spans="3:3" customFormat="1" ht="15" customHeight="1" x14ac:dyDescent="0.45">
      <c r="C246" s="77"/>
    </row>
    <row r="247" spans="3:3" customFormat="1" ht="15" customHeight="1" x14ac:dyDescent="0.45">
      <c r="C247" s="77"/>
    </row>
    <row r="248" spans="3:3" customFormat="1" ht="15" customHeight="1" x14ac:dyDescent="0.45">
      <c r="C248" s="77"/>
    </row>
    <row r="249" spans="3:3" customFormat="1" ht="15" customHeight="1" x14ac:dyDescent="0.45">
      <c r="C249" s="77"/>
    </row>
    <row r="250" spans="3:3" customFormat="1" ht="15" customHeight="1" x14ac:dyDescent="0.45">
      <c r="C250" s="77"/>
    </row>
    <row r="251" spans="3:3" customFormat="1" ht="15" customHeight="1" x14ac:dyDescent="0.45">
      <c r="C251" s="77"/>
    </row>
    <row r="252" spans="3:3" customFormat="1" ht="15" customHeight="1" x14ac:dyDescent="0.45">
      <c r="C252" s="77"/>
    </row>
    <row r="253" spans="3:3" customFormat="1" ht="15" customHeight="1" x14ac:dyDescent="0.45">
      <c r="C253" s="77"/>
    </row>
    <row r="254" spans="3:3" customFormat="1" ht="15" customHeight="1" x14ac:dyDescent="0.45">
      <c r="C254" s="77"/>
    </row>
    <row r="255" spans="3:3" customFormat="1" ht="15" customHeight="1" x14ac:dyDescent="0.45">
      <c r="C255" s="77"/>
    </row>
    <row r="256" spans="3:3" customFormat="1" ht="15" customHeight="1" x14ac:dyDescent="0.45">
      <c r="C256" s="77"/>
    </row>
    <row r="257" spans="3:3" customFormat="1" ht="15" customHeight="1" x14ac:dyDescent="0.45">
      <c r="C257" s="77"/>
    </row>
    <row r="258" spans="3:3" customFormat="1" ht="15" customHeight="1" x14ac:dyDescent="0.45">
      <c r="C258" s="77"/>
    </row>
    <row r="259" spans="3:3" customFormat="1" ht="15" customHeight="1" x14ac:dyDescent="0.45">
      <c r="C259" s="77"/>
    </row>
    <row r="260" spans="3:3" customFormat="1" ht="15" customHeight="1" x14ac:dyDescent="0.45">
      <c r="C260" s="77"/>
    </row>
    <row r="261" spans="3:3" customFormat="1" ht="15" customHeight="1" x14ac:dyDescent="0.45">
      <c r="C261" s="77"/>
    </row>
    <row r="262" spans="3:3" customFormat="1" ht="15" customHeight="1" x14ac:dyDescent="0.45">
      <c r="C262" s="77"/>
    </row>
    <row r="263" spans="3:3" customFormat="1" ht="15" customHeight="1" x14ac:dyDescent="0.45">
      <c r="C263" s="77"/>
    </row>
    <row r="264" spans="3:3" customFormat="1" ht="15" customHeight="1" x14ac:dyDescent="0.45">
      <c r="C264" s="77"/>
    </row>
    <row r="265" spans="3:3" customFormat="1" ht="15" customHeight="1" x14ac:dyDescent="0.45">
      <c r="C265" s="77"/>
    </row>
    <row r="266" spans="3:3" customFormat="1" ht="15" customHeight="1" x14ac:dyDescent="0.45">
      <c r="C266" s="77"/>
    </row>
    <row r="267" spans="3:3" customFormat="1" ht="15" customHeight="1" x14ac:dyDescent="0.45">
      <c r="C267" s="77"/>
    </row>
    <row r="268" spans="3:3" customFormat="1" ht="15" customHeight="1" x14ac:dyDescent="0.45">
      <c r="C268" s="77"/>
    </row>
    <row r="269" spans="3:3" customFormat="1" ht="15" customHeight="1" x14ac:dyDescent="0.45">
      <c r="C269" s="77"/>
    </row>
    <row r="270" spans="3:3" customFormat="1" ht="15" customHeight="1" x14ac:dyDescent="0.45">
      <c r="C270" s="77"/>
    </row>
    <row r="271" spans="3:3" customFormat="1" ht="15" customHeight="1" x14ac:dyDescent="0.45">
      <c r="C271" s="77"/>
    </row>
    <row r="272" spans="3:3" customFormat="1" ht="15" customHeight="1" x14ac:dyDescent="0.45">
      <c r="C272" s="77"/>
    </row>
    <row r="273" spans="3:3" customFormat="1" ht="15" customHeight="1" x14ac:dyDescent="0.45">
      <c r="C273" s="77"/>
    </row>
    <row r="274" spans="3:3" customFormat="1" ht="15" customHeight="1" x14ac:dyDescent="0.45">
      <c r="C274" s="77"/>
    </row>
    <row r="275" spans="3:3" customFormat="1" ht="15" customHeight="1" x14ac:dyDescent="0.45">
      <c r="C275" s="77"/>
    </row>
    <row r="276" spans="3:3" customFormat="1" ht="15" customHeight="1" x14ac:dyDescent="0.45">
      <c r="C276" s="77"/>
    </row>
    <row r="277" spans="3:3" customFormat="1" ht="15" customHeight="1" x14ac:dyDescent="0.45">
      <c r="C277" s="77"/>
    </row>
    <row r="278" spans="3:3" customFormat="1" ht="15" customHeight="1" x14ac:dyDescent="0.45">
      <c r="C278" s="77"/>
    </row>
    <row r="279" spans="3:3" customFormat="1" ht="15" customHeight="1" x14ac:dyDescent="0.45">
      <c r="C279" s="77"/>
    </row>
    <row r="280" spans="3:3" customFormat="1" ht="15" customHeight="1" x14ac:dyDescent="0.45">
      <c r="C280" s="77"/>
    </row>
    <row r="281" spans="3:3" customFormat="1" ht="15" customHeight="1" x14ac:dyDescent="0.45">
      <c r="C281" s="77"/>
    </row>
    <row r="282" spans="3:3" customFormat="1" ht="15" customHeight="1" x14ac:dyDescent="0.45">
      <c r="C282" s="77"/>
    </row>
    <row r="283" spans="3:3" customFormat="1" ht="15" customHeight="1" x14ac:dyDescent="0.45">
      <c r="C283" s="77"/>
    </row>
    <row r="284" spans="3:3" customFormat="1" ht="15" customHeight="1" x14ac:dyDescent="0.45">
      <c r="C284" s="77"/>
    </row>
    <row r="285" spans="3:3" customFormat="1" ht="15" customHeight="1" x14ac:dyDescent="0.45">
      <c r="C285" s="77"/>
    </row>
    <row r="286" spans="3:3" customFormat="1" ht="15" customHeight="1" x14ac:dyDescent="0.45">
      <c r="C286" s="77"/>
    </row>
    <row r="287" spans="3:3" customFormat="1" ht="15" customHeight="1" x14ac:dyDescent="0.45">
      <c r="C287" s="77"/>
    </row>
    <row r="288" spans="3:3" customFormat="1" ht="15" customHeight="1" x14ac:dyDescent="0.45">
      <c r="C288" s="77"/>
    </row>
    <row r="289" spans="3:3" customFormat="1" ht="15" customHeight="1" x14ac:dyDescent="0.45">
      <c r="C289" s="77"/>
    </row>
    <row r="290" spans="3:3" customFormat="1" ht="15" customHeight="1" x14ac:dyDescent="0.45">
      <c r="C290" s="77"/>
    </row>
    <row r="291" spans="3:3" customFormat="1" ht="15" customHeight="1" x14ac:dyDescent="0.45">
      <c r="C291" s="77"/>
    </row>
    <row r="292" spans="3:3" customFormat="1" ht="15" customHeight="1" x14ac:dyDescent="0.45">
      <c r="C292" s="77"/>
    </row>
    <row r="293" spans="3:3" customFormat="1" ht="15" customHeight="1" x14ac:dyDescent="0.45">
      <c r="C293" s="77"/>
    </row>
    <row r="294" spans="3:3" customFormat="1" ht="15" customHeight="1" x14ac:dyDescent="0.45">
      <c r="C294" s="77"/>
    </row>
    <row r="295" spans="3:3" customFormat="1" ht="15" customHeight="1" x14ac:dyDescent="0.45">
      <c r="C295" s="77"/>
    </row>
    <row r="296" spans="3:3" customFormat="1" ht="15" customHeight="1" x14ac:dyDescent="0.45">
      <c r="C296" s="77"/>
    </row>
    <row r="297" spans="3:3" customFormat="1" ht="15" customHeight="1" x14ac:dyDescent="0.45">
      <c r="C297" s="77"/>
    </row>
    <row r="298" spans="3:3" customFormat="1" ht="15" customHeight="1" x14ac:dyDescent="0.45">
      <c r="C298" s="77"/>
    </row>
    <row r="299" spans="3:3" customFormat="1" ht="15" customHeight="1" x14ac:dyDescent="0.45">
      <c r="C299" s="77"/>
    </row>
    <row r="300" spans="3:3" customFormat="1" ht="15" customHeight="1" x14ac:dyDescent="0.45">
      <c r="C300" s="77"/>
    </row>
    <row r="301" spans="3:3" customFormat="1" ht="15" customHeight="1" x14ac:dyDescent="0.45">
      <c r="C301" s="77"/>
    </row>
    <row r="302" spans="3:3" customFormat="1" ht="15" customHeight="1" x14ac:dyDescent="0.45">
      <c r="C302" s="77"/>
    </row>
    <row r="303" spans="3:3" customFormat="1" ht="15" customHeight="1" x14ac:dyDescent="0.45">
      <c r="C303" s="77"/>
    </row>
    <row r="304" spans="3:3" customFormat="1" ht="15" customHeight="1" x14ac:dyDescent="0.45">
      <c r="C304" s="77"/>
    </row>
    <row r="305" spans="3:3" customFormat="1" ht="15" customHeight="1" x14ac:dyDescent="0.45">
      <c r="C305" s="77"/>
    </row>
    <row r="306" spans="3:3" customFormat="1" ht="15" customHeight="1" x14ac:dyDescent="0.45">
      <c r="C306" s="77"/>
    </row>
    <row r="307" spans="3:3" customFormat="1" ht="15" customHeight="1" x14ac:dyDescent="0.45">
      <c r="C307" s="77"/>
    </row>
    <row r="308" spans="3:3" customFormat="1" ht="15" customHeight="1" x14ac:dyDescent="0.45">
      <c r="C308" s="77"/>
    </row>
    <row r="309" spans="3:3" customFormat="1" ht="15" customHeight="1" x14ac:dyDescent="0.45">
      <c r="C309" s="77"/>
    </row>
    <row r="310" spans="3:3" customFormat="1" ht="15" customHeight="1" x14ac:dyDescent="0.45">
      <c r="C310" s="77"/>
    </row>
    <row r="311" spans="3:3" customFormat="1" ht="15" customHeight="1" x14ac:dyDescent="0.45">
      <c r="C311" s="77"/>
    </row>
    <row r="312" spans="3:3" customFormat="1" ht="15" customHeight="1" x14ac:dyDescent="0.45">
      <c r="C312" s="77"/>
    </row>
    <row r="313" spans="3:3" customFormat="1" ht="15" customHeight="1" x14ac:dyDescent="0.45">
      <c r="C313" s="77"/>
    </row>
    <row r="314" spans="3:3" customFormat="1" ht="15" customHeight="1" x14ac:dyDescent="0.45">
      <c r="C314" s="77"/>
    </row>
    <row r="315" spans="3:3" customFormat="1" ht="15" customHeight="1" x14ac:dyDescent="0.45">
      <c r="C315" s="77"/>
    </row>
    <row r="316" spans="3:3" customFormat="1" ht="15" customHeight="1" x14ac:dyDescent="0.45">
      <c r="C316" s="77"/>
    </row>
    <row r="317" spans="3:3" customFormat="1" ht="15" customHeight="1" x14ac:dyDescent="0.45">
      <c r="C317" s="77"/>
    </row>
    <row r="318" spans="3:3" customFormat="1" ht="15" customHeight="1" x14ac:dyDescent="0.45">
      <c r="C318" s="77"/>
    </row>
    <row r="319" spans="3:3" customFormat="1" ht="15" customHeight="1" x14ac:dyDescent="0.45">
      <c r="C319" s="77"/>
    </row>
    <row r="320" spans="3:3" customFormat="1" ht="15" customHeight="1" x14ac:dyDescent="0.45">
      <c r="C320" s="77"/>
    </row>
    <row r="321" spans="3:3" customFormat="1" ht="15" customHeight="1" x14ac:dyDescent="0.45">
      <c r="C321" s="77"/>
    </row>
    <row r="322" spans="3:3" customFormat="1" ht="15" customHeight="1" x14ac:dyDescent="0.45">
      <c r="C322" s="77"/>
    </row>
    <row r="323" spans="3:3" customFormat="1" ht="15" customHeight="1" x14ac:dyDescent="0.45">
      <c r="C323" s="77"/>
    </row>
    <row r="324" spans="3:3" customFormat="1" ht="15" customHeight="1" x14ac:dyDescent="0.45">
      <c r="C324" s="77"/>
    </row>
    <row r="325" spans="3:3" customFormat="1" ht="15" customHeight="1" x14ac:dyDescent="0.45">
      <c r="C325" s="77"/>
    </row>
    <row r="326" spans="3:3" customFormat="1" ht="15" customHeight="1" x14ac:dyDescent="0.45">
      <c r="C326" s="77"/>
    </row>
    <row r="327" spans="3:3" customFormat="1" ht="15" customHeight="1" x14ac:dyDescent="0.45">
      <c r="C327" s="77"/>
    </row>
    <row r="328" spans="3:3" customFormat="1" ht="15" customHeight="1" x14ac:dyDescent="0.45">
      <c r="C328" s="77"/>
    </row>
    <row r="329" spans="3:3" customFormat="1" ht="15" customHeight="1" x14ac:dyDescent="0.45">
      <c r="C329" s="77"/>
    </row>
    <row r="330" spans="3:3" customFormat="1" ht="15" customHeight="1" x14ac:dyDescent="0.45">
      <c r="C330" s="77"/>
    </row>
    <row r="331" spans="3:3" customFormat="1" ht="15" customHeight="1" x14ac:dyDescent="0.45">
      <c r="C331" s="77"/>
    </row>
    <row r="332" spans="3:3" customFormat="1" ht="15" customHeight="1" x14ac:dyDescent="0.45">
      <c r="C332" s="77"/>
    </row>
    <row r="333" spans="3:3" customFormat="1" ht="15" customHeight="1" x14ac:dyDescent="0.45">
      <c r="C333" s="77"/>
    </row>
    <row r="334" spans="3:3" customFormat="1" ht="15" customHeight="1" x14ac:dyDescent="0.45">
      <c r="C334" s="77"/>
    </row>
    <row r="335" spans="3:3" customFormat="1" ht="15" customHeight="1" x14ac:dyDescent="0.45">
      <c r="C335" s="77"/>
    </row>
    <row r="336" spans="3:3" customFormat="1" ht="15" customHeight="1" x14ac:dyDescent="0.45">
      <c r="C336" s="77"/>
    </row>
    <row r="337" spans="3:3" customFormat="1" ht="15" customHeight="1" x14ac:dyDescent="0.45">
      <c r="C337" s="77"/>
    </row>
    <row r="338" spans="3:3" customFormat="1" ht="15" customHeight="1" x14ac:dyDescent="0.45">
      <c r="C338" s="77"/>
    </row>
    <row r="339" spans="3:3" customFormat="1" ht="15" customHeight="1" x14ac:dyDescent="0.45">
      <c r="C339" s="77"/>
    </row>
    <row r="340" spans="3:3" customFormat="1" ht="15" customHeight="1" x14ac:dyDescent="0.45">
      <c r="C340" s="77"/>
    </row>
    <row r="341" spans="3:3" customFormat="1" ht="15" customHeight="1" x14ac:dyDescent="0.45">
      <c r="C341" s="77"/>
    </row>
    <row r="342" spans="3:3" customFormat="1" ht="15" customHeight="1" x14ac:dyDescent="0.45">
      <c r="C342" s="77"/>
    </row>
    <row r="343" spans="3:3" customFormat="1" ht="15" customHeight="1" x14ac:dyDescent="0.45">
      <c r="C343" s="77"/>
    </row>
    <row r="344" spans="3:3" customFormat="1" ht="15" customHeight="1" x14ac:dyDescent="0.45">
      <c r="C344" s="77"/>
    </row>
    <row r="345" spans="3:3" customFormat="1" ht="15" customHeight="1" x14ac:dyDescent="0.45">
      <c r="C345" s="77"/>
    </row>
    <row r="346" spans="3:3" customFormat="1" ht="15" customHeight="1" x14ac:dyDescent="0.45">
      <c r="C346" s="77"/>
    </row>
    <row r="347" spans="3:3" customFormat="1" ht="15" customHeight="1" x14ac:dyDescent="0.45">
      <c r="C347" s="77"/>
    </row>
    <row r="348" spans="3:3" customFormat="1" ht="15" customHeight="1" x14ac:dyDescent="0.45">
      <c r="C348" s="77"/>
    </row>
    <row r="349" spans="3:3" customFormat="1" ht="15" customHeight="1" x14ac:dyDescent="0.45">
      <c r="C349" s="77"/>
    </row>
    <row r="350" spans="3:3" customFormat="1" ht="15" customHeight="1" x14ac:dyDescent="0.45">
      <c r="C350" s="77"/>
    </row>
    <row r="351" spans="3:3" customFormat="1" ht="15" customHeight="1" x14ac:dyDescent="0.45">
      <c r="C351" s="77"/>
    </row>
    <row r="352" spans="3:3" customFormat="1" ht="15" customHeight="1" x14ac:dyDescent="0.45">
      <c r="C352" s="77"/>
    </row>
    <row r="353" spans="3:3" customFormat="1" ht="15" customHeight="1" x14ac:dyDescent="0.45">
      <c r="C353" s="77"/>
    </row>
    <row r="354" spans="3:3" customFormat="1" ht="15" customHeight="1" x14ac:dyDescent="0.45">
      <c r="C354" s="77"/>
    </row>
    <row r="355" spans="3:3" customFormat="1" ht="15" customHeight="1" x14ac:dyDescent="0.45">
      <c r="C355" s="77"/>
    </row>
    <row r="356" spans="3:3" customFormat="1" ht="15" customHeight="1" x14ac:dyDescent="0.45">
      <c r="C356" s="77"/>
    </row>
    <row r="357" spans="3:3" customFormat="1" ht="15" customHeight="1" x14ac:dyDescent="0.45">
      <c r="C357" s="77"/>
    </row>
    <row r="358" spans="3:3" customFormat="1" ht="15" customHeight="1" x14ac:dyDescent="0.45">
      <c r="C358" s="77"/>
    </row>
    <row r="359" spans="3:3" customFormat="1" ht="15" customHeight="1" x14ac:dyDescent="0.45">
      <c r="C359" s="77"/>
    </row>
    <row r="360" spans="3:3" customFormat="1" ht="15" customHeight="1" x14ac:dyDescent="0.45">
      <c r="C360" s="77"/>
    </row>
    <row r="361" spans="3:3" customFormat="1" ht="15" customHeight="1" x14ac:dyDescent="0.45">
      <c r="C361" s="77"/>
    </row>
    <row r="362" spans="3:3" customFormat="1" ht="15" customHeight="1" x14ac:dyDescent="0.45">
      <c r="C362" s="77"/>
    </row>
    <row r="363" spans="3:3" customFormat="1" ht="15" customHeight="1" x14ac:dyDescent="0.45">
      <c r="C363" s="77"/>
    </row>
    <row r="364" spans="3:3" customFormat="1" ht="15" customHeight="1" x14ac:dyDescent="0.45">
      <c r="C364" s="77"/>
    </row>
    <row r="365" spans="3:3" customFormat="1" ht="15" customHeight="1" x14ac:dyDescent="0.45">
      <c r="C365" s="77"/>
    </row>
    <row r="366" spans="3:3" customFormat="1" ht="15" customHeight="1" x14ac:dyDescent="0.45">
      <c r="C366" s="77"/>
    </row>
    <row r="367" spans="3:3" customFormat="1" ht="15" customHeight="1" x14ac:dyDescent="0.45">
      <c r="C367" s="77"/>
    </row>
    <row r="368" spans="3:3" customFormat="1" ht="15" customHeight="1" x14ac:dyDescent="0.45">
      <c r="C368" s="77"/>
    </row>
    <row r="369" spans="3:3" customFormat="1" ht="15" customHeight="1" x14ac:dyDescent="0.45">
      <c r="C369" s="77"/>
    </row>
    <row r="370" spans="3:3" customFormat="1" ht="15" customHeight="1" x14ac:dyDescent="0.45">
      <c r="C370" s="77"/>
    </row>
    <row r="371" spans="3:3" customFormat="1" ht="15" customHeight="1" x14ac:dyDescent="0.45">
      <c r="C371" s="77"/>
    </row>
    <row r="372" spans="3:3" customFormat="1" ht="15" customHeight="1" x14ac:dyDescent="0.45">
      <c r="C372" s="77"/>
    </row>
    <row r="373" spans="3:3" customFormat="1" ht="15" customHeight="1" x14ac:dyDescent="0.45">
      <c r="C373" s="77"/>
    </row>
    <row r="374" spans="3:3" customFormat="1" ht="15" customHeight="1" x14ac:dyDescent="0.45">
      <c r="C374" s="77"/>
    </row>
    <row r="375" spans="3:3" customFormat="1" ht="15" customHeight="1" x14ac:dyDescent="0.45">
      <c r="C375" s="77"/>
    </row>
    <row r="376" spans="3:3" customFormat="1" ht="15" customHeight="1" x14ac:dyDescent="0.45">
      <c r="C376" s="77"/>
    </row>
    <row r="377" spans="3:3" customFormat="1" ht="15" customHeight="1" x14ac:dyDescent="0.45">
      <c r="C377" s="77"/>
    </row>
    <row r="378" spans="3:3" customFormat="1" ht="15" customHeight="1" x14ac:dyDescent="0.45">
      <c r="C378" s="77"/>
    </row>
    <row r="379" spans="3:3" customFormat="1" ht="15" customHeight="1" x14ac:dyDescent="0.45">
      <c r="C379" s="77"/>
    </row>
    <row r="380" spans="3:3" customFormat="1" ht="15" customHeight="1" x14ac:dyDescent="0.45">
      <c r="C380" s="77"/>
    </row>
    <row r="381" spans="3:3" customFormat="1" ht="15" customHeight="1" x14ac:dyDescent="0.45">
      <c r="C381" s="77"/>
    </row>
    <row r="382" spans="3:3" customFormat="1" ht="15" customHeight="1" x14ac:dyDescent="0.45">
      <c r="C382" s="77"/>
    </row>
    <row r="383" spans="3:3" customFormat="1" ht="15" customHeight="1" x14ac:dyDescent="0.45">
      <c r="C383" s="77"/>
    </row>
    <row r="384" spans="3:3" customFormat="1" ht="15" customHeight="1" x14ac:dyDescent="0.45">
      <c r="C384" s="77"/>
    </row>
    <row r="385" spans="3:3" customFormat="1" ht="15" customHeight="1" x14ac:dyDescent="0.45">
      <c r="C385" s="77"/>
    </row>
    <row r="386" spans="3:3" customFormat="1" ht="15" customHeight="1" x14ac:dyDescent="0.45">
      <c r="C386" s="77"/>
    </row>
    <row r="387" spans="3:3" customFormat="1" ht="15" customHeight="1" x14ac:dyDescent="0.45">
      <c r="C387" s="77"/>
    </row>
    <row r="388" spans="3:3" customFormat="1" ht="15" customHeight="1" x14ac:dyDescent="0.45">
      <c r="C388" s="77"/>
    </row>
    <row r="389" spans="3:3" customFormat="1" ht="15" customHeight="1" x14ac:dyDescent="0.45">
      <c r="C389" s="77"/>
    </row>
    <row r="390" spans="3:3" customFormat="1" ht="15" customHeight="1" x14ac:dyDescent="0.45">
      <c r="C390" s="77"/>
    </row>
    <row r="391" spans="3:3" customFormat="1" ht="15" customHeight="1" x14ac:dyDescent="0.45">
      <c r="C391" s="77"/>
    </row>
    <row r="392" spans="3:3" customFormat="1" ht="15" customHeight="1" x14ac:dyDescent="0.45">
      <c r="C392" s="77"/>
    </row>
    <row r="393" spans="3:3" customFormat="1" ht="15" customHeight="1" x14ac:dyDescent="0.45">
      <c r="C393" s="77"/>
    </row>
    <row r="394" spans="3:3" customFormat="1" ht="15" customHeight="1" x14ac:dyDescent="0.45">
      <c r="C394" s="77"/>
    </row>
    <row r="395" spans="3:3" customFormat="1" ht="15" customHeight="1" x14ac:dyDescent="0.45">
      <c r="C395" s="77"/>
    </row>
    <row r="396" spans="3:3" customFormat="1" ht="15" customHeight="1" x14ac:dyDescent="0.45">
      <c r="C396" s="77"/>
    </row>
    <row r="397" spans="3:3" customFormat="1" ht="15" customHeight="1" x14ac:dyDescent="0.45">
      <c r="C397" s="77"/>
    </row>
    <row r="398" spans="3:3" customFormat="1" ht="15" customHeight="1" x14ac:dyDescent="0.45">
      <c r="C398" s="77"/>
    </row>
    <row r="399" spans="3:3" customFormat="1" ht="15" customHeight="1" x14ac:dyDescent="0.45">
      <c r="C399" s="77"/>
    </row>
    <row r="400" spans="3:3" customFormat="1" ht="15" customHeight="1" x14ac:dyDescent="0.45">
      <c r="C400" s="77"/>
    </row>
    <row r="401" spans="3:3" customFormat="1" ht="15" customHeight="1" x14ac:dyDescent="0.45">
      <c r="C401" s="77"/>
    </row>
    <row r="402" spans="3:3" customFormat="1" ht="15" customHeight="1" x14ac:dyDescent="0.45">
      <c r="C402" s="77"/>
    </row>
    <row r="403" spans="3:3" customFormat="1" ht="15" customHeight="1" x14ac:dyDescent="0.45">
      <c r="C403" s="77"/>
    </row>
    <row r="404" spans="3:3" customFormat="1" ht="15" customHeight="1" x14ac:dyDescent="0.45">
      <c r="C404" s="77"/>
    </row>
    <row r="405" spans="3:3" customFormat="1" ht="15" customHeight="1" x14ac:dyDescent="0.45">
      <c r="C405" s="77"/>
    </row>
    <row r="406" spans="3:3" customFormat="1" ht="15" customHeight="1" x14ac:dyDescent="0.45">
      <c r="C406" s="77"/>
    </row>
    <row r="407" spans="3:3" customFormat="1" ht="15" customHeight="1" x14ac:dyDescent="0.45">
      <c r="C407" s="77"/>
    </row>
    <row r="408" spans="3:3" customFormat="1" ht="15" customHeight="1" x14ac:dyDescent="0.45">
      <c r="C408" s="77"/>
    </row>
    <row r="409" spans="3:3" customFormat="1" ht="15" customHeight="1" x14ac:dyDescent="0.45">
      <c r="C409" s="77"/>
    </row>
    <row r="410" spans="3:3" customFormat="1" ht="15" customHeight="1" x14ac:dyDescent="0.45">
      <c r="C410" s="77"/>
    </row>
    <row r="411" spans="3:3" customFormat="1" ht="15" customHeight="1" x14ac:dyDescent="0.45">
      <c r="C411" s="77"/>
    </row>
    <row r="412" spans="3:3" customFormat="1" ht="15" customHeight="1" x14ac:dyDescent="0.45">
      <c r="C412" s="77"/>
    </row>
    <row r="413" spans="3:3" customFormat="1" ht="15" customHeight="1" x14ac:dyDescent="0.45">
      <c r="C413" s="77"/>
    </row>
    <row r="414" spans="3:3" customFormat="1" ht="15" customHeight="1" x14ac:dyDescent="0.45">
      <c r="C414" s="77"/>
    </row>
    <row r="415" spans="3:3" customFormat="1" ht="15" customHeight="1" x14ac:dyDescent="0.45">
      <c r="C415" s="77"/>
    </row>
    <row r="416" spans="3:3" customFormat="1" ht="15" customHeight="1" x14ac:dyDescent="0.45">
      <c r="C416" s="77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6C36-C846-4069-8DAF-545C07C41A51}">
  <dimension ref="A1:AB448"/>
  <sheetViews>
    <sheetView zoomScale="130" zoomScaleNormal="13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42" sqref="G42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8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8" s="35" customFormat="1" ht="30" customHeight="1" x14ac:dyDescent="0.65">
      <c r="A2" s="14" t="str">
        <f ca="1">RIGHT(CELL("filename",A1),LEN(CELL("filename",A1))-SEARCH("]",CELL("filename", A1)))</f>
        <v>Sources and Uses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 t="shared" ref="G2:AA2" si="0">EDATE(F2,12)</f>
        <v>55518</v>
      </c>
      <c r="H2" s="11">
        <f t="shared" si="0"/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8" ht="15" customHeight="1" x14ac:dyDescent="0.45">
      <c r="A3" s="82"/>
      <c r="B3" s="77" t="str">
        <f>"all in "&amp;Local_currency&amp;" 000s unless stated"</f>
        <v>all in GBP 000s unless stated</v>
      </c>
      <c r="C3"/>
      <c r="D3" s="77"/>
    </row>
    <row r="4" spans="1:28" ht="15" customHeight="1" x14ac:dyDescent="0.45">
      <c r="A4" s="82"/>
      <c r="B4" s="77"/>
      <c r="C4"/>
      <c r="D4" s="77"/>
    </row>
    <row r="5" spans="1:28" ht="15" customHeight="1" x14ac:dyDescent="0.45">
      <c r="A5" s="82" t="s">
        <v>121</v>
      </c>
      <c r="B5"/>
      <c r="C5"/>
      <c r="D5"/>
    </row>
    <row r="6" spans="1:28" ht="15" customHeight="1" x14ac:dyDescent="0.45">
      <c r="A6"/>
      <c r="B6" t="s">
        <v>122</v>
      </c>
      <c r="C6"/>
      <c r="D6" s="79"/>
      <c r="F6">
        <f>Operations!F6</f>
        <v>0</v>
      </c>
      <c r="G6">
        <f>Operations!G6</f>
        <v>0</v>
      </c>
      <c r="H6">
        <f>Operations!H6</f>
        <v>1</v>
      </c>
      <c r="I6">
        <f>Operations!I6</f>
        <v>1</v>
      </c>
      <c r="J6">
        <f>Operations!J6</f>
        <v>1</v>
      </c>
      <c r="K6">
        <f>Operations!K6</f>
        <v>1</v>
      </c>
      <c r="L6" t="str">
        <f t="shared" ref="L6:L10" ca="1" si="1">IF(ISBLANK(K6),"",_xlfn.FORMULATEXT(K6))</f>
        <v>=Operations!K6</v>
      </c>
    </row>
    <row r="7" spans="1:28" ht="15" customHeight="1" x14ac:dyDescent="0.45">
      <c r="A7" s="82"/>
      <c r="B7" t="s">
        <v>165</v>
      </c>
      <c r="C7"/>
      <c r="D7" s="79"/>
      <c r="F7">
        <f>1-F6</f>
        <v>1</v>
      </c>
      <c r="G7">
        <f t="shared" ref="G7:K7" si="2">1-G6</f>
        <v>1</v>
      </c>
      <c r="H7">
        <f t="shared" si="2"/>
        <v>0</v>
      </c>
      <c r="I7">
        <f t="shared" si="2"/>
        <v>0</v>
      </c>
      <c r="J7">
        <f t="shared" si="2"/>
        <v>0</v>
      </c>
      <c r="K7">
        <f t="shared" si="2"/>
        <v>0</v>
      </c>
      <c r="L7" t="str">
        <f t="shared" ca="1" si="1"/>
        <v>=1-K6</v>
      </c>
    </row>
    <row r="8" spans="1:28" ht="15" customHeight="1" x14ac:dyDescent="0.45">
      <c r="A8" s="82"/>
      <c r="B8"/>
      <c r="C8"/>
      <c r="D8" s="79"/>
      <c r="L8" t="str">
        <f t="shared" ca="1" si="1"/>
        <v/>
      </c>
    </row>
    <row r="9" spans="1:28" ht="15" customHeight="1" x14ac:dyDescent="0.45">
      <c r="A9" s="82" t="s">
        <v>125</v>
      </c>
      <c r="B9"/>
      <c r="C9"/>
      <c r="D9"/>
      <c r="L9" t="str">
        <f t="shared" ca="1" si="1"/>
        <v/>
      </c>
    </row>
    <row r="10" spans="1:28" ht="15" customHeight="1" x14ac:dyDescent="0.45">
      <c r="A10" s="82"/>
      <c r="B10" t="s">
        <v>126</v>
      </c>
      <c r="C10"/>
      <c r="D10" s="67"/>
      <c r="E10" s="83"/>
      <c r="F10" s="86">
        <f>Operations!F10</f>
        <v>1.04</v>
      </c>
      <c r="G10" s="86">
        <f>Operations!G10</f>
        <v>1.0816000000000001</v>
      </c>
      <c r="H10" s="86">
        <f>Operations!H10</f>
        <v>1.1248640000000001</v>
      </c>
      <c r="I10" s="86">
        <f>Operations!I10</f>
        <v>1.1698585600000002</v>
      </c>
      <c r="J10" s="86">
        <f>Operations!J10</f>
        <v>1.2166529024000003</v>
      </c>
      <c r="K10" s="86">
        <f>Operations!K10</f>
        <v>1.2653190184960004</v>
      </c>
      <c r="L10" s="86" t="str">
        <f t="shared" ca="1" si="1"/>
        <v>=Operations!K10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8" ht="15" customHeight="1" x14ac:dyDescent="0.45">
      <c r="A11" s="82"/>
      <c r="B11"/>
      <c r="C11"/>
      <c r="D11"/>
    </row>
    <row r="12" spans="1:28" ht="15" customHeight="1" x14ac:dyDescent="0.45">
      <c r="A12" s="82" t="s">
        <v>166</v>
      </c>
      <c r="B12" s="77"/>
      <c r="C12"/>
      <c r="D12" s="77"/>
    </row>
    <row r="13" spans="1:28" ht="15" customHeight="1" x14ac:dyDescent="0.45">
      <c r="A13" s="82"/>
      <c r="B13" t="s">
        <v>63</v>
      </c>
      <c r="C13"/>
      <c r="D13" s="77"/>
      <c r="F13" s="90">
        <f t="shared" ref="F13:N13" si="3">F40</f>
        <v>44561.919999999998</v>
      </c>
      <c r="G13" s="90">
        <f t="shared" si="3"/>
        <v>190938.91481600003</v>
      </c>
      <c r="H13" s="90">
        <f t="shared" si="3"/>
        <v>0</v>
      </c>
      <c r="I13" s="90">
        <f t="shared" si="3"/>
        <v>0</v>
      </c>
      <c r="J13" s="90">
        <f t="shared" si="3"/>
        <v>0</v>
      </c>
      <c r="K13" s="90">
        <f t="shared" si="3"/>
        <v>0</v>
      </c>
      <c r="L13" s="90" t="str">
        <f t="shared" ca="1" si="3"/>
        <v>=K30*K39</v>
      </c>
      <c r="M13" s="90">
        <f t="shared" si="3"/>
        <v>0</v>
      </c>
      <c r="N13" s="90">
        <f t="shared" si="3"/>
        <v>0</v>
      </c>
      <c r="O13" s="90">
        <f t="shared" ref="O13:AA13" si="4">O40</f>
        <v>0</v>
      </c>
      <c r="P13" s="90">
        <f t="shared" si="4"/>
        <v>0</v>
      </c>
      <c r="Q13" s="90">
        <f t="shared" si="4"/>
        <v>0</v>
      </c>
      <c r="R13" s="90">
        <f t="shared" si="4"/>
        <v>0</v>
      </c>
      <c r="S13" s="90">
        <f t="shared" si="4"/>
        <v>0</v>
      </c>
      <c r="T13" s="90">
        <f t="shared" si="4"/>
        <v>0</v>
      </c>
      <c r="U13" s="90">
        <f t="shared" si="4"/>
        <v>0</v>
      </c>
      <c r="V13" s="90">
        <f t="shared" si="4"/>
        <v>0</v>
      </c>
      <c r="W13" s="90">
        <f t="shared" si="4"/>
        <v>0</v>
      </c>
      <c r="X13" s="90">
        <f t="shared" si="4"/>
        <v>0</v>
      </c>
      <c r="Y13" s="90">
        <f t="shared" si="4"/>
        <v>0</v>
      </c>
      <c r="Z13" s="90">
        <f t="shared" si="4"/>
        <v>0</v>
      </c>
      <c r="AA13" s="90">
        <f t="shared" si="4"/>
        <v>0</v>
      </c>
      <c r="AB13" t="s">
        <v>167</v>
      </c>
    </row>
    <row r="14" spans="1:28" ht="15" customHeight="1" x14ac:dyDescent="0.45">
      <c r="A14" s="82"/>
      <c r="B14" t="s">
        <v>165</v>
      </c>
      <c r="C14"/>
      <c r="D14" s="77"/>
      <c r="F14" s="90">
        <f t="shared" ref="F14:N14" si="5">F42</f>
        <v>0</v>
      </c>
      <c r="G14" s="90">
        <f t="shared" si="5"/>
        <v>0</v>
      </c>
      <c r="H14" s="90">
        <f t="shared" si="5"/>
        <v>0</v>
      </c>
      <c r="I14" s="90">
        <f t="shared" si="5"/>
        <v>0</v>
      </c>
      <c r="J14" s="90">
        <f t="shared" si="5"/>
        <v>0</v>
      </c>
      <c r="K14" s="90">
        <f t="shared" si="5"/>
        <v>0</v>
      </c>
      <c r="L14" s="90" t="str">
        <f t="shared" ca="1" si="5"/>
        <v>=IF(circ_switch=1,K74,0)</v>
      </c>
      <c r="M14" s="90">
        <f t="shared" si="5"/>
        <v>0</v>
      </c>
      <c r="N14" s="90">
        <f t="shared" si="5"/>
        <v>0</v>
      </c>
      <c r="O14" s="90">
        <f t="shared" ref="O14:AA14" si="6">O42</f>
        <v>0</v>
      </c>
      <c r="P14" s="90">
        <f t="shared" si="6"/>
        <v>0</v>
      </c>
      <c r="Q14" s="90">
        <f t="shared" si="6"/>
        <v>0</v>
      </c>
      <c r="R14" s="90">
        <f t="shared" si="6"/>
        <v>0</v>
      </c>
      <c r="S14" s="90">
        <f t="shared" si="6"/>
        <v>0</v>
      </c>
      <c r="T14" s="90">
        <f t="shared" si="6"/>
        <v>0</v>
      </c>
      <c r="U14" s="90">
        <f t="shared" si="6"/>
        <v>0</v>
      </c>
      <c r="V14" s="90">
        <f t="shared" si="6"/>
        <v>0</v>
      </c>
      <c r="W14" s="90">
        <f t="shared" si="6"/>
        <v>0</v>
      </c>
      <c r="X14" s="90">
        <f t="shared" si="6"/>
        <v>0</v>
      </c>
      <c r="Y14" s="90">
        <f t="shared" si="6"/>
        <v>0</v>
      </c>
      <c r="Z14" s="90">
        <f t="shared" si="6"/>
        <v>0</v>
      </c>
      <c r="AA14" s="90">
        <f t="shared" si="6"/>
        <v>0</v>
      </c>
    </row>
    <row r="15" spans="1:28" ht="15" customHeight="1" x14ac:dyDescent="0.45">
      <c r="A15" s="82"/>
      <c r="B15" t="s">
        <v>168</v>
      </c>
      <c r="C15"/>
      <c r="D15" s="77"/>
      <c r="F15" s="90">
        <f t="shared" ref="F15:N15" si="7">F43</f>
        <v>0</v>
      </c>
      <c r="G15" s="90">
        <f t="shared" si="7"/>
        <v>0</v>
      </c>
      <c r="H15" s="90">
        <f t="shared" si="7"/>
        <v>0</v>
      </c>
      <c r="I15" s="90">
        <f t="shared" si="7"/>
        <v>0</v>
      </c>
      <c r="J15" s="90">
        <f t="shared" si="7"/>
        <v>0</v>
      </c>
      <c r="K15" s="90">
        <f t="shared" si="7"/>
        <v>0</v>
      </c>
      <c r="L15" s="90" t="str">
        <f t="shared" ca="1" si="7"/>
        <v/>
      </c>
      <c r="M15" s="90">
        <f t="shared" si="7"/>
        <v>0</v>
      </c>
      <c r="N15" s="90">
        <f t="shared" si="7"/>
        <v>0</v>
      </c>
      <c r="O15" s="90">
        <f t="shared" ref="O15:AA15" si="8">O43</f>
        <v>0</v>
      </c>
      <c r="P15" s="90">
        <f t="shared" si="8"/>
        <v>0</v>
      </c>
      <c r="Q15" s="90">
        <f t="shared" si="8"/>
        <v>0</v>
      </c>
      <c r="R15" s="90">
        <f t="shared" si="8"/>
        <v>0</v>
      </c>
      <c r="S15" s="90">
        <f t="shared" si="8"/>
        <v>0</v>
      </c>
      <c r="T15" s="90">
        <f t="shared" si="8"/>
        <v>0</v>
      </c>
      <c r="U15" s="90">
        <f t="shared" si="8"/>
        <v>0</v>
      </c>
      <c r="V15" s="90">
        <f t="shared" si="8"/>
        <v>0</v>
      </c>
      <c r="W15" s="90">
        <f t="shared" si="8"/>
        <v>0</v>
      </c>
      <c r="X15" s="90">
        <f t="shared" si="8"/>
        <v>0</v>
      </c>
      <c r="Y15" s="90">
        <f t="shared" si="8"/>
        <v>0</v>
      </c>
      <c r="Z15" s="90">
        <f t="shared" si="8"/>
        <v>0</v>
      </c>
      <c r="AA15" s="90">
        <f t="shared" si="8"/>
        <v>0</v>
      </c>
    </row>
    <row r="16" spans="1:28" ht="15" customHeight="1" x14ac:dyDescent="0.45">
      <c r="A16" s="82"/>
      <c r="B16" t="s">
        <v>169</v>
      </c>
      <c r="C16"/>
      <c r="D16" s="77"/>
      <c r="F16" s="90">
        <f t="shared" ref="F16:N16" si="9">SUM(F13:F15)</f>
        <v>44561.919999999998</v>
      </c>
      <c r="G16" s="90">
        <f t="shared" si="9"/>
        <v>190938.91481600003</v>
      </c>
      <c r="H16" s="90">
        <f t="shared" si="9"/>
        <v>0</v>
      </c>
      <c r="I16" s="90">
        <f t="shared" si="9"/>
        <v>0</v>
      </c>
      <c r="J16" s="90">
        <f t="shared" si="9"/>
        <v>0</v>
      </c>
      <c r="K16" s="90">
        <f t="shared" si="9"/>
        <v>0</v>
      </c>
      <c r="L16" s="90">
        <f t="shared" ca="1" si="9"/>
        <v>0</v>
      </c>
      <c r="M16" s="90">
        <f t="shared" si="9"/>
        <v>0</v>
      </c>
      <c r="N16" s="90">
        <f t="shared" si="9"/>
        <v>0</v>
      </c>
      <c r="O16" s="90">
        <f t="shared" ref="O16:AA16" si="10">SUM(O13:O15)</f>
        <v>0</v>
      </c>
      <c r="P16" s="90">
        <f t="shared" si="10"/>
        <v>0</v>
      </c>
      <c r="Q16" s="90">
        <f t="shared" si="10"/>
        <v>0</v>
      </c>
      <c r="R16" s="90">
        <f t="shared" si="10"/>
        <v>0</v>
      </c>
      <c r="S16" s="90">
        <f t="shared" si="10"/>
        <v>0</v>
      </c>
      <c r="T16" s="90">
        <f t="shared" si="10"/>
        <v>0</v>
      </c>
      <c r="U16" s="90">
        <f t="shared" si="10"/>
        <v>0</v>
      </c>
      <c r="V16" s="90">
        <f t="shared" si="10"/>
        <v>0</v>
      </c>
      <c r="W16" s="90">
        <f t="shared" si="10"/>
        <v>0</v>
      </c>
      <c r="X16" s="90">
        <f t="shared" si="10"/>
        <v>0</v>
      </c>
      <c r="Y16" s="90">
        <f t="shared" si="10"/>
        <v>0</v>
      </c>
      <c r="Z16" s="90">
        <f t="shared" si="10"/>
        <v>0</v>
      </c>
      <c r="AA16" s="90">
        <f t="shared" si="10"/>
        <v>0</v>
      </c>
    </row>
    <row r="17" spans="1:27" ht="15" customHeight="1" x14ac:dyDescent="0.45">
      <c r="A17" s="82"/>
      <c r="B17"/>
      <c r="C17"/>
      <c r="D17" s="77"/>
      <c r="H17" s="81"/>
    </row>
    <row r="18" spans="1:27" ht="15" customHeight="1" x14ac:dyDescent="0.45">
      <c r="A18" s="82"/>
      <c r="B18" t="s">
        <v>170</v>
      </c>
      <c r="C18"/>
      <c r="D18" s="77"/>
      <c r="F18" s="90">
        <f t="shared" ref="F18:N18" ca="1" si="11">F60</f>
        <v>44561.919999999998</v>
      </c>
      <c r="G18" s="90">
        <f t="shared" ca="1" si="11"/>
        <v>73188.49740800001</v>
      </c>
      <c r="H18" s="90">
        <f t="shared" ca="1" si="11"/>
        <v>0</v>
      </c>
      <c r="I18" s="90">
        <f t="shared" ca="1" si="11"/>
        <v>0</v>
      </c>
      <c r="J18" s="90">
        <f t="shared" ca="1" si="11"/>
        <v>0</v>
      </c>
      <c r="K18" s="90">
        <f t="shared" ca="1" si="11"/>
        <v>0</v>
      </c>
      <c r="L18" s="90" t="str">
        <f t="shared" ca="1" si="11"/>
        <v>=MIN(K45,K57)</v>
      </c>
      <c r="M18" s="90">
        <f t="shared" si="11"/>
        <v>0</v>
      </c>
      <c r="N18" s="90">
        <f t="shared" si="11"/>
        <v>0</v>
      </c>
      <c r="O18" s="90">
        <f t="shared" ref="O18:AA18" si="12">O60</f>
        <v>0</v>
      </c>
      <c r="P18" s="90">
        <f t="shared" si="12"/>
        <v>0</v>
      </c>
      <c r="Q18" s="90">
        <f t="shared" si="12"/>
        <v>0</v>
      </c>
      <c r="R18" s="90">
        <f t="shared" si="12"/>
        <v>0</v>
      </c>
      <c r="S18" s="90">
        <f t="shared" si="12"/>
        <v>0</v>
      </c>
      <c r="T18" s="90">
        <f t="shared" si="12"/>
        <v>0</v>
      </c>
      <c r="U18" s="90">
        <f t="shared" si="12"/>
        <v>0</v>
      </c>
      <c r="V18" s="90">
        <f t="shared" si="12"/>
        <v>0</v>
      </c>
      <c r="W18" s="90">
        <f t="shared" si="12"/>
        <v>0</v>
      </c>
      <c r="X18" s="90">
        <f t="shared" si="12"/>
        <v>0</v>
      </c>
      <c r="Y18" s="90">
        <f t="shared" si="12"/>
        <v>0</v>
      </c>
      <c r="Z18" s="90">
        <f t="shared" si="12"/>
        <v>0</v>
      </c>
      <c r="AA18" s="90">
        <f t="shared" si="12"/>
        <v>0</v>
      </c>
    </row>
    <row r="19" spans="1:27" ht="15" customHeight="1" x14ac:dyDescent="0.45">
      <c r="A19" s="82"/>
      <c r="B19" t="s">
        <v>171</v>
      </c>
      <c r="C19"/>
      <c r="D19" s="77"/>
      <c r="F19" s="90">
        <f t="shared" ref="F19:N19" ca="1" si="13">F66</f>
        <v>0</v>
      </c>
      <c r="G19" s="90">
        <f t="shared" ca="1" si="13"/>
        <v>82425.292185600018</v>
      </c>
      <c r="H19" s="90">
        <f t="shared" ca="1" si="13"/>
        <v>0</v>
      </c>
      <c r="I19" s="90">
        <f t="shared" ca="1" si="13"/>
        <v>0</v>
      </c>
      <c r="J19" s="90">
        <f t="shared" ca="1" si="13"/>
        <v>0</v>
      </c>
      <c r="K19" s="90">
        <f t="shared" ca="1" si="13"/>
        <v>0</v>
      </c>
      <c r="L19" s="90" t="str">
        <f t="shared" ca="1" si="13"/>
        <v>=$D$66*K64</v>
      </c>
      <c r="M19" s="90">
        <f t="shared" si="13"/>
        <v>0</v>
      </c>
      <c r="N19" s="90">
        <f t="shared" si="13"/>
        <v>0</v>
      </c>
      <c r="O19" s="90">
        <f t="shared" ref="O19:AA19" si="14">O66</f>
        <v>0</v>
      </c>
      <c r="P19" s="90">
        <f t="shared" si="14"/>
        <v>0</v>
      </c>
      <c r="Q19" s="90">
        <f t="shared" si="14"/>
        <v>0</v>
      </c>
      <c r="R19" s="90">
        <f t="shared" si="14"/>
        <v>0</v>
      </c>
      <c r="S19" s="90">
        <f t="shared" si="14"/>
        <v>0</v>
      </c>
      <c r="T19" s="90">
        <f t="shared" si="14"/>
        <v>0</v>
      </c>
      <c r="U19" s="90">
        <f t="shared" si="14"/>
        <v>0</v>
      </c>
      <c r="V19" s="90">
        <f t="shared" si="14"/>
        <v>0</v>
      </c>
      <c r="W19" s="90">
        <f t="shared" si="14"/>
        <v>0</v>
      </c>
      <c r="X19" s="90">
        <f t="shared" si="14"/>
        <v>0</v>
      </c>
      <c r="Y19" s="90">
        <f t="shared" si="14"/>
        <v>0</v>
      </c>
      <c r="Z19" s="90">
        <f t="shared" si="14"/>
        <v>0</v>
      </c>
      <c r="AA19" s="90">
        <f t="shared" si="14"/>
        <v>0</v>
      </c>
    </row>
    <row r="20" spans="1:27" ht="15" customHeight="1" x14ac:dyDescent="0.45">
      <c r="A20" s="82"/>
      <c r="B20" t="s">
        <v>172</v>
      </c>
      <c r="C20"/>
      <c r="D20" s="77"/>
      <c r="F20" s="90">
        <f t="shared" ref="F20:N20" ca="1" si="15">F67</f>
        <v>0</v>
      </c>
      <c r="G20" s="90">
        <f t="shared" ca="1" si="15"/>
        <v>35325.125222400013</v>
      </c>
      <c r="H20" s="90">
        <f t="shared" ca="1" si="15"/>
        <v>0</v>
      </c>
      <c r="I20" s="90">
        <f t="shared" ca="1" si="15"/>
        <v>0</v>
      </c>
      <c r="J20" s="90">
        <f t="shared" ca="1" si="15"/>
        <v>0</v>
      </c>
      <c r="K20" s="90">
        <f t="shared" ca="1" si="15"/>
        <v>0</v>
      </c>
      <c r="L20" s="90" t="str">
        <f t="shared" ca="1" si="15"/>
        <v>=$D$67*K64</v>
      </c>
      <c r="M20" s="90">
        <f t="shared" si="15"/>
        <v>0</v>
      </c>
      <c r="N20" s="90">
        <f t="shared" si="15"/>
        <v>0</v>
      </c>
      <c r="O20" s="90">
        <f t="shared" ref="O20:AA20" si="16">O67</f>
        <v>0</v>
      </c>
      <c r="P20" s="90">
        <f t="shared" si="16"/>
        <v>0</v>
      </c>
      <c r="Q20" s="90">
        <f t="shared" si="16"/>
        <v>0</v>
      </c>
      <c r="R20" s="90">
        <f t="shared" si="16"/>
        <v>0</v>
      </c>
      <c r="S20" s="90">
        <f t="shared" si="16"/>
        <v>0</v>
      </c>
      <c r="T20" s="90">
        <f t="shared" si="16"/>
        <v>0</v>
      </c>
      <c r="U20" s="90">
        <f t="shared" si="16"/>
        <v>0</v>
      </c>
      <c r="V20" s="90">
        <f t="shared" si="16"/>
        <v>0</v>
      </c>
      <c r="W20" s="90">
        <f t="shared" si="16"/>
        <v>0</v>
      </c>
      <c r="X20" s="90">
        <f t="shared" si="16"/>
        <v>0</v>
      </c>
      <c r="Y20" s="90">
        <f t="shared" si="16"/>
        <v>0</v>
      </c>
      <c r="Z20" s="90">
        <f t="shared" si="16"/>
        <v>0</v>
      </c>
      <c r="AA20" s="90">
        <f t="shared" si="16"/>
        <v>0</v>
      </c>
    </row>
    <row r="21" spans="1:27" ht="15" customHeight="1" x14ac:dyDescent="0.45">
      <c r="A21" s="82"/>
      <c r="B21" t="s">
        <v>173</v>
      </c>
      <c r="C21"/>
      <c r="D21" s="77"/>
      <c r="F21" s="90">
        <f t="shared" ref="F21:N21" ca="1" si="17">SUM(F18:F20)</f>
        <v>44561.919999999998</v>
      </c>
      <c r="G21" s="90">
        <f t="shared" ca="1" si="17"/>
        <v>190938.91481600003</v>
      </c>
      <c r="H21" s="90">
        <f t="shared" ca="1" si="17"/>
        <v>0</v>
      </c>
      <c r="I21" s="90">
        <f t="shared" ca="1" si="17"/>
        <v>0</v>
      </c>
      <c r="J21" s="90">
        <f t="shared" ca="1" si="17"/>
        <v>0</v>
      </c>
      <c r="K21" s="90">
        <f t="shared" ca="1" si="17"/>
        <v>0</v>
      </c>
      <c r="L21" s="90">
        <f t="shared" ca="1" si="17"/>
        <v>0</v>
      </c>
      <c r="M21" s="90">
        <f t="shared" si="17"/>
        <v>0</v>
      </c>
      <c r="N21" s="90">
        <f t="shared" si="17"/>
        <v>0</v>
      </c>
      <c r="O21" s="90">
        <f t="shared" ref="O21:AA21" si="18">SUM(O18:O20)</f>
        <v>0</v>
      </c>
      <c r="P21" s="90">
        <f t="shared" si="18"/>
        <v>0</v>
      </c>
      <c r="Q21" s="90">
        <f t="shared" si="18"/>
        <v>0</v>
      </c>
      <c r="R21" s="90">
        <f t="shared" si="18"/>
        <v>0</v>
      </c>
      <c r="S21" s="90">
        <f t="shared" si="18"/>
        <v>0</v>
      </c>
      <c r="T21" s="90">
        <f t="shared" si="18"/>
        <v>0</v>
      </c>
      <c r="U21" s="90">
        <f t="shared" si="18"/>
        <v>0</v>
      </c>
      <c r="V21" s="90">
        <f t="shared" si="18"/>
        <v>0</v>
      </c>
      <c r="W21" s="90">
        <f t="shared" si="18"/>
        <v>0</v>
      </c>
      <c r="X21" s="90">
        <f t="shared" si="18"/>
        <v>0</v>
      </c>
      <c r="Y21" s="90">
        <f t="shared" si="18"/>
        <v>0</v>
      </c>
      <c r="Z21" s="90">
        <f t="shared" si="18"/>
        <v>0</v>
      </c>
      <c r="AA21" s="90">
        <f t="shared" si="18"/>
        <v>0</v>
      </c>
    </row>
    <row r="22" spans="1:27" ht="15" customHeight="1" x14ac:dyDescent="0.45">
      <c r="A22" s="82"/>
      <c r="B22"/>
      <c r="C22"/>
      <c r="D22" s="77"/>
    </row>
    <row r="23" spans="1:27" ht="15" customHeight="1" x14ac:dyDescent="0.45">
      <c r="A23" s="82"/>
      <c r="B23" t="s">
        <v>174</v>
      </c>
      <c r="C23"/>
      <c r="D23" s="77"/>
      <c r="F23" s="90">
        <f ca="1">F21-F16</f>
        <v>0</v>
      </c>
      <c r="G23" s="90">
        <f t="shared" ref="G23:AA23" ca="1" si="19">G21-G16</f>
        <v>0</v>
      </c>
      <c r="H23" s="90">
        <f t="shared" ca="1" si="19"/>
        <v>0</v>
      </c>
      <c r="I23" s="90">
        <f t="shared" ca="1" si="19"/>
        <v>0</v>
      </c>
      <c r="J23" s="90">
        <f t="shared" ca="1" si="19"/>
        <v>0</v>
      </c>
      <c r="K23" s="90">
        <f t="shared" ca="1" si="19"/>
        <v>0</v>
      </c>
      <c r="L23" s="90">
        <f t="shared" ca="1" si="19"/>
        <v>0</v>
      </c>
      <c r="M23" s="90">
        <f t="shared" si="19"/>
        <v>0</v>
      </c>
      <c r="N23" s="90">
        <f t="shared" si="19"/>
        <v>0</v>
      </c>
      <c r="O23" s="90">
        <f t="shared" si="19"/>
        <v>0</v>
      </c>
      <c r="P23" s="90">
        <f t="shared" si="19"/>
        <v>0</v>
      </c>
      <c r="Q23" s="90">
        <f t="shared" si="19"/>
        <v>0</v>
      </c>
      <c r="R23" s="90">
        <f t="shared" si="19"/>
        <v>0</v>
      </c>
      <c r="S23" s="90">
        <f t="shared" si="19"/>
        <v>0</v>
      </c>
      <c r="T23" s="90">
        <f t="shared" si="19"/>
        <v>0</v>
      </c>
      <c r="U23" s="90">
        <f t="shared" si="19"/>
        <v>0</v>
      </c>
      <c r="V23" s="90">
        <f t="shared" si="19"/>
        <v>0</v>
      </c>
      <c r="W23" s="90">
        <f t="shared" si="19"/>
        <v>0</v>
      </c>
      <c r="X23" s="90">
        <f t="shared" si="19"/>
        <v>0</v>
      </c>
      <c r="Y23" s="90">
        <f t="shared" si="19"/>
        <v>0</v>
      </c>
      <c r="Z23" s="90">
        <f t="shared" si="19"/>
        <v>0</v>
      </c>
      <c r="AA23" s="90">
        <f t="shared" si="19"/>
        <v>0</v>
      </c>
    </row>
    <row r="24" spans="1:27" ht="15" customHeight="1" x14ac:dyDescent="0.45">
      <c r="A24" s="82"/>
      <c r="B24"/>
      <c r="C24"/>
      <c r="D24" s="77"/>
      <c r="L24" t="str">
        <f t="shared" ref="L24:L55" ca="1" si="20">IF(ISBLANK(K24),"",_xlfn.FORMULATEXT(K24))</f>
        <v/>
      </c>
    </row>
    <row r="25" spans="1:27" ht="15" customHeight="1" x14ac:dyDescent="0.45">
      <c r="A25" s="82" t="s">
        <v>175</v>
      </c>
      <c r="B25"/>
      <c r="C25"/>
      <c r="D25"/>
      <c r="L25" t="str">
        <f t="shared" ca="1" si="20"/>
        <v/>
      </c>
    </row>
    <row r="26" spans="1:27" ht="15" customHeight="1" x14ac:dyDescent="0.45">
      <c r="A26" s="82"/>
      <c r="B26" t="s">
        <v>176</v>
      </c>
      <c r="C26"/>
      <c r="D26"/>
      <c r="E26" s="83">
        <v>0</v>
      </c>
      <c r="F26">
        <f>E26+1</f>
        <v>1</v>
      </c>
      <c r="G26">
        <f t="shared" ref="G26:K26" si="21">F26+1</f>
        <v>2</v>
      </c>
      <c r="H26">
        <f t="shared" si="21"/>
        <v>3</v>
      </c>
      <c r="I26">
        <f t="shared" si="21"/>
        <v>4</v>
      </c>
      <c r="J26">
        <f t="shared" si="21"/>
        <v>5</v>
      </c>
      <c r="K26">
        <f t="shared" si="21"/>
        <v>6</v>
      </c>
      <c r="L26" t="str">
        <f t="shared" ca="1" si="20"/>
        <v>=J26+1</v>
      </c>
    </row>
    <row r="27" spans="1:27" ht="15" customHeight="1" x14ac:dyDescent="0.45">
      <c r="A27" s="82"/>
      <c r="B27" t="s">
        <v>64</v>
      </c>
      <c r="C27" s="102">
        <f>'Assumptions and Outputs'!C44</f>
        <v>1</v>
      </c>
      <c r="D27" s="65">
        <f>'Assumptions and Outputs'!D44</f>
        <v>0.2</v>
      </c>
      <c r="L27" t="str">
        <f t="shared" ca="1" si="20"/>
        <v/>
      </c>
    </row>
    <row r="28" spans="1:27" ht="15" customHeight="1" x14ac:dyDescent="0.45">
      <c r="A28" s="82"/>
      <c r="B28" t="s">
        <v>65</v>
      </c>
      <c r="C28" s="102">
        <f>'Assumptions and Outputs'!C45</f>
        <v>2</v>
      </c>
      <c r="D28" s="65">
        <f>'Assumptions and Outputs'!D45</f>
        <v>0.8</v>
      </c>
      <c r="L28" t="str">
        <f t="shared" ca="1" si="20"/>
        <v/>
      </c>
    </row>
    <row r="29" spans="1:27" ht="15" customHeight="1" x14ac:dyDescent="0.45">
      <c r="A29" s="82"/>
      <c r="B29" t="s">
        <v>177</v>
      </c>
      <c r="C29"/>
      <c r="D29"/>
      <c r="F29" s="65" cm="1">
        <f t="array" ref="F29">IFERROR(INDEX($D$27:$D$28,F26),0)</f>
        <v>0.2</v>
      </c>
      <c r="G29" s="65" cm="1">
        <f t="array" ref="G29">IFERROR(INDEX($D$27:$D$28,G26),0)</f>
        <v>0.8</v>
      </c>
      <c r="H29" s="65" cm="1">
        <f t="array" ref="H29">IFERROR(INDEX($D$27:$D$28,H26),0)</f>
        <v>0</v>
      </c>
      <c r="I29" s="65" cm="1">
        <f t="array" ref="I29">IFERROR(INDEX($D$27:$D$28,I26),0)</f>
        <v>0</v>
      </c>
      <c r="J29" s="65" cm="1">
        <f t="array" ref="J29">IFERROR(INDEX($D$27:$D$28,J26),0)</f>
        <v>0</v>
      </c>
      <c r="K29" s="65" cm="1">
        <f t="array" ref="K29">IFERROR(INDEX($D$27:$D$28,K26),0)</f>
        <v>0</v>
      </c>
      <c r="L29" s="65" t="str">
        <f t="shared" ca="1" si="20"/>
        <v>=IFERROR(INDEX($D$27:$D$28,K26),0)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1:27" ht="15" customHeight="1" x14ac:dyDescent="0.45">
      <c r="A30" s="82"/>
      <c r="B30" t="s">
        <v>178</v>
      </c>
      <c r="C30" t="s">
        <v>131</v>
      </c>
      <c r="D30">
        <f>'Assumptions and Outputs'!D16</f>
        <v>200</v>
      </c>
      <c r="F30">
        <f>$D$30*F29</f>
        <v>40</v>
      </c>
      <c r="G30">
        <f t="shared" ref="G30:K30" si="22">$D$30*G29</f>
        <v>160</v>
      </c>
      <c r="H30">
        <f t="shared" si="22"/>
        <v>0</v>
      </c>
      <c r="I30">
        <f t="shared" si="22"/>
        <v>0</v>
      </c>
      <c r="J30">
        <f t="shared" si="22"/>
        <v>0</v>
      </c>
      <c r="K30">
        <f t="shared" si="22"/>
        <v>0</v>
      </c>
      <c r="L30" t="str">
        <f t="shared" ca="1" si="20"/>
        <v>=$D$30*K29</v>
      </c>
    </row>
    <row r="31" spans="1:27" ht="15" customHeight="1" x14ac:dyDescent="0.45">
      <c r="A31" s="82"/>
      <c r="B31"/>
      <c r="C31"/>
      <c r="D31"/>
      <c r="L31" t="str">
        <f t="shared" ca="1" si="20"/>
        <v/>
      </c>
    </row>
    <row r="32" spans="1:27" ht="15" customHeight="1" x14ac:dyDescent="0.45">
      <c r="A32" s="82" t="s">
        <v>179</v>
      </c>
      <c r="B32"/>
      <c r="C32"/>
      <c r="D32"/>
      <c r="L32" t="str">
        <f t="shared" ca="1" si="20"/>
        <v/>
      </c>
    </row>
    <row r="33" spans="1:27" ht="15" customHeight="1" x14ac:dyDescent="0.45">
      <c r="A33" s="82"/>
      <c r="B33" t="s">
        <v>180</v>
      </c>
      <c r="C33" t="s">
        <v>181</v>
      </c>
      <c r="D33">
        <f>'Assumptions and Outputs'!D48</f>
        <v>1300</v>
      </c>
      <c r="F33">
        <f>$D$33*F10</f>
        <v>1352</v>
      </c>
      <c r="G33">
        <f t="shared" ref="G33:K33" si="23">$D$33*G10</f>
        <v>1406.0800000000002</v>
      </c>
      <c r="H33">
        <f t="shared" si="23"/>
        <v>1462.3232</v>
      </c>
      <c r="I33">
        <f t="shared" si="23"/>
        <v>1520.8161280000004</v>
      </c>
      <c r="J33">
        <f t="shared" si="23"/>
        <v>1581.6487731200004</v>
      </c>
      <c r="K33">
        <f t="shared" si="23"/>
        <v>1644.9147240448006</v>
      </c>
      <c r="L33" t="str">
        <f t="shared" ca="1" si="20"/>
        <v>=$D$33*K10</v>
      </c>
    </row>
    <row r="34" spans="1:27" ht="15" customHeight="1" x14ac:dyDescent="0.45">
      <c r="A34" s="82"/>
      <c r="B34" t="s">
        <v>182</v>
      </c>
      <c r="C34" t="str">
        <f>'Assumptions and Outputs'!C49</f>
        <v>% Capex</v>
      </c>
      <c r="D34" s="65">
        <f>'Assumptions and Outputs'!D49</f>
        <v>0</v>
      </c>
      <c r="F34">
        <f>F33+$D$34*F33</f>
        <v>1352</v>
      </c>
      <c r="G34">
        <f t="shared" ref="G34:K34" si="24">G33+$D$34*G33</f>
        <v>1406.0800000000002</v>
      </c>
      <c r="H34">
        <f t="shared" si="24"/>
        <v>1462.3232</v>
      </c>
      <c r="I34">
        <f t="shared" si="24"/>
        <v>1520.8161280000004</v>
      </c>
      <c r="J34">
        <f t="shared" si="24"/>
        <v>1581.6487731200004</v>
      </c>
      <c r="K34">
        <f t="shared" si="24"/>
        <v>1644.9147240448006</v>
      </c>
      <c r="L34" t="str">
        <f t="shared" ca="1" si="20"/>
        <v>=K33+$D$34*K33</v>
      </c>
    </row>
    <row r="35" spans="1:27" ht="15" customHeight="1" x14ac:dyDescent="0.45">
      <c r="A35" s="82"/>
      <c r="B35"/>
      <c r="C35"/>
      <c r="D35"/>
      <c r="L35" t="str">
        <f t="shared" ca="1" si="20"/>
        <v/>
      </c>
    </row>
    <row r="36" spans="1:27" ht="15" customHeight="1" x14ac:dyDescent="0.45">
      <c r="A36" s="82"/>
      <c r="B36" t="s">
        <v>183</v>
      </c>
      <c r="C36" t="s">
        <v>184</v>
      </c>
      <c r="D36" s="91">
        <f>'Assumptions and Outputs'!D51</f>
        <v>0.03</v>
      </c>
      <c r="E36" s="83">
        <v>1</v>
      </c>
      <c r="F36" s="86">
        <f>(1+$D$36)*E36</f>
        <v>1.03</v>
      </c>
      <c r="G36" s="86">
        <f t="shared" ref="G36:K36" si="25">(1+$D$36)*F36</f>
        <v>1.0609</v>
      </c>
      <c r="H36" s="86">
        <f t="shared" si="25"/>
        <v>1.092727</v>
      </c>
      <c r="I36" s="86">
        <f t="shared" si="25"/>
        <v>1.1255088100000001</v>
      </c>
      <c r="J36" s="86">
        <f t="shared" si="25"/>
        <v>1.1592740743000001</v>
      </c>
      <c r="K36" s="86">
        <f t="shared" si="25"/>
        <v>1.1940522965290001</v>
      </c>
      <c r="L36" s="86" t="str">
        <f t="shared" ca="1" si="20"/>
        <v>=(1+$D$36)*J36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ht="15" customHeight="1" x14ac:dyDescent="0.45">
      <c r="A37" s="82"/>
      <c r="B37" t="s">
        <v>185</v>
      </c>
      <c r="C37" t="s">
        <v>186</v>
      </c>
      <c r="D37">
        <f>'Assumptions and Outputs'!D50</f>
        <v>0.8</v>
      </c>
      <c r="F37" s="86">
        <f>$D$37*F36</f>
        <v>0.82400000000000007</v>
      </c>
      <c r="G37" s="86">
        <f t="shared" ref="G37:K37" si="26">$D$37*G36</f>
        <v>0.84872000000000003</v>
      </c>
      <c r="H37" s="86">
        <f t="shared" si="26"/>
        <v>0.8741816</v>
      </c>
      <c r="I37" s="86">
        <f t="shared" si="26"/>
        <v>0.90040704800000015</v>
      </c>
      <c r="J37" s="86">
        <f t="shared" si="26"/>
        <v>0.92741925944000014</v>
      </c>
      <c r="K37" s="86">
        <f t="shared" si="26"/>
        <v>0.95524183722320011</v>
      </c>
      <c r="L37" s="86" t="str">
        <f t="shared" ca="1" si="20"/>
        <v>=$D$37*K36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ht="15" customHeight="1" x14ac:dyDescent="0.45">
      <c r="A38" s="82"/>
      <c r="B38"/>
      <c r="C38"/>
      <c r="D38"/>
      <c r="L38" t="str">
        <f t="shared" ca="1" si="20"/>
        <v/>
      </c>
    </row>
    <row r="39" spans="1:27" ht="15" customHeight="1" x14ac:dyDescent="0.45">
      <c r="A39" s="82"/>
      <c r="B39" t="s">
        <v>187</v>
      </c>
      <c r="C39"/>
      <c r="D39"/>
      <c r="F39">
        <f>F34*F37</f>
        <v>1114.048</v>
      </c>
      <c r="G39">
        <f t="shared" ref="G39:K39" si="27">G34*G37</f>
        <v>1193.3682176000002</v>
      </c>
      <c r="H39">
        <f t="shared" si="27"/>
        <v>1278.3360346931202</v>
      </c>
      <c r="I39">
        <f t="shared" si="27"/>
        <v>1369.3535603632706</v>
      </c>
      <c r="J39">
        <f t="shared" si="27"/>
        <v>1466.8515338611355</v>
      </c>
      <c r="K39">
        <f t="shared" si="27"/>
        <v>1571.2913630720484</v>
      </c>
      <c r="L39" t="str">
        <f t="shared" ca="1" si="20"/>
        <v>=K34*K37</v>
      </c>
    </row>
    <row r="40" spans="1:27" ht="15" customHeight="1" x14ac:dyDescent="0.45">
      <c r="A40" s="82"/>
      <c r="B40" t="s">
        <v>188</v>
      </c>
      <c r="C40"/>
      <c r="D40"/>
      <c r="F40">
        <f>F30*F39</f>
        <v>44561.919999999998</v>
      </c>
      <c r="G40">
        <f t="shared" ref="G40:K40" si="28">G30*G39</f>
        <v>190938.91481600003</v>
      </c>
      <c r="H40">
        <f t="shared" si="28"/>
        <v>0</v>
      </c>
      <c r="I40">
        <f t="shared" si="28"/>
        <v>0</v>
      </c>
      <c r="J40">
        <f t="shared" si="28"/>
        <v>0</v>
      </c>
      <c r="K40">
        <f t="shared" si="28"/>
        <v>0</v>
      </c>
      <c r="L40" t="str">
        <f t="shared" ca="1" si="20"/>
        <v>=K30*K39</v>
      </c>
    </row>
    <row r="41" spans="1:27" ht="15" customHeight="1" x14ac:dyDescent="0.45">
      <c r="A41" s="82"/>
      <c r="B41"/>
      <c r="C41"/>
      <c r="D41"/>
      <c r="L41" t="str">
        <f t="shared" ca="1" si="20"/>
        <v/>
      </c>
    </row>
    <row r="42" spans="1:27" ht="15" customHeight="1" x14ac:dyDescent="0.45">
      <c r="A42" s="96"/>
      <c r="B42" t="s">
        <v>189</v>
      </c>
      <c r="C42"/>
      <c r="D42"/>
      <c r="E42" s="94"/>
      <c r="F42" s="90">
        <f t="shared" ref="F42:K42" si="29">IF(circ_switch=1,F74,0)</f>
        <v>0</v>
      </c>
      <c r="G42" s="90">
        <f t="shared" si="29"/>
        <v>0</v>
      </c>
      <c r="H42" s="90">
        <f t="shared" si="29"/>
        <v>0</v>
      </c>
      <c r="I42" s="90">
        <f t="shared" si="29"/>
        <v>0</v>
      </c>
      <c r="J42" s="90">
        <f t="shared" si="29"/>
        <v>0</v>
      </c>
      <c r="K42" s="90">
        <f t="shared" si="29"/>
        <v>0</v>
      </c>
      <c r="L42" s="90" t="str">
        <f t="shared" ca="1" si="20"/>
        <v>=IF(circ_switch=1,K74,0)</v>
      </c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1:27" ht="15" customHeight="1" x14ac:dyDescent="0.45">
      <c r="A43" s="82"/>
      <c r="B43" t="s">
        <v>168</v>
      </c>
      <c r="C43"/>
      <c r="D43"/>
      <c r="E43" s="94"/>
      <c r="F43" s="90"/>
      <c r="G43" s="90"/>
      <c r="H43" s="90"/>
      <c r="I43" s="90"/>
      <c r="J43" s="90"/>
      <c r="K43" s="90"/>
      <c r="L43" s="90" t="str">
        <f t="shared" ca="1" si="20"/>
        <v/>
      </c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7" ht="15" customHeight="1" x14ac:dyDescent="0.45">
      <c r="A44" s="82"/>
      <c r="B44"/>
      <c r="C44"/>
      <c r="D44"/>
      <c r="L44" t="str">
        <f t="shared" ca="1" si="20"/>
        <v/>
      </c>
    </row>
    <row r="45" spans="1:27" ht="15" customHeight="1" x14ac:dyDescent="0.45">
      <c r="A45" s="82"/>
      <c r="B45" t="s">
        <v>190</v>
      </c>
      <c r="C45"/>
      <c r="D45"/>
      <c r="F45">
        <f>F40+SUM(F42:F43)</f>
        <v>44561.919999999998</v>
      </c>
      <c r="G45">
        <f t="shared" ref="G45:K45" si="30">G40+SUM(G42:G43)</f>
        <v>190938.91481600003</v>
      </c>
      <c r="H45">
        <f t="shared" si="30"/>
        <v>0</v>
      </c>
      <c r="I45">
        <f t="shared" si="30"/>
        <v>0</v>
      </c>
      <c r="J45">
        <f t="shared" si="30"/>
        <v>0</v>
      </c>
      <c r="K45">
        <f t="shared" si="30"/>
        <v>0</v>
      </c>
      <c r="L45" t="str">
        <f t="shared" ca="1" si="20"/>
        <v>=K40+SUM(K42:K43)</v>
      </c>
    </row>
    <row r="46" spans="1:27" ht="15" customHeight="1" x14ac:dyDescent="0.45">
      <c r="A46" s="82"/>
      <c r="B46"/>
      <c r="C46"/>
      <c r="D46"/>
      <c r="L46" t="str">
        <f t="shared" ca="1" si="20"/>
        <v/>
      </c>
    </row>
    <row r="47" spans="1:27" ht="15" customHeight="1" x14ac:dyDescent="0.45">
      <c r="A47" s="82" t="s">
        <v>191</v>
      </c>
      <c r="B47"/>
      <c r="C47"/>
      <c r="D47"/>
      <c r="L47" t="str">
        <f t="shared" ca="1" si="20"/>
        <v/>
      </c>
    </row>
    <row r="48" spans="1:27" ht="15" customHeight="1" x14ac:dyDescent="0.45">
      <c r="A48" s="82"/>
      <c r="B48" t="s">
        <v>192</v>
      </c>
      <c r="C48"/>
      <c r="D48"/>
      <c r="F48">
        <f>E51</f>
        <v>0</v>
      </c>
      <c r="G48">
        <f t="shared" ref="G48:K48" ca="1" si="31">F51</f>
        <v>44561.919999999998</v>
      </c>
      <c r="H48">
        <f t="shared" ca="1" si="31"/>
        <v>235500.83481600002</v>
      </c>
      <c r="I48">
        <f t="shared" ca="1" si="31"/>
        <v>223725.79307520002</v>
      </c>
      <c r="J48">
        <f t="shared" ca="1" si="31"/>
        <v>211950.75133440003</v>
      </c>
      <c r="K48">
        <f t="shared" ca="1" si="31"/>
        <v>200175.70959360004</v>
      </c>
      <c r="L48" t="str">
        <f t="shared" ca="1" si="20"/>
        <v>=J51</v>
      </c>
    </row>
    <row r="49" spans="1:12" ht="15" customHeight="1" x14ac:dyDescent="0.45">
      <c r="A49" s="82"/>
      <c r="B49" t="s">
        <v>193</v>
      </c>
      <c r="C49" t="s">
        <v>194</v>
      </c>
      <c r="D49" s="95">
        <f ca="1">SUM(F40:AA40)+SUM(F42:AA42)</f>
        <v>235500.83481600002</v>
      </c>
      <c r="F49">
        <f>F40+F42</f>
        <v>44561.919999999998</v>
      </c>
      <c r="G49">
        <f t="shared" ref="G49:K49" si="32">G40+G42</f>
        <v>190938.91481600003</v>
      </c>
      <c r="H49">
        <f t="shared" si="32"/>
        <v>0</v>
      </c>
      <c r="I49">
        <f t="shared" si="32"/>
        <v>0</v>
      </c>
      <c r="J49">
        <f t="shared" si="32"/>
        <v>0</v>
      </c>
      <c r="K49">
        <f t="shared" si="32"/>
        <v>0</v>
      </c>
      <c r="L49" t="str">
        <f t="shared" ca="1" si="20"/>
        <v>=K40+K42</v>
      </c>
    </row>
    <row r="50" spans="1:12" ht="15" customHeight="1" x14ac:dyDescent="0.45">
      <c r="A50" s="82"/>
      <c r="B50" t="s">
        <v>195</v>
      </c>
      <c r="C50" t="str">
        <f>'Assumptions and Outputs'!C53</f>
        <v>% Cost</v>
      </c>
      <c r="D50" s="91">
        <f>'Assumptions and Outputs'!D53</f>
        <v>0.05</v>
      </c>
      <c r="F50">
        <f ca="1">MIN($D$49*$D$50,F48)*-1*F6</f>
        <v>0</v>
      </c>
      <c r="G50">
        <f t="shared" ref="G50:K50" ca="1" si="33">MIN($D$49*$D$50,G48)*-1*G6</f>
        <v>0</v>
      </c>
      <c r="H50">
        <f t="shared" ca="1" si="33"/>
        <v>-11775.041740800001</v>
      </c>
      <c r="I50">
        <f t="shared" ca="1" si="33"/>
        <v>-11775.041740800001</v>
      </c>
      <c r="J50">
        <f t="shared" ca="1" si="33"/>
        <v>-11775.041740800001</v>
      </c>
      <c r="K50">
        <f t="shared" ca="1" si="33"/>
        <v>-11775.041740800001</v>
      </c>
      <c r="L50" t="str">
        <f t="shared" ca="1" si="20"/>
        <v>=MIN($D$49*$D$50,K48)*-1*K6</v>
      </c>
    </row>
    <row r="51" spans="1:12" ht="15" customHeight="1" x14ac:dyDescent="0.45">
      <c r="A51" s="82"/>
      <c r="B51" t="s">
        <v>196</v>
      </c>
      <c r="C51"/>
      <c r="D51"/>
      <c r="E51" s="83">
        <v>0</v>
      </c>
      <c r="F51">
        <f ca="1">SUM(F48:F50)</f>
        <v>44561.919999999998</v>
      </c>
      <c r="G51">
        <f t="shared" ref="G51:K51" ca="1" si="34">SUM(G48:G50)</f>
        <v>235500.83481600002</v>
      </c>
      <c r="H51">
        <f t="shared" ca="1" si="34"/>
        <v>223725.79307520002</v>
      </c>
      <c r="I51">
        <f t="shared" ca="1" si="34"/>
        <v>211950.75133440003</v>
      </c>
      <c r="J51">
        <f t="shared" ca="1" si="34"/>
        <v>200175.70959360004</v>
      </c>
      <c r="K51">
        <f t="shared" ca="1" si="34"/>
        <v>188400.66785280005</v>
      </c>
      <c r="L51" t="str">
        <f t="shared" ca="1" si="20"/>
        <v>=SUM(K48:K50)</v>
      </c>
    </row>
    <row r="52" spans="1:12" ht="15" customHeight="1" x14ac:dyDescent="0.45">
      <c r="C52"/>
      <c r="L52" t="str">
        <f t="shared" ca="1" si="20"/>
        <v/>
      </c>
    </row>
    <row r="53" spans="1:12" ht="15" customHeight="1" x14ac:dyDescent="0.45">
      <c r="A53" s="82" t="s">
        <v>197</v>
      </c>
      <c r="B53"/>
      <c r="C53"/>
      <c r="D53"/>
      <c r="L53" t="str">
        <f t="shared" ca="1" si="20"/>
        <v/>
      </c>
    </row>
    <row r="54" spans="1:12" ht="15" customHeight="1" x14ac:dyDescent="0.45">
      <c r="A54" s="82"/>
      <c r="B54" t="s">
        <v>198</v>
      </c>
      <c r="C54" t="s">
        <v>199</v>
      </c>
      <c r="D54" s="95">
        <f ca="1">SUM(F45:AA45)</f>
        <v>235500.83481600002</v>
      </c>
      <c r="L54" t="str">
        <f t="shared" ca="1" si="20"/>
        <v/>
      </c>
    </row>
    <row r="55" spans="1:12" ht="15" customHeight="1" x14ac:dyDescent="0.45">
      <c r="A55" s="82"/>
      <c r="B55"/>
      <c r="C55" t="s">
        <v>200</v>
      </c>
      <c r="D55" s="65">
        <f>1-'Assumptions and Outputs'!D66</f>
        <v>0.5</v>
      </c>
      <c r="L55" t="str">
        <f t="shared" ca="1" si="20"/>
        <v/>
      </c>
    </row>
    <row r="56" spans="1:12" ht="15" customHeight="1" x14ac:dyDescent="0.45">
      <c r="A56" s="82"/>
      <c r="B56"/>
      <c r="C56" t="s">
        <v>201</v>
      </c>
      <c r="D56" s="95">
        <f ca="1">D54*D55</f>
        <v>117750.41740800001</v>
      </c>
      <c r="L56" t="str">
        <f t="shared" ref="L56:L78" ca="1" si="35">IF(ISBLANK(K56),"",_xlfn.FORMULATEXT(K56))</f>
        <v/>
      </c>
    </row>
    <row r="57" spans="1:12" ht="15" customHeight="1" x14ac:dyDescent="0.45">
      <c r="A57" s="82"/>
      <c r="B57" t="s">
        <v>202</v>
      </c>
      <c r="C57"/>
      <c r="F57">
        <f ca="1">$D$56-F59</f>
        <v>117750.41740800001</v>
      </c>
      <c r="G57">
        <f t="shared" ref="G57:K57" ca="1" si="36">$D$56-G59</f>
        <v>73188.49740800001</v>
      </c>
      <c r="H57">
        <f t="shared" ca="1" si="36"/>
        <v>0</v>
      </c>
      <c r="I57">
        <f t="shared" ca="1" si="36"/>
        <v>0</v>
      </c>
      <c r="J57">
        <f t="shared" ca="1" si="36"/>
        <v>0</v>
      </c>
      <c r="K57">
        <f t="shared" ca="1" si="36"/>
        <v>0</v>
      </c>
      <c r="L57" t="str">
        <f t="shared" ca="1" si="35"/>
        <v>=$D$56-K59</v>
      </c>
    </row>
    <row r="58" spans="1:12" ht="15" customHeight="1" x14ac:dyDescent="0.45">
      <c r="A58" s="82"/>
      <c r="B58"/>
      <c r="C58"/>
      <c r="L58" t="str">
        <f t="shared" ca="1" si="35"/>
        <v/>
      </c>
    </row>
    <row r="59" spans="1:12" ht="15" customHeight="1" x14ac:dyDescent="0.45">
      <c r="A59" s="82"/>
      <c r="B59" t="s">
        <v>203</v>
      </c>
      <c r="C59"/>
      <c r="F59">
        <f>E61</f>
        <v>0</v>
      </c>
      <c r="G59">
        <f t="shared" ref="G59:K59" ca="1" si="37">F61</f>
        <v>44561.919999999998</v>
      </c>
      <c r="H59">
        <f t="shared" ca="1" si="37"/>
        <v>117750.41740800001</v>
      </c>
      <c r="I59">
        <f t="shared" ca="1" si="37"/>
        <v>117750.41740800001</v>
      </c>
      <c r="J59">
        <f t="shared" ca="1" si="37"/>
        <v>117750.41740800001</v>
      </c>
      <c r="K59">
        <f t="shared" ca="1" si="37"/>
        <v>117750.41740800001</v>
      </c>
      <c r="L59" t="str">
        <f t="shared" ca="1" si="35"/>
        <v>=J61</v>
      </c>
    </row>
    <row r="60" spans="1:12" ht="15" customHeight="1" x14ac:dyDescent="0.45">
      <c r="A60" s="82"/>
      <c r="B60" t="s">
        <v>204</v>
      </c>
      <c r="C60"/>
      <c r="F60">
        <f ca="1">MIN(F45,F57)</f>
        <v>44561.919999999998</v>
      </c>
      <c r="G60">
        <f t="shared" ref="G60:K60" ca="1" si="38">MIN(G45,G57)</f>
        <v>73188.49740800001</v>
      </c>
      <c r="H60">
        <f t="shared" ca="1" si="38"/>
        <v>0</v>
      </c>
      <c r="I60">
        <f t="shared" ca="1" si="38"/>
        <v>0</v>
      </c>
      <c r="J60">
        <f t="shared" ca="1" si="38"/>
        <v>0</v>
      </c>
      <c r="K60">
        <f t="shared" ca="1" si="38"/>
        <v>0</v>
      </c>
      <c r="L60" t="str">
        <f t="shared" ca="1" si="35"/>
        <v>=MIN(K45,K57)</v>
      </c>
    </row>
    <row r="61" spans="1:12" ht="15" customHeight="1" x14ac:dyDescent="0.45">
      <c r="A61" s="82"/>
      <c r="B61" t="s">
        <v>205</v>
      </c>
      <c r="C61"/>
      <c r="E61" s="83">
        <v>0</v>
      </c>
      <c r="F61">
        <f ca="1">SUM(F59:F60)</f>
        <v>44561.919999999998</v>
      </c>
      <c r="G61">
        <f t="shared" ref="G61:K61" ca="1" si="39">SUM(G59:G60)</f>
        <v>117750.41740800001</v>
      </c>
      <c r="H61">
        <f t="shared" ca="1" si="39"/>
        <v>117750.41740800001</v>
      </c>
      <c r="I61">
        <f t="shared" ca="1" si="39"/>
        <v>117750.41740800001</v>
      </c>
      <c r="J61">
        <f t="shared" ca="1" si="39"/>
        <v>117750.41740800001</v>
      </c>
      <c r="K61">
        <f t="shared" ca="1" si="39"/>
        <v>117750.41740800001</v>
      </c>
      <c r="L61" t="str">
        <f t="shared" ca="1" si="35"/>
        <v>=SUM(K59:K60)</v>
      </c>
    </row>
    <row r="62" spans="1:12" ht="15" customHeight="1" x14ac:dyDescent="0.45">
      <c r="A62" s="82"/>
      <c r="B62"/>
      <c r="C62"/>
      <c r="D62"/>
      <c r="L62" t="str">
        <f t="shared" ca="1" si="35"/>
        <v/>
      </c>
    </row>
    <row r="63" spans="1:12" ht="15" customHeight="1" x14ac:dyDescent="0.45">
      <c r="A63" s="82" t="s">
        <v>206</v>
      </c>
      <c r="B63"/>
      <c r="C63"/>
      <c r="D63"/>
      <c r="L63" t="str">
        <f t="shared" ca="1" si="35"/>
        <v/>
      </c>
    </row>
    <row r="64" spans="1:12" ht="15" customHeight="1" x14ac:dyDescent="0.45">
      <c r="A64" s="82"/>
      <c r="B64" t="s">
        <v>207</v>
      </c>
      <c r="C64"/>
      <c r="D64"/>
      <c r="F64">
        <f ca="1">F45-F60</f>
        <v>0</v>
      </c>
      <c r="G64">
        <f t="shared" ref="G64:K64" ca="1" si="40">G45-G60</f>
        <v>117750.41740800002</v>
      </c>
      <c r="H64">
        <f t="shared" ca="1" si="40"/>
        <v>0</v>
      </c>
      <c r="I64">
        <f t="shared" ca="1" si="40"/>
        <v>0</v>
      </c>
      <c r="J64">
        <f t="shared" ca="1" si="40"/>
        <v>0</v>
      </c>
      <c r="K64">
        <f t="shared" ca="1" si="40"/>
        <v>0</v>
      </c>
      <c r="L64" t="str">
        <f t="shared" ca="1" si="35"/>
        <v>=K45-K60</v>
      </c>
    </row>
    <row r="65" spans="1:12" ht="15" customHeight="1" x14ac:dyDescent="0.45">
      <c r="A65" s="82"/>
      <c r="B65"/>
      <c r="C65"/>
      <c r="D65"/>
      <c r="L65" t="str">
        <f t="shared" ca="1" si="35"/>
        <v/>
      </c>
    </row>
    <row r="66" spans="1:12" ht="15" customHeight="1" x14ac:dyDescent="0.45">
      <c r="A66" s="82"/>
      <c r="B66" t="s">
        <v>208</v>
      </c>
      <c r="C66" t="str">
        <f>'Assumptions and Outputs'!C67</f>
        <v>% Debt</v>
      </c>
      <c r="D66" s="65">
        <f>'Assumptions and Outputs'!D67</f>
        <v>0.7</v>
      </c>
      <c r="F66">
        <f ca="1">$D$66*F64</f>
        <v>0</v>
      </c>
      <c r="G66">
        <f t="shared" ref="G66:K66" ca="1" si="41">$D$66*G64</f>
        <v>82425.292185600018</v>
      </c>
      <c r="H66">
        <f t="shared" ca="1" si="41"/>
        <v>0</v>
      </c>
      <c r="I66">
        <f t="shared" ca="1" si="41"/>
        <v>0</v>
      </c>
      <c r="J66">
        <f t="shared" ca="1" si="41"/>
        <v>0</v>
      </c>
      <c r="K66">
        <f t="shared" ca="1" si="41"/>
        <v>0</v>
      </c>
      <c r="L66" t="str">
        <f t="shared" ca="1" si="35"/>
        <v>=$D$66*K64</v>
      </c>
    </row>
    <row r="67" spans="1:12" ht="15" customHeight="1" x14ac:dyDescent="0.45">
      <c r="A67" s="82"/>
      <c r="B67" t="s">
        <v>209</v>
      </c>
      <c r="C67" t="str">
        <f>'Assumptions and Outputs'!C68</f>
        <v>% Debt</v>
      </c>
      <c r="D67" s="65">
        <f>'Assumptions and Outputs'!D68</f>
        <v>0.30000000000000004</v>
      </c>
      <c r="F67">
        <f ca="1">$D$67*F64</f>
        <v>0</v>
      </c>
      <c r="G67">
        <f t="shared" ref="G67:K67" ca="1" si="42">$D$67*G64</f>
        <v>35325.125222400013</v>
      </c>
      <c r="H67">
        <f t="shared" ca="1" si="42"/>
        <v>0</v>
      </c>
      <c r="I67">
        <f t="shared" ca="1" si="42"/>
        <v>0</v>
      </c>
      <c r="J67">
        <f t="shared" ca="1" si="42"/>
        <v>0</v>
      </c>
      <c r="K67">
        <f t="shared" ca="1" si="42"/>
        <v>0</v>
      </c>
      <c r="L67" t="str">
        <f t="shared" ca="1" si="35"/>
        <v>=$D$67*K64</v>
      </c>
    </row>
    <row r="68" spans="1:12" ht="15" customHeight="1" x14ac:dyDescent="0.45">
      <c r="A68" s="82"/>
      <c r="B68"/>
      <c r="C68"/>
      <c r="D68" s="65"/>
      <c r="L68" t="str">
        <f t="shared" ca="1" si="35"/>
        <v/>
      </c>
    </row>
    <row r="69" spans="1:12" ht="15" customHeight="1" x14ac:dyDescent="0.45">
      <c r="A69" s="82"/>
      <c r="B69" t="s">
        <v>210</v>
      </c>
      <c r="C69"/>
      <c r="D69" s="65"/>
      <c r="F69">
        <f ca="1">SUM($F66:F66)</f>
        <v>0</v>
      </c>
      <c r="G69">
        <f ca="1">SUM($F66:G66)</f>
        <v>82425.292185600018</v>
      </c>
      <c r="H69">
        <f ca="1">SUM($F66:H66)</f>
        <v>82425.292185600018</v>
      </c>
      <c r="I69">
        <f ca="1">SUM($F66:I66)</f>
        <v>82425.292185600018</v>
      </c>
      <c r="J69">
        <f ca="1">SUM($F66:J66)</f>
        <v>82425.292185600018</v>
      </c>
      <c r="K69">
        <f ca="1">SUM($F66:K66)</f>
        <v>82425.292185600018</v>
      </c>
      <c r="L69" t="str">
        <f t="shared" ca="1" si="35"/>
        <v>=SUM($F66:K66)</v>
      </c>
    </row>
    <row r="70" spans="1:12" ht="15" customHeight="1" x14ac:dyDescent="0.45">
      <c r="A70" s="82"/>
      <c r="B70" t="s">
        <v>211</v>
      </c>
      <c r="C70"/>
      <c r="D70" s="65"/>
      <c r="F70">
        <f ca="1">SUM($F67:F67)</f>
        <v>0</v>
      </c>
      <c r="G70">
        <f ca="1">SUM($F67:G67)</f>
        <v>35325.125222400013</v>
      </c>
      <c r="H70">
        <f ca="1">SUM($F67:H67)</f>
        <v>35325.125222400013</v>
      </c>
      <c r="I70">
        <f ca="1">SUM($F67:I67)</f>
        <v>35325.125222400013</v>
      </c>
      <c r="J70">
        <f ca="1">SUM($F67:J67)</f>
        <v>35325.125222400013</v>
      </c>
      <c r="K70">
        <f ca="1">SUM($F67:K67)</f>
        <v>35325.125222400013</v>
      </c>
      <c r="L70" t="str">
        <f t="shared" ca="1" si="35"/>
        <v>=SUM($F67:K67)</v>
      </c>
    </row>
    <row r="71" spans="1:12" ht="15" customHeight="1" x14ac:dyDescent="0.45">
      <c r="A71" s="82"/>
      <c r="B71"/>
      <c r="C71"/>
      <c r="D71"/>
      <c r="L71" t="str">
        <f t="shared" ca="1" si="35"/>
        <v/>
      </c>
    </row>
    <row r="72" spans="1:12" ht="15" customHeight="1" x14ac:dyDescent="0.45">
      <c r="B72" t="s">
        <v>212</v>
      </c>
      <c r="C72" t="s">
        <v>213</v>
      </c>
      <c r="D72" s="92">
        <f>'Assumptions and Outputs'!D73</f>
        <v>3.7999999999999999E-2</v>
      </c>
      <c r="F72">
        <f ca="1">$D72*AVERAGE(E69,F69)*F$7</f>
        <v>0</v>
      </c>
      <c r="G72">
        <f t="shared" ref="G72:K73" ca="1" si="43">$D72*AVERAGE(F69,G69)*G$7</f>
        <v>1566.0805515264003</v>
      </c>
      <c r="H72">
        <f t="shared" ca="1" si="43"/>
        <v>0</v>
      </c>
      <c r="I72">
        <f t="shared" ca="1" si="43"/>
        <v>0</v>
      </c>
      <c r="J72">
        <f t="shared" ca="1" si="43"/>
        <v>0</v>
      </c>
      <c r="K72">
        <f t="shared" ca="1" si="43"/>
        <v>0</v>
      </c>
      <c r="L72" t="str">
        <f t="shared" ca="1" si="35"/>
        <v>=$D72*AVERAGE(J69,K69)*K$7</v>
      </c>
    </row>
    <row r="73" spans="1:12" ht="15" customHeight="1" x14ac:dyDescent="0.45">
      <c r="A73" s="82"/>
      <c r="B73" t="s">
        <v>214</v>
      </c>
      <c r="C73" t="s">
        <v>213</v>
      </c>
      <c r="D73" s="65">
        <f>'Assumptions and Outputs'!D75</f>
        <v>6.8000000000000005E-2</v>
      </c>
      <c r="F73">
        <f ca="1">$D73*AVERAGE(E70,F70)*F$7</f>
        <v>0</v>
      </c>
      <c r="G73">
        <f t="shared" ca="1" si="43"/>
        <v>1201.0542575616005</v>
      </c>
      <c r="H73">
        <f t="shared" ca="1" si="43"/>
        <v>0</v>
      </c>
      <c r="I73">
        <f t="shared" ca="1" si="43"/>
        <v>0</v>
      </c>
      <c r="J73">
        <f t="shared" ca="1" si="43"/>
        <v>0</v>
      </c>
      <c r="K73">
        <f t="shared" ca="1" si="43"/>
        <v>0</v>
      </c>
      <c r="L73" t="str">
        <f t="shared" ca="1" si="35"/>
        <v>=$D73*AVERAGE(J70,K70)*K$7</v>
      </c>
    </row>
    <row r="74" spans="1:12" ht="15" customHeight="1" x14ac:dyDescent="0.45">
      <c r="A74" s="82"/>
      <c r="B74" t="s">
        <v>215</v>
      </c>
      <c r="C74"/>
      <c r="D74"/>
      <c r="F74">
        <f ca="1">SUM(F72:F73)</f>
        <v>0</v>
      </c>
      <c r="G74">
        <f t="shared" ref="G74:K74" ca="1" si="44">SUM(G72:G73)</f>
        <v>2767.134809088001</v>
      </c>
      <c r="H74">
        <f t="shared" ca="1" si="44"/>
        <v>0</v>
      </c>
      <c r="I74">
        <f t="shared" ca="1" si="44"/>
        <v>0</v>
      </c>
      <c r="J74">
        <f t="shared" ca="1" si="44"/>
        <v>0</v>
      </c>
      <c r="K74">
        <f t="shared" ca="1" si="44"/>
        <v>0</v>
      </c>
      <c r="L74" t="str">
        <f t="shared" ca="1" si="35"/>
        <v>=SUM(K72:K73)</v>
      </c>
    </row>
    <row r="75" spans="1:12" ht="15" customHeight="1" x14ac:dyDescent="0.45">
      <c r="A75" s="82"/>
      <c r="B75"/>
      <c r="C75"/>
      <c r="D75"/>
      <c r="L75" t="str">
        <f t="shared" ca="1" si="35"/>
        <v/>
      </c>
    </row>
    <row r="76" spans="1:12" ht="15" customHeight="1" x14ac:dyDescent="0.45">
      <c r="A76" s="59" t="s">
        <v>120</v>
      </c>
      <c r="B76"/>
      <c r="C76"/>
      <c r="D76"/>
      <c r="L76" t="str">
        <f t="shared" ca="1" si="35"/>
        <v/>
      </c>
    </row>
    <row r="77" spans="1:12" ht="15" customHeight="1" x14ac:dyDescent="0.45">
      <c r="A77" s="82"/>
      <c r="B77"/>
      <c r="C77"/>
      <c r="D77"/>
      <c r="L77" t="str">
        <f t="shared" ca="1" si="35"/>
        <v/>
      </c>
    </row>
    <row r="78" spans="1:12" ht="15" customHeight="1" x14ac:dyDescent="0.45">
      <c r="A78" s="82"/>
      <c r="B78"/>
      <c r="C78"/>
      <c r="D78"/>
      <c r="L78" t="str">
        <f t="shared" ca="1" si="35"/>
        <v/>
      </c>
    </row>
    <row r="79" spans="1:12" ht="15" customHeight="1" x14ac:dyDescent="0.45">
      <c r="A79" s="82"/>
      <c r="B79"/>
      <c r="C79"/>
      <c r="D79"/>
    </row>
    <row r="80" spans="1:12" ht="15" customHeight="1" x14ac:dyDescent="0.45">
      <c r="A80" s="82"/>
      <c r="B80"/>
      <c r="C80"/>
      <c r="D80"/>
    </row>
    <row r="81" spans="1:4" ht="15" customHeight="1" x14ac:dyDescent="0.45">
      <c r="A81" s="82"/>
      <c r="B81"/>
      <c r="C81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/>
      <c r="D140"/>
    </row>
    <row r="141" spans="1:4" ht="15" customHeight="1" x14ac:dyDescent="0.45">
      <c r="A141" s="82"/>
      <c r="B141"/>
      <c r="C141"/>
      <c r="D141"/>
    </row>
    <row r="142" spans="1:4" ht="15" customHeight="1" x14ac:dyDescent="0.45">
      <c r="A142" s="82"/>
      <c r="B142"/>
      <c r="C142"/>
      <c r="D142"/>
    </row>
    <row r="143" spans="1:4" ht="15" customHeight="1" x14ac:dyDescent="0.45">
      <c r="A143" s="82"/>
      <c r="B143"/>
      <c r="C143"/>
      <c r="D143"/>
    </row>
    <row r="144" spans="1:4" ht="15" customHeight="1" x14ac:dyDescent="0.45">
      <c r="A144" s="82"/>
      <c r="B144"/>
      <c r="C144"/>
      <c r="D144"/>
    </row>
    <row r="145" spans="1:4" ht="15" customHeight="1" x14ac:dyDescent="0.45">
      <c r="A145" s="82"/>
      <c r="B145"/>
      <c r="C145"/>
      <c r="D145"/>
    </row>
    <row r="146" spans="1:4" ht="15" customHeight="1" x14ac:dyDescent="0.45">
      <c r="A146" s="82"/>
      <c r="B146"/>
      <c r="C146"/>
      <c r="D146"/>
    </row>
    <row r="147" spans="1:4" ht="15" customHeight="1" x14ac:dyDescent="0.45">
      <c r="A147" s="82"/>
      <c r="B147"/>
      <c r="C147"/>
      <c r="D147"/>
    </row>
    <row r="148" spans="1:4" ht="15" customHeight="1" x14ac:dyDescent="0.45">
      <c r="A148" s="82"/>
      <c r="B148"/>
      <c r="C148"/>
      <c r="D148"/>
    </row>
    <row r="149" spans="1:4" ht="15" customHeight="1" x14ac:dyDescent="0.45">
      <c r="A149" s="82"/>
      <c r="B149"/>
      <c r="C149"/>
      <c r="D149"/>
    </row>
    <row r="150" spans="1:4" ht="15" customHeight="1" x14ac:dyDescent="0.45">
      <c r="A150" s="82"/>
      <c r="B150"/>
      <c r="C150"/>
      <c r="D150"/>
    </row>
    <row r="151" spans="1:4" ht="15" customHeight="1" x14ac:dyDescent="0.45">
      <c r="A151" s="82"/>
      <c r="B151"/>
      <c r="C151"/>
      <c r="D151"/>
    </row>
    <row r="152" spans="1:4" ht="15" customHeight="1" x14ac:dyDescent="0.45">
      <c r="A152" s="82"/>
      <c r="B152"/>
      <c r="C152"/>
      <c r="D152"/>
    </row>
    <row r="153" spans="1:4" ht="15" customHeight="1" x14ac:dyDescent="0.45">
      <c r="A153" s="82"/>
      <c r="B153"/>
      <c r="C153"/>
      <c r="D153"/>
    </row>
    <row r="154" spans="1:4" ht="15" customHeight="1" x14ac:dyDescent="0.45">
      <c r="A154" s="82"/>
      <c r="B154"/>
      <c r="C154"/>
      <c r="D154"/>
    </row>
    <row r="155" spans="1:4" ht="15" customHeight="1" x14ac:dyDescent="0.45">
      <c r="A155" s="82"/>
      <c r="B155"/>
      <c r="C155"/>
      <c r="D155"/>
    </row>
    <row r="156" spans="1:4" ht="15" customHeight="1" x14ac:dyDescent="0.45">
      <c r="A156" s="82"/>
      <c r="B156"/>
      <c r="C156"/>
      <c r="D156"/>
    </row>
    <row r="157" spans="1:4" ht="15" customHeight="1" x14ac:dyDescent="0.45">
      <c r="A157" s="82"/>
      <c r="B157"/>
      <c r="C157"/>
      <c r="D157"/>
    </row>
    <row r="158" spans="1:4" ht="15" customHeight="1" x14ac:dyDescent="0.45">
      <c r="A158" s="82"/>
      <c r="B158"/>
      <c r="C158"/>
      <c r="D158"/>
    </row>
    <row r="159" spans="1:4" ht="15" customHeight="1" x14ac:dyDescent="0.45">
      <c r="A159" s="82"/>
      <c r="B159"/>
      <c r="C159"/>
      <c r="D159"/>
    </row>
    <row r="160" spans="1:4" ht="15" customHeight="1" x14ac:dyDescent="0.45">
      <c r="A160" s="82"/>
      <c r="B160"/>
      <c r="C160"/>
      <c r="D160"/>
    </row>
    <row r="161" spans="1:4" ht="15" customHeight="1" x14ac:dyDescent="0.45">
      <c r="A161" s="82"/>
      <c r="B161"/>
      <c r="C161"/>
      <c r="D161"/>
    </row>
    <row r="162" spans="1:4" ht="15" customHeight="1" x14ac:dyDescent="0.45">
      <c r="A162" s="82"/>
      <c r="B162"/>
      <c r="C162"/>
      <c r="D162"/>
    </row>
    <row r="163" spans="1:4" ht="15" customHeight="1" x14ac:dyDescent="0.45">
      <c r="A163" s="82"/>
      <c r="B163"/>
      <c r="C163"/>
      <c r="D163"/>
    </row>
    <row r="164" spans="1:4" ht="15" customHeight="1" x14ac:dyDescent="0.45">
      <c r="A164" s="82"/>
      <c r="B164"/>
      <c r="C164"/>
      <c r="D164"/>
    </row>
    <row r="165" spans="1:4" ht="15" customHeight="1" x14ac:dyDescent="0.45">
      <c r="A165" s="82"/>
      <c r="B165"/>
      <c r="C165"/>
      <c r="D165"/>
    </row>
    <row r="166" spans="1:4" ht="15" customHeight="1" x14ac:dyDescent="0.45">
      <c r="A166" s="82"/>
      <c r="B166"/>
      <c r="C166"/>
      <c r="D166"/>
    </row>
    <row r="167" spans="1:4" ht="15" customHeight="1" x14ac:dyDescent="0.45">
      <c r="A167" s="82"/>
      <c r="B167"/>
      <c r="C167"/>
      <c r="D167"/>
    </row>
    <row r="168" spans="1:4" ht="15" customHeight="1" x14ac:dyDescent="0.45">
      <c r="A168" s="82"/>
      <c r="B168"/>
      <c r="C168"/>
      <c r="D168"/>
    </row>
    <row r="169" spans="1:4" ht="15" customHeight="1" x14ac:dyDescent="0.45">
      <c r="A169" s="82"/>
      <c r="B169"/>
      <c r="C169"/>
      <c r="D169"/>
    </row>
    <row r="170" spans="1:4" ht="15" customHeight="1" x14ac:dyDescent="0.45">
      <c r="A170" s="82"/>
      <c r="B170"/>
      <c r="C170"/>
      <c r="D170"/>
    </row>
    <row r="171" spans="1:4" ht="15" customHeight="1" x14ac:dyDescent="0.45">
      <c r="A171" s="82"/>
      <c r="B171"/>
      <c r="C171"/>
      <c r="D171"/>
    </row>
    <row r="172" spans="1:4" ht="15" customHeight="1" x14ac:dyDescent="0.45">
      <c r="A172" s="82"/>
      <c r="B172"/>
      <c r="C172"/>
      <c r="D172"/>
    </row>
    <row r="173" spans="1:4" ht="15" customHeight="1" x14ac:dyDescent="0.45">
      <c r="A173" s="82"/>
      <c r="B173"/>
      <c r="C173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  <c r="B178"/>
      <c r="C178"/>
      <c r="D178"/>
    </row>
    <row r="179" spans="1:4" ht="15" customHeight="1" x14ac:dyDescent="0.45">
      <c r="A179" s="82"/>
      <c r="B179"/>
      <c r="C179"/>
      <c r="D179"/>
    </row>
    <row r="180" spans="1:4" ht="15" customHeight="1" x14ac:dyDescent="0.45">
      <c r="A180" s="82"/>
      <c r="B180"/>
      <c r="C180"/>
      <c r="D180"/>
    </row>
    <row r="181" spans="1:4" ht="15" customHeight="1" x14ac:dyDescent="0.45">
      <c r="A181" s="82"/>
      <c r="B181"/>
      <c r="C181"/>
      <c r="D181"/>
    </row>
    <row r="182" spans="1:4" ht="15" customHeight="1" x14ac:dyDescent="0.45">
      <c r="A182" s="82"/>
      <c r="B182"/>
      <c r="C182"/>
      <c r="D182"/>
    </row>
    <row r="183" spans="1:4" ht="15" customHeight="1" x14ac:dyDescent="0.45">
      <c r="A183" s="82"/>
      <c r="B183"/>
      <c r="C183"/>
      <c r="D183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  <row r="448" spans="1:4" ht="15" customHeight="1" x14ac:dyDescent="0.45">
      <c r="A448" s="82"/>
      <c r="B448"/>
      <c r="C448"/>
      <c r="D448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D2B5-D52C-417D-9AC5-C93B385AF656}">
  <dimension ref="A1:AA447"/>
  <sheetViews>
    <sheetView zoomScale="70" zoomScaleNormal="70" workbookViewId="0">
      <pane xSplit="4" ySplit="2" topLeftCell="E18" activePane="bottomRight" state="frozen"/>
      <selection pane="topRight" activeCell="E1" sqref="E1"/>
      <selection pane="bottomLeft" activeCell="A3" sqref="A3"/>
      <selection pane="bottomRight" activeCell="L46" sqref="F45:L46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P&amp;L and Tax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/>
      <c r="D3"/>
      <c r="L3" t="str">
        <f t="shared" ref="L3:L34" ca="1" si="1">IF(ISBLANK(K3),"",_xlfn.FORMULATEXT(K3))</f>
        <v/>
      </c>
    </row>
    <row r="4" spans="1:27" ht="15" customHeight="1" x14ac:dyDescent="0.45">
      <c r="A4" s="82"/>
      <c r="B4" s="77"/>
      <c r="C4"/>
      <c r="D4"/>
      <c r="L4" t="str">
        <f t="shared" ca="1" si="1"/>
        <v/>
      </c>
    </row>
    <row r="5" spans="1:27" ht="15" customHeight="1" x14ac:dyDescent="0.45">
      <c r="A5" s="82" t="s">
        <v>216</v>
      </c>
      <c r="B5" s="77"/>
      <c r="C5"/>
      <c r="D5"/>
      <c r="L5" t="str">
        <f t="shared" ca="1" si="1"/>
        <v/>
      </c>
    </row>
    <row r="6" spans="1:27" ht="15" customHeight="1" x14ac:dyDescent="0.45">
      <c r="A6" s="82"/>
      <c r="B6" t="s">
        <v>162</v>
      </c>
      <c r="C6"/>
      <c r="D6"/>
      <c r="F6">
        <f>Operations!F50</f>
        <v>0</v>
      </c>
      <c r="G6">
        <f>Operations!G50</f>
        <v>0</v>
      </c>
      <c r="H6">
        <f>Operations!H50</f>
        <v>10676.345192448</v>
      </c>
      <c r="I6">
        <f>Operations!I50</f>
        <v>16218.965870182401</v>
      </c>
      <c r="J6">
        <f>Operations!J50</f>
        <v>16867.724504989703</v>
      </c>
      <c r="K6">
        <f>Operations!K50</f>
        <v>17542.433485189285</v>
      </c>
      <c r="L6" t="str">
        <f t="shared" ca="1" si="1"/>
        <v>=Operations!K50</v>
      </c>
    </row>
    <row r="7" spans="1:27" ht="15" customHeight="1" x14ac:dyDescent="0.45">
      <c r="A7" s="82"/>
      <c r="B7" t="s">
        <v>195</v>
      </c>
      <c r="C7"/>
      <c r="D7"/>
      <c r="F7">
        <f ca="1">'Sources and Uses'!F50</f>
        <v>0</v>
      </c>
      <c r="G7">
        <f ca="1">'Sources and Uses'!G50</f>
        <v>0</v>
      </c>
      <c r="H7">
        <f ca="1">'Sources and Uses'!H50</f>
        <v>-11775.041740800001</v>
      </c>
      <c r="I7">
        <f ca="1">'Sources and Uses'!I50</f>
        <v>-11775.041740800001</v>
      </c>
      <c r="J7">
        <f ca="1">'Sources and Uses'!J50</f>
        <v>-11775.041740800001</v>
      </c>
      <c r="K7">
        <f ca="1">'Sources and Uses'!K50</f>
        <v>-11775.041740800001</v>
      </c>
      <c r="L7" t="str">
        <f t="shared" ca="1" si="1"/>
        <v>='Sources and Uses'!K50</v>
      </c>
    </row>
    <row r="8" spans="1:27" ht="15" customHeight="1" x14ac:dyDescent="0.45">
      <c r="A8" s="82"/>
      <c r="B8" t="s">
        <v>217</v>
      </c>
      <c r="C8"/>
      <c r="D8"/>
      <c r="E8" s="94"/>
      <c r="F8" s="90"/>
      <c r="G8" s="90"/>
      <c r="H8" s="90"/>
      <c r="I8" s="90"/>
      <c r="J8" s="90"/>
      <c r="K8" s="90"/>
      <c r="L8" s="90" t="str">
        <f t="shared" ca="1" si="1"/>
        <v/>
      </c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5" customHeight="1" x14ac:dyDescent="0.45">
      <c r="A9" s="82"/>
      <c r="B9" t="s">
        <v>218</v>
      </c>
      <c r="C9"/>
      <c r="D9"/>
      <c r="E9" s="94"/>
      <c r="F9" s="90"/>
      <c r="G9" s="90"/>
      <c r="H9" s="90"/>
      <c r="I9" s="90"/>
      <c r="J9" s="90"/>
      <c r="K9" s="90"/>
      <c r="L9" s="90" t="str">
        <f t="shared" ca="1" si="1"/>
        <v/>
      </c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ht="15" customHeight="1" x14ac:dyDescent="0.45">
      <c r="A10" s="82"/>
      <c r="B10" t="s">
        <v>216</v>
      </c>
      <c r="C10"/>
      <c r="D10"/>
      <c r="F10">
        <f ca="1">SUM(F6:F9)</f>
        <v>0</v>
      </c>
      <c r="G10">
        <f t="shared" ref="G10:K10" ca="1" si="2">SUM(G6:G9)</f>
        <v>0</v>
      </c>
      <c r="H10">
        <f t="shared" ca="1" si="2"/>
        <v>-1098.6965483520016</v>
      </c>
      <c r="I10">
        <f t="shared" ca="1" si="2"/>
        <v>4443.9241293823998</v>
      </c>
      <c r="J10">
        <f t="shared" ca="1" si="2"/>
        <v>5092.6827641897016</v>
      </c>
      <c r="K10">
        <f t="shared" ca="1" si="2"/>
        <v>5767.3917443892842</v>
      </c>
      <c r="L10" t="str">
        <f t="shared" ca="1" si="1"/>
        <v>=SUM(K6:K9)</v>
      </c>
    </row>
    <row r="11" spans="1:27" ht="15" customHeight="1" x14ac:dyDescent="0.45">
      <c r="A11" s="82"/>
      <c r="B11"/>
      <c r="C11"/>
      <c r="D11"/>
      <c r="L11" t="str">
        <f t="shared" ca="1" si="1"/>
        <v/>
      </c>
    </row>
    <row r="12" spans="1:27" ht="15" customHeight="1" x14ac:dyDescent="0.45">
      <c r="A12" s="82" t="s">
        <v>219</v>
      </c>
      <c r="B12"/>
      <c r="C12"/>
      <c r="D12"/>
      <c r="L12" t="str">
        <f t="shared" ca="1" si="1"/>
        <v/>
      </c>
    </row>
    <row r="13" spans="1:27" ht="15" customHeight="1" x14ac:dyDescent="0.45">
      <c r="A13" s="82"/>
      <c r="B13" t="s">
        <v>220</v>
      </c>
      <c r="C13"/>
      <c r="D13"/>
      <c r="F13" s="93"/>
      <c r="G13" s="93"/>
      <c r="H13" s="93"/>
      <c r="I13" s="93"/>
      <c r="J13" s="93"/>
      <c r="K13" s="93"/>
      <c r="L13" s="93" t="str">
        <f t="shared" ca="1" si="1"/>
        <v/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</row>
    <row r="14" spans="1:27" ht="15" customHeight="1" x14ac:dyDescent="0.45">
      <c r="A14" s="82"/>
      <c r="B14" t="s">
        <v>221</v>
      </c>
      <c r="C14" t="s">
        <v>222</v>
      </c>
      <c r="D14" s="91">
        <f>'Assumptions and Outputs'!D57</f>
        <v>0.3</v>
      </c>
      <c r="F14" s="93"/>
      <c r="G14" s="93"/>
      <c r="H14" s="93"/>
      <c r="I14" s="93"/>
      <c r="J14" s="93"/>
      <c r="K14" s="93"/>
      <c r="L14" s="93" t="str">
        <f t="shared" ca="1" si="1"/>
        <v/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 ht="15" customHeight="1" x14ac:dyDescent="0.45">
      <c r="A15" s="82"/>
      <c r="B15" t="s">
        <v>223</v>
      </c>
      <c r="C15" t="s">
        <v>222</v>
      </c>
      <c r="D15" s="91">
        <f>'Assumptions and Outputs'!D57</f>
        <v>0.3</v>
      </c>
      <c r="F15" s="93"/>
      <c r="G15" s="93"/>
      <c r="H15" s="93"/>
      <c r="I15" s="93"/>
      <c r="J15" s="93"/>
      <c r="K15" s="93"/>
      <c r="L15" s="93" t="str">
        <f t="shared" ca="1" si="1"/>
        <v/>
      </c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</row>
    <row r="16" spans="1:27" ht="15" customHeight="1" x14ac:dyDescent="0.45">
      <c r="A16"/>
      <c r="B16"/>
      <c r="C16"/>
      <c r="D16"/>
      <c r="L16" t="str">
        <f t="shared" ca="1" si="1"/>
        <v/>
      </c>
    </row>
    <row r="17" spans="1:27" ht="15" customHeight="1" x14ac:dyDescent="0.45">
      <c r="A17" s="82"/>
      <c r="B17" t="s">
        <v>224</v>
      </c>
      <c r="C17"/>
      <c r="D17" s="91"/>
      <c r="F17" s="90"/>
      <c r="G17" s="90"/>
      <c r="H17" s="90"/>
      <c r="I17" s="90"/>
      <c r="J17" s="90"/>
      <c r="K17" s="90"/>
      <c r="L17" s="90" t="str">
        <f t="shared" ca="1" si="1"/>
        <v/>
      </c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ht="15" customHeight="1" x14ac:dyDescent="0.45">
      <c r="A18" s="82"/>
      <c r="B18" t="s">
        <v>225</v>
      </c>
      <c r="C18"/>
      <c r="D18" s="91"/>
      <c r="F18" s="90"/>
      <c r="G18" s="90"/>
      <c r="H18" s="90"/>
      <c r="I18" s="90"/>
      <c r="J18" s="90"/>
      <c r="K18" s="90"/>
      <c r="L18" s="90" t="str">
        <f t="shared" ca="1" si="1"/>
        <v/>
      </c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" customHeight="1" x14ac:dyDescent="0.45">
      <c r="A19" s="82"/>
      <c r="B19" t="s">
        <v>226</v>
      </c>
      <c r="C19"/>
      <c r="D19" s="91"/>
      <c r="F19" s="90"/>
      <c r="G19" s="90"/>
      <c r="H19" s="90"/>
      <c r="I19" s="90"/>
      <c r="J19" s="90"/>
      <c r="K19" s="90"/>
      <c r="L19" s="90" t="str">
        <f t="shared" ca="1" si="1"/>
        <v/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" customHeight="1" x14ac:dyDescent="0.45">
      <c r="A20" s="82"/>
      <c r="B20" t="s">
        <v>227</v>
      </c>
      <c r="C20"/>
      <c r="D20" s="91"/>
      <c r="E20" s="83">
        <v>0</v>
      </c>
      <c r="F20" s="90"/>
      <c r="G20" s="90"/>
      <c r="H20" s="90"/>
      <c r="I20" s="90"/>
      <c r="J20" s="90"/>
      <c r="K20" s="90"/>
      <c r="L20" s="90" t="str">
        <f t="shared" ca="1" si="1"/>
        <v/>
      </c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" customHeight="1" x14ac:dyDescent="0.45">
      <c r="A21" s="82"/>
      <c r="B21"/>
      <c r="C21"/>
      <c r="D21"/>
      <c r="L21" t="str">
        <f t="shared" ca="1" si="1"/>
        <v/>
      </c>
    </row>
    <row r="22" spans="1:27" ht="15" customHeight="1" x14ac:dyDescent="0.45">
      <c r="A22" s="82" t="s">
        <v>228</v>
      </c>
      <c r="B22"/>
      <c r="C22"/>
      <c r="D22"/>
      <c r="L22" t="str">
        <f t="shared" ca="1" si="1"/>
        <v/>
      </c>
    </row>
    <row r="23" spans="1:27" ht="15" customHeight="1" x14ac:dyDescent="0.45">
      <c r="A23" s="82"/>
      <c r="B23" t="s">
        <v>229</v>
      </c>
      <c r="C23"/>
      <c r="D23"/>
      <c r="F23">
        <f ca="1">F10</f>
        <v>0</v>
      </c>
      <c r="G23">
        <f t="shared" ref="G23:K23" ca="1" si="3">G10</f>
        <v>0</v>
      </c>
      <c r="H23">
        <f t="shared" ca="1" si="3"/>
        <v>-1098.6965483520016</v>
      </c>
      <c r="I23">
        <f t="shared" ca="1" si="3"/>
        <v>4443.9241293823998</v>
      </c>
      <c r="J23">
        <f t="shared" ca="1" si="3"/>
        <v>5092.6827641897016</v>
      </c>
      <c r="K23">
        <f t="shared" ca="1" si="3"/>
        <v>5767.3917443892842</v>
      </c>
      <c r="L23" t="str">
        <f t="shared" ca="1" si="1"/>
        <v>=K10</v>
      </c>
    </row>
    <row r="24" spans="1:27" ht="15" customHeight="1" x14ac:dyDescent="0.45">
      <c r="A24" s="96"/>
      <c r="B24" t="s">
        <v>230</v>
      </c>
      <c r="C24"/>
      <c r="D24"/>
      <c r="F24" s="90"/>
      <c r="G24" s="90"/>
      <c r="H24" s="90"/>
      <c r="I24" s="90"/>
      <c r="J24" s="90"/>
      <c r="K24" s="90"/>
      <c r="L24" s="90" t="str">
        <f t="shared" ca="1" si="1"/>
        <v/>
      </c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ht="15" customHeight="1" x14ac:dyDescent="0.45">
      <c r="A25" s="82"/>
      <c r="B25" t="s">
        <v>231</v>
      </c>
      <c r="C25"/>
      <c r="D25"/>
      <c r="F25">
        <f ca="1">SUM(F23:F24)</f>
        <v>0</v>
      </c>
      <c r="G25">
        <f t="shared" ref="G25:K25" ca="1" si="4">SUM(G23:G24)</f>
        <v>0</v>
      </c>
      <c r="H25">
        <f t="shared" ca="1" si="4"/>
        <v>-1098.6965483520016</v>
      </c>
      <c r="I25">
        <f t="shared" ca="1" si="4"/>
        <v>4443.9241293823998</v>
      </c>
      <c r="J25">
        <f t="shared" ca="1" si="4"/>
        <v>5092.6827641897016</v>
      </c>
      <c r="K25">
        <f t="shared" ca="1" si="4"/>
        <v>5767.3917443892842</v>
      </c>
      <c r="L25" t="str">
        <f t="shared" ca="1" si="1"/>
        <v>=SUM(K23:K24)</v>
      </c>
    </row>
    <row r="26" spans="1:27" ht="15" customHeight="1" x14ac:dyDescent="0.45">
      <c r="A26" s="82"/>
      <c r="B26"/>
      <c r="C26"/>
      <c r="D26"/>
      <c r="L26" t="str">
        <f t="shared" ca="1" si="1"/>
        <v/>
      </c>
    </row>
    <row r="27" spans="1:27" ht="15" customHeight="1" x14ac:dyDescent="0.45">
      <c r="A27" s="96"/>
      <c r="B27" t="s">
        <v>232</v>
      </c>
      <c r="C27"/>
      <c r="D27"/>
      <c r="F27">
        <f>E30</f>
        <v>0</v>
      </c>
      <c r="G27">
        <f t="shared" ref="G27:K27" ca="1" si="5">F30</f>
        <v>0</v>
      </c>
      <c r="H27">
        <f t="shared" ca="1" si="5"/>
        <v>0</v>
      </c>
      <c r="I27">
        <f t="shared" ca="1" si="5"/>
        <v>1098.6965483520016</v>
      </c>
      <c r="J27">
        <f t="shared" ca="1" si="5"/>
        <v>0</v>
      </c>
      <c r="K27">
        <f t="shared" ca="1" si="5"/>
        <v>0</v>
      </c>
      <c r="L27" t="str">
        <f t="shared" ca="1" si="1"/>
        <v>=J30</v>
      </c>
    </row>
    <row r="28" spans="1:27" ht="15" customHeight="1" x14ac:dyDescent="0.45">
      <c r="A28" s="96"/>
      <c r="B28" t="s">
        <v>233</v>
      </c>
      <c r="C28"/>
      <c r="D28"/>
      <c r="F28">
        <f ca="1">MIN(F25,0)*-1</f>
        <v>0</v>
      </c>
      <c r="G28">
        <f t="shared" ref="G28:K28" ca="1" si="6">MIN(G25,0)*-1</f>
        <v>0</v>
      </c>
      <c r="H28">
        <f t="shared" ca="1" si="6"/>
        <v>1098.6965483520016</v>
      </c>
      <c r="I28">
        <f t="shared" ca="1" si="6"/>
        <v>0</v>
      </c>
      <c r="J28">
        <f t="shared" ca="1" si="6"/>
        <v>0</v>
      </c>
      <c r="K28">
        <f t="shared" ca="1" si="6"/>
        <v>0</v>
      </c>
      <c r="L28" t="str">
        <f t="shared" ca="1" si="1"/>
        <v>=MIN(K25,0)*-1</v>
      </c>
    </row>
    <row r="29" spans="1:27" ht="15" customHeight="1" x14ac:dyDescent="0.45">
      <c r="A29" s="96"/>
      <c r="B29" t="s">
        <v>234</v>
      </c>
      <c r="C29"/>
      <c r="D29"/>
      <c r="F29">
        <f ca="1">IF(F25&gt;0,MIN(F25,F27)*-1,0)</f>
        <v>0</v>
      </c>
      <c r="G29">
        <f t="shared" ref="G29:K29" ca="1" si="7">IF(G25&gt;0,MIN(G25,G27)*-1,0)</f>
        <v>0</v>
      </c>
      <c r="H29">
        <f t="shared" ca="1" si="7"/>
        <v>0</v>
      </c>
      <c r="I29">
        <f t="shared" ca="1" si="7"/>
        <v>-1098.6965483520016</v>
      </c>
      <c r="J29">
        <f t="shared" ca="1" si="7"/>
        <v>0</v>
      </c>
      <c r="K29">
        <f t="shared" ca="1" si="7"/>
        <v>0</v>
      </c>
      <c r="L29" t="str">
        <f t="shared" ca="1" si="1"/>
        <v>=IF(K25&gt;0,MIN(K25,K27)*-1,0)</v>
      </c>
    </row>
    <row r="30" spans="1:27" ht="15" customHeight="1" x14ac:dyDescent="0.45">
      <c r="A30" s="96"/>
      <c r="B30" t="s">
        <v>235</v>
      </c>
      <c r="C30"/>
      <c r="D30"/>
      <c r="E30" s="83">
        <v>0</v>
      </c>
      <c r="F30">
        <f ca="1">SUM(F27:F29)</f>
        <v>0</v>
      </c>
      <c r="G30">
        <f t="shared" ref="G30:K30" ca="1" si="8">SUM(G27:G29)</f>
        <v>0</v>
      </c>
      <c r="H30">
        <f t="shared" ca="1" si="8"/>
        <v>1098.6965483520016</v>
      </c>
      <c r="I30">
        <f t="shared" ca="1" si="8"/>
        <v>0</v>
      </c>
      <c r="J30">
        <f t="shared" ca="1" si="8"/>
        <v>0</v>
      </c>
      <c r="K30">
        <f t="shared" ca="1" si="8"/>
        <v>0</v>
      </c>
      <c r="L30" t="str">
        <f t="shared" ca="1" si="1"/>
        <v>=SUM(K27:K29)</v>
      </c>
    </row>
    <row r="31" spans="1:27" ht="15" customHeight="1" x14ac:dyDescent="0.45">
      <c r="A31" s="96"/>
      <c r="B31"/>
      <c r="C31"/>
      <c r="D31"/>
      <c r="L31" t="str">
        <f t="shared" ca="1" si="1"/>
        <v/>
      </c>
    </row>
    <row r="32" spans="1:27" ht="15" customHeight="1" x14ac:dyDescent="0.45">
      <c r="A32" s="96" t="s">
        <v>236</v>
      </c>
      <c r="B32"/>
      <c r="C32"/>
      <c r="D32"/>
      <c r="L32" t="str">
        <f t="shared" ca="1" si="1"/>
        <v/>
      </c>
    </row>
    <row r="33" spans="1:27" ht="15" customHeight="1" x14ac:dyDescent="0.45">
      <c r="A33" s="96"/>
      <c r="B33" t="s">
        <v>216</v>
      </c>
      <c r="C33"/>
      <c r="D33"/>
      <c r="F33">
        <f ca="1">F10</f>
        <v>0</v>
      </c>
      <c r="G33">
        <f t="shared" ref="G33:K33" ca="1" si="9">G10</f>
        <v>0</v>
      </c>
      <c r="H33">
        <f t="shared" ca="1" si="9"/>
        <v>-1098.6965483520016</v>
      </c>
      <c r="I33">
        <f t="shared" ca="1" si="9"/>
        <v>4443.9241293823998</v>
      </c>
      <c r="J33">
        <f t="shared" ca="1" si="9"/>
        <v>5092.6827641897016</v>
      </c>
      <c r="K33">
        <f t="shared" ca="1" si="9"/>
        <v>5767.3917443892842</v>
      </c>
      <c r="L33" t="str">
        <f t="shared" ca="1" si="1"/>
        <v>=K10</v>
      </c>
    </row>
    <row r="34" spans="1:27" ht="15" customHeight="1" x14ac:dyDescent="0.45">
      <c r="A34" s="96"/>
      <c r="B34" t="s">
        <v>230</v>
      </c>
      <c r="C34"/>
      <c r="D34"/>
      <c r="F34" s="90"/>
      <c r="G34" s="90"/>
      <c r="H34" s="90"/>
      <c r="I34" s="90"/>
      <c r="J34" s="90"/>
      <c r="K34" s="90"/>
      <c r="L34" s="90" t="str">
        <f t="shared" ca="1" si="1"/>
        <v/>
      </c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1:27" ht="15" customHeight="1" x14ac:dyDescent="0.45">
      <c r="A35" s="96"/>
      <c r="B35" t="s">
        <v>237</v>
      </c>
      <c r="C35"/>
      <c r="D35"/>
      <c r="F35">
        <f ca="1">SUM(F28:F29)</f>
        <v>0</v>
      </c>
      <c r="G35">
        <f t="shared" ref="G35:K35" ca="1" si="10">SUM(G28:G29)</f>
        <v>0</v>
      </c>
      <c r="H35">
        <f t="shared" ca="1" si="10"/>
        <v>1098.6965483520016</v>
      </c>
      <c r="I35">
        <f t="shared" ca="1" si="10"/>
        <v>-1098.6965483520016</v>
      </c>
      <c r="J35">
        <f t="shared" ca="1" si="10"/>
        <v>0</v>
      </c>
      <c r="K35">
        <f t="shared" ca="1" si="10"/>
        <v>0</v>
      </c>
      <c r="L35" t="str">
        <f t="shared" ref="L35:L57" ca="1" si="11">IF(ISBLANK(K35),"",_xlfn.FORMULATEXT(K35))</f>
        <v>=SUM(K28:K29)</v>
      </c>
    </row>
    <row r="36" spans="1:27" ht="15" customHeight="1" x14ac:dyDescent="0.45">
      <c r="A36" s="96"/>
      <c r="B36" t="s">
        <v>238</v>
      </c>
      <c r="C36"/>
      <c r="D36"/>
      <c r="F36">
        <f ca="1">SUM(F33:F35)</f>
        <v>0</v>
      </c>
      <c r="G36">
        <f t="shared" ref="G36:K36" ca="1" si="12">SUM(G33:G35)</f>
        <v>0</v>
      </c>
      <c r="H36">
        <f t="shared" ca="1" si="12"/>
        <v>0</v>
      </c>
      <c r="I36">
        <f t="shared" ca="1" si="12"/>
        <v>3345.2275810303981</v>
      </c>
      <c r="J36">
        <f t="shared" ca="1" si="12"/>
        <v>5092.6827641897016</v>
      </c>
      <c r="K36">
        <f t="shared" ca="1" si="12"/>
        <v>5767.3917443892842</v>
      </c>
      <c r="L36" t="str">
        <f t="shared" ca="1" si="11"/>
        <v>=SUM(K33:K35)</v>
      </c>
    </row>
    <row r="37" spans="1:27" ht="15" customHeight="1" x14ac:dyDescent="0.45">
      <c r="A37" s="96"/>
      <c r="B37" t="s">
        <v>239</v>
      </c>
      <c r="C37" t="s">
        <v>76</v>
      </c>
      <c r="D37" s="91">
        <f>'Assumptions and Outputs'!D56</f>
        <v>0.25</v>
      </c>
      <c r="F37">
        <f ca="1">$D$37*F36</f>
        <v>0</v>
      </c>
      <c r="G37">
        <f t="shared" ref="G37:K37" ca="1" si="13">$D$37*G36</f>
        <v>0</v>
      </c>
      <c r="H37">
        <f t="shared" ca="1" si="13"/>
        <v>0</v>
      </c>
      <c r="I37">
        <f t="shared" ca="1" si="13"/>
        <v>836.30689525759954</v>
      </c>
      <c r="J37">
        <f t="shared" ca="1" si="13"/>
        <v>1273.1706910474254</v>
      </c>
      <c r="K37">
        <f t="shared" ca="1" si="13"/>
        <v>1441.8479360973211</v>
      </c>
      <c r="L37" t="str">
        <f t="shared" ca="1" si="11"/>
        <v>=$D$37*K36</v>
      </c>
    </row>
    <row r="38" spans="1:27" ht="15" customHeight="1" x14ac:dyDescent="0.45">
      <c r="A38" s="82"/>
      <c r="B38"/>
      <c r="C38"/>
      <c r="D38"/>
      <c r="L38" t="str">
        <f t="shared" ca="1" si="11"/>
        <v/>
      </c>
    </row>
    <row r="39" spans="1:27" ht="15" customHeight="1" x14ac:dyDescent="0.45">
      <c r="A39" s="82" t="s">
        <v>240</v>
      </c>
      <c r="B39"/>
      <c r="C39"/>
      <c r="D39"/>
      <c r="L39" t="str">
        <f t="shared" ca="1" si="11"/>
        <v/>
      </c>
    </row>
    <row r="40" spans="1:27" ht="15" customHeight="1" x14ac:dyDescent="0.45">
      <c r="A40" s="82"/>
      <c r="B40" t="s">
        <v>216</v>
      </c>
      <c r="C40"/>
      <c r="D40"/>
      <c r="F40">
        <f ca="1">F10</f>
        <v>0</v>
      </c>
      <c r="G40">
        <f t="shared" ref="G40:K40" ca="1" si="14">G10</f>
        <v>0</v>
      </c>
      <c r="H40">
        <f t="shared" ca="1" si="14"/>
        <v>-1098.6965483520016</v>
      </c>
      <c r="I40">
        <f t="shared" ca="1" si="14"/>
        <v>4443.9241293823998</v>
      </c>
      <c r="J40">
        <f t="shared" ca="1" si="14"/>
        <v>5092.6827641897016</v>
      </c>
      <c r="K40">
        <f t="shared" ca="1" si="14"/>
        <v>5767.3917443892842</v>
      </c>
      <c r="L40" t="str">
        <f t="shared" ca="1" si="11"/>
        <v>=K10</v>
      </c>
    </row>
    <row r="41" spans="1:27" ht="15" customHeight="1" x14ac:dyDescent="0.45">
      <c r="A41" s="82"/>
      <c r="B41" t="s">
        <v>239</v>
      </c>
      <c r="C41"/>
      <c r="D41"/>
      <c r="F41" s="90">
        <f ca="1">F37*-1</f>
        <v>0</v>
      </c>
      <c r="G41" s="90">
        <f t="shared" ref="G41:K41" ca="1" si="15">G37*-1</f>
        <v>0</v>
      </c>
      <c r="H41" s="90">
        <f t="shared" ca="1" si="15"/>
        <v>0</v>
      </c>
      <c r="I41" s="90">
        <f t="shared" ca="1" si="15"/>
        <v>-836.30689525759954</v>
      </c>
      <c r="J41" s="90">
        <f t="shared" ca="1" si="15"/>
        <v>-1273.1706910474254</v>
      </c>
      <c r="K41" s="90">
        <f t="shared" ca="1" si="15"/>
        <v>-1441.8479360973211</v>
      </c>
      <c r="L41" s="90" t="str">
        <f t="shared" ca="1" si="11"/>
        <v>=K37*-1</v>
      </c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1:27" ht="15" customHeight="1" x14ac:dyDescent="0.45">
      <c r="A42" s="82"/>
      <c r="B42" t="s">
        <v>241</v>
      </c>
      <c r="C42"/>
      <c r="D42"/>
      <c r="F42">
        <f ca="1">SUM(F40:F41)</f>
        <v>0</v>
      </c>
      <c r="G42">
        <f t="shared" ref="G42:K42" ca="1" si="16">SUM(G40:G41)</f>
        <v>0</v>
      </c>
      <c r="H42">
        <f t="shared" ca="1" si="16"/>
        <v>-1098.6965483520016</v>
      </c>
      <c r="I42">
        <f t="shared" ca="1" si="16"/>
        <v>3607.6172341248002</v>
      </c>
      <c r="J42">
        <f t="shared" ca="1" si="16"/>
        <v>3819.5120731422762</v>
      </c>
      <c r="K42">
        <f t="shared" ca="1" si="16"/>
        <v>4325.5438082919627</v>
      </c>
      <c r="L42" t="str">
        <f t="shared" ca="1" si="11"/>
        <v>=SUM(K40:K41)</v>
      </c>
    </row>
    <row r="43" spans="1:27" ht="15" customHeight="1" x14ac:dyDescent="0.45">
      <c r="A43" s="82"/>
      <c r="B43"/>
      <c r="C43"/>
      <c r="D43"/>
      <c r="L43" t="str">
        <f t="shared" ca="1" si="11"/>
        <v/>
      </c>
    </row>
    <row r="44" spans="1:27" ht="15" customHeight="1" x14ac:dyDescent="0.45">
      <c r="A44" s="82" t="s">
        <v>242</v>
      </c>
      <c r="B44"/>
      <c r="C44"/>
      <c r="D44"/>
      <c r="L44" t="str">
        <f t="shared" ca="1" si="11"/>
        <v/>
      </c>
    </row>
    <row r="45" spans="1:27" ht="15" customHeight="1" x14ac:dyDescent="0.45">
      <c r="A45" s="82"/>
      <c r="B45" t="s">
        <v>243</v>
      </c>
      <c r="C45"/>
      <c r="D45" s="91">
        <f>'Assumptions and Outputs'!D58</f>
        <v>0.5</v>
      </c>
      <c r="F45">
        <f ca="1">$D$45*F41</f>
        <v>0</v>
      </c>
      <c r="G45">
        <f t="shared" ref="G45:K45" ca="1" si="17">$D$45*G41</f>
        <v>0</v>
      </c>
      <c r="H45">
        <f t="shared" ca="1" si="17"/>
        <v>0</v>
      </c>
      <c r="I45">
        <f t="shared" ca="1" si="17"/>
        <v>-418.15344762879977</v>
      </c>
      <c r="J45">
        <f t="shared" ca="1" si="17"/>
        <v>-636.5853455237127</v>
      </c>
      <c r="K45">
        <f t="shared" ca="1" si="17"/>
        <v>-720.92396804866053</v>
      </c>
      <c r="L45" t="str">
        <f t="shared" ca="1" si="11"/>
        <v>=$D$45*K41</v>
      </c>
    </row>
    <row r="46" spans="1:27" ht="15" customHeight="1" x14ac:dyDescent="0.45">
      <c r="A46" s="82"/>
      <c r="B46" t="s">
        <v>242</v>
      </c>
      <c r="C46"/>
      <c r="D46" s="91">
        <f>'Assumptions and Outputs'!D59</f>
        <v>0.5</v>
      </c>
      <c r="F46">
        <f ca="1">$D$46*F41*-1</f>
        <v>0</v>
      </c>
      <c r="G46">
        <f t="shared" ref="G46:K46" ca="1" si="18">$D$46*G41*-1</f>
        <v>0</v>
      </c>
      <c r="H46">
        <f t="shared" ca="1" si="18"/>
        <v>0</v>
      </c>
      <c r="I46">
        <f t="shared" ca="1" si="18"/>
        <v>418.15344762879977</v>
      </c>
      <c r="J46">
        <f t="shared" ca="1" si="18"/>
        <v>636.5853455237127</v>
      </c>
      <c r="K46">
        <f t="shared" ca="1" si="18"/>
        <v>720.92396804866053</v>
      </c>
      <c r="L46" t="str">
        <f t="shared" ca="1" si="11"/>
        <v>=$D$46*K41*-1</v>
      </c>
    </row>
    <row r="47" spans="1:27" ht="15" customHeight="1" x14ac:dyDescent="0.45">
      <c r="A47" s="82"/>
      <c r="B47"/>
      <c r="C47"/>
      <c r="D47"/>
      <c r="L47" t="str">
        <f t="shared" ca="1" si="11"/>
        <v/>
      </c>
    </row>
    <row r="48" spans="1:27" ht="15" customHeight="1" x14ac:dyDescent="0.45">
      <c r="A48" s="82"/>
      <c r="B48" t="s">
        <v>244</v>
      </c>
      <c r="C48"/>
      <c r="D48"/>
      <c r="F48">
        <f ca="1">F45</f>
        <v>0</v>
      </c>
      <c r="G48">
        <f t="shared" ref="G48:K48" ca="1" si="19">G45</f>
        <v>0</v>
      </c>
      <c r="H48">
        <f t="shared" ca="1" si="19"/>
        <v>0</v>
      </c>
      <c r="I48">
        <f t="shared" ca="1" si="19"/>
        <v>-418.15344762879977</v>
      </c>
      <c r="J48">
        <f t="shared" ca="1" si="19"/>
        <v>-636.5853455237127</v>
      </c>
      <c r="K48">
        <f t="shared" ca="1" si="19"/>
        <v>-720.92396804866053</v>
      </c>
      <c r="L48" t="str">
        <f t="shared" ca="1" si="11"/>
        <v>=K45</v>
      </c>
    </row>
    <row r="49" spans="1:12" ht="15" customHeight="1" x14ac:dyDescent="0.45">
      <c r="A49" s="82"/>
      <c r="B49" t="s">
        <v>245</v>
      </c>
      <c r="C49"/>
      <c r="D49"/>
      <c r="F49">
        <f>E46*-1</f>
        <v>0</v>
      </c>
      <c r="G49">
        <f t="shared" ref="G49:K49" ca="1" si="20">F46*-1</f>
        <v>0</v>
      </c>
      <c r="H49">
        <f t="shared" ca="1" si="20"/>
        <v>0</v>
      </c>
      <c r="I49">
        <f t="shared" ca="1" si="20"/>
        <v>0</v>
      </c>
      <c r="J49">
        <f t="shared" ca="1" si="20"/>
        <v>-418.15344762879977</v>
      </c>
      <c r="K49">
        <f t="shared" ca="1" si="20"/>
        <v>-636.5853455237127</v>
      </c>
      <c r="L49" t="str">
        <f t="shared" ca="1" si="11"/>
        <v>=J46*-1</v>
      </c>
    </row>
    <row r="50" spans="1:12" ht="15" customHeight="1" x14ac:dyDescent="0.45">
      <c r="A50" s="82"/>
      <c r="B50" t="s">
        <v>246</v>
      </c>
      <c r="C50"/>
      <c r="D50"/>
      <c r="F50">
        <f ca="1">SUM(F48:F49)</f>
        <v>0</v>
      </c>
      <c r="G50">
        <f t="shared" ref="G50:K50" ca="1" si="21">SUM(G48:G49)</f>
        <v>0</v>
      </c>
      <c r="H50">
        <f t="shared" ca="1" si="21"/>
        <v>0</v>
      </c>
      <c r="I50">
        <f t="shared" ca="1" si="21"/>
        <v>-418.15344762879977</v>
      </c>
      <c r="J50">
        <f t="shared" ca="1" si="21"/>
        <v>-1054.7387931525125</v>
      </c>
      <c r="K50">
        <f t="shared" ca="1" si="21"/>
        <v>-1357.5093135723732</v>
      </c>
      <c r="L50" t="str">
        <f t="shared" ca="1" si="11"/>
        <v>=SUM(K48:K49)</v>
      </c>
    </row>
    <row r="51" spans="1:12" ht="15" customHeight="1" x14ac:dyDescent="0.45">
      <c r="A51" s="82"/>
      <c r="B51"/>
      <c r="C51"/>
      <c r="D51"/>
      <c r="L51" t="str">
        <f t="shared" ca="1" si="11"/>
        <v/>
      </c>
    </row>
    <row r="52" spans="1:12" ht="15" customHeight="1" x14ac:dyDescent="0.45">
      <c r="A52" s="59" t="s">
        <v>120</v>
      </c>
      <c r="B52"/>
      <c r="C52"/>
      <c r="D52"/>
      <c r="L52" t="str">
        <f t="shared" ca="1" si="11"/>
        <v/>
      </c>
    </row>
    <row r="53" spans="1:12" ht="15" customHeight="1" x14ac:dyDescent="0.45">
      <c r="A53" s="82"/>
      <c r="B53"/>
      <c r="C53" s="77"/>
      <c r="D53"/>
      <c r="L53" t="str">
        <f t="shared" ca="1" si="11"/>
        <v/>
      </c>
    </row>
    <row r="54" spans="1:12" ht="15" customHeight="1" x14ac:dyDescent="0.45">
      <c r="A54" s="82"/>
      <c r="B54"/>
      <c r="C54" s="77"/>
      <c r="D54"/>
      <c r="L54" t="str">
        <f t="shared" ca="1" si="11"/>
        <v/>
      </c>
    </row>
    <row r="55" spans="1:12" ht="15" customHeight="1" x14ac:dyDescent="0.45">
      <c r="A55" s="82"/>
      <c r="B55"/>
      <c r="C55" s="77"/>
      <c r="D55"/>
      <c r="L55" t="str">
        <f t="shared" ca="1" si="11"/>
        <v/>
      </c>
    </row>
    <row r="56" spans="1:12" ht="15" customHeight="1" x14ac:dyDescent="0.45">
      <c r="A56" s="82"/>
      <c r="B56"/>
      <c r="C56" s="77"/>
      <c r="D56"/>
      <c r="L56" t="str">
        <f t="shared" ca="1" si="11"/>
        <v/>
      </c>
    </row>
    <row r="57" spans="1:12" ht="15" customHeight="1" x14ac:dyDescent="0.45">
      <c r="A57" s="82"/>
      <c r="B57"/>
      <c r="C57" s="77"/>
      <c r="D57"/>
      <c r="L57" t="str">
        <f t="shared" ca="1" si="11"/>
        <v/>
      </c>
    </row>
    <row r="58" spans="1:12" ht="15" customHeight="1" x14ac:dyDescent="0.45">
      <c r="A58" s="82"/>
      <c r="B58"/>
      <c r="C58" s="77"/>
      <c r="D58"/>
    </row>
    <row r="59" spans="1:12" ht="15" customHeight="1" x14ac:dyDescent="0.45">
      <c r="A59" s="82"/>
      <c r="B59"/>
      <c r="C59" s="77"/>
      <c r="D59"/>
    </row>
    <row r="60" spans="1:12" ht="15" customHeight="1" x14ac:dyDescent="0.45">
      <c r="A60" s="82"/>
      <c r="B60"/>
      <c r="C60" s="77"/>
      <c r="D60"/>
    </row>
    <row r="61" spans="1:12" ht="15" customHeight="1" x14ac:dyDescent="0.45">
      <c r="A61" s="82"/>
      <c r="B61"/>
      <c r="C61" s="77"/>
      <c r="D61"/>
    </row>
    <row r="62" spans="1:12" ht="15" customHeight="1" x14ac:dyDescent="0.45">
      <c r="A62" s="82"/>
      <c r="B62"/>
      <c r="C62" s="77"/>
      <c r="D62"/>
    </row>
    <row r="63" spans="1:12" ht="15" customHeight="1" x14ac:dyDescent="0.45">
      <c r="A63" s="82"/>
      <c r="B63"/>
      <c r="C63" s="77"/>
      <c r="D63"/>
    </row>
    <row r="64" spans="1:12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 s="77"/>
      <c r="D174"/>
    </row>
    <row r="175" spans="1:4" ht="15" customHeight="1" x14ac:dyDescent="0.45">
      <c r="A175" s="82"/>
      <c r="B175"/>
      <c r="C175" s="77"/>
      <c r="D175"/>
    </row>
    <row r="176" spans="1:4" ht="15" customHeight="1" x14ac:dyDescent="0.45">
      <c r="A176" s="82"/>
      <c r="B176"/>
      <c r="C176" s="77"/>
      <c r="D176"/>
    </row>
    <row r="177" spans="1:4" ht="15" customHeight="1" x14ac:dyDescent="0.45">
      <c r="A177" s="82"/>
      <c r="B177"/>
      <c r="C177" s="77"/>
      <c r="D177"/>
    </row>
    <row r="178" spans="1:4" ht="15" customHeight="1" x14ac:dyDescent="0.45">
      <c r="A178" s="82"/>
      <c r="B178"/>
      <c r="C178" s="77"/>
      <c r="D178"/>
    </row>
    <row r="179" spans="1:4" ht="15" customHeight="1" x14ac:dyDescent="0.45">
      <c r="A179" s="82"/>
      <c r="B179"/>
      <c r="C179" s="77"/>
      <c r="D179"/>
    </row>
    <row r="180" spans="1:4" ht="15" customHeight="1" x14ac:dyDescent="0.45">
      <c r="A180" s="82"/>
      <c r="B180"/>
      <c r="C180" s="77"/>
      <c r="D180"/>
    </row>
    <row r="181" spans="1:4" ht="15" customHeight="1" x14ac:dyDescent="0.45">
      <c r="A181" s="82"/>
      <c r="B181"/>
      <c r="C181" s="77"/>
      <c r="D181"/>
    </row>
    <row r="182" spans="1:4" ht="15" customHeight="1" x14ac:dyDescent="0.45">
      <c r="A182" s="82"/>
      <c r="B182"/>
      <c r="C182" s="77"/>
      <c r="D182"/>
    </row>
    <row r="183" spans="1:4" ht="15" customHeight="1" x14ac:dyDescent="0.45">
      <c r="A183" s="82"/>
      <c r="B183"/>
      <c r="C183" s="77"/>
      <c r="D183"/>
    </row>
    <row r="184" spans="1:4" ht="15" customHeight="1" x14ac:dyDescent="0.45">
      <c r="A184" s="82"/>
      <c r="B184"/>
      <c r="C184" s="77"/>
      <c r="D184"/>
    </row>
    <row r="185" spans="1:4" ht="15" customHeight="1" x14ac:dyDescent="0.45">
      <c r="A185" s="82"/>
      <c r="B185"/>
      <c r="C185" s="77"/>
      <c r="D185"/>
    </row>
    <row r="186" spans="1:4" ht="15" customHeight="1" x14ac:dyDescent="0.45">
      <c r="A186" s="82"/>
      <c r="B186"/>
      <c r="C186" s="77"/>
      <c r="D186"/>
    </row>
    <row r="187" spans="1:4" ht="15" customHeight="1" x14ac:dyDescent="0.45">
      <c r="A187" s="82"/>
      <c r="B187"/>
      <c r="C187" s="77"/>
      <c r="D187"/>
    </row>
    <row r="188" spans="1:4" ht="15" customHeight="1" x14ac:dyDescent="0.45">
      <c r="A188" s="82"/>
      <c r="B188"/>
      <c r="C188" s="77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D00B-4D04-4FF5-BCE5-51560C2455DB}">
  <dimension ref="A1:AA432"/>
  <sheetViews>
    <sheetView zoomScale="130" zoomScaleNormal="13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27" sqref="K27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Balance sheet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 t="shared" ref="G2:AA2" si="0">EDATE(F2,12)</f>
        <v>55518</v>
      </c>
      <c r="H2" s="11">
        <f t="shared" si="0"/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  <c r="L3" t="str">
        <f t="shared" ref="L3:L39" ca="1" si="1">IF(ISBLANK(K3),"",_xlfn.FORMULATEXT(K3))</f>
        <v/>
      </c>
    </row>
    <row r="4" spans="1:27" ht="15" customHeight="1" x14ac:dyDescent="0.45">
      <c r="A4" s="82"/>
      <c r="B4" s="77"/>
      <c r="C4" s="77"/>
      <c r="D4" s="77"/>
      <c r="L4" t="str">
        <f t="shared" ca="1" si="1"/>
        <v/>
      </c>
    </row>
    <row r="5" spans="1:27" ht="15" customHeight="1" x14ac:dyDescent="0.45">
      <c r="A5" s="82" t="s">
        <v>247</v>
      </c>
      <c r="B5" s="77"/>
      <c r="C5" s="77"/>
      <c r="D5" s="77"/>
      <c r="L5" t="str">
        <f t="shared" ca="1" si="1"/>
        <v/>
      </c>
    </row>
    <row r="6" spans="1:27" ht="15" customHeight="1" x14ac:dyDescent="0.45">
      <c r="A6" s="82"/>
      <c r="B6" t="s">
        <v>248</v>
      </c>
      <c r="C6"/>
      <c r="D6"/>
      <c r="F6">
        <f>E9</f>
        <v>0</v>
      </c>
      <c r="G6">
        <f t="shared" ref="G6:K6" ca="1" si="2">F9</f>
        <v>0</v>
      </c>
      <c r="H6">
        <f t="shared" ca="1" si="2"/>
        <v>0</v>
      </c>
      <c r="I6">
        <f t="shared" ca="1" si="2"/>
        <v>-1098.6965483520016</v>
      </c>
      <c r="J6">
        <f t="shared" ca="1" si="2"/>
        <v>2508.9206857727986</v>
      </c>
      <c r="K6">
        <f t="shared" ca="1" si="2"/>
        <v>6328.4327589150744</v>
      </c>
      <c r="L6" t="str">
        <f t="shared" ca="1" si="1"/>
        <v>=J9</v>
      </c>
    </row>
    <row r="7" spans="1:27" ht="15" customHeight="1" x14ac:dyDescent="0.45">
      <c r="A7" s="82"/>
      <c r="B7" t="s">
        <v>241</v>
      </c>
      <c r="C7"/>
      <c r="D7"/>
      <c r="F7">
        <f ca="1">'P&amp;L and Tax'!F42</f>
        <v>0</v>
      </c>
      <c r="G7">
        <f ca="1">'P&amp;L and Tax'!G42</f>
        <v>0</v>
      </c>
      <c r="H7">
        <f ca="1">'P&amp;L and Tax'!H42</f>
        <v>-1098.6965483520016</v>
      </c>
      <c r="I7">
        <f ca="1">'P&amp;L and Tax'!I42</f>
        <v>3607.6172341248002</v>
      </c>
      <c r="J7">
        <f ca="1">'P&amp;L and Tax'!J42</f>
        <v>3819.5120731422762</v>
      </c>
      <c r="K7">
        <f ca="1">'P&amp;L and Tax'!K42</f>
        <v>4325.5438082919627</v>
      </c>
      <c r="L7" t="str">
        <f t="shared" ca="1" si="1"/>
        <v>='P&amp;L and Tax'!K42</v>
      </c>
    </row>
    <row r="8" spans="1:27" ht="15" customHeight="1" x14ac:dyDescent="0.45">
      <c r="A8" s="82"/>
      <c r="B8" t="s">
        <v>105</v>
      </c>
      <c r="C8"/>
      <c r="D8"/>
      <c r="F8" s="90"/>
      <c r="G8" s="90"/>
      <c r="H8" s="90"/>
      <c r="I8" s="90"/>
      <c r="J8" s="90"/>
      <c r="K8" s="90"/>
      <c r="L8" s="90" t="str">
        <f t="shared" ca="1" si="1"/>
        <v/>
      </c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5" customHeight="1" x14ac:dyDescent="0.45">
      <c r="A9" s="82"/>
      <c r="B9" t="s">
        <v>249</v>
      </c>
      <c r="C9"/>
      <c r="D9"/>
      <c r="E9" s="83">
        <v>0</v>
      </c>
      <c r="F9">
        <f ca="1">SUM(F6:F8)</f>
        <v>0</v>
      </c>
      <c r="G9">
        <f t="shared" ref="G9:K9" ca="1" si="3">SUM(G6:G8)</f>
        <v>0</v>
      </c>
      <c r="H9">
        <f t="shared" ca="1" si="3"/>
        <v>-1098.6965483520016</v>
      </c>
      <c r="I9">
        <f t="shared" ca="1" si="3"/>
        <v>2508.9206857727986</v>
      </c>
      <c r="J9">
        <f t="shared" ca="1" si="3"/>
        <v>6328.4327589150744</v>
      </c>
      <c r="K9">
        <f t="shared" ca="1" si="3"/>
        <v>10653.976567207037</v>
      </c>
      <c r="L9" t="str">
        <f t="shared" ca="1" si="1"/>
        <v>=SUM(K6:K8)</v>
      </c>
    </row>
    <row r="10" spans="1:27" ht="15" customHeight="1" x14ac:dyDescent="0.45">
      <c r="A10" s="82"/>
      <c r="B10" s="77"/>
      <c r="C10"/>
      <c r="D10"/>
      <c r="L10" t="str">
        <f t="shared" ca="1" si="1"/>
        <v/>
      </c>
    </row>
    <row r="11" spans="1:27" ht="15" customHeight="1" x14ac:dyDescent="0.45">
      <c r="A11" s="82" t="s">
        <v>23</v>
      </c>
      <c r="B11" s="77"/>
      <c r="C11"/>
      <c r="D11"/>
      <c r="L11" t="str">
        <f t="shared" ca="1" si="1"/>
        <v/>
      </c>
    </row>
    <row r="12" spans="1:27" ht="15" customHeight="1" x14ac:dyDescent="0.45">
      <c r="A12" s="96"/>
      <c r="B12" t="s">
        <v>250</v>
      </c>
      <c r="C12"/>
      <c r="D12"/>
      <c r="F12" s="90"/>
      <c r="G12" s="90"/>
      <c r="H12" s="90"/>
      <c r="I12" s="90"/>
      <c r="J12" s="90"/>
      <c r="K12" s="90"/>
      <c r="L12" s="90" t="str">
        <f t="shared" ca="1" si="1"/>
        <v/>
      </c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27" ht="15" customHeight="1" x14ac:dyDescent="0.45">
      <c r="A13" s="82"/>
      <c r="B13" t="s">
        <v>83</v>
      </c>
      <c r="C13" t="str">
        <f>'Assumptions and Outputs'!C62</f>
        <v>Days</v>
      </c>
      <c r="D13">
        <f>'Assumptions and Outputs'!D62</f>
        <v>30</v>
      </c>
      <c r="F13">
        <f>$D$13/'Assumptions and Outputs'!$D$20*Operations!F42</f>
        <v>0</v>
      </c>
      <c r="G13">
        <f>$D$13/'Assumptions and Outputs'!$D$20*Operations!G42</f>
        <v>0</v>
      </c>
      <c r="H13">
        <f>$D$13/'Assumptions and Outputs'!$D$20*Operations!H42</f>
        <v>3011.9777591408219</v>
      </c>
      <c r="I13">
        <f>$D$13/'Assumptions and Outputs'!$D$20*Operations!I42</f>
        <v>3627.1128118145757</v>
      </c>
      <c r="J13">
        <f>$D$13/'Assumptions and Outputs'!$D$20*Operations!J42</f>
        <v>3772.1973242871595</v>
      </c>
      <c r="K13">
        <f>$D$13/'Assumptions and Outputs'!$D$20*Operations!K42</f>
        <v>3923.0852172586456</v>
      </c>
      <c r="L13" t="str">
        <f t="shared" ca="1" si="1"/>
        <v>=$D$13/'Assumptions and Outputs'!$D$20*Operations!K42</v>
      </c>
    </row>
    <row r="14" spans="1:27" ht="15" customHeight="1" x14ac:dyDescent="0.45">
      <c r="A14" s="82"/>
      <c r="B14" t="s">
        <v>251</v>
      </c>
      <c r="C14"/>
      <c r="D14"/>
      <c r="F14">
        <f ca="1">'Sources and Uses'!F51</f>
        <v>44561.919999999998</v>
      </c>
      <c r="G14">
        <f ca="1">'Sources and Uses'!G51</f>
        <v>235500.83481600002</v>
      </c>
      <c r="H14">
        <f ca="1">'Sources and Uses'!H51</f>
        <v>223725.79307520002</v>
      </c>
      <c r="I14">
        <f ca="1">'Sources and Uses'!I51</f>
        <v>211950.75133440003</v>
      </c>
      <c r="J14">
        <f ca="1">'Sources and Uses'!J51</f>
        <v>200175.70959360004</v>
      </c>
      <c r="K14">
        <f ca="1">'Sources and Uses'!K51</f>
        <v>188400.66785280005</v>
      </c>
      <c r="L14" t="str">
        <f t="shared" ca="1" si="1"/>
        <v>='Sources and Uses'!K51</v>
      </c>
    </row>
    <row r="15" spans="1:27" ht="15" customHeight="1" x14ac:dyDescent="0.45">
      <c r="A15" s="82"/>
      <c r="B15" t="s">
        <v>252</v>
      </c>
      <c r="C15"/>
      <c r="D15"/>
      <c r="F15">
        <f ca="1">SUM(F12:F14)</f>
        <v>44561.919999999998</v>
      </c>
      <c r="G15">
        <f t="shared" ref="G15:K15" ca="1" si="4">SUM(G12:G14)</f>
        <v>235500.83481600002</v>
      </c>
      <c r="H15">
        <f t="shared" ca="1" si="4"/>
        <v>226737.77083434086</v>
      </c>
      <c r="I15">
        <f t="shared" ca="1" si="4"/>
        <v>215577.86414621462</v>
      </c>
      <c r="J15">
        <f t="shared" ca="1" si="4"/>
        <v>203947.90691788719</v>
      </c>
      <c r="K15">
        <f t="shared" ca="1" si="4"/>
        <v>192323.75307005871</v>
      </c>
      <c r="L15" t="str">
        <f t="shared" ca="1" si="1"/>
        <v>=SUM(K12:K14)</v>
      </c>
    </row>
    <row r="16" spans="1:27" ht="15" customHeight="1" x14ac:dyDescent="0.45">
      <c r="A16" s="82"/>
      <c r="B16"/>
      <c r="C16"/>
      <c r="D16"/>
      <c r="L16" t="str">
        <f t="shared" ca="1" si="1"/>
        <v/>
      </c>
    </row>
    <row r="17" spans="1:27" ht="15" customHeight="1" x14ac:dyDescent="0.45">
      <c r="A17" s="96"/>
      <c r="B17" t="s">
        <v>242</v>
      </c>
      <c r="C17"/>
      <c r="D17"/>
      <c r="F17">
        <f ca="1">'P&amp;L and Tax'!F46</f>
        <v>0</v>
      </c>
      <c r="G17">
        <f ca="1">'P&amp;L and Tax'!G46</f>
        <v>0</v>
      </c>
      <c r="H17">
        <f ca="1">'P&amp;L and Tax'!H46</f>
        <v>0</v>
      </c>
      <c r="I17">
        <f ca="1">'P&amp;L and Tax'!I46</f>
        <v>418.15344762879977</v>
      </c>
      <c r="J17">
        <f ca="1">'P&amp;L and Tax'!J46</f>
        <v>636.5853455237127</v>
      </c>
      <c r="K17">
        <f ca="1">'P&amp;L and Tax'!K46</f>
        <v>720.92396804866053</v>
      </c>
      <c r="L17" t="str">
        <f t="shared" ca="1" si="1"/>
        <v>='P&amp;L and Tax'!K46</v>
      </c>
    </row>
    <row r="18" spans="1:27" ht="15" customHeight="1" x14ac:dyDescent="0.45">
      <c r="A18" s="82"/>
      <c r="B18" t="s">
        <v>253</v>
      </c>
      <c r="C18" t="str">
        <f>'Assumptions and Outputs'!C63</f>
        <v>Days</v>
      </c>
      <c r="D18">
        <f>'Assumptions and Outputs'!D63</f>
        <v>60</v>
      </c>
      <c r="F18">
        <f>$D$18/'Assumptions and Outputs'!$D$20*Operations!F47*-1</f>
        <v>0</v>
      </c>
      <c r="G18">
        <f>$D$18/'Assumptions and Outputs'!$D$20*Operations!G47*-1</f>
        <v>0</v>
      </c>
      <c r="H18">
        <f>$D$18/'Assumptions and Outputs'!$D$20*Operations!H47*-1</f>
        <v>4268.9398702080007</v>
      </c>
      <c r="I18">
        <f>$D$18/'Assumptions and Outputs'!$D$20*Operations!I47*-1</f>
        <v>4588.0942477087574</v>
      </c>
      <c r="J18">
        <f>$D$18/'Assumptions and Outputs'!$D$20*Operations!J47*-1</f>
        <v>4771.6180176171074</v>
      </c>
      <c r="K18">
        <f>$D$18/'Assumptions and Outputs'!$D$20*Operations!K47*-1</f>
        <v>4962.4827383217917</v>
      </c>
      <c r="L18" t="str">
        <f t="shared" ca="1" si="1"/>
        <v>=$D$18/'Assumptions and Outputs'!$D$20*Operations!K47*-1</v>
      </c>
    </row>
    <row r="19" spans="1:27" ht="15" customHeight="1" x14ac:dyDescent="0.45">
      <c r="A19" s="82"/>
      <c r="B19" t="s">
        <v>254</v>
      </c>
      <c r="C19"/>
      <c r="D19"/>
      <c r="F19" s="90"/>
      <c r="G19" s="90"/>
      <c r="H19" s="90"/>
      <c r="I19" s="90"/>
      <c r="J19" s="90"/>
      <c r="K19" s="90"/>
      <c r="L19" s="90" t="str">
        <f t="shared" ca="1" si="1"/>
        <v/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" customHeight="1" x14ac:dyDescent="0.45">
      <c r="A20" s="82"/>
      <c r="B20" t="s">
        <v>255</v>
      </c>
      <c r="C20"/>
      <c r="D20"/>
      <c r="F20" s="90"/>
      <c r="G20" s="90"/>
      <c r="H20" s="90"/>
      <c r="I20" s="90"/>
      <c r="J20" s="90"/>
      <c r="K20" s="90"/>
      <c r="L20" s="90" t="str">
        <f t="shared" ca="1" si="1"/>
        <v/>
      </c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" customHeight="1" x14ac:dyDescent="0.45">
      <c r="A21" s="82"/>
      <c r="B21" t="s">
        <v>256</v>
      </c>
      <c r="C21"/>
      <c r="D21"/>
      <c r="F21">
        <f ca="1">SUM(F17:F20)</f>
        <v>0</v>
      </c>
      <c r="G21">
        <f t="shared" ref="G21:K21" ca="1" si="5">SUM(G17:G20)</f>
        <v>0</v>
      </c>
      <c r="H21">
        <f t="shared" ca="1" si="5"/>
        <v>4268.9398702080007</v>
      </c>
      <c r="I21">
        <f t="shared" ca="1" si="5"/>
        <v>5006.2476953375572</v>
      </c>
      <c r="J21">
        <f t="shared" ca="1" si="5"/>
        <v>5408.2033631408203</v>
      </c>
      <c r="K21">
        <f t="shared" ca="1" si="5"/>
        <v>5683.4067063704524</v>
      </c>
      <c r="L21" t="str">
        <f t="shared" ca="1" si="1"/>
        <v>=SUM(K17:K20)</v>
      </c>
    </row>
    <row r="22" spans="1:27" ht="15" customHeight="1" x14ac:dyDescent="0.45">
      <c r="A22" s="82"/>
      <c r="B22"/>
      <c r="C22"/>
      <c r="D22"/>
      <c r="L22" t="str">
        <f t="shared" ca="1" si="1"/>
        <v/>
      </c>
    </row>
    <row r="23" spans="1:27" ht="15" customHeight="1" x14ac:dyDescent="0.45">
      <c r="A23" s="82"/>
      <c r="B23" t="s">
        <v>257</v>
      </c>
      <c r="C23"/>
      <c r="D23"/>
      <c r="F23">
        <f ca="1">'Sources and Uses'!F61</f>
        <v>44561.919999999998</v>
      </c>
      <c r="G23">
        <f ca="1">'Sources and Uses'!G61</f>
        <v>117750.41740800001</v>
      </c>
      <c r="H23">
        <f ca="1">'Sources and Uses'!H61</f>
        <v>117750.41740800001</v>
      </c>
      <c r="I23">
        <f ca="1">'Sources and Uses'!I61</f>
        <v>117750.41740800001</v>
      </c>
      <c r="J23">
        <f ca="1">'Sources and Uses'!J61</f>
        <v>117750.41740800001</v>
      </c>
      <c r="K23">
        <f ca="1">'Sources and Uses'!K61</f>
        <v>117750.41740800001</v>
      </c>
      <c r="L23" t="str">
        <f t="shared" ca="1" si="1"/>
        <v>='Sources and Uses'!K61</v>
      </c>
    </row>
    <row r="24" spans="1:27" ht="15" customHeight="1" x14ac:dyDescent="0.45">
      <c r="A24" s="82"/>
      <c r="B24" t="s">
        <v>258</v>
      </c>
      <c r="C24"/>
      <c r="D24"/>
      <c r="F24">
        <f ca="1">F9</f>
        <v>0</v>
      </c>
      <c r="G24">
        <f t="shared" ref="G24:K24" ca="1" si="6">G9</f>
        <v>0</v>
      </c>
      <c r="H24">
        <f t="shared" ca="1" si="6"/>
        <v>-1098.6965483520016</v>
      </c>
      <c r="I24">
        <f t="shared" ca="1" si="6"/>
        <v>2508.9206857727986</v>
      </c>
      <c r="J24">
        <f t="shared" ca="1" si="6"/>
        <v>6328.4327589150744</v>
      </c>
      <c r="K24">
        <f t="shared" ca="1" si="6"/>
        <v>10653.976567207037</v>
      </c>
      <c r="L24" t="str">
        <f t="shared" ca="1" si="1"/>
        <v>=K9</v>
      </c>
    </row>
    <row r="25" spans="1:27" ht="15" customHeight="1" x14ac:dyDescent="0.45">
      <c r="A25" s="82"/>
      <c r="B25" t="s">
        <v>259</v>
      </c>
      <c r="C25"/>
      <c r="D25"/>
      <c r="F25">
        <f ca="1">F21+SUM(F23:F24)</f>
        <v>44561.919999999998</v>
      </c>
      <c r="G25">
        <f t="shared" ref="G25:K25" ca="1" si="7">G21+SUM(G23:G24)</f>
        <v>117750.41740800001</v>
      </c>
      <c r="H25">
        <f t="shared" ca="1" si="7"/>
        <v>120920.66072985601</v>
      </c>
      <c r="I25">
        <f t="shared" ca="1" si="7"/>
        <v>125265.58578911037</v>
      </c>
      <c r="J25">
        <f t="shared" ca="1" si="7"/>
        <v>129487.05353005591</v>
      </c>
      <c r="K25">
        <f t="shared" ca="1" si="7"/>
        <v>134087.8006815775</v>
      </c>
      <c r="L25" t="str">
        <f t="shared" ca="1" si="1"/>
        <v>=K21+SUM(K23:K24)</v>
      </c>
    </row>
    <row r="26" spans="1:27" ht="15" customHeight="1" x14ac:dyDescent="0.45">
      <c r="A26" s="82"/>
      <c r="B26"/>
      <c r="C26"/>
      <c r="D26"/>
      <c r="L26" t="str">
        <f t="shared" ca="1" si="1"/>
        <v/>
      </c>
    </row>
    <row r="27" spans="1:27" ht="15" customHeight="1" x14ac:dyDescent="0.45">
      <c r="A27" s="82"/>
      <c r="B27" t="s">
        <v>174</v>
      </c>
      <c r="C27"/>
      <c r="D27"/>
      <c r="F27">
        <f ca="1">F25-F15</f>
        <v>0</v>
      </c>
      <c r="G27">
        <f t="shared" ref="G27:K27" ca="1" si="8">G25-G15</f>
        <v>-117750.41740800001</v>
      </c>
      <c r="H27">
        <f t="shared" ca="1" si="8"/>
        <v>-105817.11010448485</v>
      </c>
      <c r="I27">
        <f t="shared" ca="1" si="8"/>
        <v>-90312.278357104253</v>
      </c>
      <c r="J27">
        <f t="shared" ca="1" si="8"/>
        <v>-74460.853387831274</v>
      </c>
      <c r="K27">
        <f t="shared" ca="1" si="8"/>
        <v>-58235.952388481208</v>
      </c>
      <c r="L27" t="str">
        <f t="shared" ca="1" si="1"/>
        <v>=K25-K15</v>
      </c>
    </row>
    <row r="28" spans="1:27" ht="15" customHeight="1" x14ac:dyDescent="0.45">
      <c r="A28" s="82"/>
      <c r="B28"/>
      <c r="C28"/>
      <c r="D28"/>
      <c r="L28" t="str">
        <f t="shared" ca="1" si="1"/>
        <v/>
      </c>
    </row>
    <row r="29" spans="1:27" ht="15" customHeight="1" x14ac:dyDescent="0.45">
      <c r="A29" s="59" t="s">
        <v>120</v>
      </c>
      <c r="B29"/>
      <c r="C29"/>
      <c r="D29"/>
      <c r="L29" t="str">
        <f t="shared" ca="1" si="1"/>
        <v/>
      </c>
    </row>
    <row r="30" spans="1:27" ht="15" customHeight="1" x14ac:dyDescent="0.45">
      <c r="A30" s="82"/>
      <c r="B30"/>
      <c r="C30" s="77"/>
      <c r="D30"/>
      <c r="L30" t="str">
        <f t="shared" ca="1" si="1"/>
        <v/>
      </c>
    </row>
    <row r="31" spans="1:27" ht="15" customHeight="1" x14ac:dyDescent="0.45">
      <c r="A31" s="82"/>
      <c r="B31"/>
      <c r="C31" s="77"/>
      <c r="D31"/>
      <c r="L31" t="str">
        <f t="shared" ca="1" si="1"/>
        <v/>
      </c>
    </row>
    <row r="32" spans="1:27" ht="15" customHeight="1" x14ac:dyDescent="0.45">
      <c r="A32" s="82"/>
      <c r="B32"/>
      <c r="C32" s="77"/>
      <c r="D32"/>
      <c r="L32" t="str">
        <f t="shared" ca="1" si="1"/>
        <v/>
      </c>
    </row>
    <row r="33" spans="1:12" ht="15" customHeight="1" x14ac:dyDescent="0.45">
      <c r="A33" s="82"/>
      <c r="B33"/>
      <c r="C33" s="77"/>
      <c r="D33"/>
      <c r="L33" t="str">
        <f t="shared" ca="1" si="1"/>
        <v/>
      </c>
    </row>
    <row r="34" spans="1:12" ht="15" customHeight="1" x14ac:dyDescent="0.45">
      <c r="A34" s="82"/>
      <c r="B34"/>
      <c r="C34" s="77"/>
      <c r="D34"/>
      <c r="L34" t="str">
        <f t="shared" ca="1" si="1"/>
        <v/>
      </c>
    </row>
    <row r="35" spans="1:12" ht="15" customHeight="1" x14ac:dyDescent="0.45">
      <c r="A35" s="82"/>
      <c r="B35"/>
      <c r="C35" s="77"/>
      <c r="D35"/>
      <c r="L35" t="str">
        <f t="shared" ca="1" si="1"/>
        <v/>
      </c>
    </row>
    <row r="36" spans="1:12" ht="15" customHeight="1" x14ac:dyDescent="0.45">
      <c r="A36" s="82"/>
      <c r="B36"/>
      <c r="C36" s="77"/>
      <c r="D36"/>
      <c r="L36" t="str">
        <f t="shared" ca="1" si="1"/>
        <v/>
      </c>
    </row>
    <row r="37" spans="1:12" ht="15" customHeight="1" x14ac:dyDescent="0.45">
      <c r="A37" s="82"/>
      <c r="B37"/>
      <c r="C37" s="77"/>
      <c r="D37"/>
      <c r="L37" t="str">
        <f t="shared" ca="1" si="1"/>
        <v/>
      </c>
    </row>
    <row r="38" spans="1:12" ht="15" customHeight="1" x14ac:dyDescent="0.45">
      <c r="A38" s="82"/>
      <c r="B38"/>
      <c r="C38" s="77"/>
      <c r="D38"/>
      <c r="L38" t="str">
        <f t="shared" ca="1" si="1"/>
        <v/>
      </c>
    </row>
    <row r="39" spans="1:12" ht="15" customHeight="1" x14ac:dyDescent="0.45">
      <c r="A39" s="82"/>
      <c r="B39"/>
      <c r="C39" s="77"/>
      <c r="D39"/>
      <c r="L39" t="str">
        <f t="shared" ca="1" si="1"/>
        <v/>
      </c>
    </row>
    <row r="40" spans="1:12" ht="15" customHeight="1" x14ac:dyDescent="0.45">
      <c r="A40" s="82"/>
      <c r="B40"/>
      <c r="C40" s="77"/>
      <c r="D40"/>
    </row>
    <row r="41" spans="1:12" ht="15" customHeight="1" x14ac:dyDescent="0.45">
      <c r="A41" s="82"/>
      <c r="B41"/>
      <c r="C41" s="77"/>
      <c r="D41"/>
    </row>
    <row r="42" spans="1:12" ht="15" customHeight="1" x14ac:dyDescent="0.45">
      <c r="A42" s="82"/>
      <c r="B42"/>
      <c r="C42" s="77"/>
      <c r="D42"/>
    </row>
    <row r="43" spans="1:12" ht="15" customHeight="1" x14ac:dyDescent="0.45">
      <c r="A43" s="82"/>
      <c r="B43"/>
      <c r="C43" s="77"/>
      <c r="D43"/>
    </row>
    <row r="44" spans="1:12" ht="15" customHeight="1" x14ac:dyDescent="0.45">
      <c r="A44" s="82"/>
      <c r="B44"/>
      <c r="C44" s="77"/>
      <c r="D44"/>
    </row>
    <row r="45" spans="1:12" ht="15" customHeight="1" x14ac:dyDescent="0.45">
      <c r="A45" s="82"/>
      <c r="B45"/>
      <c r="C45" s="77"/>
      <c r="D45"/>
    </row>
    <row r="46" spans="1:12" ht="15" customHeight="1" x14ac:dyDescent="0.45">
      <c r="A46" s="82"/>
      <c r="B46"/>
      <c r="C46" s="77"/>
      <c r="D46"/>
    </row>
    <row r="47" spans="1:12" ht="15" customHeight="1" x14ac:dyDescent="0.45">
      <c r="A47" s="82"/>
      <c r="B47"/>
      <c r="C47" s="77"/>
      <c r="D47"/>
    </row>
    <row r="48" spans="1:12" ht="15" customHeight="1" x14ac:dyDescent="0.45">
      <c r="A48" s="82"/>
      <c r="B48"/>
      <c r="C48" s="77"/>
      <c r="D48"/>
    </row>
    <row r="49" spans="1:4" ht="15" customHeight="1" x14ac:dyDescent="0.45">
      <c r="A49" s="82"/>
      <c r="B49"/>
      <c r="C49" s="77"/>
      <c r="D49"/>
    </row>
    <row r="50" spans="1:4" ht="15" customHeight="1" x14ac:dyDescent="0.45">
      <c r="A50" s="82"/>
      <c r="B50"/>
      <c r="C50" s="77"/>
      <c r="D50"/>
    </row>
    <row r="51" spans="1:4" ht="15" customHeight="1" x14ac:dyDescent="0.45">
      <c r="A51" s="82"/>
      <c r="B51"/>
      <c r="C51" s="77"/>
      <c r="D51"/>
    </row>
    <row r="52" spans="1:4" ht="15" customHeight="1" x14ac:dyDescent="0.45">
      <c r="A52" s="82"/>
      <c r="B52"/>
      <c r="C52" s="77"/>
      <c r="D52"/>
    </row>
    <row r="53" spans="1:4" ht="15" customHeight="1" x14ac:dyDescent="0.45">
      <c r="A53" s="82"/>
      <c r="B53"/>
      <c r="C53" s="77"/>
      <c r="D53"/>
    </row>
    <row r="54" spans="1:4" ht="15" customHeight="1" x14ac:dyDescent="0.45">
      <c r="A54" s="82"/>
      <c r="B54"/>
      <c r="C54" s="77"/>
      <c r="D54"/>
    </row>
    <row r="55" spans="1:4" ht="15" customHeight="1" x14ac:dyDescent="0.45">
      <c r="A55" s="82"/>
      <c r="B55"/>
      <c r="C55" s="77"/>
      <c r="D55"/>
    </row>
    <row r="56" spans="1:4" ht="15" customHeight="1" x14ac:dyDescent="0.45">
      <c r="A56" s="82"/>
      <c r="B56"/>
      <c r="C56" s="77"/>
      <c r="D56"/>
    </row>
    <row r="57" spans="1:4" ht="15" customHeight="1" x14ac:dyDescent="0.45">
      <c r="A57" s="82"/>
      <c r="B57"/>
      <c r="C57" s="77"/>
      <c r="D57"/>
    </row>
    <row r="58" spans="1:4" ht="15" customHeight="1" x14ac:dyDescent="0.45">
      <c r="A58" s="82"/>
      <c r="B58"/>
      <c r="C58" s="77"/>
      <c r="D58"/>
    </row>
    <row r="59" spans="1:4" ht="15" customHeight="1" x14ac:dyDescent="0.45">
      <c r="A59" s="82"/>
      <c r="B59"/>
      <c r="C59" s="77"/>
      <c r="D59"/>
    </row>
    <row r="60" spans="1:4" ht="15" customHeight="1" x14ac:dyDescent="0.45">
      <c r="A60" s="82"/>
      <c r="B60"/>
      <c r="C60" s="77"/>
      <c r="D60"/>
    </row>
    <row r="61" spans="1:4" ht="15" customHeight="1" x14ac:dyDescent="0.45">
      <c r="A61" s="82"/>
      <c r="B61"/>
      <c r="C61" s="77"/>
      <c r="D61"/>
    </row>
    <row r="62" spans="1:4" ht="15" customHeight="1" x14ac:dyDescent="0.45">
      <c r="A62" s="82"/>
      <c r="B62"/>
      <c r="C62" s="77"/>
      <c r="D62"/>
    </row>
    <row r="63" spans="1:4" ht="15" customHeight="1" x14ac:dyDescent="0.45">
      <c r="A63" s="82"/>
      <c r="B63"/>
      <c r="C63" s="77"/>
      <c r="D63"/>
    </row>
    <row r="64" spans="1:4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  <c r="B178"/>
      <c r="C178"/>
      <c r="D178"/>
    </row>
    <row r="179" spans="1:4" ht="15" customHeight="1" x14ac:dyDescent="0.45">
      <c r="A179" s="82"/>
      <c r="B179"/>
      <c r="C179"/>
      <c r="D179"/>
    </row>
    <row r="180" spans="1:4" ht="15" customHeight="1" x14ac:dyDescent="0.45">
      <c r="A180" s="82"/>
      <c r="B180"/>
      <c r="C180"/>
      <c r="D180"/>
    </row>
    <row r="181" spans="1:4" ht="15" customHeight="1" x14ac:dyDescent="0.45">
      <c r="A181" s="82"/>
      <c r="B181"/>
      <c r="C181"/>
      <c r="D181"/>
    </row>
    <row r="182" spans="1:4" ht="15" customHeight="1" x14ac:dyDescent="0.45">
      <c r="A182" s="82"/>
      <c r="B182"/>
      <c r="C182"/>
      <c r="D182"/>
    </row>
    <row r="183" spans="1:4" ht="15" customHeight="1" x14ac:dyDescent="0.45">
      <c r="A183" s="82"/>
      <c r="B183"/>
      <c r="C183"/>
      <c r="D183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4E9E-8DC6-481D-932F-47AF7ABED3C7}">
  <dimension ref="A1:AA425"/>
  <sheetViews>
    <sheetView zoomScale="130" zoomScaleNormal="130" workbookViewId="0">
      <pane xSplit="4" ySplit="2" topLeftCell="E9" activePane="bottomRight" state="frozen"/>
      <selection pane="topRight" activeCell="E1" sqref="E1"/>
      <selection pane="bottomLeft" activeCell="A3" sqref="A3"/>
      <selection pane="bottomRight" activeCell="F8" sqref="F8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Cashflow statement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  <c r="L3" t="str">
        <f t="shared" ref="L3:L34" ca="1" si="1">IF(ISBLANK(K3),"",_xlfn.FORMULATEXT(K3))</f>
        <v/>
      </c>
    </row>
    <row r="4" spans="1:27" ht="15" customHeight="1" x14ac:dyDescent="0.45">
      <c r="A4" s="82"/>
      <c r="B4" s="77"/>
      <c r="C4" s="77"/>
      <c r="D4" s="77"/>
      <c r="L4" t="str">
        <f t="shared" ca="1" si="1"/>
        <v/>
      </c>
    </row>
    <row r="5" spans="1:27" ht="15" customHeight="1" x14ac:dyDescent="0.45">
      <c r="A5" s="82"/>
      <c r="B5" t="s">
        <v>241</v>
      </c>
      <c r="C5"/>
      <c r="D5"/>
      <c r="F5">
        <f ca="1">'P&amp;L and Tax'!F42</f>
        <v>0</v>
      </c>
      <c r="G5">
        <f ca="1">'P&amp;L and Tax'!G42</f>
        <v>0</v>
      </c>
      <c r="H5">
        <f ca="1">'P&amp;L and Tax'!H42</f>
        <v>-1098.6965483520016</v>
      </c>
      <c r="I5">
        <f ca="1">'P&amp;L and Tax'!I42</f>
        <v>3607.6172341248002</v>
      </c>
      <c r="J5">
        <f ca="1">'P&amp;L and Tax'!J42</f>
        <v>3819.5120731422762</v>
      </c>
      <c r="K5">
        <f ca="1">'P&amp;L and Tax'!K42</f>
        <v>4325.5438082919627</v>
      </c>
      <c r="L5" t="str">
        <f t="shared" ca="1" si="1"/>
        <v>='P&amp;L and Tax'!K42</v>
      </c>
    </row>
    <row r="6" spans="1:27" ht="15" customHeight="1" x14ac:dyDescent="0.45">
      <c r="A6" s="82"/>
      <c r="B6" t="s">
        <v>195</v>
      </c>
      <c r="C6"/>
      <c r="D6"/>
      <c r="F6">
        <f ca="1">'Sources and Uses'!F50*-1</f>
        <v>0</v>
      </c>
      <c r="G6">
        <f ca="1">'Sources and Uses'!G50*-1</f>
        <v>0</v>
      </c>
      <c r="H6">
        <f ca="1">'Sources and Uses'!H50*-1</f>
        <v>11775.041740800001</v>
      </c>
      <c r="I6">
        <f ca="1">'Sources and Uses'!I50*-1</f>
        <v>11775.041740800001</v>
      </c>
      <c r="J6">
        <f ca="1">'Sources and Uses'!J50*-1</f>
        <v>11775.041740800001</v>
      </c>
      <c r="K6">
        <f ca="1">'Sources and Uses'!K50*-1</f>
        <v>11775.041740800001</v>
      </c>
      <c r="L6" t="str">
        <f t="shared" ca="1" si="1"/>
        <v>='Sources and Uses'!K50*-1</v>
      </c>
    </row>
    <row r="7" spans="1:27" ht="15" customHeight="1" x14ac:dyDescent="0.45">
      <c r="A7" s="82"/>
      <c r="B7" t="str">
        <f>"Change in "&amp;'Balance sheet'!B13</f>
        <v>Change in Receivables</v>
      </c>
      <c r="C7"/>
      <c r="D7"/>
      <c r="F7">
        <f>'Balance sheet'!E13-'Balance sheet'!F13</f>
        <v>0</v>
      </c>
      <c r="G7">
        <f>'Balance sheet'!F13-'Balance sheet'!G13</f>
        <v>0</v>
      </c>
      <c r="H7">
        <f>'Balance sheet'!G13-'Balance sheet'!H13</f>
        <v>-3011.9777591408219</v>
      </c>
      <c r="I7">
        <f>'Balance sheet'!H13-'Balance sheet'!I13</f>
        <v>-615.13505267375376</v>
      </c>
      <c r="J7">
        <f>'Balance sheet'!I13-'Balance sheet'!J13</f>
        <v>-145.08451247258381</v>
      </c>
      <c r="K7">
        <f>'Balance sheet'!J13-'Balance sheet'!K13</f>
        <v>-150.88789297148605</v>
      </c>
      <c r="L7" t="str">
        <f t="shared" ca="1" si="1"/>
        <v>='Balance sheet'!J13-'Balance sheet'!K13</v>
      </c>
    </row>
    <row r="8" spans="1:27" ht="15" customHeight="1" x14ac:dyDescent="0.45">
      <c r="A8" s="82"/>
      <c r="B8" t="str">
        <f>"Change in "&amp;'Balance sheet'!B18</f>
        <v>Change in Trade payables</v>
      </c>
      <c r="C8"/>
      <c r="D8"/>
      <c r="F8">
        <f>'Balance sheet'!F18-'Balance sheet'!E18</f>
        <v>0</v>
      </c>
      <c r="G8">
        <f>'Balance sheet'!G18-'Balance sheet'!F18</f>
        <v>0</v>
      </c>
      <c r="H8">
        <f>'Balance sheet'!H18-'Balance sheet'!G18</f>
        <v>4268.9398702080007</v>
      </c>
      <c r="I8">
        <f>'Balance sheet'!I18-'Balance sheet'!H18</f>
        <v>319.15437750075671</v>
      </c>
      <c r="J8">
        <f>'Balance sheet'!J18-'Balance sheet'!I18</f>
        <v>183.52376990835</v>
      </c>
      <c r="K8">
        <f>'Balance sheet'!K18-'Balance sheet'!J18</f>
        <v>190.86472070468426</v>
      </c>
      <c r="L8" t="str">
        <f t="shared" ca="1" si="1"/>
        <v>='Balance sheet'!K18-'Balance sheet'!J18</v>
      </c>
    </row>
    <row r="9" spans="1:27" ht="15" customHeight="1" x14ac:dyDescent="0.45">
      <c r="A9" s="82"/>
      <c r="B9" t="str">
        <f>"Change in "&amp;'Balance sheet'!B17</f>
        <v>Change in Tax payable</v>
      </c>
      <c r="C9"/>
      <c r="D9"/>
      <c r="F9">
        <f ca="1">'Balance sheet'!F17-'Balance sheet'!E17</f>
        <v>0</v>
      </c>
      <c r="G9">
        <f ca="1">'Balance sheet'!G17-'Balance sheet'!F17</f>
        <v>0</v>
      </c>
      <c r="H9">
        <f ca="1">'Balance sheet'!H17-'Balance sheet'!G17</f>
        <v>0</v>
      </c>
      <c r="I9">
        <f ca="1">'Balance sheet'!I17-'Balance sheet'!H17</f>
        <v>418.15344762879977</v>
      </c>
      <c r="J9">
        <f ca="1">'Balance sheet'!J17-'Balance sheet'!I17</f>
        <v>218.43189789491294</v>
      </c>
      <c r="K9">
        <f ca="1">'Balance sheet'!K17-'Balance sheet'!J17</f>
        <v>84.338622524947823</v>
      </c>
      <c r="L9" t="str">
        <f t="shared" ca="1" si="1"/>
        <v>='Balance sheet'!K17-'Balance sheet'!J17</v>
      </c>
    </row>
    <row r="10" spans="1:27" ht="15" customHeight="1" x14ac:dyDescent="0.45">
      <c r="A10" s="82"/>
      <c r="B10" t="s">
        <v>260</v>
      </c>
      <c r="C10" s="77"/>
      <c r="D10"/>
      <c r="F10">
        <f ca="1">SUM(F5:F9)</f>
        <v>0</v>
      </c>
      <c r="G10">
        <f t="shared" ref="G10:K10" ca="1" si="2">SUM(G5:G9)</f>
        <v>0</v>
      </c>
      <c r="H10">
        <f t="shared" ca="1" si="2"/>
        <v>11933.307303515179</v>
      </c>
      <c r="I10">
        <f t="shared" ca="1" si="2"/>
        <v>15504.831747380606</v>
      </c>
      <c r="J10">
        <f t="shared" ca="1" si="2"/>
        <v>15851.424969272955</v>
      </c>
      <c r="K10">
        <f t="shared" ca="1" si="2"/>
        <v>16224.900999350109</v>
      </c>
      <c r="L10" t="str">
        <f t="shared" ca="1" si="1"/>
        <v>=SUM(K5:K9)</v>
      </c>
    </row>
    <row r="11" spans="1:27" ht="15" customHeight="1" x14ac:dyDescent="0.45">
      <c r="A11" s="82"/>
      <c r="B11"/>
      <c r="C11" s="77"/>
      <c r="D11"/>
      <c r="L11" t="str">
        <f t="shared" ca="1" si="1"/>
        <v/>
      </c>
    </row>
    <row r="12" spans="1:27" ht="15" customHeight="1" x14ac:dyDescent="0.45">
      <c r="A12" s="82"/>
      <c r="B12" t="s">
        <v>63</v>
      </c>
      <c r="C12" s="77"/>
      <c r="D12"/>
      <c r="F12">
        <f>'Sources and Uses'!F49*-1</f>
        <v>-44561.919999999998</v>
      </c>
      <c r="G12">
        <f>'Sources and Uses'!G49*-1</f>
        <v>-190938.91481600003</v>
      </c>
      <c r="H12">
        <f>'Sources and Uses'!H49*-1</f>
        <v>0</v>
      </c>
      <c r="I12">
        <f>'Sources and Uses'!I49*-1</f>
        <v>0</v>
      </c>
      <c r="J12">
        <f>'Sources and Uses'!J49*-1</f>
        <v>0</v>
      </c>
      <c r="K12">
        <f>'Sources and Uses'!K49*-1</f>
        <v>0</v>
      </c>
      <c r="L12" t="str">
        <f t="shared" ca="1" si="1"/>
        <v>='Sources and Uses'!K49*-1</v>
      </c>
    </row>
    <row r="13" spans="1:27" ht="15" customHeight="1" x14ac:dyDescent="0.45">
      <c r="A13" s="82"/>
      <c r="B13" t="s">
        <v>261</v>
      </c>
      <c r="C13" s="77"/>
      <c r="D13"/>
      <c r="F13">
        <f>SUM(F12)</f>
        <v>-44561.919999999998</v>
      </c>
      <c r="G13">
        <f t="shared" ref="G13:K13" si="3">SUM(G12)</f>
        <v>-190938.91481600003</v>
      </c>
      <c r="H13">
        <f t="shared" si="3"/>
        <v>0</v>
      </c>
      <c r="I13">
        <f t="shared" si="3"/>
        <v>0</v>
      </c>
      <c r="J13">
        <f t="shared" si="3"/>
        <v>0</v>
      </c>
      <c r="K13">
        <f t="shared" si="3"/>
        <v>0</v>
      </c>
      <c r="L13" t="str">
        <f t="shared" ca="1" si="1"/>
        <v>=SUM(K12)</v>
      </c>
    </row>
    <row r="14" spans="1:27" ht="15" customHeight="1" x14ac:dyDescent="0.45">
      <c r="A14" s="82"/>
      <c r="B14"/>
      <c r="C14" s="77"/>
      <c r="D14"/>
      <c r="L14" t="str">
        <f t="shared" ca="1" si="1"/>
        <v/>
      </c>
    </row>
    <row r="15" spans="1:27" ht="15" customHeight="1" x14ac:dyDescent="0.45">
      <c r="A15" s="82"/>
      <c r="B15" t="s">
        <v>262</v>
      </c>
      <c r="C15" s="77"/>
      <c r="D15"/>
      <c r="F15" s="90"/>
      <c r="G15" s="90"/>
      <c r="H15" s="90"/>
      <c r="I15" s="90"/>
      <c r="J15" s="90"/>
      <c r="K15" s="90"/>
      <c r="L15" s="90" t="str">
        <f t="shared" ca="1" si="1"/>
        <v/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27" ht="15" customHeight="1" x14ac:dyDescent="0.45">
      <c r="A16" s="82"/>
      <c r="B16" t="s">
        <v>263</v>
      </c>
      <c r="C16" s="77"/>
      <c r="D16"/>
      <c r="F16" s="90"/>
      <c r="G16" s="90"/>
      <c r="H16" s="90"/>
      <c r="I16" s="90"/>
      <c r="J16" s="90"/>
      <c r="K16" s="90"/>
      <c r="L16" s="90" t="str">
        <f t="shared" ca="1" si="1"/>
        <v/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15" customHeight="1" x14ac:dyDescent="0.45">
      <c r="A17" s="82"/>
      <c r="B17" t="s">
        <v>264</v>
      </c>
      <c r="C17" s="77"/>
      <c r="D17"/>
      <c r="F17">
        <f ca="1">'Sources and Uses'!F60</f>
        <v>44561.919999999998</v>
      </c>
      <c r="G17">
        <f ca="1">'Sources and Uses'!G60</f>
        <v>73188.49740800001</v>
      </c>
      <c r="H17">
        <f ca="1">'Sources and Uses'!H60</f>
        <v>0</v>
      </c>
      <c r="I17">
        <f ca="1">'Sources and Uses'!I60</f>
        <v>0</v>
      </c>
      <c r="J17">
        <f ca="1">'Sources and Uses'!J60</f>
        <v>0</v>
      </c>
      <c r="K17">
        <f ca="1">'Sources and Uses'!K60</f>
        <v>0</v>
      </c>
      <c r="L17" t="str">
        <f t="shared" ca="1" si="1"/>
        <v>='Sources and Uses'!K60</v>
      </c>
    </row>
    <row r="18" spans="1:27" ht="15" customHeight="1" x14ac:dyDescent="0.45">
      <c r="A18" s="82"/>
      <c r="B18" t="s">
        <v>105</v>
      </c>
      <c r="C18" s="77"/>
      <c r="D18"/>
      <c r="F18" s="90"/>
      <c r="G18" s="90"/>
      <c r="H18" s="90"/>
      <c r="I18" s="90"/>
      <c r="J18" s="90"/>
      <c r="K18" s="90"/>
      <c r="L18" s="90" t="str">
        <f t="shared" ca="1" si="1"/>
        <v/>
      </c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" customHeight="1" x14ac:dyDescent="0.45">
      <c r="A19" s="82"/>
      <c r="B19" t="s">
        <v>265</v>
      </c>
      <c r="C19" s="77"/>
      <c r="D19"/>
      <c r="F19">
        <f ca="1">SUM(F15:F18)</f>
        <v>44561.919999999998</v>
      </c>
      <c r="G19">
        <f t="shared" ref="G19:K19" ca="1" si="4">SUM(G15:G18)</f>
        <v>73188.49740800001</v>
      </c>
      <c r="H19">
        <f t="shared" ca="1" si="4"/>
        <v>0</v>
      </c>
      <c r="I19">
        <f t="shared" ca="1" si="4"/>
        <v>0</v>
      </c>
      <c r="J19">
        <f t="shared" ca="1" si="4"/>
        <v>0</v>
      </c>
      <c r="K19">
        <f t="shared" ca="1" si="4"/>
        <v>0</v>
      </c>
      <c r="L19" t="str">
        <f t="shared" ca="1" si="1"/>
        <v>=SUM(K15:K18)</v>
      </c>
    </row>
    <row r="20" spans="1:27" ht="15" customHeight="1" x14ac:dyDescent="0.45">
      <c r="A20" s="82"/>
      <c r="B20"/>
      <c r="C20" s="77"/>
      <c r="D20"/>
      <c r="L20" t="str">
        <f t="shared" ca="1" si="1"/>
        <v/>
      </c>
    </row>
    <row r="21" spans="1:27" ht="15" customHeight="1" x14ac:dyDescent="0.45">
      <c r="A21" s="82"/>
      <c r="B21" t="s">
        <v>266</v>
      </c>
      <c r="F21">
        <f>E23</f>
        <v>0</v>
      </c>
      <c r="G21">
        <f t="shared" ref="G21:K21" ca="1" si="5">F23</f>
        <v>0</v>
      </c>
      <c r="H21">
        <f t="shared" ca="1" si="5"/>
        <v>-117750.41740800002</v>
      </c>
      <c r="I21">
        <f t="shared" ca="1" si="5"/>
        <v>-105817.11010448485</v>
      </c>
      <c r="J21">
        <f t="shared" ca="1" si="5"/>
        <v>-90312.278357104238</v>
      </c>
      <c r="K21">
        <f t="shared" ca="1" si="5"/>
        <v>-74460.853387831288</v>
      </c>
      <c r="L21" t="str">
        <f t="shared" ca="1" si="1"/>
        <v>=J23</v>
      </c>
    </row>
    <row r="22" spans="1:27" ht="15" customHeight="1" x14ac:dyDescent="0.45">
      <c r="A22" s="82"/>
      <c r="B22" t="s">
        <v>267</v>
      </c>
      <c r="C22" s="77"/>
      <c r="D22"/>
      <c r="F22">
        <f ca="1">F10+F13+F19</f>
        <v>0</v>
      </c>
      <c r="G22">
        <f t="shared" ref="G22:K22" ca="1" si="6">G10+G13+G19</f>
        <v>-117750.41740800002</v>
      </c>
      <c r="H22">
        <f t="shared" ca="1" si="6"/>
        <v>11933.307303515179</v>
      </c>
      <c r="I22">
        <f t="shared" ca="1" si="6"/>
        <v>15504.831747380606</v>
      </c>
      <c r="J22">
        <f t="shared" ca="1" si="6"/>
        <v>15851.424969272955</v>
      </c>
      <c r="K22">
        <f t="shared" ca="1" si="6"/>
        <v>16224.900999350109</v>
      </c>
      <c r="L22" t="str">
        <f t="shared" ca="1" si="1"/>
        <v>=K10+K13+K19</v>
      </c>
    </row>
    <row r="23" spans="1:27" ht="15" customHeight="1" x14ac:dyDescent="0.45">
      <c r="A23" s="82"/>
      <c r="B23" t="s">
        <v>268</v>
      </c>
      <c r="C23" s="77"/>
      <c r="D23"/>
      <c r="E23" s="83">
        <v>0</v>
      </c>
      <c r="F23">
        <f ca="1">SUM(F21:F22)</f>
        <v>0</v>
      </c>
      <c r="G23">
        <f t="shared" ref="G23:K23" ca="1" si="7">SUM(G21:G22)</f>
        <v>-117750.41740800002</v>
      </c>
      <c r="H23">
        <f t="shared" ca="1" si="7"/>
        <v>-105817.11010448485</v>
      </c>
      <c r="I23">
        <f t="shared" ca="1" si="7"/>
        <v>-90312.278357104238</v>
      </c>
      <c r="J23">
        <f t="shared" ca="1" si="7"/>
        <v>-74460.853387831288</v>
      </c>
      <c r="K23">
        <f t="shared" ca="1" si="7"/>
        <v>-58235.952388481179</v>
      </c>
      <c r="L23" t="str">
        <f t="shared" ca="1" si="1"/>
        <v>=SUM(K21:K22)</v>
      </c>
    </row>
    <row r="24" spans="1:27" ht="15" customHeight="1" x14ac:dyDescent="0.45">
      <c r="A24" s="82"/>
      <c r="B24"/>
      <c r="C24" s="77"/>
      <c r="D24"/>
      <c r="L24" t="str">
        <f t="shared" ca="1" si="1"/>
        <v/>
      </c>
    </row>
    <row r="25" spans="1:27" ht="15" customHeight="1" x14ac:dyDescent="0.45">
      <c r="A25" s="59" t="s">
        <v>120</v>
      </c>
      <c r="B25"/>
      <c r="C25" s="77"/>
      <c r="D25"/>
      <c r="L25" t="str">
        <f t="shared" ca="1" si="1"/>
        <v/>
      </c>
    </row>
    <row r="26" spans="1:27" ht="15" customHeight="1" x14ac:dyDescent="0.45">
      <c r="A26" s="82"/>
      <c r="B26"/>
      <c r="C26" s="77"/>
      <c r="D26"/>
      <c r="L26" t="str">
        <f t="shared" ca="1" si="1"/>
        <v/>
      </c>
    </row>
    <row r="27" spans="1:27" ht="15" customHeight="1" x14ac:dyDescent="0.45">
      <c r="A27" s="82"/>
      <c r="B27"/>
      <c r="C27" s="77"/>
      <c r="D27"/>
      <c r="L27" t="str">
        <f t="shared" ca="1" si="1"/>
        <v/>
      </c>
    </row>
    <row r="28" spans="1:27" ht="15" customHeight="1" x14ac:dyDescent="0.45">
      <c r="A28" s="82"/>
      <c r="B28"/>
      <c r="C28" s="77"/>
      <c r="D28"/>
      <c r="L28" t="str">
        <f t="shared" ca="1" si="1"/>
        <v/>
      </c>
    </row>
    <row r="29" spans="1:27" ht="15" customHeight="1" x14ac:dyDescent="0.45">
      <c r="A29" s="82"/>
      <c r="B29"/>
      <c r="C29" s="77"/>
      <c r="D29"/>
      <c r="L29" t="str">
        <f t="shared" ca="1" si="1"/>
        <v/>
      </c>
    </row>
    <row r="30" spans="1:27" ht="15" customHeight="1" x14ac:dyDescent="0.45">
      <c r="A30" s="82"/>
      <c r="B30"/>
      <c r="C30" s="77"/>
      <c r="D30"/>
      <c r="L30" t="str">
        <f t="shared" ca="1" si="1"/>
        <v/>
      </c>
    </row>
    <row r="31" spans="1:27" ht="15" customHeight="1" x14ac:dyDescent="0.45">
      <c r="A31" s="82"/>
      <c r="B31"/>
      <c r="C31" s="77"/>
      <c r="D31"/>
      <c r="L31" t="str">
        <f t="shared" ca="1" si="1"/>
        <v/>
      </c>
    </row>
    <row r="32" spans="1:27" ht="15" customHeight="1" x14ac:dyDescent="0.45">
      <c r="A32" s="82"/>
      <c r="B32"/>
      <c r="C32" s="77"/>
      <c r="D32"/>
      <c r="L32" t="str">
        <f t="shared" ca="1" si="1"/>
        <v/>
      </c>
    </row>
    <row r="33" spans="1:12" ht="15" customHeight="1" x14ac:dyDescent="0.45">
      <c r="A33" s="82"/>
      <c r="B33"/>
      <c r="C33" s="77"/>
      <c r="D33"/>
      <c r="L33" t="str">
        <f t="shared" ca="1" si="1"/>
        <v/>
      </c>
    </row>
    <row r="34" spans="1:12" ht="15" customHeight="1" x14ac:dyDescent="0.45">
      <c r="A34" s="82"/>
      <c r="B34"/>
      <c r="C34" s="77"/>
      <c r="D34"/>
      <c r="L34" t="str">
        <f t="shared" ca="1" si="1"/>
        <v/>
      </c>
    </row>
    <row r="35" spans="1:12" ht="15" customHeight="1" x14ac:dyDescent="0.45">
      <c r="A35" s="82"/>
      <c r="B35"/>
      <c r="C35" s="77"/>
      <c r="D35"/>
      <c r="L35" t="str">
        <f t="shared" ref="L35:L57" ca="1" si="8">IF(ISBLANK(K35),"",_xlfn.FORMULATEXT(K35))</f>
        <v/>
      </c>
    </row>
    <row r="36" spans="1:12" ht="15" customHeight="1" x14ac:dyDescent="0.45">
      <c r="A36" s="82"/>
      <c r="B36"/>
      <c r="C36" s="77"/>
      <c r="D36"/>
      <c r="L36" t="str">
        <f t="shared" ca="1" si="8"/>
        <v/>
      </c>
    </row>
    <row r="37" spans="1:12" ht="15" customHeight="1" x14ac:dyDescent="0.45">
      <c r="A37" s="82"/>
      <c r="B37"/>
      <c r="C37" s="77"/>
      <c r="D37"/>
      <c r="L37" t="str">
        <f t="shared" ca="1" si="8"/>
        <v/>
      </c>
    </row>
    <row r="38" spans="1:12" ht="15" customHeight="1" x14ac:dyDescent="0.45">
      <c r="A38" s="82"/>
      <c r="B38"/>
      <c r="C38" s="77"/>
      <c r="D38"/>
      <c r="L38" t="str">
        <f t="shared" ca="1" si="8"/>
        <v/>
      </c>
    </row>
    <row r="39" spans="1:12" ht="15" customHeight="1" x14ac:dyDescent="0.45">
      <c r="A39" s="82"/>
      <c r="B39"/>
      <c r="C39" s="77"/>
      <c r="D39"/>
      <c r="L39" t="str">
        <f t="shared" ca="1" si="8"/>
        <v/>
      </c>
    </row>
    <row r="40" spans="1:12" ht="15" customHeight="1" x14ac:dyDescent="0.45">
      <c r="A40" s="82"/>
      <c r="B40"/>
      <c r="C40" s="77"/>
      <c r="D40"/>
      <c r="L40" t="str">
        <f t="shared" ca="1" si="8"/>
        <v/>
      </c>
    </row>
    <row r="41" spans="1:12" ht="15" customHeight="1" x14ac:dyDescent="0.45">
      <c r="A41" s="82"/>
      <c r="B41"/>
      <c r="C41" s="77"/>
      <c r="D41"/>
      <c r="L41" t="str">
        <f t="shared" ca="1" si="8"/>
        <v/>
      </c>
    </row>
    <row r="42" spans="1:12" ht="15" customHeight="1" x14ac:dyDescent="0.45">
      <c r="A42" s="82"/>
      <c r="B42"/>
      <c r="C42" s="77"/>
      <c r="D42"/>
      <c r="L42" t="str">
        <f t="shared" ca="1" si="8"/>
        <v/>
      </c>
    </row>
    <row r="43" spans="1:12" ht="15" customHeight="1" x14ac:dyDescent="0.45">
      <c r="A43" s="82"/>
      <c r="B43"/>
      <c r="C43" s="77"/>
      <c r="D43"/>
      <c r="L43" t="str">
        <f t="shared" ca="1" si="8"/>
        <v/>
      </c>
    </row>
    <row r="44" spans="1:12" ht="15" customHeight="1" x14ac:dyDescent="0.45">
      <c r="A44" s="82"/>
      <c r="B44"/>
      <c r="C44" s="77"/>
      <c r="D44"/>
      <c r="L44" t="str">
        <f t="shared" ca="1" si="8"/>
        <v/>
      </c>
    </row>
    <row r="45" spans="1:12" ht="15" customHeight="1" x14ac:dyDescent="0.45">
      <c r="A45" s="82"/>
      <c r="B45"/>
      <c r="C45" s="77"/>
      <c r="D45"/>
      <c r="L45" t="str">
        <f t="shared" ca="1" si="8"/>
        <v/>
      </c>
    </row>
    <row r="46" spans="1:12" ht="15" customHeight="1" x14ac:dyDescent="0.45">
      <c r="A46" s="82"/>
      <c r="B46"/>
      <c r="C46" s="77"/>
      <c r="D46"/>
      <c r="L46" t="str">
        <f t="shared" ca="1" si="8"/>
        <v/>
      </c>
    </row>
    <row r="47" spans="1:12" ht="15" customHeight="1" x14ac:dyDescent="0.45">
      <c r="A47" s="82"/>
      <c r="B47"/>
      <c r="C47" s="77"/>
      <c r="D47"/>
      <c r="L47" t="str">
        <f t="shared" ca="1" si="8"/>
        <v/>
      </c>
    </row>
    <row r="48" spans="1:12" ht="15" customHeight="1" x14ac:dyDescent="0.45">
      <c r="A48" s="82"/>
      <c r="B48"/>
      <c r="C48" s="77"/>
      <c r="D48"/>
      <c r="L48" t="str">
        <f t="shared" ca="1" si="8"/>
        <v/>
      </c>
    </row>
    <row r="49" spans="1:12" ht="15" customHeight="1" x14ac:dyDescent="0.45">
      <c r="A49" s="82"/>
      <c r="B49"/>
      <c r="C49" s="77"/>
      <c r="D49"/>
      <c r="L49" t="str">
        <f t="shared" ca="1" si="8"/>
        <v/>
      </c>
    </row>
    <row r="50" spans="1:12" ht="15" customHeight="1" x14ac:dyDescent="0.45">
      <c r="A50" s="82"/>
      <c r="B50"/>
      <c r="C50" s="77"/>
      <c r="D50"/>
      <c r="L50" t="str">
        <f t="shared" ca="1" si="8"/>
        <v/>
      </c>
    </row>
    <row r="51" spans="1:12" ht="15" customHeight="1" x14ac:dyDescent="0.45">
      <c r="A51" s="82"/>
      <c r="B51"/>
      <c r="C51" s="77"/>
      <c r="D51"/>
      <c r="L51" t="str">
        <f t="shared" ca="1" si="8"/>
        <v/>
      </c>
    </row>
    <row r="52" spans="1:12" ht="15" customHeight="1" x14ac:dyDescent="0.45">
      <c r="A52" s="82"/>
      <c r="B52"/>
      <c r="C52" s="77"/>
      <c r="D52"/>
      <c r="L52" t="str">
        <f t="shared" ca="1" si="8"/>
        <v/>
      </c>
    </row>
    <row r="53" spans="1:12" ht="15" customHeight="1" x14ac:dyDescent="0.45">
      <c r="A53" s="82"/>
      <c r="B53"/>
      <c r="C53" s="77"/>
      <c r="D53"/>
      <c r="L53" t="str">
        <f t="shared" ca="1" si="8"/>
        <v/>
      </c>
    </row>
    <row r="54" spans="1:12" ht="15" customHeight="1" x14ac:dyDescent="0.45">
      <c r="A54" s="82"/>
      <c r="B54"/>
      <c r="C54" s="77"/>
      <c r="D54"/>
      <c r="L54" t="str">
        <f t="shared" ca="1" si="8"/>
        <v/>
      </c>
    </row>
    <row r="55" spans="1:12" ht="15" customHeight="1" x14ac:dyDescent="0.45">
      <c r="A55" s="82"/>
      <c r="B55"/>
      <c r="C55" s="77"/>
      <c r="D55"/>
      <c r="L55" t="str">
        <f t="shared" ca="1" si="8"/>
        <v/>
      </c>
    </row>
    <row r="56" spans="1:12" ht="15" customHeight="1" x14ac:dyDescent="0.45">
      <c r="A56" s="82"/>
      <c r="B56"/>
      <c r="C56" s="77"/>
      <c r="D56"/>
      <c r="L56" t="str">
        <f t="shared" ca="1" si="8"/>
        <v/>
      </c>
    </row>
    <row r="57" spans="1:12" ht="15" customHeight="1" x14ac:dyDescent="0.45">
      <c r="A57" s="82"/>
      <c r="B57"/>
      <c r="C57" s="77"/>
      <c r="D57"/>
      <c r="L57" t="str">
        <f t="shared" ca="1" si="8"/>
        <v/>
      </c>
    </row>
    <row r="58" spans="1:12" ht="15" customHeight="1" x14ac:dyDescent="0.45">
      <c r="A58" s="82"/>
      <c r="B58"/>
      <c r="C58" s="77"/>
      <c r="D58"/>
    </row>
    <row r="59" spans="1:12" ht="15" customHeight="1" x14ac:dyDescent="0.45">
      <c r="A59" s="82"/>
      <c r="B59"/>
      <c r="C59" s="77"/>
      <c r="D59"/>
    </row>
    <row r="60" spans="1:12" ht="15" customHeight="1" x14ac:dyDescent="0.45">
      <c r="A60" s="82"/>
      <c r="B60"/>
      <c r="C60" s="77"/>
      <c r="D60"/>
    </row>
    <row r="61" spans="1:12" ht="15" customHeight="1" x14ac:dyDescent="0.45">
      <c r="A61" s="82"/>
      <c r="B61"/>
      <c r="C61" s="77"/>
      <c r="D61"/>
    </row>
    <row r="62" spans="1:12" ht="15" customHeight="1" x14ac:dyDescent="0.45">
      <c r="A62" s="82"/>
      <c r="B62"/>
      <c r="C62" s="77"/>
      <c r="D62"/>
    </row>
    <row r="63" spans="1:12" ht="15" customHeight="1" x14ac:dyDescent="0.45">
      <c r="A63" s="82"/>
      <c r="B63"/>
      <c r="C63" s="77"/>
      <c r="D63"/>
    </row>
    <row r="64" spans="1:12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/>
      <c r="D167"/>
    </row>
    <row r="168" spans="1:4" ht="15" customHeight="1" x14ac:dyDescent="0.45">
      <c r="A168" s="82"/>
      <c r="B168"/>
      <c r="C168"/>
      <c r="D168"/>
    </row>
    <row r="169" spans="1:4" ht="15" customHeight="1" x14ac:dyDescent="0.45">
      <c r="A169" s="82"/>
      <c r="B169"/>
      <c r="C169"/>
      <c r="D169"/>
    </row>
    <row r="170" spans="1:4" ht="15" customHeight="1" x14ac:dyDescent="0.45">
      <c r="A170" s="82"/>
      <c r="B170"/>
      <c r="C170"/>
      <c r="D170"/>
    </row>
    <row r="171" spans="1:4" ht="15" customHeight="1" x14ac:dyDescent="0.45">
      <c r="A171" s="82"/>
      <c r="B171"/>
      <c r="C171"/>
      <c r="D171"/>
    </row>
    <row r="172" spans="1:4" ht="15" customHeight="1" x14ac:dyDescent="0.45">
      <c r="A172" s="82"/>
      <c r="B172"/>
      <c r="C172"/>
      <c r="D172"/>
    </row>
    <row r="173" spans="1:4" ht="15" customHeight="1" x14ac:dyDescent="0.45">
      <c r="A173" s="82"/>
      <c r="B173"/>
      <c r="C173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</row>
    <row r="179" spans="1:4" ht="15" customHeight="1" x14ac:dyDescent="0.45">
      <c r="A179" s="82"/>
    </row>
    <row r="180" spans="1:4" ht="15" customHeight="1" x14ac:dyDescent="0.45">
      <c r="A180" s="82"/>
    </row>
    <row r="181" spans="1:4" ht="15" customHeight="1" x14ac:dyDescent="0.45">
      <c r="A181" s="82"/>
    </row>
    <row r="182" spans="1:4" ht="15" customHeight="1" x14ac:dyDescent="0.45">
      <c r="A182" s="82"/>
    </row>
    <row r="183" spans="1:4" ht="15" customHeight="1" x14ac:dyDescent="0.45">
      <c r="A183" s="82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8D34-1F06-4248-9143-5A08CFDB874A}">
  <dimension ref="A1:AA459"/>
  <sheetViews>
    <sheetView tabSelected="1" zoomScaleNormal="100" workbookViewId="0">
      <pane xSplit="4" ySplit="2" topLeftCell="E48" activePane="bottomRight" state="frozen"/>
      <selection pane="topRight" activeCell="E1" sqref="E1"/>
      <selection pane="bottomLeft" activeCell="A3" sqref="A3"/>
      <selection pane="bottomRight" activeCell="E56" sqref="E56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  <col min="6" max="27" width="14" bestFit="1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Debt</v>
      </c>
      <c r="B2" s="7"/>
      <c r="C2" s="11" t="s">
        <v>18</v>
      </c>
      <c r="D2" s="11" t="s">
        <v>18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  <c r="L3" t="str">
        <f t="shared" ref="L3:L34" ca="1" si="1">IF(ISBLANK(K3),"",_xlfn.FORMULATEXT(K3))</f>
        <v/>
      </c>
    </row>
    <row r="4" spans="1:27" ht="15" customHeight="1" x14ac:dyDescent="0.45">
      <c r="A4" s="82"/>
      <c r="B4" s="77"/>
      <c r="C4" s="77"/>
      <c r="D4" s="77"/>
      <c r="L4" t="str">
        <f t="shared" ca="1" si="1"/>
        <v/>
      </c>
    </row>
    <row r="5" spans="1:27" ht="15" customHeight="1" x14ac:dyDescent="0.45">
      <c r="A5" s="82" t="s">
        <v>121</v>
      </c>
      <c r="B5" s="77"/>
      <c r="C5" s="77"/>
      <c r="D5" s="77"/>
      <c r="L5" t="str">
        <f t="shared" ca="1" si="1"/>
        <v/>
      </c>
    </row>
    <row r="6" spans="1:27" ht="15" customHeight="1" x14ac:dyDescent="0.45">
      <c r="A6" s="82"/>
      <c r="B6" t="s">
        <v>269</v>
      </c>
      <c r="C6" t="s">
        <v>270</v>
      </c>
      <c r="D6" s="104">
        <f>'Assumptions and Outputs'!D13</f>
        <v>56249</v>
      </c>
      <c r="F6">
        <f>IF(F2&gt;$D$6,0,1)</f>
        <v>1</v>
      </c>
      <c r="G6">
        <f t="shared" ref="G6:K6" si="2">IF(G2&gt;$D$6,0,1)</f>
        <v>1</v>
      </c>
      <c r="H6">
        <f t="shared" si="2"/>
        <v>1</v>
      </c>
      <c r="I6">
        <f t="shared" si="2"/>
        <v>1</v>
      </c>
      <c r="J6">
        <f t="shared" si="2"/>
        <v>0</v>
      </c>
      <c r="K6">
        <f t="shared" si="2"/>
        <v>0</v>
      </c>
      <c r="L6" t="str">
        <f t="shared" ca="1" si="1"/>
        <v>=IF(K2&gt;$D$6,0,1)</v>
      </c>
    </row>
    <row r="7" spans="1:27" ht="15" customHeight="1" x14ac:dyDescent="0.45">
      <c r="A7" s="82"/>
      <c r="B7" t="s">
        <v>271</v>
      </c>
      <c r="C7"/>
      <c r="D7" s="104"/>
      <c r="F7">
        <f>'Sources and Uses'!F7</f>
        <v>1</v>
      </c>
      <c r="G7">
        <f>'Sources and Uses'!G7</f>
        <v>1</v>
      </c>
      <c r="H7">
        <f>'Sources and Uses'!H7</f>
        <v>0</v>
      </c>
      <c r="I7">
        <f>'Sources and Uses'!I7</f>
        <v>0</v>
      </c>
      <c r="J7">
        <f>'Sources and Uses'!J7</f>
        <v>0</v>
      </c>
      <c r="K7">
        <f>'Sources and Uses'!K7</f>
        <v>0</v>
      </c>
      <c r="L7" t="str">
        <f t="shared" ca="1" si="1"/>
        <v>='Sources and Uses'!K7</v>
      </c>
    </row>
    <row r="8" spans="1:27" ht="15" customHeight="1" x14ac:dyDescent="0.45">
      <c r="A8" s="82"/>
      <c r="B8" t="s">
        <v>272</v>
      </c>
      <c r="C8"/>
      <c r="D8" s="104"/>
      <c r="F8">
        <f>1-F7</f>
        <v>0</v>
      </c>
      <c r="G8">
        <f t="shared" ref="G8:K8" si="3">1-G7</f>
        <v>0</v>
      </c>
      <c r="H8">
        <f t="shared" si="3"/>
        <v>1</v>
      </c>
      <c r="I8">
        <f t="shared" si="3"/>
        <v>1</v>
      </c>
      <c r="J8">
        <f t="shared" si="3"/>
        <v>1</v>
      </c>
      <c r="K8">
        <f t="shared" si="3"/>
        <v>1</v>
      </c>
      <c r="L8" t="str">
        <f t="shared" ca="1" si="1"/>
        <v>=1-K7</v>
      </c>
    </row>
    <row r="9" spans="1:27" ht="15" customHeight="1" x14ac:dyDescent="0.45">
      <c r="A9" s="82"/>
      <c r="B9" s="77"/>
      <c r="C9"/>
      <c r="D9"/>
      <c r="L9" t="str">
        <f t="shared" ca="1" si="1"/>
        <v/>
      </c>
    </row>
    <row r="10" spans="1:27" ht="15" customHeight="1" x14ac:dyDescent="0.45">
      <c r="A10" s="82" t="s">
        <v>273</v>
      </c>
      <c r="B10"/>
      <c r="C10"/>
      <c r="D10"/>
      <c r="L10" t="str">
        <f t="shared" ca="1" si="1"/>
        <v/>
      </c>
    </row>
    <row r="11" spans="1:27" ht="15" customHeight="1" x14ac:dyDescent="0.45">
      <c r="A11" s="82"/>
      <c r="B11" t="s">
        <v>162</v>
      </c>
      <c r="F11">
        <f>Operations!F50</f>
        <v>0</v>
      </c>
      <c r="G11">
        <f>Operations!G50</f>
        <v>0</v>
      </c>
      <c r="H11">
        <f>Operations!H50</f>
        <v>10676.345192448</v>
      </c>
      <c r="I11">
        <f>Operations!I50</f>
        <v>16218.965870182401</v>
      </c>
      <c r="J11">
        <f>Operations!J50</f>
        <v>16867.724504989703</v>
      </c>
      <c r="K11">
        <f>Operations!K50</f>
        <v>17542.433485189285</v>
      </c>
      <c r="L11" t="str">
        <f t="shared" ca="1" si="1"/>
        <v>=Operations!K50</v>
      </c>
    </row>
    <row r="12" spans="1:27" ht="15" customHeight="1" x14ac:dyDescent="0.45">
      <c r="A12" s="82"/>
      <c r="B12" t="s">
        <v>274</v>
      </c>
      <c r="F12">
        <f ca="1">'P&amp;L and Tax'!F50</f>
        <v>0</v>
      </c>
      <c r="G12">
        <f ca="1">'P&amp;L and Tax'!G50</f>
        <v>0</v>
      </c>
      <c r="H12">
        <f ca="1">'P&amp;L and Tax'!H50</f>
        <v>0</v>
      </c>
      <c r="I12">
        <f ca="1">'P&amp;L and Tax'!I50</f>
        <v>-418.15344762879977</v>
      </c>
      <c r="J12">
        <f ca="1">'P&amp;L and Tax'!J50</f>
        <v>-1054.7387931525125</v>
      </c>
      <c r="K12">
        <f ca="1">'P&amp;L and Tax'!K50</f>
        <v>-1357.5093135723732</v>
      </c>
      <c r="L12" t="str">
        <f t="shared" ca="1" si="1"/>
        <v>='P&amp;L and Tax'!K50</v>
      </c>
    </row>
    <row r="13" spans="1:27" ht="15" customHeight="1" x14ac:dyDescent="0.45">
      <c r="A13" s="82"/>
      <c r="B13" t="s">
        <v>275</v>
      </c>
      <c r="F13">
        <f>'Cashflow statement'!F7</f>
        <v>0</v>
      </c>
      <c r="G13">
        <f>'Cashflow statement'!G7</f>
        <v>0</v>
      </c>
      <c r="H13">
        <f>'Cashflow statement'!H7</f>
        <v>-3011.9777591408219</v>
      </c>
      <c r="I13">
        <f>'Cashflow statement'!I7</f>
        <v>-615.13505267375376</v>
      </c>
      <c r="J13">
        <f>'Cashflow statement'!J7</f>
        <v>-145.08451247258381</v>
      </c>
      <c r="K13">
        <f>'Cashflow statement'!K7</f>
        <v>-150.88789297148605</v>
      </c>
      <c r="L13" t="str">
        <f t="shared" ca="1" si="1"/>
        <v>='Cashflow statement'!K7</v>
      </c>
    </row>
    <row r="14" spans="1:27" ht="15" customHeight="1" x14ac:dyDescent="0.45">
      <c r="A14" s="82"/>
      <c r="B14" t="s">
        <v>276</v>
      </c>
      <c r="F14">
        <f>'Cashflow statement'!F8</f>
        <v>0</v>
      </c>
      <c r="G14">
        <f>'Cashflow statement'!G8</f>
        <v>0</v>
      </c>
      <c r="H14">
        <f>'Cashflow statement'!H8</f>
        <v>4268.9398702080007</v>
      </c>
      <c r="I14">
        <f>'Cashflow statement'!I8</f>
        <v>319.15437750075671</v>
      </c>
      <c r="J14">
        <f>'Cashflow statement'!J8</f>
        <v>183.52376990835</v>
      </c>
      <c r="K14">
        <f>'Cashflow statement'!K8</f>
        <v>190.86472070468426</v>
      </c>
      <c r="L14" t="str">
        <f t="shared" ca="1" si="1"/>
        <v>='Cashflow statement'!K8</v>
      </c>
    </row>
    <row r="15" spans="1:27" ht="15" customHeight="1" x14ac:dyDescent="0.45">
      <c r="A15" s="82"/>
      <c r="B15" t="s">
        <v>261</v>
      </c>
      <c r="C15"/>
      <c r="D15"/>
      <c r="F15">
        <f>'Cashflow statement'!F13</f>
        <v>-44561.919999999998</v>
      </c>
      <c r="G15">
        <f>'Cashflow statement'!G13</f>
        <v>-190938.91481600003</v>
      </c>
      <c r="H15">
        <f>'Cashflow statement'!H13</f>
        <v>0</v>
      </c>
      <c r="I15">
        <f>'Cashflow statement'!I13</f>
        <v>0</v>
      </c>
      <c r="J15">
        <f>'Cashflow statement'!J13</f>
        <v>0</v>
      </c>
      <c r="K15">
        <f>'Cashflow statement'!K13</f>
        <v>0</v>
      </c>
      <c r="L15" t="str">
        <f t="shared" ca="1" si="1"/>
        <v>='Cashflow statement'!K13</v>
      </c>
    </row>
    <row r="16" spans="1:27" ht="15" customHeight="1" x14ac:dyDescent="0.45">
      <c r="A16" s="82"/>
      <c r="B16" t="s">
        <v>277</v>
      </c>
      <c r="C16"/>
      <c r="D16"/>
      <c r="F16">
        <f ca="1">SUM(F11:F15)</f>
        <v>-44561.919999999998</v>
      </c>
      <c r="G16">
        <f t="shared" ref="G16:K16" ca="1" si="4">SUM(G11:G15)</f>
        <v>-190938.91481600003</v>
      </c>
      <c r="H16">
        <f t="shared" ca="1" si="4"/>
        <v>11933.307303515179</v>
      </c>
      <c r="I16">
        <f t="shared" ca="1" si="4"/>
        <v>15504.831747380606</v>
      </c>
      <c r="J16">
        <f t="shared" ca="1" si="4"/>
        <v>15851.424969272957</v>
      </c>
      <c r="K16">
        <f t="shared" ca="1" si="4"/>
        <v>16224.900999350109</v>
      </c>
      <c r="L16" t="str">
        <f t="shared" ca="1" si="1"/>
        <v>=SUM(K11:K15)</v>
      </c>
    </row>
    <row r="17" spans="1:12" ht="15" customHeight="1" x14ac:dyDescent="0.45">
      <c r="A17" s="82"/>
      <c r="B17"/>
      <c r="C17"/>
      <c r="D17"/>
      <c r="L17" t="str">
        <f t="shared" ca="1" si="1"/>
        <v/>
      </c>
    </row>
    <row r="18" spans="1:12" ht="15" customHeight="1" x14ac:dyDescent="0.45">
      <c r="A18" s="82"/>
      <c r="B18" t="s">
        <v>278</v>
      </c>
      <c r="C18"/>
      <c r="D18"/>
      <c r="F18">
        <f>E53</f>
        <v>0</v>
      </c>
      <c r="G18">
        <f t="shared" ref="G18:K18" ca="1" si="5">F53</f>
        <v>0</v>
      </c>
      <c r="H18">
        <f t="shared" ca="1" si="5"/>
        <v>0</v>
      </c>
      <c r="I18">
        <f t="shared" ca="1" si="5"/>
        <v>6431.0328737658738</v>
      </c>
      <c r="J18">
        <f t="shared" ca="1" si="5"/>
        <v>16515.59816641203</v>
      </c>
      <c r="K18">
        <f t="shared" ca="1" si="5"/>
        <v>19726.097451758302</v>
      </c>
      <c r="L18" t="str">
        <f t="shared" ca="1" si="1"/>
        <v>=J53</v>
      </c>
    </row>
    <row r="19" spans="1:12" ht="15" customHeight="1" x14ac:dyDescent="0.45">
      <c r="A19" s="82"/>
      <c r="B19" t="s">
        <v>279</v>
      </c>
      <c r="C19"/>
      <c r="D19"/>
      <c r="F19">
        <f ca="1">F16+F18</f>
        <v>-44561.919999999998</v>
      </c>
      <c r="G19">
        <f t="shared" ref="G19:K19" ca="1" si="6">G16+G18</f>
        <v>-190938.91481600003</v>
      </c>
      <c r="H19">
        <f t="shared" ca="1" si="6"/>
        <v>11933.307303515179</v>
      </c>
      <c r="I19">
        <f t="shared" ca="1" si="6"/>
        <v>21935.86462114648</v>
      </c>
      <c r="J19">
        <f t="shared" ca="1" si="6"/>
        <v>32367.023135684987</v>
      </c>
      <c r="K19">
        <f t="shared" ca="1" si="6"/>
        <v>35950.998451108411</v>
      </c>
      <c r="L19" t="str">
        <f t="shared" ca="1" si="1"/>
        <v>=K16+K18</v>
      </c>
    </row>
    <row r="20" spans="1:12" ht="15" customHeight="1" x14ac:dyDescent="0.45">
      <c r="A20" s="82"/>
      <c r="B20"/>
      <c r="C20"/>
      <c r="D20"/>
      <c r="L20" t="str">
        <f t="shared" ca="1" si="1"/>
        <v/>
      </c>
    </row>
    <row r="21" spans="1:12" ht="15" customHeight="1" x14ac:dyDescent="0.45">
      <c r="A21" s="82"/>
      <c r="B21" t="s">
        <v>280</v>
      </c>
      <c r="C21"/>
      <c r="D21"/>
      <c r="F21">
        <f>E24</f>
        <v>0</v>
      </c>
      <c r="G21">
        <f t="shared" ref="G21:K21" ca="1" si="7">F24</f>
        <v>0</v>
      </c>
      <c r="H21">
        <f t="shared" ca="1" si="7"/>
        <v>82425.292185600018</v>
      </c>
      <c r="I21">
        <f t="shared" ca="1" si="7"/>
        <v>82425.292185600018</v>
      </c>
      <c r="J21">
        <f t="shared" ca="1" si="7"/>
        <v>82425.292185600018</v>
      </c>
      <c r="K21">
        <f t="shared" ca="1" si="7"/>
        <v>76930.272706560019</v>
      </c>
      <c r="L21" t="str">
        <f t="shared" ca="1" si="1"/>
        <v>=J24</v>
      </c>
    </row>
    <row r="22" spans="1:12" ht="15" customHeight="1" x14ac:dyDescent="0.45">
      <c r="A22" s="82"/>
      <c r="B22" t="s">
        <v>281</v>
      </c>
      <c r="C22" t="s">
        <v>282</v>
      </c>
      <c r="D22">
        <f ca="1">SUM(F22:AA22)</f>
        <v>82425.292185600018</v>
      </c>
      <c r="F22">
        <f ca="1">'Sources and Uses'!F66</f>
        <v>0</v>
      </c>
      <c r="G22">
        <f ca="1">'Sources and Uses'!G66</f>
        <v>82425.292185600018</v>
      </c>
      <c r="H22">
        <f ca="1">'Sources and Uses'!H66</f>
        <v>0</v>
      </c>
      <c r="I22">
        <f ca="1">'Sources and Uses'!I66</f>
        <v>0</v>
      </c>
      <c r="J22">
        <f ca="1">'Sources and Uses'!J66</f>
        <v>0</v>
      </c>
      <c r="K22">
        <f ca="1">'Sources and Uses'!K66</f>
        <v>0</v>
      </c>
      <c r="L22" t="str">
        <f t="shared" ca="1" si="1"/>
        <v>='Sources and Uses'!K66</v>
      </c>
    </row>
    <row r="23" spans="1:12" ht="15" customHeight="1" x14ac:dyDescent="0.45">
      <c r="A23" s="82"/>
      <c r="B23" t="s">
        <v>283</v>
      </c>
      <c r="C23" t="str">
        <f>'Assumptions and Outputs'!C69</f>
        <v>Years</v>
      </c>
      <c r="D23">
        <f>'Assumptions and Outputs'!D69</f>
        <v>15</v>
      </c>
      <c r="F23">
        <f ca="1">MIN($D$22/$D$23,F21)*(1-F6)*-1</f>
        <v>0</v>
      </c>
      <c r="G23">
        <f t="shared" ref="G23:K23" ca="1" si="8">MIN($D$22/$D$23,G21)*(1-G6)*-1</f>
        <v>0</v>
      </c>
      <c r="H23">
        <f t="shared" ca="1" si="8"/>
        <v>0</v>
      </c>
      <c r="I23">
        <f t="shared" ca="1" si="8"/>
        <v>0</v>
      </c>
      <c r="J23">
        <f t="shared" ca="1" si="8"/>
        <v>-5495.019479040001</v>
      </c>
      <c r="K23">
        <f t="shared" ca="1" si="8"/>
        <v>-5495.019479040001</v>
      </c>
      <c r="L23" t="str">
        <f t="shared" ca="1" si="1"/>
        <v>=MIN($D$22/$D$23,K21)*(1-K6)*-1</v>
      </c>
    </row>
    <row r="24" spans="1:12" ht="15" customHeight="1" x14ac:dyDescent="0.45">
      <c r="A24" s="82"/>
      <c r="B24" t="s">
        <v>284</v>
      </c>
      <c r="E24" s="83">
        <v>0</v>
      </c>
      <c r="F24">
        <f ca="1">SUM(F21:F23)</f>
        <v>0</v>
      </c>
      <c r="G24">
        <f t="shared" ref="G24:K24" ca="1" si="9">SUM(G21:G23)</f>
        <v>82425.292185600018</v>
      </c>
      <c r="H24">
        <f t="shared" ca="1" si="9"/>
        <v>82425.292185600018</v>
      </c>
      <c r="I24">
        <f t="shared" ca="1" si="9"/>
        <v>82425.292185600018</v>
      </c>
      <c r="J24">
        <f t="shared" ca="1" si="9"/>
        <v>76930.272706560019</v>
      </c>
      <c r="K24">
        <f t="shared" ca="1" si="9"/>
        <v>71435.253227520021</v>
      </c>
      <c r="L24" t="str">
        <f t="shared" ca="1" si="1"/>
        <v>=SUM(K21:K23)</v>
      </c>
    </row>
    <row r="25" spans="1:12" ht="15" customHeight="1" x14ac:dyDescent="0.45">
      <c r="A25" s="82"/>
      <c r="B25" t="s">
        <v>285</v>
      </c>
      <c r="C25" t="str">
        <f>'Sources and Uses'!C72</f>
        <v>Int rate</v>
      </c>
      <c r="D25" s="91">
        <f>'Sources and Uses'!D72</f>
        <v>3.7999999999999999E-2</v>
      </c>
      <c r="F25">
        <f ca="1">$D$25*AVERAGE(E24,F24)*(1-F7)*-1</f>
        <v>0</v>
      </c>
      <c r="G25">
        <f t="shared" ref="G25:K25" ca="1" si="10">$D$25*AVERAGE(F24,G24)*(1-G7)*-1</f>
        <v>0</v>
      </c>
      <c r="H25">
        <f t="shared" ca="1" si="10"/>
        <v>-3132.1611030528006</v>
      </c>
      <c r="I25">
        <f t="shared" ca="1" si="10"/>
        <v>-3132.1611030528006</v>
      </c>
      <c r="J25">
        <f t="shared" ca="1" si="10"/>
        <v>-3027.7557329510405</v>
      </c>
      <c r="K25">
        <f t="shared" ca="1" si="10"/>
        <v>-2818.9449927475207</v>
      </c>
      <c r="L25" t="str">
        <f t="shared" ca="1" si="1"/>
        <v>=$D$25*AVERAGE(J24,K24)*(1-K7)*-1</v>
      </c>
    </row>
    <row r="26" spans="1:12" ht="15" customHeight="1" x14ac:dyDescent="0.45">
      <c r="A26" s="82"/>
      <c r="B26"/>
      <c r="C26"/>
      <c r="D26"/>
      <c r="L26" t="str">
        <f t="shared" ca="1" si="1"/>
        <v/>
      </c>
    </row>
    <row r="27" spans="1:12" ht="15" customHeight="1" x14ac:dyDescent="0.45">
      <c r="A27" s="82"/>
      <c r="B27" t="s">
        <v>286</v>
      </c>
      <c r="C27"/>
      <c r="D27"/>
      <c r="F27">
        <f ca="1">F19+F22+F23+F25</f>
        <v>-44561.919999999998</v>
      </c>
      <c r="G27">
        <f t="shared" ref="G27:K27" ca="1" si="11">G19+G22+G23+G25</f>
        <v>-108513.62263040002</v>
      </c>
      <c r="H27">
        <f t="shared" ca="1" si="11"/>
        <v>8801.1462004623791</v>
      </c>
      <c r="I27">
        <f t="shared" ca="1" si="11"/>
        <v>18803.70351809368</v>
      </c>
      <c r="J27">
        <f t="shared" ca="1" si="11"/>
        <v>23844.247923693943</v>
      </c>
      <c r="K27">
        <f t="shared" ca="1" si="11"/>
        <v>27637.033979320888</v>
      </c>
      <c r="L27" t="str">
        <f t="shared" ca="1" si="1"/>
        <v>=K19+K22+K23+K25</v>
      </c>
    </row>
    <row r="28" spans="1:12" ht="15" customHeight="1" x14ac:dyDescent="0.45">
      <c r="A28" s="82"/>
      <c r="B28"/>
      <c r="C28"/>
      <c r="D28"/>
      <c r="L28" t="str">
        <f t="shared" ca="1" si="1"/>
        <v/>
      </c>
    </row>
    <row r="29" spans="1:12" ht="15" customHeight="1" x14ac:dyDescent="0.45">
      <c r="A29" s="82"/>
      <c r="B29" t="s">
        <v>287</v>
      </c>
      <c r="C29"/>
      <c r="D29"/>
      <c r="F29">
        <f>E32</f>
        <v>0</v>
      </c>
      <c r="G29">
        <f t="shared" ref="G29:K29" ca="1" si="12">F32</f>
        <v>0</v>
      </c>
      <c r="H29">
        <f t="shared" ca="1" si="12"/>
        <v>35325.125222400013</v>
      </c>
      <c r="I29">
        <f t="shared" ca="1" si="12"/>
        <v>35325.125222400013</v>
      </c>
      <c r="J29">
        <f t="shared" ca="1" si="12"/>
        <v>35325.125222400013</v>
      </c>
      <c r="K29">
        <f t="shared" ca="1" si="12"/>
        <v>33362.618265600009</v>
      </c>
      <c r="L29" t="str">
        <f t="shared" ca="1" si="1"/>
        <v>=J32</v>
      </c>
    </row>
    <row r="30" spans="1:12" ht="15" customHeight="1" x14ac:dyDescent="0.45">
      <c r="A30" s="82"/>
      <c r="B30" t="s">
        <v>281</v>
      </c>
      <c r="C30" t="s">
        <v>282</v>
      </c>
      <c r="D30">
        <f ca="1">SUM(F30:AA30)</f>
        <v>35325.125222400013</v>
      </c>
      <c r="F30">
        <f ca="1">'Sources and Uses'!F67</f>
        <v>0</v>
      </c>
      <c r="G30">
        <f ca="1">'Sources and Uses'!G67</f>
        <v>35325.125222400013</v>
      </c>
      <c r="H30">
        <f ca="1">'Sources and Uses'!H67</f>
        <v>0</v>
      </c>
      <c r="I30">
        <f ca="1">'Sources and Uses'!I67</f>
        <v>0</v>
      </c>
      <c r="J30">
        <f ca="1">'Sources and Uses'!J67</f>
        <v>0</v>
      </c>
      <c r="K30">
        <f ca="1">'Sources and Uses'!K67</f>
        <v>0</v>
      </c>
      <c r="L30" t="str">
        <f t="shared" ca="1" si="1"/>
        <v>='Sources and Uses'!K67</v>
      </c>
    </row>
    <row r="31" spans="1:12" ht="15" customHeight="1" x14ac:dyDescent="0.45">
      <c r="A31" s="82"/>
      <c r="B31" t="s">
        <v>283</v>
      </c>
      <c r="C31" t="str">
        <f>'Assumptions and Outputs'!C70</f>
        <v>Years</v>
      </c>
      <c r="D31">
        <f>'Assumptions and Outputs'!D70</f>
        <v>18</v>
      </c>
      <c r="F31">
        <f ca="1">MIN($D$30/$D$31,F29)*(1-F6)*-1</f>
        <v>0</v>
      </c>
      <c r="G31">
        <f t="shared" ref="G31:K31" ca="1" si="13">MIN($D$30/$D$31,G29)*(1-G6)*-1</f>
        <v>0</v>
      </c>
      <c r="H31">
        <f t="shared" ca="1" si="13"/>
        <v>0</v>
      </c>
      <c r="I31">
        <f t="shared" ca="1" si="13"/>
        <v>0</v>
      </c>
      <c r="J31">
        <f t="shared" ca="1" si="13"/>
        <v>-1962.5069568000008</v>
      </c>
      <c r="K31">
        <f t="shared" ca="1" si="13"/>
        <v>-1962.5069568000008</v>
      </c>
      <c r="L31" t="str">
        <f t="shared" ca="1" si="1"/>
        <v>=MIN($D$30/$D$31,K29)*(1-K6)*-1</v>
      </c>
    </row>
    <row r="32" spans="1:12" ht="15" customHeight="1" x14ac:dyDescent="0.45">
      <c r="A32" s="82"/>
      <c r="B32" t="s">
        <v>288</v>
      </c>
      <c r="E32" s="83">
        <v>0</v>
      </c>
      <c r="F32">
        <f ca="1">SUM(F29:F31)</f>
        <v>0</v>
      </c>
      <c r="G32">
        <f t="shared" ref="G32:K32" ca="1" si="14">SUM(G29:G31)</f>
        <v>35325.125222400013</v>
      </c>
      <c r="H32">
        <f t="shared" ca="1" si="14"/>
        <v>35325.125222400013</v>
      </c>
      <c r="I32">
        <f t="shared" ca="1" si="14"/>
        <v>35325.125222400013</v>
      </c>
      <c r="J32">
        <f t="shared" ca="1" si="14"/>
        <v>33362.618265600009</v>
      </c>
      <c r="K32">
        <f t="shared" ca="1" si="14"/>
        <v>31400.111308800009</v>
      </c>
      <c r="L32" t="str">
        <f t="shared" ca="1" si="1"/>
        <v>=SUM(K29:K31)</v>
      </c>
    </row>
    <row r="33" spans="1:27" ht="15" customHeight="1" x14ac:dyDescent="0.45">
      <c r="A33" s="82"/>
      <c r="B33" t="s">
        <v>285</v>
      </c>
      <c r="C33" t="str">
        <f>'Sources and Uses'!C73</f>
        <v>Int rate</v>
      </c>
      <c r="D33" s="91">
        <f>'Sources and Uses'!D73</f>
        <v>6.8000000000000005E-2</v>
      </c>
      <c r="F33">
        <f ca="1">$D$33*AVERAGE(E32,F32)*(1-F7)*-1</f>
        <v>0</v>
      </c>
      <c r="G33">
        <f t="shared" ref="G33:K33" ca="1" si="15">$D$33*AVERAGE(F32,G32)*(1-G7)*-1</f>
        <v>0</v>
      </c>
      <c r="H33">
        <f t="shared" ca="1" si="15"/>
        <v>-2402.108515123201</v>
      </c>
      <c r="I33">
        <f t="shared" ca="1" si="15"/>
        <v>-2402.108515123201</v>
      </c>
      <c r="J33">
        <f t="shared" ca="1" si="15"/>
        <v>-2335.3832785920008</v>
      </c>
      <c r="K33">
        <f t="shared" ca="1" si="15"/>
        <v>-2201.9328055296005</v>
      </c>
      <c r="L33" t="str">
        <f t="shared" ca="1" si="1"/>
        <v>=$D$33*AVERAGE(J32,K32)*(1-K7)*-1</v>
      </c>
    </row>
    <row r="34" spans="1:27" ht="15" customHeight="1" x14ac:dyDescent="0.45">
      <c r="A34" s="82"/>
      <c r="B34"/>
      <c r="C34"/>
      <c r="D34" s="91"/>
      <c r="L34" t="str">
        <f t="shared" ca="1" si="1"/>
        <v/>
      </c>
    </row>
    <row r="35" spans="1:27" ht="15" customHeight="1" x14ac:dyDescent="0.45">
      <c r="A35" s="82"/>
      <c r="B35" t="s">
        <v>112</v>
      </c>
      <c r="C35"/>
      <c r="D35" s="91"/>
      <c r="F35">
        <f ca="1">'Sources and Uses'!F60</f>
        <v>44561.919999999998</v>
      </c>
      <c r="G35">
        <f ca="1">'Sources and Uses'!G60</f>
        <v>73188.49740800001</v>
      </c>
      <c r="H35">
        <f ca="1">'Sources and Uses'!H60</f>
        <v>0</v>
      </c>
      <c r="I35">
        <f ca="1">'Sources and Uses'!I60</f>
        <v>0</v>
      </c>
      <c r="J35">
        <f ca="1">'Sources and Uses'!J60</f>
        <v>0</v>
      </c>
      <c r="K35">
        <f ca="1">'Sources and Uses'!K60</f>
        <v>0</v>
      </c>
      <c r="L35" t="str">
        <f t="shared" ref="L35:L66" ca="1" si="16">IF(ISBLANK(K35),"",_xlfn.FORMULATEXT(K35))</f>
        <v>='Sources and Uses'!K60</v>
      </c>
    </row>
    <row r="36" spans="1:27" ht="15" customHeight="1" x14ac:dyDescent="0.45">
      <c r="A36" s="82"/>
      <c r="B36"/>
      <c r="C36"/>
      <c r="D36" s="91"/>
      <c r="L36" t="str">
        <f t="shared" ca="1" si="16"/>
        <v/>
      </c>
    </row>
    <row r="37" spans="1:27" ht="15" customHeight="1" x14ac:dyDescent="0.45">
      <c r="A37"/>
      <c r="B37" t="s">
        <v>289</v>
      </c>
      <c r="C37"/>
      <c r="D37"/>
      <c r="F37">
        <f ca="1">F27+F30+F31+F33+F35</f>
        <v>0</v>
      </c>
      <c r="G37">
        <f t="shared" ref="G37:K37" ca="1" si="17">G27+G30+G31+G33+G35</f>
        <v>0</v>
      </c>
      <c r="H37">
        <f t="shared" ca="1" si="17"/>
        <v>6399.0376853391781</v>
      </c>
      <c r="I37">
        <f t="shared" ca="1" si="17"/>
        <v>16401.59500297048</v>
      </c>
      <c r="J37">
        <f t="shared" ca="1" si="17"/>
        <v>19546.357688301941</v>
      </c>
      <c r="K37">
        <f t="shared" ca="1" si="17"/>
        <v>23472.594216991289</v>
      </c>
      <c r="L37" t="str">
        <f t="shared" ca="1" si="16"/>
        <v>=K27+K30+K31+K33+K35</v>
      </c>
    </row>
    <row r="38" spans="1:27" ht="15" customHeight="1" x14ac:dyDescent="0.45">
      <c r="A38"/>
      <c r="B38"/>
      <c r="C38"/>
      <c r="D38"/>
      <c r="L38" t="str">
        <f t="shared" ca="1" si="16"/>
        <v/>
      </c>
    </row>
    <row r="39" spans="1:27" ht="15" customHeight="1" x14ac:dyDescent="0.45">
      <c r="A39" s="82" t="s">
        <v>290</v>
      </c>
      <c r="B39"/>
      <c r="C39"/>
      <c r="D39"/>
      <c r="L39" t="str">
        <f t="shared" ca="1" si="16"/>
        <v/>
      </c>
    </row>
    <row r="40" spans="1:27" ht="15" customHeight="1" x14ac:dyDescent="0.45">
      <c r="A40" s="82"/>
      <c r="B40" t="s">
        <v>291</v>
      </c>
      <c r="C40"/>
      <c r="D40"/>
      <c r="F40">
        <f ca="1">G23+G31</f>
        <v>0</v>
      </c>
      <c r="G40">
        <f t="shared" ref="G40:J40" ca="1" si="18">H23+H31</f>
        <v>0</v>
      </c>
      <c r="H40">
        <f t="shared" ca="1" si="18"/>
        <v>0</v>
      </c>
      <c r="I40">
        <f t="shared" ca="1" si="18"/>
        <v>-7457.5264358400018</v>
      </c>
      <c r="J40">
        <f t="shared" ca="1" si="18"/>
        <v>-7457.5264358400018</v>
      </c>
      <c r="K40" s="107"/>
      <c r="L40" t="str">
        <f t="shared" ca="1" si="16"/>
        <v/>
      </c>
    </row>
    <row r="41" spans="1:27" ht="15" customHeight="1" x14ac:dyDescent="0.45">
      <c r="A41" s="82"/>
      <c r="B41" t="s">
        <v>292</v>
      </c>
      <c r="C41"/>
      <c r="D41"/>
      <c r="F41">
        <f ca="1">G25+G33</f>
        <v>0</v>
      </c>
      <c r="G41">
        <f t="shared" ref="G41:J41" ca="1" si="19">H25+H33</f>
        <v>-5534.269618176002</v>
      </c>
      <c r="H41">
        <f t="shared" ca="1" si="19"/>
        <v>-5534.269618176002</v>
      </c>
      <c r="I41">
        <f t="shared" ca="1" si="19"/>
        <v>-5363.1390115430413</v>
      </c>
      <c r="J41">
        <f t="shared" ca="1" si="19"/>
        <v>-5020.8777982771207</v>
      </c>
      <c r="K41" s="107"/>
      <c r="L41" t="str">
        <f t="shared" ca="1" si="16"/>
        <v/>
      </c>
    </row>
    <row r="42" spans="1:27" ht="15" customHeight="1" x14ac:dyDescent="0.45">
      <c r="A42" s="82"/>
      <c r="B42" t="s">
        <v>293</v>
      </c>
      <c r="C42"/>
      <c r="D42"/>
      <c r="F42">
        <f ca="1">SUM(F40:F41)</f>
        <v>0</v>
      </c>
      <c r="G42">
        <f t="shared" ref="G42:J42" ca="1" si="20">SUM(G40:G41)</f>
        <v>-5534.269618176002</v>
      </c>
      <c r="H42">
        <f t="shared" ca="1" si="20"/>
        <v>-5534.269618176002</v>
      </c>
      <c r="I42">
        <f t="shared" ca="1" si="20"/>
        <v>-12820.665447383042</v>
      </c>
      <c r="J42">
        <f t="shared" ca="1" si="20"/>
        <v>-12478.404234117123</v>
      </c>
      <c r="K42" s="107"/>
      <c r="L42" t="str">
        <f t="shared" ca="1" si="16"/>
        <v/>
      </c>
    </row>
    <row r="43" spans="1:27" ht="15" customHeight="1" x14ac:dyDescent="0.45">
      <c r="A43" s="82"/>
      <c r="B43"/>
      <c r="C43"/>
      <c r="D43"/>
      <c r="L43" t="str">
        <f t="shared" ca="1" si="16"/>
        <v/>
      </c>
    </row>
    <row r="44" spans="1:27" ht="15" customHeight="1" x14ac:dyDescent="0.45">
      <c r="A44" s="82" t="s">
        <v>105</v>
      </c>
      <c r="B44"/>
      <c r="C44"/>
      <c r="D44"/>
      <c r="L44" t="str">
        <f t="shared" ca="1" si="16"/>
        <v/>
      </c>
    </row>
    <row r="45" spans="1:27" ht="15" customHeight="1" x14ac:dyDescent="0.45">
      <c r="A45" s="82"/>
      <c r="B45" t="s">
        <v>294</v>
      </c>
      <c r="C45" s="77"/>
      <c r="D45" s="77"/>
      <c r="F45">
        <f ca="1">F37+F42</f>
        <v>0</v>
      </c>
      <c r="G45">
        <f t="shared" ref="G45:J45" ca="1" si="21">G37+G42</f>
        <v>-5534.269618176002</v>
      </c>
      <c r="H45">
        <f t="shared" ca="1" si="21"/>
        <v>864.76806716317606</v>
      </c>
      <c r="I45">
        <f t="shared" ca="1" si="21"/>
        <v>3580.9295555874378</v>
      </c>
      <c r="J45">
        <f t="shared" ca="1" si="21"/>
        <v>7067.9534541848188</v>
      </c>
      <c r="L45" t="str">
        <f t="shared" ca="1" si="16"/>
        <v/>
      </c>
    </row>
    <row r="46" spans="1:27" ht="15" customHeight="1" x14ac:dyDescent="0.45">
      <c r="A46" s="82"/>
      <c r="B46" t="s">
        <v>295</v>
      </c>
      <c r="C46" t="s">
        <v>296</v>
      </c>
      <c r="D46">
        <f>'Assumptions and Outputs'!D89</f>
        <v>2</v>
      </c>
      <c r="F46" s="90"/>
      <c r="G46" s="90"/>
      <c r="H46" s="90"/>
      <c r="I46" s="90"/>
      <c r="J46" s="90"/>
      <c r="K46" s="90"/>
      <c r="L46" s="90" t="str">
        <f t="shared" ca="1" si="16"/>
        <v/>
      </c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1:27" ht="15" customHeight="1" x14ac:dyDescent="0.45">
      <c r="A47" s="82"/>
      <c r="B47" t="s">
        <v>105</v>
      </c>
      <c r="C47" t="s">
        <v>297</v>
      </c>
      <c r="D47" s="91">
        <f>'Assumptions and Outputs'!D88</f>
        <v>1</v>
      </c>
      <c r="F47" s="90"/>
      <c r="G47" s="90"/>
      <c r="H47" s="90"/>
      <c r="I47" s="90"/>
      <c r="J47" s="90"/>
      <c r="K47" s="90"/>
      <c r="L47" s="90" t="str">
        <f t="shared" ca="1" si="16"/>
        <v/>
      </c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1:27" ht="15" customHeight="1" x14ac:dyDescent="0.45">
      <c r="A48" s="82"/>
      <c r="B48"/>
      <c r="C48"/>
      <c r="D48"/>
      <c r="L48" t="str">
        <f t="shared" ca="1" si="16"/>
        <v/>
      </c>
    </row>
    <row r="49" spans="1:12" ht="15" customHeight="1" x14ac:dyDescent="0.45">
      <c r="A49" s="82"/>
      <c r="B49" t="s">
        <v>298</v>
      </c>
      <c r="C49"/>
      <c r="D49"/>
      <c r="F49">
        <f ca="1">F37+F47</f>
        <v>0</v>
      </c>
      <c r="G49">
        <f t="shared" ref="G49:K49" ca="1" si="22">G37+G47</f>
        <v>0</v>
      </c>
      <c r="H49">
        <f t="shared" ca="1" si="22"/>
        <v>6399.0376853391781</v>
      </c>
      <c r="I49">
        <f t="shared" ca="1" si="22"/>
        <v>16401.59500297048</v>
      </c>
      <c r="J49">
        <f t="shared" ca="1" si="22"/>
        <v>19546.357688301941</v>
      </c>
      <c r="K49">
        <f t="shared" ca="1" si="22"/>
        <v>23472.594216991289</v>
      </c>
      <c r="L49" t="str">
        <f t="shared" ca="1" si="16"/>
        <v>=K37+K47</v>
      </c>
    </row>
    <row r="50" spans="1:12" ht="15" customHeight="1" x14ac:dyDescent="0.45">
      <c r="A50" s="82"/>
      <c r="B50" t="s">
        <v>217</v>
      </c>
      <c r="C50" t="s">
        <v>213</v>
      </c>
      <c r="D50" s="91">
        <f>'Assumptions and Outputs'!D79</f>
        <v>0.01</v>
      </c>
      <c r="F50">
        <f ca="1">$D$50*AVERAGE(E49,F49)</f>
        <v>0</v>
      </c>
      <c r="G50">
        <f t="shared" ref="G50:K50" ca="1" si="23">$D$50*AVERAGE(F49,G49)</f>
        <v>0</v>
      </c>
      <c r="H50">
        <f t="shared" ca="1" si="23"/>
        <v>31.99518842669589</v>
      </c>
      <c r="I50">
        <f t="shared" ca="1" si="23"/>
        <v>114.0031634415483</v>
      </c>
      <c r="J50">
        <f t="shared" ca="1" si="23"/>
        <v>179.73976345636214</v>
      </c>
      <c r="K50">
        <f t="shared" ca="1" si="23"/>
        <v>215.09475952646616</v>
      </c>
      <c r="L50" t="str">
        <f t="shared" ca="1" si="16"/>
        <v>=$D$50*AVERAGE(J49,K49)</v>
      </c>
    </row>
    <row r="51" spans="1:12" ht="15" customHeight="1" x14ac:dyDescent="0.45">
      <c r="A51" s="82"/>
      <c r="B51"/>
      <c r="C51"/>
      <c r="D51" s="91"/>
      <c r="L51" t="str">
        <f t="shared" ca="1" si="16"/>
        <v/>
      </c>
    </row>
    <row r="52" spans="1:12" ht="15" customHeight="1" x14ac:dyDescent="0.45">
      <c r="A52" s="82" t="s">
        <v>299</v>
      </c>
      <c r="B52"/>
      <c r="C52"/>
      <c r="D52" s="91"/>
      <c r="L52" t="str">
        <f t="shared" ca="1" si="16"/>
        <v/>
      </c>
    </row>
    <row r="53" spans="1:12" ht="15" customHeight="1" x14ac:dyDescent="0.45">
      <c r="A53" s="82"/>
      <c r="B53" t="s">
        <v>268</v>
      </c>
      <c r="C53"/>
      <c r="D53" s="91"/>
      <c r="E53" s="83">
        <v>0</v>
      </c>
      <c r="F53">
        <f ca="1">F49+F50</f>
        <v>0</v>
      </c>
      <c r="G53">
        <f t="shared" ref="G53:K53" ca="1" si="24">G49+G50</f>
        <v>0</v>
      </c>
      <c r="H53">
        <f t="shared" ca="1" si="24"/>
        <v>6431.0328737658738</v>
      </c>
      <c r="I53">
        <f t="shared" ca="1" si="24"/>
        <v>16515.59816641203</v>
      </c>
      <c r="J53">
        <f t="shared" ca="1" si="24"/>
        <v>19726.097451758302</v>
      </c>
      <c r="K53">
        <f t="shared" ca="1" si="24"/>
        <v>23687.688976517755</v>
      </c>
      <c r="L53" t="str">
        <f t="shared" ca="1" si="16"/>
        <v>=K49+K50</v>
      </c>
    </row>
    <row r="54" spans="1:12" ht="15" customHeight="1" x14ac:dyDescent="0.45">
      <c r="A54" s="82"/>
      <c r="B54" t="s">
        <v>300</v>
      </c>
      <c r="C54"/>
      <c r="D54"/>
      <c r="F54">
        <f ca="1">F53-'Cashflow statement'!F23</f>
        <v>0</v>
      </c>
      <c r="G54">
        <f ca="1">G53-'Cashflow statement'!G23</f>
        <v>117750.41740800002</v>
      </c>
      <c r="H54">
        <f ca="1">H53-'Cashflow statement'!H23</f>
        <v>112248.14297825072</v>
      </c>
      <c r="I54">
        <f ca="1">I53-'Cashflow statement'!I23</f>
        <v>106827.87652351627</v>
      </c>
      <c r="J54">
        <f ca="1">J53-'Cashflow statement'!J23</f>
        <v>94186.950839589583</v>
      </c>
      <c r="K54">
        <f ca="1">K53-'Cashflow statement'!K23</f>
        <v>81923.641364998941</v>
      </c>
      <c r="L54" t="str">
        <f t="shared" ca="1" si="16"/>
        <v>=K53-'Cashflow statement'!K23</v>
      </c>
    </row>
    <row r="55" spans="1:12" ht="15" customHeight="1" x14ac:dyDescent="0.45">
      <c r="A55" s="82"/>
      <c r="B55"/>
      <c r="C55"/>
      <c r="D55"/>
      <c r="L55" t="str">
        <f t="shared" ca="1" si="16"/>
        <v/>
      </c>
    </row>
    <row r="56" spans="1:12" ht="15" customHeight="1" x14ac:dyDescent="0.45">
      <c r="A56" s="82" t="s">
        <v>301</v>
      </c>
      <c r="B56"/>
      <c r="C56"/>
      <c r="D56"/>
      <c r="L56" t="str">
        <f t="shared" ca="1" si="16"/>
        <v/>
      </c>
    </row>
    <row r="57" spans="1:12" ht="15" customHeight="1" x14ac:dyDescent="0.45">
      <c r="A57" s="82"/>
      <c r="B57" t="s">
        <v>302</v>
      </c>
      <c r="C57"/>
      <c r="D57"/>
      <c r="F57">
        <f ca="1">F25+F33</f>
        <v>0</v>
      </c>
      <c r="G57">
        <f t="shared" ref="G57:K57" ca="1" si="25">G25+G33</f>
        <v>0</v>
      </c>
      <c r="H57">
        <f t="shared" ca="1" si="25"/>
        <v>-5534.269618176002</v>
      </c>
      <c r="I57">
        <f t="shared" ca="1" si="25"/>
        <v>-5534.269618176002</v>
      </c>
      <c r="J57">
        <f t="shared" ca="1" si="25"/>
        <v>-5363.1390115430413</v>
      </c>
      <c r="K57">
        <f t="shared" ca="1" si="25"/>
        <v>-5020.8777982771207</v>
      </c>
      <c r="L57" t="str">
        <f t="shared" ca="1" si="16"/>
        <v>=K25+K33</v>
      </c>
    </row>
    <row r="58" spans="1:12" ht="15" customHeight="1" x14ac:dyDescent="0.45">
      <c r="A58" s="82"/>
      <c r="B58" t="s">
        <v>303</v>
      </c>
      <c r="C58"/>
      <c r="D58"/>
      <c r="F58">
        <f ca="1">F23+F31</f>
        <v>0</v>
      </c>
      <c r="G58">
        <f t="shared" ref="G58:K58" ca="1" si="26">G23+G31</f>
        <v>0</v>
      </c>
      <c r="H58">
        <f t="shared" ca="1" si="26"/>
        <v>0</v>
      </c>
      <c r="I58">
        <f t="shared" ca="1" si="26"/>
        <v>0</v>
      </c>
      <c r="J58">
        <f t="shared" ca="1" si="26"/>
        <v>-7457.5264358400018</v>
      </c>
      <c r="K58">
        <f t="shared" ca="1" si="26"/>
        <v>-7457.5264358400018</v>
      </c>
      <c r="L58" t="str">
        <f t="shared" ca="1" si="16"/>
        <v>=K23+K31</v>
      </c>
    </row>
    <row r="59" spans="1:12" ht="15" customHeight="1" x14ac:dyDescent="0.45">
      <c r="A59" s="82"/>
      <c r="B59" t="s">
        <v>304</v>
      </c>
      <c r="C59"/>
      <c r="D59"/>
      <c r="F59">
        <f ca="1">SUM(F57:F58)</f>
        <v>0</v>
      </c>
      <c r="G59">
        <f t="shared" ref="G59:K59" ca="1" si="27">SUM(G57:G58)</f>
        <v>0</v>
      </c>
      <c r="H59">
        <f t="shared" ca="1" si="27"/>
        <v>-5534.269618176002</v>
      </c>
      <c r="I59">
        <f t="shared" ca="1" si="27"/>
        <v>-5534.269618176002</v>
      </c>
      <c r="J59">
        <f t="shared" ca="1" si="27"/>
        <v>-12820.665447383042</v>
      </c>
      <c r="K59">
        <f t="shared" ca="1" si="27"/>
        <v>-12478.404234117123</v>
      </c>
      <c r="L59" t="str">
        <f t="shared" ca="1" si="16"/>
        <v>=SUM(K57:K58)</v>
      </c>
    </row>
    <row r="60" spans="1:12" ht="15" customHeight="1" x14ac:dyDescent="0.45">
      <c r="A60" s="82"/>
      <c r="B60"/>
      <c r="C60"/>
      <c r="D60"/>
      <c r="L60" t="str">
        <f t="shared" ca="1" si="16"/>
        <v/>
      </c>
    </row>
    <row r="61" spans="1:12" ht="15" customHeight="1" x14ac:dyDescent="0.45">
      <c r="A61" s="82"/>
      <c r="B61" t="s">
        <v>305</v>
      </c>
      <c r="C61"/>
      <c r="D61"/>
      <c r="F61">
        <f ca="1">F16</f>
        <v>-44561.919999999998</v>
      </c>
      <c r="G61">
        <f t="shared" ref="G61:K61" ca="1" si="28">G16</f>
        <v>-190938.91481600003</v>
      </c>
      <c r="H61">
        <f t="shared" ca="1" si="28"/>
        <v>11933.307303515179</v>
      </c>
      <c r="I61">
        <f t="shared" ca="1" si="28"/>
        <v>15504.831747380606</v>
      </c>
      <c r="J61">
        <f t="shared" ca="1" si="28"/>
        <v>15851.424969272957</v>
      </c>
      <c r="K61">
        <f t="shared" ca="1" si="28"/>
        <v>16224.900999350109</v>
      </c>
      <c r="L61" t="str">
        <f t="shared" ca="1" si="16"/>
        <v>=K16</v>
      </c>
    </row>
    <row r="62" spans="1:12" ht="15" customHeight="1" x14ac:dyDescent="0.45">
      <c r="A62" s="82"/>
      <c r="B62"/>
      <c r="C62"/>
      <c r="D62"/>
      <c r="L62" t="str">
        <f t="shared" ca="1" si="16"/>
        <v/>
      </c>
    </row>
    <row r="63" spans="1:12" ht="15" customHeight="1" x14ac:dyDescent="0.45">
      <c r="A63" s="82"/>
      <c r="B63" t="s">
        <v>306</v>
      </c>
      <c r="C63"/>
      <c r="D63"/>
      <c r="F63" t="str">
        <f ca="1">IFERROR(F61/F59/F8*-1,"na")</f>
        <v>na</v>
      </c>
      <c r="G63" t="str">
        <f t="shared" ref="G63:K63" ca="1" si="29">IFERROR(G61/G59/G8*-1,"na")</f>
        <v>na</v>
      </c>
      <c r="H63">
        <f t="shared" ca="1" si="29"/>
        <v>2.1562569456903669</v>
      </c>
      <c r="I63">
        <f t="shared" ca="1" si="29"/>
        <v>2.8016039725384259</v>
      </c>
      <c r="J63">
        <f t="shared" ca="1" si="29"/>
        <v>1.236396428432547</v>
      </c>
      <c r="K63">
        <f t="shared" ca="1" si="29"/>
        <v>1.3002384515633589</v>
      </c>
      <c r="L63" t="str">
        <f t="shared" ca="1" si="16"/>
        <v>=IFERROR(K61/K59/K8*-1,"na")</v>
      </c>
    </row>
    <row r="64" spans="1:12" ht="15" customHeight="1" x14ac:dyDescent="0.45">
      <c r="A64" s="82"/>
      <c r="B64" t="s">
        <v>307</v>
      </c>
      <c r="C64" t="s">
        <v>308</v>
      </c>
      <c r="D64" s="86">
        <f>'Assumptions and Outputs'!D81</f>
        <v>1.25</v>
      </c>
      <c r="F64">
        <f ca="1">IF($D$64&gt;F63,1,)</f>
        <v>0</v>
      </c>
      <c r="G64">
        <f t="shared" ref="G64:K64" ca="1" si="30">IF($D$64&gt;G63,1,)</f>
        <v>0</v>
      </c>
      <c r="H64">
        <f t="shared" ca="1" si="30"/>
        <v>0</v>
      </c>
      <c r="I64">
        <f t="shared" ca="1" si="30"/>
        <v>0</v>
      </c>
      <c r="J64">
        <f t="shared" ca="1" si="30"/>
        <v>1</v>
      </c>
      <c r="K64">
        <f t="shared" ca="1" si="30"/>
        <v>0</v>
      </c>
      <c r="L64" t="str">
        <f t="shared" ca="1" si="16"/>
        <v>=IF($D$64&gt;K63,1,)</v>
      </c>
    </row>
    <row r="65" spans="1:12" ht="15" customHeight="1" x14ac:dyDescent="0.45">
      <c r="A65" s="82"/>
      <c r="B65"/>
      <c r="C65"/>
      <c r="D65" s="86"/>
      <c r="L65" t="str">
        <f t="shared" ca="1" si="16"/>
        <v/>
      </c>
    </row>
    <row r="66" spans="1:12" ht="15" customHeight="1" x14ac:dyDescent="0.45">
      <c r="A66" s="82" t="s">
        <v>309</v>
      </c>
      <c r="B66"/>
      <c r="C66"/>
      <c r="D66"/>
      <c r="L66" t="str">
        <f t="shared" ca="1" si="16"/>
        <v/>
      </c>
    </row>
    <row r="67" spans="1:12" ht="15" customHeight="1" x14ac:dyDescent="0.45">
      <c r="A67" s="82"/>
      <c r="B67" t="s">
        <v>310</v>
      </c>
      <c r="C67"/>
      <c r="D67"/>
    </row>
    <row r="68" spans="1:12" ht="15" customHeight="1" x14ac:dyDescent="0.45">
      <c r="A68" s="82"/>
      <c r="B68" t="s">
        <v>311</v>
      </c>
      <c r="C68"/>
      <c r="D68"/>
    </row>
    <row r="69" spans="1:12" ht="15" customHeight="1" x14ac:dyDescent="0.45">
      <c r="A69" s="82"/>
      <c r="B69"/>
      <c r="C69"/>
      <c r="D69"/>
    </row>
    <row r="70" spans="1:12" ht="15" customHeight="1" x14ac:dyDescent="0.45">
      <c r="A70" s="82"/>
      <c r="B70" t="s">
        <v>312</v>
      </c>
      <c r="C70"/>
      <c r="D70"/>
    </row>
    <row r="71" spans="1:12" ht="15" customHeight="1" x14ac:dyDescent="0.45">
      <c r="A71" s="82"/>
      <c r="B71" t="s">
        <v>313</v>
      </c>
      <c r="C71"/>
      <c r="D71"/>
    </row>
    <row r="72" spans="1:12" ht="15" customHeight="1" x14ac:dyDescent="0.45">
      <c r="A72" s="82"/>
      <c r="B72" t="s">
        <v>307</v>
      </c>
      <c r="C72" t="s">
        <v>308</v>
      </c>
      <c r="D72" s="86">
        <f>'Assumptions and Outputs'!D82</f>
        <v>1.5</v>
      </c>
    </row>
    <row r="73" spans="1:12" ht="15" customHeight="1" x14ac:dyDescent="0.45">
      <c r="A73" s="82"/>
      <c r="B73"/>
      <c r="C73"/>
      <c r="D73"/>
    </row>
    <row r="74" spans="1:12" ht="15" customHeight="1" x14ac:dyDescent="0.45">
      <c r="A74" s="82"/>
      <c r="B74" t="s">
        <v>314</v>
      </c>
      <c r="C74"/>
      <c r="D74"/>
    </row>
    <row r="75" spans="1:12" ht="15" customHeight="1" x14ac:dyDescent="0.45">
      <c r="A75" s="82"/>
      <c r="B75" t="s">
        <v>315</v>
      </c>
      <c r="C75"/>
      <c r="D75"/>
    </row>
    <row r="76" spans="1:12" ht="15" customHeight="1" x14ac:dyDescent="0.45">
      <c r="A76" s="82"/>
      <c r="B76" t="s">
        <v>307</v>
      </c>
      <c r="C76" t="s">
        <v>308</v>
      </c>
      <c r="D76" s="86">
        <f>'Assumptions and Outputs'!D83</f>
        <v>2</v>
      </c>
    </row>
    <row r="77" spans="1:12" ht="15" customHeight="1" x14ac:dyDescent="0.45">
      <c r="A77" s="82"/>
      <c r="B77"/>
      <c r="C77"/>
      <c r="D77"/>
      <c r="L77" t="str">
        <f t="shared" ref="L77:L93" ca="1" si="31">IF(ISBLANK(K77),"",_xlfn.FORMULATEXT(K77))</f>
        <v/>
      </c>
    </row>
    <row r="78" spans="1:12" ht="15" customHeight="1" x14ac:dyDescent="0.45">
      <c r="A78" s="82" t="s">
        <v>316</v>
      </c>
      <c r="B78"/>
      <c r="C78"/>
      <c r="D78"/>
      <c r="L78" t="str">
        <f t="shared" ca="1" si="31"/>
        <v/>
      </c>
    </row>
    <row r="79" spans="1:12" ht="15" customHeight="1" x14ac:dyDescent="0.45">
      <c r="A79" s="82"/>
      <c r="B79" t="s">
        <v>317</v>
      </c>
      <c r="C79" t="s">
        <v>318</v>
      </c>
      <c r="D79" s="91">
        <f>'Assumptions and Outputs'!D77</f>
        <v>4.7E-2</v>
      </c>
    </row>
    <row r="80" spans="1:12" ht="15" customHeight="1" x14ac:dyDescent="0.45">
      <c r="A80" s="82"/>
      <c r="B80" t="s">
        <v>319</v>
      </c>
      <c r="C80"/>
      <c r="D80"/>
    </row>
    <row r="81" spans="1:12" ht="15" customHeight="1" x14ac:dyDescent="0.45">
      <c r="A81" s="82"/>
      <c r="B81" t="s">
        <v>316</v>
      </c>
      <c r="C81"/>
      <c r="D81"/>
    </row>
    <row r="82" spans="1:12" ht="15" customHeight="1" x14ac:dyDescent="0.45">
      <c r="A82" s="82"/>
      <c r="B82" t="s">
        <v>320</v>
      </c>
      <c r="C82" t="s">
        <v>308</v>
      </c>
      <c r="D82">
        <f>'Assumptions and Outputs'!D84</f>
        <v>1.5</v>
      </c>
    </row>
    <row r="83" spans="1:12" ht="15" customHeight="1" x14ac:dyDescent="0.45">
      <c r="A83" s="82"/>
      <c r="B83"/>
      <c r="C83"/>
      <c r="D83"/>
      <c r="L83" t="str">
        <f t="shared" ca="1" si="31"/>
        <v/>
      </c>
    </row>
    <row r="84" spans="1:12" ht="15" customHeight="1" x14ac:dyDescent="0.45">
      <c r="A84" s="82" t="s">
        <v>321</v>
      </c>
      <c r="B84"/>
      <c r="C84"/>
      <c r="D84"/>
      <c r="L84" t="str">
        <f t="shared" ca="1" si="31"/>
        <v/>
      </c>
    </row>
    <row r="85" spans="1:12" ht="15" customHeight="1" x14ac:dyDescent="0.45">
      <c r="A85" s="82"/>
      <c r="B85" t="s">
        <v>321</v>
      </c>
      <c r="C85"/>
      <c r="D85"/>
    </row>
    <row r="86" spans="1:12" ht="15" customHeight="1" x14ac:dyDescent="0.45">
      <c r="A86" s="82"/>
      <c r="B86" t="s">
        <v>322</v>
      </c>
      <c r="C86" t="s">
        <v>308</v>
      </c>
      <c r="D86">
        <f>'Assumptions and Outputs'!D85</f>
        <v>1.5</v>
      </c>
    </row>
    <row r="87" spans="1:12" ht="15" customHeight="1" x14ac:dyDescent="0.45">
      <c r="A87" s="82"/>
      <c r="B87"/>
      <c r="C87"/>
      <c r="D87"/>
    </row>
    <row r="88" spans="1:12" ht="15" customHeight="1" x14ac:dyDescent="0.45">
      <c r="A88" s="82" t="s">
        <v>323</v>
      </c>
      <c r="B88"/>
      <c r="C88"/>
      <c r="D88"/>
    </row>
    <row r="89" spans="1:12" ht="15" customHeight="1" x14ac:dyDescent="0.45">
      <c r="A89" s="82"/>
      <c r="B89" t="s">
        <v>324</v>
      </c>
      <c r="C89" t="s">
        <v>325</v>
      </c>
      <c r="D89">
        <f>SUM(F89:AA89)</f>
        <v>0</v>
      </c>
    </row>
    <row r="90" spans="1:12" ht="15" customHeight="1" x14ac:dyDescent="0.45">
      <c r="A90" s="82"/>
      <c r="B90"/>
      <c r="C90"/>
      <c r="D90"/>
      <c r="L90" t="str">
        <f t="shared" ca="1" si="31"/>
        <v/>
      </c>
    </row>
    <row r="91" spans="1:12" ht="15" customHeight="1" x14ac:dyDescent="0.45">
      <c r="A91" s="59" t="s">
        <v>120</v>
      </c>
      <c r="B91"/>
      <c r="C91"/>
      <c r="D91"/>
      <c r="L91" t="str">
        <f t="shared" ca="1" si="31"/>
        <v/>
      </c>
    </row>
    <row r="92" spans="1:12" ht="15" customHeight="1" x14ac:dyDescent="0.45">
      <c r="A92" s="82"/>
      <c r="B92"/>
      <c r="C92" s="77"/>
      <c r="D92" s="77"/>
      <c r="L92" t="str">
        <f t="shared" ca="1" si="31"/>
        <v/>
      </c>
    </row>
    <row r="93" spans="1:12" ht="15" customHeight="1" x14ac:dyDescent="0.45">
      <c r="A93" s="82"/>
      <c r="B93"/>
      <c r="C93" s="77"/>
      <c r="D93"/>
      <c r="L93" t="str">
        <f t="shared" ca="1" si="31"/>
        <v/>
      </c>
    </row>
    <row r="94" spans="1:12" ht="15" customHeight="1" x14ac:dyDescent="0.45">
      <c r="A94" s="82"/>
      <c r="B94"/>
      <c r="C94" s="77"/>
      <c r="D94"/>
    </row>
    <row r="95" spans="1:12" ht="15" customHeight="1" x14ac:dyDescent="0.45">
      <c r="A95" s="82"/>
      <c r="B95"/>
      <c r="C95" s="77"/>
      <c r="D95"/>
    </row>
    <row r="96" spans="1:12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 s="77"/>
      <c r="D174"/>
    </row>
    <row r="175" spans="1:4" ht="15" customHeight="1" x14ac:dyDescent="0.45">
      <c r="A175" s="82"/>
      <c r="B175"/>
      <c r="C175" s="77"/>
      <c r="D175"/>
    </row>
    <row r="176" spans="1:4" ht="15" customHeight="1" x14ac:dyDescent="0.45">
      <c r="A176" s="82"/>
      <c r="B176"/>
      <c r="C176" s="77"/>
      <c r="D176"/>
    </row>
    <row r="177" spans="1:4" ht="15" customHeight="1" x14ac:dyDescent="0.45">
      <c r="A177" s="82"/>
      <c r="B177"/>
      <c r="C177" s="77"/>
      <c r="D177"/>
    </row>
    <row r="178" spans="1:4" ht="15" customHeight="1" x14ac:dyDescent="0.45">
      <c r="A178" s="82"/>
      <c r="B178"/>
      <c r="C178" s="77"/>
      <c r="D178"/>
    </row>
    <row r="179" spans="1:4" ht="15" customHeight="1" x14ac:dyDescent="0.45">
      <c r="A179" s="82"/>
      <c r="B179"/>
      <c r="C179" s="77"/>
      <c r="D179"/>
    </row>
    <row r="180" spans="1:4" ht="15" customHeight="1" x14ac:dyDescent="0.45">
      <c r="A180" s="82"/>
      <c r="B180"/>
      <c r="C180" s="77"/>
      <c r="D180"/>
    </row>
    <row r="181" spans="1:4" ht="15" customHeight="1" x14ac:dyDescent="0.45">
      <c r="A181" s="82"/>
      <c r="B181"/>
      <c r="C181" s="77"/>
      <c r="D181"/>
    </row>
    <row r="182" spans="1:4" ht="15" customHeight="1" x14ac:dyDescent="0.45">
      <c r="A182" s="82"/>
      <c r="B182"/>
      <c r="C182" s="77"/>
      <c r="D182"/>
    </row>
    <row r="183" spans="1:4" ht="15" customHeight="1" x14ac:dyDescent="0.45">
      <c r="A183" s="82"/>
      <c r="B183"/>
      <c r="C183" s="77"/>
      <c r="D183"/>
    </row>
    <row r="184" spans="1:4" ht="15" customHeight="1" x14ac:dyDescent="0.45">
      <c r="A184" s="82"/>
      <c r="B184"/>
      <c r="C184" s="77"/>
      <c r="D184"/>
    </row>
    <row r="185" spans="1:4" ht="15" customHeight="1" x14ac:dyDescent="0.45">
      <c r="A185" s="82"/>
      <c r="B185"/>
      <c r="C185" s="77"/>
      <c r="D185"/>
    </row>
    <row r="186" spans="1:4" ht="15" customHeight="1" x14ac:dyDescent="0.45">
      <c r="A186" s="82"/>
      <c r="B186"/>
      <c r="C186" s="77"/>
      <c r="D186"/>
    </row>
    <row r="187" spans="1:4" ht="15" customHeight="1" x14ac:dyDescent="0.45">
      <c r="A187" s="82"/>
      <c r="B187"/>
      <c r="C187" s="77"/>
      <c r="D187"/>
    </row>
    <row r="188" spans="1:4" ht="15" customHeight="1" x14ac:dyDescent="0.45">
      <c r="A188" s="82"/>
      <c r="B188"/>
      <c r="C188" s="77"/>
      <c r="D188"/>
    </row>
    <row r="189" spans="1:4" ht="15" customHeight="1" x14ac:dyDescent="0.45">
      <c r="A189" s="82"/>
      <c r="B189"/>
      <c r="C189" s="77"/>
      <c r="D189"/>
    </row>
    <row r="190" spans="1:4" ht="15" customHeight="1" x14ac:dyDescent="0.45">
      <c r="A190" s="82"/>
      <c r="B190"/>
      <c r="C190" s="77"/>
      <c r="D190"/>
    </row>
    <row r="191" spans="1:4" ht="15" customHeight="1" x14ac:dyDescent="0.45">
      <c r="A191" s="82"/>
      <c r="B191"/>
      <c r="C191" s="77"/>
      <c r="D191"/>
    </row>
    <row r="192" spans="1:4" ht="15" customHeight="1" x14ac:dyDescent="0.45">
      <c r="A192" s="82"/>
      <c r="B192"/>
      <c r="C192" s="77"/>
      <c r="D192"/>
    </row>
    <row r="193" spans="1:4" ht="15" customHeight="1" x14ac:dyDescent="0.45">
      <c r="A193" s="82"/>
      <c r="B193"/>
      <c r="C193" s="77"/>
      <c r="D193"/>
    </row>
    <row r="194" spans="1:4" ht="15" customHeight="1" x14ac:dyDescent="0.45">
      <c r="A194" s="82"/>
      <c r="B194"/>
      <c r="C194" s="77"/>
      <c r="D194"/>
    </row>
    <row r="195" spans="1:4" ht="15" customHeight="1" x14ac:dyDescent="0.45">
      <c r="A195" s="82"/>
      <c r="B195"/>
      <c r="C195" s="77"/>
      <c r="D195"/>
    </row>
    <row r="196" spans="1:4" ht="15" customHeight="1" x14ac:dyDescent="0.45">
      <c r="A196" s="82"/>
      <c r="B196"/>
      <c r="C196" s="77"/>
      <c r="D196"/>
    </row>
    <row r="197" spans="1:4" ht="15" customHeight="1" x14ac:dyDescent="0.45">
      <c r="A197" s="82"/>
      <c r="B197"/>
      <c r="C197" s="77"/>
      <c r="D197"/>
    </row>
    <row r="198" spans="1:4" ht="15" customHeight="1" x14ac:dyDescent="0.45">
      <c r="A198" s="82"/>
      <c r="B198"/>
      <c r="C198" s="77"/>
      <c r="D198"/>
    </row>
    <row r="199" spans="1:4" ht="15" customHeight="1" x14ac:dyDescent="0.45">
      <c r="A199" s="82"/>
      <c r="B199"/>
      <c r="C199" s="77"/>
      <c r="D199"/>
    </row>
    <row r="200" spans="1:4" ht="15" customHeight="1" x14ac:dyDescent="0.45">
      <c r="A200" s="82"/>
      <c r="B200"/>
      <c r="C200" s="77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  <row r="448" spans="1:4" ht="15" customHeight="1" x14ac:dyDescent="0.45">
      <c r="A448" s="82"/>
      <c r="B448"/>
      <c r="C448"/>
      <c r="D448"/>
    </row>
    <row r="449" spans="1:4" ht="15" customHeight="1" x14ac:dyDescent="0.45">
      <c r="A449" s="82"/>
      <c r="B449"/>
      <c r="C449"/>
      <c r="D449"/>
    </row>
    <row r="450" spans="1:4" ht="15" customHeight="1" x14ac:dyDescent="0.45">
      <c r="A450" s="82"/>
      <c r="B450"/>
      <c r="C450"/>
      <c r="D450"/>
    </row>
    <row r="451" spans="1:4" ht="15" customHeight="1" x14ac:dyDescent="0.45">
      <c r="A451" s="82"/>
      <c r="B451"/>
      <c r="C451"/>
      <c r="D451"/>
    </row>
    <row r="452" spans="1:4" ht="15" customHeight="1" x14ac:dyDescent="0.45">
      <c r="A452" s="82"/>
      <c r="B452"/>
      <c r="C452"/>
      <c r="D452"/>
    </row>
    <row r="453" spans="1:4" ht="15" customHeight="1" x14ac:dyDescent="0.45">
      <c r="A453" s="82"/>
      <c r="B453"/>
      <c r="C453"/>
      <c r="D453"/>
    </row>
    <row r="454" spans="1:4" ht="15" customHeight="1" x14ac:dyDescent="0.45">
      <c r="A454" s="82"/>
      <c r="B454"/>
      <c r="C454"/>
      <c r="D454"/>
    </row>
    <row r="455" spans="1:4" ht="15" customHeight="1" x14ac:dyDescent="0.45">
      <c r="A455" s="82"/>
      <c r="B455"/>
      <c r="C455"/>
      <c r="D455"/>
    </row>
    <row r="456" spans="1:4" ht="15" customHeight="1" x14ac:dyDescent="0.45">
      <c r="A456" s="82"/>
      <c r="B456"/>
      <c r="C456"/>
      <c r="D456"/>
    </row>
    <row r="457" spans="1:4" ht="15" customHeight="1" x14ac:dyDescent="0.45">
      <c r="A457" s="82"/>
      <c r="B457"/>
      <c r="C457"/>
      <c r="D457"/>
    </row>
    <row r="458" spans="1:4" ht="15" customHeight="1" x14ac:dyDescent="0.45">
      <c r="A458" s="82"/>
      <c r="B458"/>
      <c r="C458"/>
      <c r="D458"/>
    </row>
    <row r="459" spans="1:4" ht="15" customHeight="1" x14ac:dyDescent="0.45">
      <c r="A459" s="82"/>
      <c r="B459"/>
      <c r="C459"/>
      <c r="D459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A2A17A0F-6C71-4162-9ADC-4B4C88CDF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B05D98-5125-4D8E-892A-43EFF9706F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4EE1E0-CB16-4AC2-BAF0-B4288BA4B8CB}">
  <ds:schemaRefs>
    <ds:schemaRef ds:uri="http://purl.org/dc/elements/1.1/"/>
    <ds:schemaRef ds:uri="http://schemas.microsoft.com/office/infopath/2007/PartnerControls"/>
    <ds:schemaRef ds:uri="6ea4884f-dd23-4a9e-9674-e0962577458b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69eded41-6c5d-4718-b7b7-dbfd1652bcc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Welcome</vt:lpstr>
      <vt:lpstr>Info</vt:lpstr>
      <vt:lpstr>Assumptions and Outputs</vt:lpstr>
      <vt:lpstr>Operations</vt:lpstr>
      <vt:lpstr>Sources and Uses</vt:lpstr>
      <vt:lpstr>P&amp;L and Tax</vt:lpstr>
      <vt:lpstr>Balance sheet</vt:lpstr>
      <vt:lpstr>Cashflow statement</vt:lpstr>
      <vt:lpstr>Debt</vt:lpstr>
      <vt:lpstr>circ_switch</vt:lpstr>
      <vt:lpstr>Local_currency</vt:lpstr>
      <vt:lpstr>'Assumptions and Outputs'!Print_Area</vt:lpstr>
      <vt:lpstr>'Balance sheet'!Print_Area</vt:lpstr>
      <vt:lpstr>'Cashflow statement'!Print_Area</vt:lpstr>
      <vt:lpstr>Debt!Print_Area</vt:lpstr>
      <vt:lpstr>Operations!Print_Area</vt:lpstr>
      <vt:lpstr>'P&amp;L and Tax'!Print_Area</vt:lpstr>
      <vt:lpstr>'Sources and Uses'!Print_Area</vt:lpstr>
      <vt:lpstr>start_date</vt:lpstr>
      <vt:lpstr>today_date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 training</dc:creator>
  <cp:keywords/>
  <dc:description/>
  <cp:lastModifiedBy>Sophie Harrup</cp:lastModifiedBy>
  <cp:revision/>
  <dcterms:created xsi:type="dcterms:W3CDTF">2016-02-03T14:06:14Z</dcterms:created>
  <dcterms:modified xsi:type="dcterms:W3CDTF">2024-12-20T12:58:37Z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