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Glitch Fixes/3140 Models with Complex BS Items/Final - Sent to Zuza/Felix/"/>
    </mc:Choice>
  </mc:AlternateContent>
  <xr:revisionPtr revIDLastSave="33" documentId="8_{934857AC-ECFF-46DC-B38A-EF4519CE2707}" xr6:coauthVersionLast="47" xr6:coauthVersionMax="47" xr10:uidLastSave="{26AA9636-EFCB-4E6C-BF9C-AE1A61BDD6AF}"/>
  <bookViews>
    <workbookView xWindow="-98" yWindow="-98" windowWidth="21795" windowHeight="13875" tabRatio="806" xr2:uid="{00000000-000D-0000-FFFF-FFFF00000000}"/>
  </bookViews>
  <sheets>
    <sheet name="Welcome" sheetId="1" r:id="rId1"/>
    <sheet name="Info" sheetId="6" r:id="rId2"/>
    <sheet name="Leases IFRS" sheetId="22" r:id="rId3"/>
  </sheets>
  <definedNames>
    <definedName name="CIQWBGuid" hidden="1">"04d2e721-88dd-4253-a427-d502d43eac85"</definedName>
    <definedName name="circ">Info!$N$10</definedName>
    <definedName name="_xlnm.Print_Area" localSheetId="2">'Leases IFRS'!$A$1:$Z$173</definedName>
    <definedName name="_xlnm.Print_Titles" localSheetId="2">'Leases IFRS'!$1:$2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0" i="22" l="1"/>
  <c r="H170" i="22"/>
  <c r="I170" i="22"/>
  <c r="J170" i="22"/>
  <c r="F170" i="22"/>
  <c r="D80" i="22" l="1"/>
  <c r="E80" i="22"/>
  <c r="C80" i="22"/>
  <c r="G78" i="22"/>
  <c r="H78" i="22"/>
  <c r="I78" i="22"/>
  <c r="J78" i="22"/>
  <c r="F78" i="22"/>
  <c r="D171" i="22" l="1"/>
  <c r="E171" i="22"/>
  <c r="C171" i="22"/>
  <c r="D168" i="22"/>
  <c r="E168" i="22"/>
  <c r="D159" i="22"/>
  <c r="E159" i="22"/>
  <c r="C159" i="22"/>
  <c r="C35" i="22" l="1"/>
  <c r="C11" i="22" s="1"/>
  <c r="G56" i="22"/>
  <c r="G137" i="22" s="1"/>
  <c r="H56" i="22"/>
  <c r="H137" i="22" s="1"/>
  <c r="I56" i="22"/>
  <c r="I137" i="22" s="1"/>
  <c r="J56" i="22"/>
  <c r="J137" i="22" s="1"/>
  <c r="G74" i="22"/>
  <c r="H74" i="22"/>
  <c r="I74" i="22"/>
  <c r="J74" i="22"/>
  <c r="E49" i="22"/>
  <c r="D49" i="22"/>
  <c r="C13" i="22"/>
  <c r="D14" i="22"/>
  <c r="C113" i="22"/>
  <c r="C114" i="22"/>
  <c r="C103" i="22"/>
  <c r="C101" i="22"/>
  <c r="C163" i="22" s="1"/>
  <c r="C62" i="22"/>
  <c r="C88" i="22"/>
  <c r="C75" i="22"/>
  <c r="C71" i="22"/>
  <c r="C70" i="22" s="1"/>
  <c r="C168" i="22" s="1"/>
  <c r="E151" i="22"/>
  <c r="E43" i="22"/>
  <c r="E21" i="22"/>
  <c r="D21" i="22"/>
  <c r="E18" i="22"/>
  <c r="D18" i="22"/>
  <c r="F74" i="22"/>
  <c r="E14" i="22"/>
  <c r="E13" i="22"/>
  <c r="D13" i="22"/>
  <c r="E35" i="22"/>
  <c r="E11" i="22" s="1"/>
  <c r="D35" i="22"/>
  <c r="D11" i="22" s="1"/>
  <c r="E88" i="22"/>
  <c r="D88" i="22"/>
  <c r="E114" i="22"/>
  <c r="F114" i="22" s="1"/>
  <c r="G114" i="22" s="1"/>
  <c r="D114" i="22"/>
  <c r="E113" i="22"/>
  <c r="E172" i="22" s="1"/>
  <c r="D113" i="22"/>
  <c r="D172" i="22" s="1"/>
  <c r="E109" i="22"/>
  <c r="E110" i="22" s="1"/>
  <c r="D109" i="22"/>
  <c r="D110" i="22" s="1"/>
  <c r="E103" i="22"/>
  <c r="F103" i="22" s="1"/>
  <c r="F127" i="22" s="1"/>
  <c r="D103" i="22"/>
  <c r="E101" i="22"/>
  <c r="E163" i="22" s="1"/>
  <c r="D101" i="22"/>
  <c r="D163" i="22" s="1"/>
  <c r="E98" i="22"/>
  <c r="E62" i="22" s="1"/>
  <c r="D98" i="22"/>
  <c r="D99" i="22" s="1"/>
  <c r="D71" i="22"/>
  <c r="D73" i="22" s="1"/>
  <c r="E71" i="22"/>
  <c r="D5" i="22"/>
  <c r="D75" i="22"/>
  <c r="E75" i="22"/>
  <c r="F75" i="22" s="1"/>
  <c r="G75" i="22" s="1"/>
  <c r="H75" i="22" s="1"/>
  <c r="I75" i="22" s="1"/>
  <c r="J75" i="22" s="1"/>
  <c r="E148" i="22"/>
  <c r="E145" i="22"/>
  <c r="E142" i="22"/>
  <c r="F140" i="22" s="1"/>
  <c r="F112" i="22"/>
  <c r="F148" i="22" s="1"/>
  <c r="C110" i="22"/>
  <c r="D12" i="22"/>
  <c r="C99" i="22"/>
  <c r="F91" i="22"/>
  <c r="G91" i="22" s="1"/>
  <c r="F87" i="22"/>
  <c r="G87" i="22" s="1"/>
  <c r="H87" i="22" s="1"/>
  <c r="I87" i="22" s="1"/>
  <c r="J87" i="22" s="1"/>
  <c r="F69" i="22"/>
  <c r="F96" i="22" s="1"/>
  <c r="F60" i="22" s="1"/>
  <c r="C65" i="22"/>
  <c r="E64" i="22"/>
  <c r="D64" i="22"/>
  <c r="C64" i="22"/>
  <c r="E63" i="22"/>
  <c r="D63" i="22"/>
  <c r="C63" i="22"/>
  <c r="E61" i="22"/>
  <c r="D61" i="22"/>
  <c r="C61" i="22"/>
  <c r="E60" i="22"/>
  <c r="D60" i="22"/>
  <c r="C60" i="22"/>
  <c r="E57" i="22"/>
  <c r="F53" i="22" s="1"/>
  <c r="F56" i="22"/>
  <c r="F137" i="22" s="1"/>
  <c r="E26" i="22"/>
  <c r="D26" i="22"/>
  <c r="E22" i="22"/>
  <c r="D22" i="22"/>
  <c r="C22" i="22"/>
  <c r="E17" i="22"/>
  <c r="D17" i="22"/>
  <c r="C17" i="22"/>
  <c r="E16" i="22"/>
  <c r="D16" i="22"/>
  <c r="E15" i="22"/>
  <c r="E4" i="22"/>
  <c r="D4" i="22"/>
  <c r="G2" i="22"/>
  <c r="H2" i="22" s="1"/>
  <c r="I2" i="22" s="1"/>
  <c r="J2" i="22" s="1"/>
  <c r="E2" i="22"/>
  <c r="D2" i="22" s="1"/>
  <c r="C2" i="22" s="1"/>
  <c r="G55" i="22" l="1"/>
  <c r="G136" i="22" s="1"/>
  <c r="C169" i="22"/>
  <c r="C172" i="22"/>
  <c r="E169" i="22"/>
  <c r="E164" i="22"/>
  <c r="C164" i="22"/>
  <c r="D169" i="22"/>
  <c r="D164" i="22"/>
  <c r="C157" i="22"/>
  <c r="C73" i="22"/>
  <c r="C21" i="22"/>
  <c r="C19" i="22"/>
  <c r="C18" i="22"/>
  <c r="H114" i="22"/>
  <c r="I114" i="22" s="1"/>
  <c r="G128" i="22"/>
  <c r="E37" i="22"/>
  <c r="F34" i="22" s="1"/>
  <c r="C7" i="22"/>
  <c r="D7" i="22"/>
  <c r="G112" i="22"/>
  <c r="E12" i="22"/>
  <c r="G103" i="22"/>
  <c r="G69" i="22"/>
  <c r="H91" i="22"/>
  <c r="E99" i="22"/>
  <c r="E104" i="22" s="1"/>
  <c r="F55" i="22"/>
  <c r="F136" i="22" s="1"/>
  <c r="D24" i="22"/>
  <c r="C23" i="22"/>
  <c r="C5" i="22"/>
  <c r="F40" i="22"/>
  <c r="F42" i="22" s="1"/>
  <c r="E19" i="22"/>
  <c r="D19" i="22"/>
  <c r="E7" i="22"/>
  <c r="E20" i="22"/>
  <c r="E50" i="22"/>
  <c r="F46" i="22" s="1"/>
  <c r="F41" i="22"/>
  <c r="D65" i="22"/>
  <c r="E65" i="22"/>
  <c r="E24" i="22"/>
  <c r="E115" i="22"/>
  <c r="D115" i="22"/>
  <c r="D20" i="22"/>
  <c r="D104" i="22"/>
  <c r="D62" i="22"/>
  <c r="E73" i="22"/>
  <c r="D23" i="22"/>
  <c r="E5" i="22"/>
  <c r="F134" i="22"/>
  <c r="F70" i="22"/>
  <c r="C115" i="22"/>
  <c r="C104" i="22"/>
  <c r="F149" i="22"/>
  <c r="F35" i="22"/>
  <c r="F131" i="22" s="1"/>
  <c r="C66" i="22"/>
  <c r="C162" i="22" s="1"/>
  <c r="D15" i="22"/>
  <c r="F128" i="22"/>
  <c r="H128" i="22" l="1"/>
  <c r="C76" i="22"/>
  <c r="C83" i="22" s="1"/>
  <c r="C158" i="22"/>
  <c r="F36" i="22"/>
  <c r="F71" i="22" s="1"/>
  <c r="H112" i="22"/>
  <c r="G134" i="22"/>
  <c r="G148" i="22"/>
  <c r="G149" i="22" s="1"/>
  <c r="E66" i="22"/>
  <c r="E158" i="22"/>
  <c r="D158" i="22"/>
  <c r="C118" i="22"/>
  <c r="C120" i="22" s="1"/>
  <c r="D118" i="22"/>
  <c r="D120" i="22" s="1"/>
  <c r="H69" i="22"/>
  <c r="G96" i="22"/>
  <c r="G60" i="22" s="1"/>
  <c r="G41" i="22"/>
  <c r="G47" i="22" s="1"/>
  <c r="G70" i="22"/>
  <c r="G35" i="22"/>
  <c r="G131" i="22" s="1"/>
  <c r="G132" i="22" s="1"/>
  <c r="H103" i="22"/>
  <c r="I103" i="22" s="1"/>
  <c r="I127" i="22" s="1"/>
  <c r="G127" i="22"/>
  <c r="E118" i="22"/>
  <c r="E120" i="22" s="1"/>
  <c r="H55" i="22"/>
  <c r="H136" i="22" s="1"/>
  <c r="I91" i="22"/>
  <c r="I128" i="22"/>
  <c r="J114" i="22"/>
  <c r="J128" i="22" s="1"/>
  <c r="F72" i="22"/>
  <c r="F125" i="22" s="1"/>
  <c r="F48" i="22"/>
  <c r="F49" i="22" s="1"/>
  <c r="F43" i="22"/>
  <c r="G40" i="22" s="1"/>
  <c r="F47" i="22"/>
  <c r="D66" i="22"/>
  <c r="F132" i="22"/>
  <c r="F97" i="22"/>
  <c r="F61" i="22" s="1"/>
  <c r="E23" i="22"/>
  <c r="D76" i="22"/>
  <c r="E76" i="22"/>
  <c r="F98" i="22"/>
  <c r="F62" i="22" s="1"/>
  <c r="F107" i="22"/>
  <c r="F109" i="22"/>
  <c r="F65" i="22" s="1"/>
  <c r="F158" i="22" s="1"/>
  <c r="C92" i="22"/>
  <c r="C8" i="22" l="1"/>
  <c r="F37" i="22"/>
  <c r="D157" i="22"/>
  <c r="D162" i="22"/>
  <c r="H127" i="22"/>
  <c r="E157" i="22"/>
  <c r="E162" i="22"/>
  <c r="J103" i="22"/>
  <c r="J127" i="22" s="1"/>
  <c r="F124" i="22"/>
  <c r="F73" i="22"/>
  <c r="F165" i="22" s="1"/>
  <c r="G42" i="22"/>
  <c r="G43" i="22" s="1"/>
  <c r="G107" i="22"/>
  <c r="G97" i="22"/>
  <c r="G61" i="22" s="1"/>
  <c r="G109" i="22"/>
  <c r="G65" i="22" s="1"/>
  <c r="G158" i="22" s="1"/>
  <c r="F135" i="22"/>
  <c r="F138" i="22" s="1"/>
  <c r="G98" i="22"/>
  <c r="G62" i="22" s="1"/>
  <c r="H134" i="22"/>
  <c r="H148" i="22"/>
  <c r="I112" i="22"/>
  <c r="I69" i="22"/>
  <c r="H70" i="22"/>
  <c r="H97" i="22" s="1"/>
  <c r="H61" i="22" s="1"/>
  <c r="H35" i="22"/>
  <c r="H131" i="22" s="1"/>
  <c r="H132" i="22" s="1"/>
  <c r="H41" i="22"/>
  <c r="H47" i="22" s="1"/>
  <c r="H96" i="22"/>
  <c r="H60" i="22" s="1"/>
  <c r="F63" i="22"/>
  <c r="F101" i="22"/>
  <c r="F163" i="22" s="1"/>
  <c r="G34" i="22"/>
  <c r="I55" i="22"/>
  <c r="I136" i="22" s="1"/>
  <c r="J91" i="22"/>
  <c r="F102" i="22"/>
  <c r="E83" i="22"/>
  <c r="E8" i="22"/>
  <c r="E165" i="22" s="1"/>
  <c r="D83" i="22"/>
  <c r="D8" i="22"/>
  <c r="D165" i="22" s="1"/>
  <c r="F50" i="22"/>
  <c r="D92" i="22"/>
  <c r="H109" i="22" l="1"/>
  <c r="H65" i="22" s="1"/>
  <c r="H158" i="22" s="1"/>
  <c r="G63" i="22"/>
  <c r="J112" i="22"/>
  <c r="I134" i="22"/>
  <c r="I148" i="22"/>
  <c r="I149" i="22" s="1"/>
  <c r="H149" i="22"/>
  <c r="G72" i="22"/>
  <c r="G125" i="22" s="1"/>
  <c r="G46" i="22"/>
  <c r="I41" i="22"/>
  <c r="I47" i="22" s="1"/>
  <c r="I96" i="22"/>
  <c r="I60" i="22" s="1"/>
  <c r="J69" i="22"/>
  <c r="I35" i="22"/>
  <c r="I131" i="22" s="1"/>
  <c r="I132" i="22" s="1"/>
  <c r="I70" i="22"/>
  <c r="I97" i="22" s="1"/>
  <c r="I61" i="22" s="1"/>
  <c r="G102" i="22"/>
  <c r="H40" i="22"/>
  <c r="F76" i="22"/>
  <c r="H98" i="22"/>
  <c r="H62" i="22" s="1"/>
  <c r="H107" i="22"/>
  <c r="G36" i="22"/>
  <c r="G71" i="22" s="1"/>
  <c r="J55" i="22"/>
  <c r="J136" i="22" s="1"/>
  <c r="F113" i="22"/>
  <c r="D89" i="22"/>
  <c r="E92" i="22"/>
  <c r="E89" i="22"/>
  <c r="G48" i="22" l="1"/>
  <c r="H42" i="22"/>
  <c r="H43" i="22" s="1"/>
  <c r="J134" i="22"/>
  <c r="J148" i="22"/>
  <c r="J149" i="22" s="1"/>
  <c r="J35" i="22"/>
  <c r="J131" i="22" s="1"/>
  <c r="J132" i="22" s="1"/>
  <c r="J96" i="22"/>
  <c r="J60" i="22" s="1"/>
  <c r="J70" i="22"/>
  <c r="J97" i="22" s="1"/>
  <c r="J61" i="22" s="1"/>
  <c r="J41" i="22"/>
  <c r="J47" i="22" s="1"/>
  <c r="H63" i="22"/>
  <c r="I107" i="22"/>
  <c r="I98" i="22"/>
  <c r="I62" i="22" s="1"/>
  <c r="G37" i="22"/>
  <c r="H34" i="22" s="1"/>
  <c r="I109" i="22"/>
  <c r="I65" i="22" s="1"/>
  <c r="I158" i="22" s="1"/>
  <c r="G124" i="22"/>
  <c r="G73" i="22"/>
  <c r="G76" i="22" l="1"/>
  <c r="H72" i="22"/>
  <c r="H125" i="22" s="1"/>
  <c r="H102" i="22"/>
  <c r="I40" i="22"/>
  <c r="G101" i="22"/>
  <c r="G163" i="22" s="1"/>
  <c r="I63" i="22"/>
  <c r="J98" i="22"/>
  <c r="J62" i="22" s="1"/>
  <c r="J107" i="22"/>
  <c r="J109" i="22"/>
  <c r="J65" i="22" s="1"/>
  <c r="J158" i="22" s="1"/>
  <c r="G49" i="22"/>
  <c r="G135" i="22" s="1"/>
  <c r="G138" i="22" s="1"/>
  <c r="H36" i="22"/>
  <c r="H71" i="22" s="1"/>
  <c r="G50" i="22" l="1"/>
  <c r="J63" i="22"/>
  <c r="I42" i="22"/>
  <c r="I72" i="22" s="1"/>
  <c r="I125" i="22" s="1"/>
  <c r="H37" i="22"/>
  <c r="H101" i="22" s="1"/>
  <c r="H163" i="22" s="1"/>
  <c r="H124" i="22"/>
  <c r="H73" i="22"/>
  <c r="I34" i="22" l="1"/>
  <c r="I43" i="22"/>
  <c r="J40" i="22" s="1"/>
  <c r="J42" i="22" s="1"/>
  <c r="J43" i="22" s="1"/>
  <c r="J102" i="22" s="1"/>
  <c r="H76" i="22"/>
  <c r="G113" i="22"/>
  <c r="H46" i="22"/>
  <c r="I36" i="22"/>
  <c r="I71" i="22" s="1"/>
  <c r="I102" i="22" l="1"/>
  <c r="H48" i="22"/>
  <c r="J72" i="22"/>
  <c r="J125" i="22" s="1"/>
  <c r="I37" i="22"/>
  <c r="J34" i="22" s="1"/>
  <c r="I124" i="22"/>
  <c r="I73" i="22"/>
  <c r="I101" i="22" l="1"/>
  <c r="I163" i="22" s="1"/>
  <c r="I76" i="22"/>
  <c r="H49" i="22"/>
  <c r="J36" i="22"/>
  <c r="J71" i="22" s="1"/>
  <c r="J37" i="22"/>
  <c r="J101" i="22" s="1"/>
  <c r="J163" i="22" s="1"/>
  <c r="H135" i="22" l="1"/>
  <c r="H138" i="22" s="1"/>
  <c r="H50" i="22"/>
  <c r="J124" i="22"/>
  <c r="J73" i="22"/>
  <c r="J76" i="22" l="1"/>
  <c r="H113" i="22"/>
  <c r="I46" i="22"/>
  <c r="I48" i="22" l="1"/>
  <c r="I49" i="22" l="1"/>
  <c r="I135" i="22" l="1"/>
  <c r="I138" i="22" s="1"/>
  <c r="I50" i="22"/>
  <c r="J46" i="22" l="1"/>
  <c r="I113" i="22"/>
  <c r="J48" i="22" l="1"/>
  <c r="J49" i="22" l="1"/>
  <c r="J135" i="22" s="1"/>
  <c r="J138" i="22" s="1"/>
  <c r="J50" i="22" l="1"/>
  <c r="J113" i="22" l="1"/>
  <c r="A7" i="1" l="1"/>
  <c r="A1" i="6" l="1"/>
  <c r="F79" i="22" l="1"/>
  <c r="F80" i="22" s="1"/>
  <c r="F82" i="22" s="1"/>
  <c r="F108" i="22" s="1"/>
  <c r="G79" i="22"/>
  <c r="G80" i="22" s="1"/>
  <c r="G82" i="22" s="1"/>
  <c r="G108" i="22" s="1"/>
  <c r="H79" i="22"/>
  <c r="H80" i="22" s="1"/>
  <c r="H82" i="22" s="1"/>
  <c r="H108" i="22" s="1"/>
  <c r="I79" i="22"/>
  <c r="I80" i="22" s="1"/>
  <c r="I82" i="22" s="1"/>
  <c r="I108" i="22" s="1"/>
  <c r="J79" i="22"/>
  <c r="J80" i="22" s="1"/>
  <c r="J82" i="22" s="1"/>
  <c r="J108" i="22" s="1"/>
  <c r="I64" i="22" l="1"/>
  <c r="I66" i="22" s="1"/>
  <c r="I157" i="22" s="1"/>
  <c r="G64" i="22"/>
  <c r="G66" i="22" s="1"/>
  <c r="F83" i="22"/>
  <c r="J83" i="22"/>
  <c r="J64" i="22"/>
  <c r="J66" i="22" s="1"/>
  <c r="H83" i="22"/>
  <c r="H64" i="22"/>
  <c r="H66" i="22" s="1"/>
  <c r="F64" i="22"/>
  <c r="F66" i="22" s="1"/>
  <c r="I162" i="22" l="1"/>
  <c r="G83" i="22"/>
  <c r="G123" i="22" s="1"/>
  <c r="I83" i="22"/>
  <c r="J54" i="22"/>
  <c r="J85" i="22"/>
  <c r="J123" i="22"/>
  <c r="G54" i="22"/>
  <c r="F54" i="22"/>
  <c r="F57" i="22" s="1"/>
  <c r="F85" i="22"/>
  <c r="F123" i="22"/>
  <c r="H123" i="22"/>
  <c r="H54" i="22"/>
  <c r="H85" i="22"/>
  <c r="F126" i="22"/>
  <c r="G126" i="22"/>
  <c r="F162" i="22"/>
  <c r="F157" i="22"/>
  <c r="J157" i="22"/>
  <c r="J162" i="22"/>
  <c r="J126" i="22"/>
  <c r="H162" i="22"/>
  <c r="H157" i="22"/>
  <c r="I126" i="22"/>
  <c r="H126" i="22"/>
  <c r="G157" i="22"/>
  <c r="G162" i="22"/>
  <c r="G85" i="22" l="1"/>
  <c r="G88" i="22" s="1"/>
  <c r="I123" i="22"/>
  <c r="I129" i="22" s="1"/>
  <c r="I141" i="22" s="1"/>
  <c r="I54" i="22"/>
  <c r="I85" i="22"/>
  <c r="H159" i="22"/>
  <c r="H88" i="22"/>
  <c r="G129" i="22"/>
  <c r="G141" i="22" s="1"/>
  <c r="H129" i="22"/>
  <c r="H141" i="22" s="1"/>
  <c r="J129" i="22"/>
  <c r="J141" i="22" s="1"/>
  <c r="J159" i="22"/>
  <c r="J88" i="22"/>
  <c r="F129" i="22"/>
  <c r="F141" i="22" s="1"/>
  <c r="F142" i="22" s="1"/>
  <c r="F88" i="22"/>
  <c r="F159" i="22"/>
  <c r="G53" i="22"/>
  <c r="G57" i="22" s="1"/>
  <c r="F117" i="22"/>
  <c r="I88" i="22" l="1"/>
  <c r="I159" i="22"/>
  <c r="G159" i="22"/>
  <c r="F92" i="22"/>
  <c r="F89" i="22"/>
  <c r="G89" i="22"/>
  <c r="G92" i="22"/>
  <c r="J92" i="22"/>
  <c r="J89" i="22"/>
  <c r="H89" i="22"/>
  <c r="H92" i="22"/>
  <c r="F106" i="22"/>
  <c r="F95" i="22"/>
  <c r="G140" i="22"/>
  <c r="G142" i="22" s="1"/>
  <c r="H53" i="22"/>
  <c r="H57" i="22" s="1"/>
  <c r="G117" i="22"/>
  <c r="I92" i="22" l="1"/>
  <c r="I89" i="22"/>
  <c r="F151" i="22"/>
  <c r="F99" i="22"/>
  <c r="F104" i="22" s="1"/>
  <c r="F145" i="22"/>
  <c r="F164" i="22"/>
  <c r="G165" i="22" s="1"/>
  <c r="F171" i="22"/>
  <c r="F110" i="22"/>
  <c r="F115" i="22" s="1"/>
  <c r="F118" i="22" s="1"/>
  <c r="F172" i="22"/>
  <c r="F169" i="22"/>
  <c r="F168" i="22"/>
  <c r="I53" i="22"/>
  <c r="I57" i="22" s="1"/>
  <c r="H117" i="22"/>
  <c r="G106" i="22"/>
  <c r="G95" i="22"/>
  <c r="H140" i="22"/>
  <c r="H142" i="22" s="1"/>
  <c r="J53" i="22" l="1"/>
  <c r="J57" i="22" s="1"/>
  <c r="J117" i="22" s="1"/>
  <c r="I117" i="22"/>
  <c r="H106" i="22"/>
  <c r="I140" i="22"/>
  <c r="I142" i="22" s="1"/>
  <c r="H95" i="22"/>
  <c r="F152" i="22"/>
  <c r="F146" i="22"/>
  <c r="F120" i="22"/>
  <c r="G151" i="22"/>
  <c r="G99" i="22"/>
  <c r="G104" i="22" s="1"/>
  <c r="G145" i="22"/>
  <c r="G168" i="22"/>
  <c r="G164" i="22"/>
  <c r="H165" i="22" s="1"/>
  <c r="G172" i="22"/>
  <c r="G169" i="22"/>
  <c r="G110" i="22"/>
  <c r="G115" i="22" s="1"/>
  <c r="G118" i="22" s="1"/>
  <c r="G171" i="22"/>
  <c r="G120" i="22" l="1"/>
  <c r="I95" i="22"/>
  <c r="J140" i="22"/>
  <c r="J142" i="22" s="1"/>
  <c r="I106" i="22"/>
  <c r="H169" i="22"/>
  <c r="H145" i="22"/>
  <c r="H146" i="22" s="1"/>
  <c r="H164" i="22"/>
  <c r="I165" i="22" s="1"/>
  <c r="H171" i="22"/>
  <c r="H110" i="22"/>
  <c r="H115" i="22" s="1"/>
  <c r="H118" i="22" s="1"/>
  <c r="H168" i="22"/>
  <c r="H172" i="22"/>
  <c r="F154" i="22"/>
  <c r="H99" i="22"/>
  <c r="H104" i="22" s="1"/>
  <c r="H151" i="22"/>
  <c r="G146" i="22"/>
  <c r="G152" i="22"/>
  <c r="H120" i="22" l="1"/>
  <c r="G154" i="22"/>
  <c r="J106" i="22"/>
  <c r="J95" i="22"/>
  <c r="I99" i="22"/>
  <c r="I104" i="22" s="1"/>
  <c r="I151" i="22"/>
  <c r="I152" i="22" s="1"/>
  <c r="I172" i="22"/>
  <c r="I168" i="22"/>
  <c r="I110" i="22"/>
  <c r="I115" i="22" s="1"/>
  <c r="I118" i="22" s="1"/>
  <c r="I171" i="22"/>
  <c r="I145" i="22"/>
  <c r="I146" i="22" s="1"/>
  <c r="I169" i="22"/>
  <c r="I164" i="22"/>
  <c r="J165" i="22" s="1"/>
  <c r="H152" i="22"/>
  <c r="H154" i="22" s="1"/>
  <c r="I154" i="22" l="1"/>
  <c r="I120" i="22"/>
  <c r="J99" i="22"/>
  <c r="J104" i="22" s="1"/>
  <c r="J151" i="22"/>
  <c r="J152" i="22"/>
  <c r="J169" i="22"/>
  <c r="J145" i="22"/>
  <c r="J146" i="22" s="1"/>
  <c r="J164" i="22"/>
  <c r="J171" i="22"/>
  <c r="J168" i="22"/>
  <c r="J172" i="22"/>
  <c r="J110" i="22"/>
  <c r="J115" i="22" s="1"/>
  <c r="J118" i="22" s="1"/>
  <c r="J154" i="22" l="1"/>
  <c r="J12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Debs Taylor</author>
  </authors>
  <commentList>
    <comment ref="B109" authorId="0" shapeId="0" xr:uid="{E50B2B20-9CD6-4E04-B2F5-7944FC0C3CC8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Includes sales returns liabilities</t>
        </r>
      </text>
    </comment>
  </commentList>
</comments>
</file>

<file path=xl/sharedStrings.xml><?xml version="1.0" encoding="utf-8"?>
<sst xmlns="http://schemas.openxmlformats.org/spreadsheetml/2006/main" count="171" uniqueCount="143">
  <si>
    <t>Modeling Complexities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</si>
  <si>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</si>
  <si>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</si>
  <si>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</si>
  <si>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</si>
  <si>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</si>
  <si>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Leases (IFRS)</t>
  </si>
  <si>
    <t>Company name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</si>
  <si>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</si>
  <si>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</si>
  <si>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</si>
  <si>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</si>
  <si>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</si>
  <si>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</si>
  <si>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</si>
  <si>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</si>
  <si>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Formatting</t>
  </si>
  <si>
    <t>Input</t>
  </si>
  <si>
    <t>Hard coded</t>
  </si>
  <si>
    <t>Formulas</t>
  </si>
  <si>
    <t>Leases IFRS</t>
  </si>
  <si>
    <t>Actual</t>
  </si>
  <si>
    <t>Projected</t>
  </si>
  <si>
    <t>JD Sports Fashion Plc</t>
  </si>
  <si>
    <t>Assumptions</t>
  </si>
  <si>
    <t>Revenue growth %</t>
  </si>
  <si>
    <t>EBITDA margin %</t>
  </si>
  <si>
    <t>Non-recurring items</t>
  </si>
  <si>
    <t>Other operating income growth rate</t>
  </si>
  <si>
    <t>Effective tax rate</t>
  </si>
  <si>
    <t>Marginal tax rate</t>
  </si>
  <si>
    <t>Capex % revenue</t>
  </si>
  <si>
    <t>D&amp;A % beginning net PP&amp;E and intangibles</t>
  </si>
  <si>
    <t>Lease capex % revenue</t>
  </si>
  <si>
    <t>Lease depreciation % opening balance</t>
  </si>
  <si>
    <t>Dividends per share growth rate</t>
  </si>
  <si>
    <t>Issuance of equity</t>
  </si>
  <si>
    <t>Trade and other receivables % revenue</t>
  </si>
  <si>
    <t>Inventories % operating expenses</t>
  </si>
  <si>
    <t>Other current assets % operating expenses</t>
  </si>
  <si>
    <t>Change in other non-current assets</t>
  </si>
  <si>
    <t>Trade and other payables % operating expenses</t>
  </si>
  <si>
    <t>Income tax liabilities % tax expense</t>
  </si>
  <si>
    <t>Other current liabilities % operating expenses</t>
  </si>
  <si>
    <t>Change in other non-current liabilities</t>
  </si>
  <si>
    <t>Long term debt issuance/(repayment)</t>
  </si>
  <si>
    <t>Interest on lease liabilities</t>
  </si>
  <si>
    <t>Interest on short term borrowings</t>
  </si>
  <si>
    <t>Interest on long term debt</t>
  </si>
  <si>
    <t>Interest on cash and equivalents</t>
  </si>
  <si>
    <t>Calculations</t>
  </si>
  <si>
    <t>PP&amp;E and intangibles</t>
  </si>
  <si>
    <t>Beginning</t>
  </si>
  <si>
    <t>Capital expenditure</t>
  </si>
  <si>
    <t>Depreciation</t>
  </si>
  <si>
    <t>Ending</t>
  </si>
  <si>
    <t>Right of use assets</t>
  </si>
  <si>
    <t>Lease capex</t>
  </si>
  <si>
    <t>Lease liabilities</t>
  </si>
  <si>
    <t>Lease interest</t>
  </si>
  <si>
    <t>Lease repayments</t>
  </si>
  <si>
    <t xml:space="preserve">Equity </t>
  </si>
  <si>
    <t xml:space="preserve">Net income </t>
  </si>
  <si>
    <t>Dividends</t>
  </si>
  <si>
    <t>Issuance (repurchases)</t>
  </si>
  <si>
    <t>Net working capital</t>
  </si>
  <si>
    <t>Trade and other receivables</t>
  </si>
  <si>
    <t>Inventories</t>
  </si>
  <si>
    <t>Other current assets</t>
  </si>
  <si>
    <t>Trade and other payables</t>
  </si>
  <si>
    <t>Income tax liabilities</t>
  </si>
  <si>
    <t>Other current liabilities</t>
  </si>
  <si>
    <t>Income statement</t>
  </si>
  <si>
    <t>Revenue</t>
  </si>
  <si>
    <t>EBITDA</t>
  </si>
  <si>
    <t>Depreciation &amp; amortization - owned assets</t>
  </si>
  <si>
    <t>Depreciation - leased assets</t>
  </si>
  <si>
    <t>EBIT</t>
  </si>
  <si>
    <t>Other operating income</t>
  </si>
  <si>
    <t>Operating profit</t>
  </si>
  <si>
    <t>Interest expense on lease liabilities</t>
  </si>
  <si>
    <t>Net cash interest income/(expense)</t>
  </si>
  <si>
    <t>Profit before tax</t>
  </si>
  <si>
    <t>Tax expense</t>
  </si>
  <si>
    <t>Net income</t>
  </si>
  <si>
    <t>Recurring net income</t>
  </si>
  <si>
    <t>Basic shares outstanding</t>
  </si>
  <si>
    <t>Basic earnings per share (p)</t>
  </si>
  <si>
    <t>EPS growth</t>
  </si>
  <si>
    <t>Dividends per share (p)</t>
  </si>
  <si>
    <t>Dividend payout ratio %</t>
  </si>
  <si>
    <t>Balance sheet</t>
  </si>
  <si>
    <t>Cash and equivalents</t>
  </si>
  <si>
    <t>Current assets</t>
  </si>
  <si>
    <t>PP&amp;E &amp; intangibles</t>
  </si>
  <si>
    <t>Right-of-use assets</t>
  </si>
  <si>
    <t>Other non-current assets</t>
  </si>
  <si>
    <t xml:space="preserve"> Total assets</t>
  </si>
  <si>
    <t>Short term borrowings</t>
  </si>
  <si>
    <t>Current liabilities</t>
  </si>
  <si>
    <t>Long-term debt</t>
  </si>
  <si>
    <t>Other non-current liabilities</t>
  </si>
  <si>
    <t>Total liabilities</t>
  </si>
  <si>
    <t>Equity</t>
  </si>
  <si>
    <t>Total liabilities and equity</t>
  </si>
  <si>
    <t>Check</t>
  </si>
  <si>
    <t>Cash flow statement</t>
  </si>
  <si>
    <t>+ Depreciation on owned assets</t>
  </si>
  <si>
    <t>+ Depreciation on leased assets</t>
  </si>
  <si>
    <t>(Increase) / decrease in net working capital</t>
  </si>
  <si>
    <t>(Increase) / decrease  in other non-current assets</t>
  </si>
  <si>
    <t>Increase / (decrease) in other non-current liabilities</t>
  </si>
  <si>
    <t>Cash flow from operations</t>
  </si>
  <si>
    <t>Cash flow from investing activities</t>
  </si>
  <si>
    <t>Increase / (decrease) in long-term debt</t>
  </si>
  <si>
    <t>Repayment of lease liabilities, net of interest</t>
  </si>
  <si>
    <t>Dividends paid</t>
  </si>
  <si>
    <t>Cash flow from financing activities</t>
  </si>
  <si>
    <t>Beginning cash net of short term borrowings</t>
  </si>
  <si>
    <t>Net cash flow</t>
  </si>
  <si>
    <t>Ending cash net of short term borrowings</t>
  </si>
  <si>
    <t>Interest calculations</t>
  </si>
  <si>
    <t>Ending short term borrowings</t>
  </si>
  <si>
    <t>Interest expense</t>
  </si>
  <si>
    <t>Ending long term debt</t>
  </si>
  <si>
    <t>Ending cash and equivalents</t>
  </si>
  <si>
    <t>Interest income</t>
  </si>
  <si>
    <t>Income statement operating statistics</t>
  </si>
  <si>
    <t>EBITDA margin</t>
  </si>
  <si>
    <t>EBIT margin</t>
  </si>
  <si>
    <t>NI margin</t>
  </si>
  <si>
    <t>Balance sheet operating statistics</t>
  </si>
  <si>
    <t>OWC % revenue</t>
  </si>
  <si>
    <t>PP&amp;E &amp; Intangibles % revenue</t>
  </si>
  <si>
    <t>Invested capital</t>
  </si>
  <si>
    <t>Return on opening invested capital</t>
  </si>
  <si>
    <t>Net debt and interest statistics</t>
  </si>
  <si>
    <t>Net debt / EBITDA</t>
  </si>
  <si>
    <t>Lease adjusted net debt /EBITDA</t>
  </si>
  <si>
    <t>EBITDA / interest expense</t>
  </si>
  <si>
    <t>Net debt / net debt + equity</t>
  </si>
  <si>
    <t>Lease adjusted net debt / net debt + equity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</si>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</sst>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#,##0.0_);\(#,##0.0\);0.0_);@_)"/>
    <numFmt numFmtId="174" formatCode="#,##0.0_);\(#,##0.0\)"/>
    <numFmt numFmtId="175" formatCode="#,##0.0\ \x_);\(#,##0.0\ \x\)"/>
    <numFmt numFmtId="176" formatCode="#,##0.00_);\(#,##0.00\);0.00_);@_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40404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  <fill>
      <patternFill patternType="solid">
        <fgColor rgb="FFDBEEFD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3" fontId="0" fillId="0" borderId="0"/>
    <xf numFmtId="173" fontId="31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5" applyNumberFormat="0" applyAlignment="0" applyProtection="0"/>
    <xf numFmtId="0" fontId="17" fillId="10" borderId="6" applyNumberFormat="0" applyAlignment="0" applyProtection="0"/>
    <xf numFmtId="0" fontId="18" fillId="10" borderId="5" applyNumberFormat="0" applyAlignment="0" applyProtection="0"/>
    <xf numFmtId="0" fontId="19" fillId="0" borderId="7" applyNumberFormat="0" applyFill="0" applyAlignment="0" applyProtection="0"/>
    <xf numFmtId="0" fontId="20" fillId="11" borderId="8" applyNumberFormat="0" applyAlignment="0" applyProtection="0"/>
    <xf numFmtId="0" fontId="21" fillId="0" borderId="0" applyNumberFormat="0" applyFill="0" applyBorder="0" applyAlignment="0" applyProtection="0"/>
    <xf numFmtId="0" fontId="8" fillId="12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4" fillId="36" borderId="0" applyNumberFormat="0" applyBorder="0" applyAlignment="0" applyProtection="0"/>
    <xf numFmtId="0" fontId="30" fillId="2" borderId="0" applyNumberFormat="0">
      <alignment horizontal="left"/>
    </xf>
    <xf numFmtId="0" fontId="7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7" fillId="3" borderId="0">
      <alignment horizontal="center"/>
    </xf>
    <xf numFmtId="170" fontId="26" fillId="2" borderId="0">
      <alignment horizontal="center"/>
    </xf>
    <xf numFmtId="168" fontId="28" fillId="0" borderId="0" applyFont="0" applyFill="0" applyBorder="0" applyAlignment="0" applyProtection="0"/>
    <xf numFmtId="175" fontId="8" fillId="0" borderId="0" applyFont="0" applyFill="0" applyBorder="0" applyAlignment="0" applyProtection="0"/>
    <xf numFmtId="172" fontId="28" fillId="2" borderId="0" applyFont="0" applyFill="0" applyBorder="0" applyAlignment="0" applyProtection="0"/>
    <xf numFmtId="170" fontId="29" fillId="2" borderId="0" applyNumberFormat="0" applyFill="0" applyBorder="0" applyAlignment="0" applyProtection="0"/>
    <xf numFmtId="171" fontId="29" fillId="37" borderId="11" applyNumberFormat="0">
      <protection locked="0"/>
    </xf>
    <xf numFmtId="170" fontId="26" fillId="2" borderId="0" applyNumberFormat="0" applyBorder="0" applyProtection="0">
      <alignment horizontal="center"/>
    </xf>
    <xf numFmtId="0" fontId="2" fillId="5" borderId="12" applyFont="0" applyAlignment="0" applyProtection="0">
      <alignment vertical="top"/>
    </xf>
  </cellStyleXfs>
  <cellXfs count="83">
    <xf numFmtId="173" fontId="0" fillId="0" borderId="0" xfId="0"/>
    <xf numFmtId="173" fontId="2" fillId="5" borderId="0" xfId="0" applyFont="1" applyFill="1"/>
    <xf numFmtId="173" fontId="2" fillId="4" borderId="0" xfId="0" applyFont="1" applyFill="1"/>
    <xf numFmtId="173" fontId="2" fillId="5" borderId="0" xfId="0" applyFont="1" applyFill="1" applyAlignment="1">
      <alignment vertical="top" wrapText="1"/>
    </xf>
    <xf numFmtId="173" fontId="2" fillId="5" borderId="1" xfId="0" applyFont="1" applyFill="1" applyBorder="1" applyAlignment="1">
      <alignment vertical="top"/>
    </xf>
    <xf numFmtId="170" fontId="30" fillId="2" borderId="0" xfId="48" applyNumberFormat="1">
      <alignment horizontal="left"/>
    </xf>
    <xf numFmtId="173" fontId="24" fillId="2" borderId="0" xfId="0" applyFont="1" applyFill="1"/>
    <xf numFmtId="173" fontId="25" fillId="3" borderId="0" xfId="0" applyFont="1" applyFill="1"/>
    <xf numFmtId="173" fontId="3" fillId="5" borderId="0" xfId="0" applyFont="1" applyFill="1" applyAlignment="1">
      <alignment horizontal="center" vertical="top"/>
    </xf>
    <xf numFmtId="173" fontId="3" fillId="5" borderId="0" xfId="0" applyFont="1" applyFill="1" applyAlignment="1">
      <alignment vertical="top"/>
    </xf>
    <xf numFmtId="173" fontId="24" fillId="2" borderId="0" xfId="0" applyFont="1" applyFill="1" applyAlignment="1">
      <alignment vertical="center"/>
    </xf>
    <xf numFmtId="168" fontId="27" fillId="3" borderId="0" xfId="52">
      <alignment horizontal="center"/>
    </xf>
    <xf numFmtId="170" fontId="26" fillId="2" borderId="0" xfId="53">
      <alignment horizontal="center"/>
    </xf>
    <xf numFmtId="170" fontId="30" fillId="2" borderId="0" xfId="48" applyNumberFormat="1" applyAlignment="1"/>
    <xf numFmtId="170" fontId="7" fillId="3" borderId="0" xfId="49" applyNumberFormat="1" applyAlignment="1"/>
    <xf numFmtId="170" fontId="4" fillId="0" borderId="0" xfId="50" applyNumberFormat="1">
      <alignment horizontal="left" vertical="center"/>
    </xf>
    <xf numFmtId="173" fontId="2" fillId="5" borderId="0" xfId="0" applyFont="1" applyFill="1" applyAlignment="1">
      <alignment horizontal="left" vertical="top"/>
    </xf>
    <xf numFmtId="173" fontId="2" fillId="5" borderId="0" xfId="0" applyFont="1" applyFill="1" applyAlignment="1">
      <alignment vertical="top"/>
    </xf>
    <xf numFmtId="173" fontId="2" fillId="0" borderId="0" xfId="0" applyFont="1" applyAlignment="1">
      <alignment vertical="top" wrapText="1"/>
    </xf>
    <xf numFmtId="173" fontId="3" fillId="0" borderId="0" xfId="0" applyFont="1" applyAlignment="1">
      <alignment vertical="top"/>
    </xf>
    <xf numFmtId="173" fontId="2" fillId="0" borderId="0" xfId="0" applyFont="1" applyAlignment="1">
      <alignment horizontal="left" wrapText="1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2" fillId="0" borderId="0" xfId="0" applyFont="1" applyAlignment="1">
      <alignment horizontal="left" vertical="top"/>
    </xf>
    <xf numFmtId="173" fontId="3" fillId="0" borderId="0" xfId="0" applyFont="1" applyAlignment="1">
      <alignment horizontal="center" vertical="top"/>
    </xf>
    <xf numFmtId="173" fontId="6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3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3" fontId="3" fillId="0" borderId="0" xfId="0" applyFont="1" applyAlignment="1">
      <alignment horizontal="left" vertical="top"/>
    </xf>
    <xf numFmtId="173" fontId="3" fillId="0" borderId="0" xfId="0" applyFont="1"/>
    <xf numFmtId="173" fontId="24" fillId="0" borderId="0" xfId="0" applyFont="1"/>
    <xf numFmtId="173" fontId="25" fillId="0" borderId="0" xfId="0" applyFont="1"/>
    <xf numFmtId="170" fontId="29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173" fontId="24" fillId="0" borderId="0" xfId="0" applyFont="1" applyAlignment="1">
      <alignment vertical="center"/>
    </xf>
    <xf numFmtId="170" fontId="6" fillId="5" borderId="0" xfId="51" applyNumberFormat="1" applyFont="1" applyAlignment="1">
      <alignment vertical="center" wrapText="1"/>
    </xf>
    <xf numFmtId="170" fontId="29" fillId="37" borderId="11" xfId="58" applyNumberFormat="1">
      <protection locked="0"/>
    </xf>
    <xf numFmtId="170" fontId="2" fillId="0" borderId="0" xfId="51" applyNumberFormat="1" applyFont="1" applyFill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173" fontId="4" fillId="5" borderId="0" xfId="51" applyNumberFormat="1" applyFont="1" applyAlignment="1">
      <alignment vertical="center"/>
    </xf>
    <xf numFmtId="173" fontId="29" fillId="37" borderId="11" xfId="58" applyNumberFormat="1">
      <protection locked="0"/>
    </xf>
    <xf numFmtId="172" fontId="29" fillId="37" borderId="11" xfId="58" applyNumberFormat="1">
      <protection locked="0"/>
    </xf>
    <xf numFmtId="174" fontId="4" fillId="0" borderId="0" xfId="50" applyNumberFormat="1">
      <alignment horizontal="left" vertical="center"/>
    </xf>
    <xf numFmtId="173" fontId="0" fillId="0" borderId="0" xfId="0" quotePrefix="1"/>
    <xf numFmtId="173" fontId="4" fillId="0" borderId="0" xfId="50" applyNumberFormat="1">
      <alignment horizontal="left" vertical="center"/>
    </xf>
    <xf numFmtId="173" fontId="29" fillId="0" borderId="0" xfId="57" applyNumberFormat="1" applyFill="1"/>
    <xf numFmtId="173" fontId="29" fillId="0" borderId="0" xfId="0" applyFont="1"/>
    <xf numFmtId="172" fontId="0" fillId="0" borderId="0" xfId="56" applyFont="1" applyFill="1"/>
    <xf numFmtId="176" fontId="0" fillId="0" borderId="0" xfId="0" applyNumberFormat="1"/>
    <xf numFmtId="176" fontId="29" fillId="0" borderId="0" xfId="0" applyNumberFormat="1" applyFont="1"/>
    <xf numFmtId="172" fontId="29" fillId="38" borderId="11" xfId="56" applyFont="1" applyFill="1" applyBorder="1"/>
    <xf numFmtId="172" fontId="29" fillId="37" borderId="11" xfId="56" applyFont="1" applyFill="1" applyBorder="1" applyProtection="1">
      <protection locked="0"/>
    </xf>
    <xf numFmtId="173" fontId="34" fillId="0" borderId="0" xfId="0" applyFont="1"/>
    <xf numFmtId="175" fontId="0" fillId="0" borderId="0" xfId="55" applyFont="1"/>
    <xf numFmtId="172" fontId="29" fillId="0" borderId="0" xfId="57" applyNumberFormat="1" applyFill="1"/>
    <xf numFmtId="173" fontId="4" fillId="0" borderId="0" xfId="0" applyFont="1" applyAlignment="1">
      <alignment horizontal="left" vertical="center"/>
    </xf>
    <xf numFmtId="0" fontId="2" fillId="5" borderId="12" xfId="60" applyFont="1" applyAlignment="1"/>
    <xf numFmtId="0" fontId="3" fillId="5" borderId="12" xfId="60" applyFont="1" applyAlignment="1">
      <alignment horizontal="left" vertical="top"/>
    </xf>
    <xf numFmtId="0" fontId="3" fillId="5" borderId="12" xfId="60" applyFont="1" applyAlignment="1"/>
    <xf numFmtId="0" fontId="2" fillId="5" borderId="12" xfId="60" applyFont="1" applyAlignment="1">
      <alignment horizontal="left"/>
    </xf>
    <xf numFmtId="0" fontId="6" fillId="5" borderId="12" xfId="60" applyFont="1" applyAlignment="1">
      <alignment horizontal="center" vertical="center" wrapText="1"/>
    </xf>
    <xf numFmtId="0" fontId="0" fillId="5" borderId="12" xfId="60" applyFont="1" applyAlignment="1"/>
    <xf numFmtId="0" fontId="6" fillId="5" borderId="12" xfId="60" applyFont="1" applyAlignment="1">
      <alignment vertical="center" wrapText="1"/>
    </xf>
    <xf numFmtId="170" fontId="30" fillId="2" borderId="0" xfId="48" applyNumberFormat="1" applyAlignment="1">
      <alignment horizontal="center"/>
    </xf>
    <xf numFmtId="173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0" fillId="3" borderId="0" xfId="49" applyNumberFormat="1" applyFont="1" applyAlignment="1">
      <alignment horizontal="center" vertical="center"/>
    </xf>
    <xf numFmtId="170" fontId="0" fillId="5" borderId="0" xfId="0" applyNumberFormat="1" applyFill="1" applyAlignment="1">
      <alignment horizontal="center" vertical="center" wrapText="1"/>
    </xf>
    <xf numFmtId="173" fontId="6" fillId="0" borderId="0" xfId="0" applyFont="1" applyAlignment="1">
      <alignment horizontal="center" vertical="center" wrapText="1"/>
    </xf>
    <xf numFmtId="173" fontId="4" fillId="5" borderId="0" xfId="0" applyFont="1" applyFill="1" applyAlignment="1">
      <alignment horizontal="left" vertical="center"/>
    </xf>
    <xf numFmtId="173" fontId="4" fillId="5" borderId="0" xfId="50" applyNumberFormat="1" applyFill="1">
      <alignment horizontal="left" vertical="center"/>
    </xf>
    <xf numFmtId="173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9000000}"/>
    <cellStyle name="Bad" xfId="13" builtinId="27" hidden="1"/>
    <cellStyle name="BG Border" xfId="60" xr:uid="{D773C595-2587-45FC-B7AE-956C7460A527}"/>
    <cellStyle name="Calculation" xfId="17" builtinId="22" hidden="1"/>
    <cellStyle name="Check Cell" xfId="19" builtinId="23" hidden="1"/>
    <cellStyle name="Column Heading" xfId="59" xr:uid="{6220ED68-8F45-4A45-85DC-98CE115B11AA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7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53" xr:uid="{00000000-0005-0000-0000-00002E000000}"/>
    <cellStyle name="Hyperlink" xfId="1" builtinId="8" customBuiltin="1"/>
    <cellStyle name="Input" xfId="15" builtinId="20" hidden="1"/>
    <cellStyle name="Input" xfId="58" builtinId="20" customBuiltin="1"/>
    <cellStyle name="Linked Cell" xfId="18" builtinId="24" hidden="1"/>
    <cellStyle name="Multiple" xfId="55" xr:uid="{00000000-0005-0000-0000-000033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D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6F6F6F"/>
      <color rgb="FFBBDEFB"/>
      <color rgb="FF163260"/>
      <color rgb="FF085393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170012</xdr:colOff>
      <xdr:row>0</xdr:row>
      <xdr:rowOff>474889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3" customFormat="1" ht="189.75" customHeight="1" x14ac:dyDescent="0.8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s="21" customFormat="1" ht="75" customHeight="1" x14ac:dyDescent="0.4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73"/>
      <c r="D4" s="73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75" t="s">
        <v>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s="22" customFormat="1" ht="15" customHeight="1" x14ac:dyDescent="0.4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14" s="22" customFormat="1" ht="15" customHeight="1" x14ac:dyDescent="0.45">
      <c r="A7" s="75" t="str">
        <f ca="1">"© "&amp;YEAR(TODAY())&amp;" Financial Edge Training "</f>
        <v xml:space="preserve">© 2026 Financial Edge Training 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4" s="22" customFormat="1" ht="15" customHeight="1" x14ac:dyDescent="0.45">
      <c r="A8" s="21"/>
      <c r="B8" s="26"/>
      <c r="C8" s="21"/>
      <c r="D8" s="21"/>
      <c r="F8" s="24"/>
      <c r="G8" s="24"/>
      <c r="H8" s="24"/>
      <c r="I8" s="24"/>
      <c r="J8" s="24"/>
      <c r="K8" s="24"/>
    </row>
    <row r="9" spans="1:14" s="22" customFormat="1" ht="15" customHeight="1" x14ac:dyDescent="0.45">
      <c r="F9" s="27"/>
      <c r="G9" s="76"/>
      <c r="H9" s="76"/>
      <c r="I9" s="76"/>
      <c r="J9" s="76"/>
      <c r="K9" s="27"/>
    </row>
    <row r="10" spans="1:14" s="22" customFormat="1" ht="15" customHeight="1" x14ac:dyDescent="0.45">
      <c r="B10" s="23"/>
      <c r="C10" s="23"/>
      <c r="F10" s="27"/>
      <c r="G10" s="76"/>
      <c r="H10" s="76"/>
      <c r="I10" s="76"/>
      <c r="J10" s="76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2"/>
      <c r="H12" s="72"/>
      <c r="I12" s="72"/>
      <c r="J12" s="72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2"/>
      <c r="H13" s="72"/>
      <c r="I13" s="72"/>
      <c r="J13" s="72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2"/>
      <c r="H14" s="72"/>
      <c r="I14" s="72"/>
      <c r="J14" s="72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2"/>
      <c r="H16" s="72"/>
      <c r="I16" s="72"/>
      <c r="J16" s="72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3" customFormat="1" ht="45" customHeight="1" x14ac:dyDescent="0.85">
      <c r="A1" s="13" t="str">
        <f>Welcome!A2</f>
        <v>Modeling Complexities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77" t="s">
        <v>3</v>
      </c>
      <c r="C4" s="77"/>
      <c r="D4" s="77"/>
      <c r="E4" s="77"/>
      <c r="F4" s="77"/>
      <c r="G4" s="77"/>
      <c r="H4" s="77"/>
      <c r="I4" s="77"/>
      <c r="K4" s="1"/>
      <c r="L4" s="77" t="s">
        <v>4</v>
      </c>
      <c r="M4" s="77"/>
      <c r="N4" s="77"/>
      <c r="O4" s="77"/>
      <c r="P4" s="77"/>
      <c r="Q4" s="39"/>
      <c r="R4" s="39"/>
    </row>
    <row r="5" spans="1:18" s="2" customFormat="1" ht="15" customHeight="1" x14ac:dyDescent="0.45">
      <c r="A5" s="16"/>
      <c r="B5" s="8" t="s">
        <v>5</v>
      </c>
      <c r="C5" s="45" t="s">
        <v>6</v>
      </c>
      <c r="D5" s="17"/>
      <c r="E5" s="17"/>
      <c r="F5" s="17"/>
      <c r="G5" s="17"/>
      <c r="H5" s="17"/>
      <c r="I5" s="17"/>
      <c r="K5" s="1"/>
      <c r="L5" s="9" t="s">
        <v>7</v>
      </c>
      <c r="M5" s="9"/>
      <c r="N5" s="80"/>
      <c r="O5" s="80"/>
      <c r="P5" s="80"/>
      <c r="Q5" s="80"/>
      <c r="R5" s="39"/>
    </row>
    <row r="6" spans="1:18" s="2" customFormat="1" ht="15" customHeight="1" x14ac:dyDescent="0.45">
      <c r="A6" s="3"/>
      <c r="B6" s="8"/>
      <c r="C6" s="17"/>
      <c r="D6" s="17"/>
      <c r="E6" s="17"/>
      <c r="F6" s="17"/>
      <c r="G6" s="17"/>
      <c r="H6" s="17"/>
      <c r="I6" s="17"/>
      <c r="K6" s="16"/>
      <c r="L6" s="9" t="s">
        <v>8</v>
      </c>
      <c r="M6" s="9"/>
      <c r="N6" s="81"/>
      <c r="O6" s="81"/>
      <c r="P6" s="81"/>
      <c r="Q6" s="81"/>
      <c r="R6" s="39"/>
    </row>
    <row r="7" spans="1:18" s="2" customFormat="1" ht="15" customHeight="1" x14ac:dyDescent="0.45">
      <c r="A7" s="17"/>
      <c r="B7" s="8"/>
      <c r="C7" s="17"/>
      <c r="D7" s="17"/>
      <c r="E7" s="17"/>
      <c r="F7" s="17"/>
      <c r="G7" s="17"/>
      <c r="H7" s="17"/>
      <c r="I7" s="17"/>
      <c r="K7" s="3"/>
      <c r="L7" s="9" t="s">
        <v>9</v>
      </c>
      <c r="M7" s="9"/>
      <c r="N7" s="80" t="s">
        <v>10</v>
      </c>
      <c r="O7" s="80"/>
      <c r="P7" s="80"/>
      <c r="Q7" s="80"/>
      <c r="R7" s="39"/>
    </row>
    <row r="8" spans="1:18" s="2" customFormat="1" ht="15" customHeight="1" x14ac:dyDescent="0.45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11</v>
      </c>
      <c r="M8" s="9"/>
      <c r="N8" s="80" t="s">
        <v>12</v>
      </c>
      <c r="O8" s="80"/>
      <c r="P8" s="80"/>
      <c r="Q8" s="80"/>
      <c r="R8" s="39"/>
    </row>
    <row r="9" spans="1:18" s="2" customFormat="1" ht="15" customHeight="1" x14ac:dyDescent="0.45">
      <c r="A9" s="40"/>
      <c r="B9" s="8"/>
      <c r="C9" s="17"/>
      <c r="D9" s="40"/>
      <c r="E9" s="40"/>
      <c r="F9" s="40"/>
      <c r="G9" s="40"/>
      <c r="H9" s="40"/>
      <c r="I9" s="40"/>
      <c r="K9" s="17"/>
      <c r="L9" s="9" t="s">
        <v>13</v>
      </c>
      <c r="M9" s="9"/>
      <c r="N9" s="80" t="s">
        <v>14</v>
      </c>
      <c r="O9" s="80"/>
      <c r="P9" s="80"/>
      <c r="Q9" s="80"/>
      <c r="R9" s="39"/>
    </row>
    <row r="10" spans="1:18" s="2" customFormat="1" ht="15" customHeight="1" x14ac:dyDescent="0.45">
      <c r="A10" s="38"/>
      <c r="B10" s="8"/>
      <c r="C10" s="17"/>
      <c r="D10" s="38"/>
      <c r="E10" s="38"/>
      <c r="F10" s="38"/>
      <c r="G10" s="38"/>
      <c r="H10" s="38"/>
      <c r="I10" s="38"/>
      <c r="K10" s="17"/>
      <c r="L10" s="9" t="s">
        <v>15</v>
      </c>
      <c r="M10" s="9"/>
      <c r="N10" s="82">
        <v>0</v>
      </c>
      <c r="O10" s="82"/>
      <c r="P10" s="82"/>
      <c r="Q10" s="82"/>
      <c r="R10" s="42"/>
    </row>
    <row r="11" spans="1:18" s="2" customFormat="1" ht="15" customHeight="1" thickBot="1" x14ac:dyDescent="0.5">
      <c r="A11" s="64"/>
      <c r="B11" s="64"/>
      <c r="C11" s="64"/>
      <c r="D11" s="64"/>
      <c r="E11" s="64"/>
      <c r="F11" s="64"/>
      <c r="G11" s="64"/>
      <c r="H11" s="64"/>
      <c r="I11" s="64"/>
      <c r="K11" s="4"/>
      <c r="L11" s="65"/>
      <c r="M11" s="65"/>
      <c r="N11" s="66"/>
      <c r="O11" s="67"/>
      <c r="P11" s="67"/>
      <c r="Q11" s="68"/>
      <c r="R11" s="7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45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N13" s="1"/>
      <c r="O13" s="77" t="s">
        <v>16</v>
      </c>
      <c r="P13" s="77"/>
      <c r="Q13" s="77"/>
      <c r="R13" s="47"/>
    </row>
    <row r="14" spans="1:18" s="2" customFormat="1" ht="15" customHeight="1" x14ac:dyDescent="0.45">
      <c r="A14" s="46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N14" s="16"/>
      <c r="O14" s="26"/>
      <c r="P14" s="21"/>
      <c r="Q14" s="21"/>
      <c r="R14" s="46"/>
    </row>
    <row r="15" spans="1:18" s="2" customFormat="1" ht="15" customHeight="1" x14ac:dyDescent="0.45">
      <c r="A15" s="46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3"/>
      <c r="O15" s="26"/>
      <c r="P15" s="43" t="s">
        <v>17</v>
      </c>
      <c r="Q15" s="21"/>
      <c r="R15" s="46"/>
    </row>
    <row r="16" spans="1:18" s="2" customFormat="1" ht="15" customHeight="1" x14ac:dyDescent="0.45">
      <c r="A16" s="46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N16" s="17"/>
      <c r="O16" s="26"/>
      <c r="P16" s="35" t="s">
        <v>18</v>
      </c>
      <c r="Q16" s="21"/>
      <c r="R16" s="46"/>
    </row>
    <row r="17" spans="1:18" s="2" customFormat="1" ht="15" customHeight="1" x14ac:dyDescent="0.45">
      <c r="A17" s="46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N17" s="17"/>
      <c r="O17" s="26"/>
      <c r="P17" t="s">
        <v>19</v>
      </c>
      <c r="Q17" s="21"/>
      <c r="R17" s="46"/>
    </row>
    <row r="18" spans="1:18" s="2" customFormat="1" ht="15" customHeight="1" x14ac:dyDescent="0.45">
      <c r="A18" s="3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38"/>
      <c r="O18" s="44"/>
      <c r="P18" s="44"/>
      <c r="Q18" s="44"/>
      <c r="R18" s="38"/>
    </row>
    <row r="19" spans="1:18" ht="14.65" thickBot="1" x14ac:dyDescent="0.5">
      <c r="A19" s="64"/>
      <c r="B19" s="64"/>
      <c r="C19" s="64"/>
      <c r="D19" s="69"/>
      <c r="E19" s="69"/>
      <c r="F19" s="69"/>
      <c r="G19" s="69"/>
      <c r="H19" s="69"/>
      <c r="I19" s="69"/>
      <c r="J19" s="69"/>
      <c r="K19" s="69"/>
      <c r="L19" s="69"/>
      <c r="N19" s="64"/>
      <c r="O19" s="64"/>
      <c r="P19" s="64"/>
      <c r="Q19" s="64"/>
      <c r="R19" s="64"/>
    </row>
    <row r="20" spans="1:18" x14ac:dyDescent="0.45">
      <c r="Q20" s="22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916F-8C6B-4C2C-90D7-DF2C50647FFE}">
  <sheetPr>
    <pageSetUpPr fitToPage="1"/>
  </sheetPr>
  <dimension ref="A1:J17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328125" defaultRowHeight="15" customHeight="1" x14ac:dyDescent="0.45"/>
  <cols>
    <col min="1" max="1" width="1.3984375" style="15" customWidth="1"/>
    <col min="2" max="2" width="44.86328125" bestFit="1" customWidth="1"/>
    <col min="3" max="10" width="11.59765625" customWidth="1"/>
    <col min="11" max="11" width="9.265625" customWidth="1"/>
  </cols>
  <sheetData>
    <row r="1" spans="1:10" s="41" customFormat="1" ht="45" customHeight="1" x14ac:dyDescent="0.85">
      <c r="A1" s="5" t="s">
        <v>20</v>
      </c>
      <c r="B1" s="10"/>
      <c r="C1" s="12" t="s">
        <v>21</v>
      </c>
      <c r="D1" s="12" t="s">
        <v>21</v>
      </c>
      <c r="E1" s="12" t="s">
        <v>21</v>
      </c>
      <c r="F1" s="12" t="s">
        <v>22</v>
      </c>
      <c r="G1" s="12" t="s">
        <v>22</v>
      </c>
      <c r="H1" s="12" t="s">
        <v>22</v>
      </c>
      <c r="I1" s="12" t="s">
        <v>22</v>
      </c>
      <c r="J1" s="12" t="s">
        <v>22</v>
      </c>
    </row>
    <row r="2" spans="1:10" s="34" customFormat="1" ht="30" customHeight="1" x14ac:dyDescent="0.65">
      <c r="A2" s="14" t="s">
        <v>23</v>
      </c>
      <c r="B2" s="7"/>
      <c r="C2" s="11">
        <f>EDATE(D2,-12)</f>
        <v>44227</v>
      </c>
      <c r="D2" s="11">
        <f>EDATE(E2,-12)</f>
        <v>44592</v>
      </c>
      <c r="E2" s="11">
        <f>EDATE(F2,-12)</f>
        <v>44957</v>
      </c>
      <c r="F2" s="11">
        <v>45322</v>
      </c>
      <c r="G2" s="11">
        <f>EDATE(F2,12)</f>
        <v>45688</v>
      </c>
      <c r="H2" s="11">
        <f t="shared" ref="H2:J2" si="0">EDATE(G2,12)</f>
        <v>46053</v>
      </c>
      <c r="I2" s="11">
        <f t="shared" si="0"/>
        <v>46418</v>
      </c>
      <c r="J2" s="11">
        <f t="shared" si="0"/>
        <v>46783</v>
      </c>
    </row>
    <row r="3" spans="1:10" ht="15" customHeight="1" x14ac:dyDescent="0.45">
      <c r="A3" s="50" t="s">
        <v>24</v>
      </c>
    </row>
    <row r="4" spans="1:10" ht="15" customHeight="1" x14ac:dyDescent="0.45">
      <c r="A4"/>
      <c r="B4" t="s">
        <v>25</v>
      </c>
      <c r="D4" s="55">
        <f>D69/C69-1</f>
        <v>0.38845199682194798</v>
      </c>
      <c r="E4" s="55">
        <f>E69/D69-1</f>
        <v>0.18241270582739699</v>
      </c>
      <c r="F4" s="49">
        <v>0.01</v>
      </c>
      <c r="G4" s="49">
        <v>0.06</v>
      </c>
      <c r="H4" s="49">
        <v>0.05</v>
      </c>
      <c r="I4" s="49">
        <v>0.04</v>
      </c>
      <c r="J4" s="49">
        <v>0.03</v>
      </c>
    </row>
    <row r="5" spans="1:10" ht="15" customHeight="1" x14ac:dyDescent="0.45">
      <c r="A5"/>
      <c r="B5" t="s">
        <v>26</v>
      </c>
      <c r="C5" s="55">
        <f>C70/C69</f>
        <v>0.15455709954112826</v>
      </c>
      <c r="D5" s="55">
        <f t="shared" ref="D5:E5" si="1">D70/D69</f>
        <v>0.18292654443536144</v>
      </c>
      <c r="E5" s="55">
        <f t="shared" si="1"/>
        <v>0.16395061728395061</v>
      </c>
      <c r="F5" s="49">
        <v>0.16500000000000001</v>
      </c>
      <c r="G5" s="49">
        <v>0.16500000000000001</v>
      </c>
      <c r="H5" s="49">
        <v>0.16500000000000001</v>
      </c>
      <c r="I5" s="49">
        <v>0.16500000000000001</v>
      </c>
      <c r="J5" s="49">
        <v>0.16500000000000001</v>
      </c>
    </row>
    <row r="6" spans="1:10" ht="15" customHeight="1" x14ac:dyDescent="0.45">
      <c r="A6"/>
      <c r="B6" t="s">
        <v>27</v>
      </c>
      <c r="C6" s="55"/>
      <c r="D6" s="55"/>
      <c r="E6" s="55"/>
      <c r="F6" s="48">
        <v>-200</v>
      </c>
      <c r="G6" s="48">
        <v>0</v>
      </c>
      <c r="H6" s="48">
        <v>0</v>
      </c>
      <c r="I6" s="48">
        <v>0</v>
      </c>
      <c r="J6" s="48">
        <v>0</v>
      </c>
    </row>
    <row r="7" spans="1:10" ht="15" customHeight="1" x14ac:dyDescent="0.45">
      <c r="A7"/>
      <c r="B7" t="s">
        <v>28</v>
      </c>
      <c r="C7">
        <f>C75</f>
        <v>28.299999999999997</v>
      </c>
      <c r="D7">
        <f>D75/C75-1</f>
        <v>-3.8869257950529867E-2</v>
      </c>
      <c r="E7" s="55">
        <f>E75/D75-1</f>
        <v>0.23161764705882337</v>
      </c>
      <c r="F7" s="59">
        <v>0.08</v>
      </c>
      <c r="G7" s="59">
        <v>0.08</v>
      </c>
      <c r="H7" s="59">
        <v>0.08</v>
      </c>
      <c r="I7" s="59">
        <v>0.08</v>
      </c>
      <c r="J7" s="59">
        <v>0.08</v>
      </c>
    </row>
    <row r="8" spans="1:10" ht="15" customHeight="1" x14ac:dyDescent="0.45">
      <c r="A8"/>
      <c r="B8" t="s">
        <v>29</v>
      </c>
      <c r="C8" s="55">
        <f>C82/C80</f>
        <v>-0.29259259259259229</v>
      </c>
      <c r="D8" s="55">
        <f>-D82/D80</f>
        <v>0.29799908354971738</v>
      </c>
      <c r="E8" s="55">
        <f>-E82/E80</f>
        <v>0.48582444998865953</v>
      </c>
      <c r="F8" s="49">
        <v>0.24</v>
      </c>
      <c r="G8" s="49">
        <v>0.23</v>
      </c>
      <c r="H8" s="49">
        <v>0.23</v>
      </c>
      <c r="I8" s="49">
        <v>0.23</v>
      </c>
      <c r="J8" s="49">
        <v>0.23</v>
      </c>
    </row>
    <row r="9" spans="1:10" ht="15" customHeight="1" x14ac:dyDescent="0.45">
      <c r="A9"/>
      <c r="B9" t="s">
        <v>30</v>
      </c>
      <c r="C9" s="55">
        <v>0.221</v>
      </c>
      <c r="D9" s="55">
        <v>0.221</v>
      </c>
      <c r="E9" s="55">
        <v>0.224</v>
      </c>
      <c r="F9" s="49">
        <v>0.19</v>
      </c>
      <c r="G9" s="49">
        <v>0.19</v>
      </c>
      <c r="H9" s="49">
        <v>0.19</v>
      </c>
      <c r="I9" s="49">
        <v>0.19</v>
      </c>
      <c r="J9" s="49">
        <v>0.19</v>
      </c>
    </row>
    <row r="10" spans="1:10" ht="15" customHeight="1" x14ac:dyDescent="0.45">
      <c r="A10"/>
    </row>
    <row r="11" spans="1:10" ht="15" customHeight="1" x14ac:dyDescent="0.45">
      <c r="A11"/>
      <c r="B11" t="s">
        <v>31</v>
      </c>
      <c r="C11" s="55">
        <f>C35/C69</f>
        <v>1.8306228009015289E-2</v>
      </c>
      <c r="D11" s="55">
        <f>D35/D69</f>
        <v>2.8950134298727084E-2</v>
      </c>
      <c r="E11" s="55">
        <f>E35/E69</f>
        <v>3.5486419753086418E-2</v>
      </c>
      <c r="F11" s="49">
        <v>3.4000000000000002E-2</v>
      </c>
      <c r="G11" s="49">
        <v>3.4000000000000002E-2</v>
      </c>
      <c r="H11" s="49">
        <v>3.4000000000000002E-2</v>
      </c>
      <c r="I11" s="49">
        <v>3.4000000000000002E-2</v>
      </c>
      <c r="J11" s="49">
        <v>3.4000000000000002E-2</v>
      </c>
    </row>
    <row r="12" spans="1:10" ht="15" customHeight="1" x14ac:dyDescent="0.45">
      <c r="A12"/>
      <c r="B12" t="s">
        <v>32</v>
      </c>
      <c r="D12" s="55">
        <f>-D72/C101</f>
        <v>0.25887114258871141</v>
      </c>
      <c r="E12" s="55">
        <f>-E72/D101</f>
        <v>0.18278525507608345</v>
      </c>
      <c r="F12" s="49">
        <v>0.18</v>
      </c>
      <c r="G12" s="49">
        <v>0.18</v>
      </c>
      <c r="H12" s="49">
        <v>0.18</v>
      </c>
      <c r="I12" s="49">
        <v>0.18</v>
      </c>
      <c r="J12" s="49">
        <v>0.18</v>
      </c>
    </row>
    <row r="13" spans="1:10" ht="15" customHeight="1" x14ac:dyDescent="0.45">
      <c r="A13"/>
      <c r="B13" t="s">
        <v>33</v>
      </c>
      <c r="C13" s="55">
        <f>C41/C69</f>
        <v>3.4845069965787297E-2</v>
      </c>
      <c r="D13" s="55">
        <f>D41/D69</f>
        <v>6.0959943944879129E-2</v>
      </c>
      <c r="E13" s="55">
        <f>E41/E69</f>
        <v>4.0335802469135804E-2</v>
      </c>
      <c r="F13" s="49">
        <v>0.04</v>
      </c>
      <c r="G13" s="49">
        <v>0.04</v>
      </c>
      <c r="H13" s="49">
        <v>0.04</v>
      </c>
      <c r="I13" s="49">
        <v>0.04</v>
      </c>
      <c r="J13" s="49">
        <v>0.04</v>
      </c>
    </row>
    <row r="14" spans="1:10" ht="15" customHeight="1" x14ac:dyDescent="0.45">
      <c r="A14"/>
      <c r="B14" t="s">
        <v>34</v>
      </c>
      <c r="C14" s="55"/>
      <c r="D14" s="55">
        <f>-D72/C102</f>
        <v>0.20440538689796847</v>
      </c>
      <c r="E14" s="55">
        <f>-E72/D102</f>
        <v>0.19443077831349012</v>
      </c>
      <c r="F14" s="49">
        <v>0.19</v>
      </c>
      <c r="G14" s="49">
        <v>0.19</v>
      </c>
      <c r="H14" s="49">
        <v>0.19</v>
      </c>
      <c r="I14" s="49">
        <v>0.19</v>
      </c>
      <c r="J14" s="49">
        <v>0.19</v>
      </c>
    </row>
    <row r="15" spans="1:10" ht="15" customHeight="1" x14ac:dyDescent="0.45">
      <c r="A15"/>
      <c r="B15" t="s">
        <v>35</v>
      </c>
      <c r="D15" s="55">
        <f>D91/C91-1</f>
        <v>0.2068965517241379</v>
      </c>
      <c r="E15" s="55">
        <f>E91/D91-1</f>
        <v>1.285714285714286</v>
      </c>
      <c r="F15" s="49">
        <v>0.06</v>
      </c>
      <c r="G15" s="49">
        <v>0.06</v>
      </c>
      <c r="H15" s="49">
        <v>0.05</v>
      </c>
      <c r="I15" s="49">
        <v>0.04</v>
      </c>
      <c r="J15" s="49">
        <v>0.03</v>
      </c>
    </row>
    <row r="16" spans="1:10" ht="15" customHeight="1" x14ac:dyDescent="0.45">
      <c r="A16"/>
      <c r="B16" t="s">
        <v>36</v>
      </c>
      <c r="D16">
        <f>D56</f>
        <v>0</v>
      </c>
      <c r="E16">
        <f>E56</f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</row>
    <row r="17" spans="1:10" ht="15" customHeight="1" x14ac:dyDescent="0.45">
      <c r="A17"/>
      <c r="B17" t="s">
        <v>37</v>
      </c>
      <c r="C17" s="55">
        <f>C96/C69</f>
        <v>2.289494592447262E-2</v>
      </c>
      <c r="D17" s="55">
        <f>D96/D69</f>
        <v>2.3694966717271986E-2</v>
      </c>
      <c r="E17" s="55">
        <f>E96/E69</f>
        <v>2.4553086419753085E-2</v>
      </c>
      <c r="F17" s="49">
        <v>2.5000000000000001E-2</v>
      </c>
      <c r="G17" s="49">
        <v>2.5000000000000001E-2</v>
      </c>
      <c r="H17" s="49">
        <v>2.5000000000000001E-2</v>
      </c>
      <c r="I17" s="49">
        <v>2.5000000000000001E-2</v>
      </c>
      <c r="J17" s="49">
        <v>2.5000000000000001E-2</v>
      </c>
    </row>
    <row r="18" spans="1:10" ht="15" customHeight="1" x14ac:dyDescent="0.45">
      <c r="A18"/>
      <c r="B18" t="s">
        <v>38</v>
      </c>
      <c r="C18" s="55">
        <f>C97/(C69-C70)</f>
        <v>0.15605761301087437</v>
      </c>
      <c r="D18" s="55">
        <f>D97/(D69-D70)</f>
        <v>0.14141154274933537</v>
      </c>
      <c r="E18" s="55">
        <f>E97/(E69-E70)</f>
        <v>0.17323095097460131</v>
      </c>
      <c r="F18" s="49">
        <v>0.17</v>
      </c>
      <c r="G18" s="49">
        <v>0.17</v>
      </c>
      <c r="H18" s="49">
        <v>0.17</v>
      </c>
      <c r="I18" s="49">
        <v>0.17</v>
      </c>
      <c r="J18" s="49">
        <v>0.17</v>
      </c>
    </row>
    <row r="19" spans="1:10" ht="15" customHeight="1" x14ac:dyDescent="0.45">
      <c r="A19"/>
      <c r="B19" t="s">
        <v>39</v>
      </c>
      <c r="C19" s="55">
        <f>C98/(C69-C70)</f>
        <v>0</v>
      </c>
      <c r="D19" s="55">
        <f>D98/(D69-D70)</f>
        <v>2.432610124917817E-2</v>
      </c>
      <c r="E19" s="55">
        <f>E98/(E69-E70)</f>
        <v>1.6326048434731243E-2</v>
      </c>
      <c r="F19" s="49">
        <v>1.6E-2</v>
      </c>
      <c r="G19" s="49">
        <v>1.6E-2</v>
      </c>
      <c r="H19" s="49">
        <v>1.6E-2</v>
      </c>
      <c r="I19" s="49">
        <v>1.6E-2</v>
      </c>
      <c r="J19" s="49">
        <v>1.6E-2</v>
      </c>
    </row>
    <row r="20" spans="1:10" ht="15" customHeight="1" x14ac:dyDescent="0.45">
      <c r="A20"/>
      <c r="B20" t="s">
        <v>40</v>
      </c>
      <c r="D20">
        <f>D103-C103</f>
        <v>90.9</v>
      </c>
      <c r="E20">
        <f>E103-D103</f>
        <v>-80.40000000000002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</row>
    <row r="21" spans="1:10" ht="15" customHeight="1" x14ac:dyDescent="0.45">
      <c r="A21"/>
      <c r="B21" t="s">
        <v>41</v>
      </c>
      <c r="C21" s="55">
        <f>C107/(C69-C70)</f>
        <v>0.21134999328743215</v>
      </c>
      <c r="D21" s="55">
        <f>D107/(D69-D70)</f>
        <v>0.18287453906183002</v>
      </c>
      <c r="E21" s="55">
        <f>E107/(E69-E70)</f>
        <v>0.17379799173065566</v>
      </c>
      <c r="F21" s="49">
        <v>0.17499999999999999</v>
      </c>
      <c r="G21" s="49">
        <v>0.17499999999999999</v>
      </c>
      <c r="H21" s="49">
        <v>0.17499999999999999</v>
      </c>
      <c r="I21" s="49">
        <v>0.17499999999999999</v>
      </c>
      <c r="J21" s="49">
        <v>0.17499999999999999</v>
      </c>
    </row>
    <row r="22" spans="1:10" ht="15" customHeight="1" x14ac:dyDescent="0.45">
      <c r="A22"/>
      <c r="B22" t="s">
        <v>42</v>
      </c>
      <c r="C22" s="55">
        <f>C108/C82</f>
        <v>-0.31118143459915615</v>
      </c>
      <c r="D22" s="55">
        <f>D108/D82</f>
        <v>0</v>
      </c>
      <c r="E22" s="55">
        <f>E108/E82</f>
        <v>-8.1699346405228759E-2</v>
      </c>
      <c r="F22" s="49">
        <v>0.22</v>
      </c>
      <c r="G22" s="49">
        <v>0.22</v>
      </c>
      <c r="H22" s="49">
        <v>0.22</v>
      </c>
      <c r="I22" s="49">
        <v>0.22</v>
      </c>
      <c r="J22" s="49">
        <v>0.22</v>
      </c>
    </row>
    <row r="23" spans="1:10" ht="15" customHeight="1" x14ac:dyDescent="0.45">
      <c r="A23"/>
      <c r="B23" t="s">
        <v>43</v>
      </c>
      <c r="C23" s="55">
        <f>C109/(C69-C70)</f>
        <v>1.3425135689764292E-4</v>
      </c>
      <c r="D23" s="55">
        <f>D109/(D69-D70)</f>
        <v>2.2267958722808217E-2</v>
      </c>
      <c r="E23" s="55">
        <f>E109/(E69-E70)</f>
        <v>2.0708800945067926E-2</v>
      </c>
      <c r="F23" s="49">
        <v>2.1000000000000001E-2</v>
      </c>
      <c r="G23" s="49">
        <v>2.1000000000000001E-2</v>
      </c>
      <c r="H23" s="49">
        <v>2.1000000000000001E-2</v>
      </c>
      <c r="I23" s="49">
        <v>2.1000000000000001E-2</v>
      </c>
      <c r="J23" s="49">
        <v>2.1000000000000001E-2</v>
      </c>
    </row>
    <row r="24" spans="1:10" ht="15" customHeight="1" x14ac:dyDescent="0.45">
      <c r="A24"/>
      <c r="B24" t="s">
        <v>44</v>
      </c>
      <c r="C24" s="55"/>
      <c r="D24">
        <f>D114-C114</f>
        <v>488.19999999999993</v>
      </c>
      <c r="E24">
        <f>E114-D114</f>
        <v>352.20000000000016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</row>
    <row r="25" spans="1:10" ht="15" customHeight="1" x14ac:dyDescent="0.45">
      <c r="A25"/>
    </row>
    <row r="26" spans="1:10" ht="15" customHeight="1" x14ac:dyDescent="0.45">
      <c r="A26"/>
      <c r="B26" t="s">
        <v>45</v>
      </c>
      <c r="D26">
        <f>D112-C112</f>
        <v>7.3999999999999986</v>
      </c>
      <c r="E26">
        <f>E112-D112</f>
        <v>-17.5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</row>
    <row r="27" spans="1:10" ht="15" customHeight="1" x14ac:dyDescent="0.45">
      <c r="A27"/>
      <c r="B27" t="s">
        <v>46</v>
      </c>
      <c r="F27" s="59">
        <v>0.04</v>
      </c>
      <c r="G27" s="59">
        <v>0.05</v>
      </c>
      <c r="H27" s="59">
        <v>0.06</v>
      </c>
      <c r="I27" s="59">
        <v>0.06</v>
      </c>
      <c r="J27" s="59">
        <v>0.06</v>
      </c>
    </row>
    <row r="28" spans="1:10" ht="15" customHeight="1" x14ac:dyDescent="0.45">
      <c r="A28"/>
      <c r="B28" t="s">
        <v>47</v>
      </c>
      <c r="F28" s="49">
        <v>0.06</v>
      </c>
      <c r="G28" s="49">
        <v>0.06</v>
      </c>
      <c r="H28" s="49">
        <v>0.06</v>
      </c>
      <c r="I28" s="49">
        <v>0.06</v>
      </c>
      <c r="J28" s="49">
        <v>0.06</v>
      </c>
    </row>
    <row r="29" spans="1:10" ht="15" customHeight="1" x14ac:dyDescent="0.45">
      <c r="A29"/>
      <c r="B29" t="s">
        <v>48</v>
      </c>
      <c r="F29" s="58">
        <v>0.06</v>
      </c>
      <c r="G29" s="58">
        <v>0.06</v>
      </c>
      <c r="H29" s="58">
        <v>0.06</v>
      </c>
      <c r="I29" s="58">
        <v>0.06</v>
      </c>
      <c r="J29" s="58">
        <v>0.06</v>
      </c>
    </row>
    <row r="30" spans="1:10" ht="15" customHeight="1" x14ac:dyDescent="0.45">
      <c r="A30"/>
      <c r="B30" t="s">
        <v>49</v>
      </c>
      <c r="C30" s="55"/>
      <c r="D30" s="62">
        <v>1.2289325842696629E-3</v>
      </c>
      <c r="E30" s="62">
        <v>5.8001035732780943E-3</v>
      </c>
      <c r="F30" s="58">
        <v>0.01</v>
      </c>
      <c r="G30" s="58">
        <v>0.01</v>
      </c>
      <c r="H30" s="58">
        <v>0.01</v>
      </c>
      <c r="I30" s="58">
        <v>0.01</v>
      </c>
      <c r="J30" s="58">
        <v>0.01</v>
      </c>
    </row>
    <row r="31" spans="1:10" ht="15" customHeight="1" x14ac:dyDescent="0.45">
      <c r="A31"/>
    </row>
    <row r="32" spans="1:10" ht="15" customHeight="1" x14ac:dyDescent="0.45">
      <c r="A32" s="50" t="s">
        <v>50</v>
      </c>
      <c r="C32" s="55"/>
      <c r="D32" s="55"/>
      <c r="E32" s="55"/>
      <c r="F32" s="55"/>
      <c r="G32" s="55"/>
      <c r="H32" s="55"/>
      <c r="I32" s="55"/>
      <c r="J32" s="55"/>
    </row>
    <row r="33" spans="1:10" ht="15" customHeight="1" x14ac:dyDescent="0.45">
      <c r="A33" s="50"/>
      <c r="B33" t="s">
        <v>51</v>
      </c>
    </row>
    <row r="34" spans="1:10" ht="15" customHeight="1" x14ac:dyDescent="0.45">
      <c r="A34" s="50"/>
      <c r="B34" t="s">
        <v>52</v>
      </c>
      <c r="F34">
        <f>E37</f>
        <v>2335</v>
      </c>
      <c r="G34">
        <f t="shared" ref="G34:J34" si="2">F37</f>
        <v>2262.3924999999999</v>
      </c>
      <c r="H34">
        <f t="shared" si="2"/>
        <v>2223.7159000000001</v>
      </c>
      <c r="I34">
        <f t="shared" si="2"/>
        <v>2210.4287905000001</v>
      </c>
      <c r="J34">
        <f t="shared" si="2"/>
        <v>2215.0126308100002</v>
      </c>
    </row>
    <row r="35" spans="1:10" ht="15" customHeight="1" x14ac:dyDescent="0.45">
      <c r="A35" s="50"/>
      <c r="B35" t="s">
        <v>53</v>
      </c>
      <c r="C35" s="53">
        <f>105.2+3.9+3.8</f>
        <v>112.9</v>
      </c>
      <c r="D35" s="53">
        <f>14.9+227.3+5.7</f>
        <v>247.9</v>
      </c>
      <c r="E35" s="53">
        <f>19.9+326.6+12.8</f>
        <v>359.3</v>
      </c>
      <c r="F35">
        <f>F11*F69</f>
        <v>347.69250000000005</v>
      </c>
      <c r="G35">
        <f t="shared" ref="G35:J35" si="3">G11*G69</f>
        <v>368.55405000000007</v>
      </c>
      <c r="H35">
        <f t="shared" si="3"/>
        <v>386.98175250000008</v>
      </c>
      <c r="I35">
        <f t="shared" si="3"/>
        <v>402.46102260000009</v>
      </c>
      <c r="J35">
        <f t="shared" si="3"/>
        <v>414.53485327800013</v>
      </c>
    </row>
    <row r="36" spans="1:10" ht="15" customHeight="1" x14ac:dyDescent="0.45">
      <c r="A36" s="50"/>
      <c r="B36" t="s">
        <v>54</v>
      </c>
      <c r="F36">
        <f>F12*F34*-1</f>
        <v>-420.3</v>
      </c>
      <c r="G36">
        <f t="shared" ref="G36:J36" si="4">G12*G34*-1</f>
        <v>-407.23064999999997</v>
      </c>
      <c r="H36">
        <f t="shared" si="4"/>
        <v>-400.26886200000001</v>
      </c>
      <c r="I36">
        <f t="shared" si="4"/>
        <v>-397.87718229000001</v>
      </c>
      <c r="J36">
        <f t="shared" si="4"/>
        <v>-398.70227354580004</v>
      </c>
    </row>
    <row r="37" spans="1:10" ht="15" customHeight="1" x14ac:dyDescent="0.45">
      <c r="A37" s="50"/>
      <c r="B37" t="s">
        <v>55</v>
      </c>
      <c r="E37">
        <f>E101</f>
        <v>2335</v>
      </c>
      <c r="F37">
        <f>SUM(F34:F36)</f>
        <v>2262.3924999999999</v>
      </c>
      <c r="G37">
        <f t="shared" ref="G37:J37" si="5">SUM(G34:G36)</f>
        <v>2223.7159000000001</v>
      </c>
      <c r="H37">
        <f t="shared" si="5"/>
        <v>2210.4287905000001</v>
      </c>
      <c r="I37">
        <f t="shared" si="5"/>
        <v>2215.0126308100002</v>
      </c>
      <c r="J37">
        <f t="shared" si="5"/>
        <v>2230.8452105422007</v>
      </c>
    </row>
    <row r="38" spans="1:10" ht="15" customHeight="1" x14ac:dyDescent="0.45">
      <c r="A38" s="50"/>
    </row>
    <row r="39" spans="1:10" ht="15" customHeight="1" x14ac:dyDescent="0.45">
      <c r="A39" s="50"/>
      <c r="B39" t="s">
        <v>56</v>
      </c>
    </row>
    <row r="40" spans="1:10" ht="15" customHeight="1" x14ac:dyDescent="0.45">
      <c r="A40" s="50"/>
      <c r="B40" t="s">
        <v>52</v>
      </c>
      <c r="F40">
        <f>E43</f>
        <v>2137</v>
      </c>
      <c r="G40">
        <f t="shared" ref="G40:J40" si="6">F43</f>
        <v>2140.02</v>
      </c>
      <c r="H40">
        <f t="shared" si="6"/>
        <v>2167.0092</v>
      </c>
      <c r="I40">
        <f t="shared" si="6"/>
        <v>2210.5501019999997</v>
      </c>
      <c r="J40">
        <f t="shared" si="6"/>
        <v>2264.0291386199997</v>
      </c>
    </row>
    <row r="41" spans="1:10" ht="15" customHeight="1" x14ac:dyDescent="0.45">
      <c r="A41" s="50"/>
      <c r="B41" t="s">
        <v>57</v>
      </c>
      <c r="C41" s="53">
        <v>214.9</v>
      </c>
      <c r="D41" s="53">
        <v>522</v>
      </c>
      <c r="E41" s="53">
        <v>408.4</v>
      </c>
      <c r="F41">
        <f>F13*F69</f>
        <v>409.05</v>
      </c>
      <c r="G41">
        <f t="shared" ref="G41:J41" si="7">G13*G69</f>
        <v>433.59300000000002</v>
      </c>
      <c r="H41">
        <f t="shared" si="7"/>
        <v>455.27265000000006</v>
      </c>
      <c r="I41">
        <f t="shared" si="7"/>
        <v>473.48355600000014</v>
      </c>
      <c r="J41">
        <f t="shared" si="7"/>
        <v>487.68806268000014</v>
      </c>
    </row>
    <row r="42" spans="1:10" ht="15" customHeight="1" x14ac:dyDescent="0.45">
      <c r="A42" s="50"/>
      <c r="B42" t="s">
        <v>54</v>
      </c>
      <c r="C42" s="53">
        <v>-321.39999999999998</v>
      </c>
      <c r="D42" s="53">
        <v>-358.2</v>
      </c>
      <c r="E42" s="53">
        <v>-395.2</v>
      </c>
      <c r="F42">
        <f>F14*F40*-1</f>
        <v>-406.03000000000003</v>
      </c>
      <c r="G42">
        <f t="shared" ref="G42:J42" si="8">G14*G40*-1</f>
        <v>-406.60379999999998</v>
      </c>
      <c r="H42">
        <f t="shared" si="8"/>
        <v>-411.73174799999998</v>
      </c>
      <c r="I42">
        <f t="shared" si="8"/>
        <v>-420.00451937999992</v>
      </c>
      <c r="J42">
        <f t="shared" si="8"/>
        <v>-430.16553633779995</v>
      </c>
    </row>
    <row r="43" spans="1:10" ht="15" customHeight="1" x14ac:dyDescent="0.45">
      <c r="A43" s="50"/>
      <c r="B43" t="s">
        <v>55</v>
      </c>
      <c r="E43">
        <f>E102</f>
        <v>2137</v>
      </c>
      <c r="F43">
        <f>SUM(F40:F42)</f>
        <v>2140.02</v>
      </c>
      <c r="G43">
        <f t="shared" ref="G43:J43" si="9">SUM(G40:G42)</f>
        <v>2167.0092</v>
      </c>
      <c r="H43">
        <f t="shared" si="9"/>
        <v>2210.5501019999997</v>
      </c>
      <c r="I43">
        <f t="shared" si="9"/>
        <v>2264.0291386199997</v>
      </c>
      <c r="J43">
        <f t="shared" si="9"/>
        <v>2321.5516649622</v>
      </c>
    </row>
    <row r="44" spans="1:10" ht="15" customHeight="1" x14ac:dyDescent="0.45">
      <c r="A44" s="50"/>
    </row>
    <row r="45" spans="1:10" ht="15" customHeight="1" x14ac:dyDescent="0.45">
      <c r="A45" s="50"/>
      <c r="B45" t="s">
        <v>58</v>
      </c>
    </row>
    <row r="46" spans="1:10" ht="15" customHeight="1" x14ac:dyDescent="0.45">
      <c r="A46" s="50"/>
      <c r="B46" t="s">
        <v>52</v>
      </c>
      <c r="F46">
        <f>E50</f>
        <v>2339.2000000000003</v>
      </c>
      <c r="G46">
        <f t="shared" ref="G46:J46" si="10">F50</f>
        <v>2342.2200000000007</v>
      </c>
      <c r="H46">
        <f t="shared" si="10"/>
        <v>2369.2092000000002</v>
      </c>
      <c r="I46">
        <f t="shared" si="10"/>
        <v>2412.750102</v>
      </c>
      <c r="J46">
        <f t="shared" si="10"/>
        <v>2466.2291386200004</v>
      </c>
    </row>
    <row r="47" spans="1:10" ht="15" customHeight="1" x14ac:dyDescent="0.45">
      <c r="A47" s="50"/>
      <c r="B47" t="s">
        <v>57</v>
      </c>
      <c r="F47">
        <f>F41</f>
        <v>409.05</v>
      </c>
      <c r="G47">
        <f t="shared" ref="G47:J47" si="11">G41</f>
        <v>433.59300000000002</v>
      </c>
      <c r="H47">
        <f t="shared" si="11"/>
        <v>455.27265000000006</v>
      </c>
      <c r="I47">
        <f t="shared" si="11"/>
        <v>473.48355600000014</v>
      </c>
      <c r="J47">
        <f t="shared" si="11"/>
        <v>487.68806268000014</v>
      </c>
    </row>
    <row r="48" spans="1:10" ht="15" customHeight="1" x14ac:dyDescent="0.45">
      <c r="A48" s="50"/>
      <c r="B48" t="s">
        <v>59</v>
      </c>
      <c r="F48">
        <f>F46*F27</f>
        <v>93.568000000000012</v>
      </c>
      <c r="G48">
        <f t="shared" ref="G48:J48" si="12">G46*G27</f>
        <v>117.11100000000005</v>
      </c>
      <c r="H48">
        <f t="shared" si="12"/>
        <v>142.15255200000001</v>
      </c>
      <c r="I48">
        <f t="shared" si="12"/>
        <v>144.76500611999998</v>
      </c>
      <c r="J48">
        <f t="shared" si="12"/>
        <v>147.97374831720001</v>
      </c>
    </row>
    <row r="49" spans="1:10" ht="15" customHeight="1" x14ac:dyDescent="0.45">
      <c r="A49" s="50"/>
      <c r="B49" t="s">
        <v>60</v>
      </c>
      <c r="D49" s="53">
        <f>-356.2-59.5</f>
        <v>-415.7</v>
      </c>
      <c r="E49" s="53">
        <f>-400.5-68.9</f>
        <v>-469.4</v>
      </c>
      <c r="F49">
        <f t="shared" ref="F49" si="13">F42-F48</f>
        <v>-499.59800000000007</v>
      </c>
      <c r="G49">
        <f t="shared" ref="G49" si="14">G42-G48</f>
        <v>-523.71479999999997</v>
      </c>
      <c r="H49">
        <f t="shared" ref="H49" si="15">H42-H48</f>
        <v>-553.88429999999994</v>
      </c>
      <c r="I49">
        <f t="shared" ref="I49" si="16">I42-I48</f>
        <v>-564.76952549999987</v>
      </c>
      <c r="J49">
        <f t="shared" ref="J49" si="17">J42-J48</f>
        <v>-578.13928465499998</v>
      </c>
    </row>
    <row r="50" spans="1:10" ht="15" customHeight="1" x14ac:dyDescent="0.45">
      <c r="A50" s="50"/>
      <c r="B50" t="s">
        <v>55</v>
      </c>
      <c r="E50">
        <f>E113</f>
        <v>2339.2000000000003</v>
      </c>
      <c r="F50">
        <f>SUM(F46:F49)</f>
        <v>2342.2200000000007</v>
      </c>
      <c r="G50">
        <f t="shared" ref="G50:J50" si="18">SUM(G46:G49)</f>
        <v>2369.2092000000002</v>
      </c>
      <c r="H50">
        <f t="shared" si="18"/>
        <v>2412.750102</v>
      </c>
      <c r="I50">
        <f t="shared" si="18"/>
        <v>2466.2291386200004</v>
      </c>
      <c r="J50">
        <f t="shared" si="18"/>
        <v>2523.7516649622003</v>
      </c>
    </row>
    <row r="51" spans="1:10" ht="15" customHeight="1" x14ac:dyDescent="0.45">
      <c r="A51" s="50"/>
    </row>
    <row r="52" spans="1:10" ht="15" customHeight="1" x14ac:dyDescent="0.45">
      <c r="A52" s="50"/>
      <c r="B52" t="s">
        <v>61</v>
      </c>
    </row>
    <row r="53" spans="1:10" ht="15" customHeight="1" x14ac:dyDescent="0.45">
      <c r="A53" s="50"/>
      <c r="B53" t="s">
        <v>52</v>
      </c>
      <c r="F53">
        <f>E57</f>
        <v>2633.4</v>
      </c>
      <c r="G53">
        <f t="shared" ref="G53:J53" si="19">F57</f>
        <v>3048.4019900000003</v>
      </c>
      <c r="H53">
        <f t="shared" si="19"/>
        <v>3692.4923229500005</v>
      </c>
      <c r="I53">
        <f t="shared" si="19"/>
        <v>4387.6612527725001</v>
      </c>
      <c r="J53">
        <f t="shared" si="19"/>
        <v>5134.7845977608004</v>
      </c>
    </row>
    <row r="54" spans="1:10" ht="15" customHeight="1" x14ac:dyDescent="0.45">
      <c r="A54" s="50"/>
      <c r="B54" t="s">
        <v>62</v>
      </c>
      <c r="F54">
        <f>F83</f>
        <v>458.74607000000015</v>
      </c>
      <c r="G54">
        <f t="shared" ref="G54:J54" si="20">G83</f>
        <v>690.45905775000017</v>
      </c>
      <c r="H54">
        <f t="shared" si="20"/>
        <v>743.85609086250042</v>
      </c>
      <c r="I54">
        <f t="shared" si="20"/>
        <v>797.7579924699005</v>
      </c>
      <c r="J54">
        <f t="shared" si="20"/>
        <v>834.75252701379065</v>
      </c>
    </row>
    <row r="55" spans="1:10" ht="15" customHeight="1" x14ac:dyDescent="0.45">
      <c r="A55" s="50"/>
      <c r="B55" t="s">
        <v>63</v>
      </c>
      <c r="F55">
        <f>F91*F87*-1/100</f>
        <v>-43.744080000000004</v>
      </c>
      <c r="G55">
        <f t="shared" ref="G55:J55" si="21">G91*G87*-1/100</f>
        <v>-46.36872480000001</v>
      </c>
      <c r="H55">
        <f t="shared" si="21"/>
        <v>-48.687161040000007</v>
      </c>
      <c r="I55">
        <f t="shared" si="21"/>
        <v>-50.634647481600012</v>
      </c>
      <c r="J55">
        <f t="shared" si="21"/>
        <v>-52.153686906048023</v>
      </c>
    </row>
    <row r="56" spans="1:10" ht="15" customHeight="1" x14ac:dyDescent="0.45">
      <c r="A56" s="50"/>
      <c r="B56" t="s">
        <v>64</v>
      </c>
      <c r="F56">
        <f>F16</f>
        <v>0</v>
      </c>
      <c r="G56">
        <f t="shared" ref="G56:J56" si="22">G16</f>
        <v>0</v>
      </c>
      <c r="H56">
        <f t="shared" si="22"/>
        <v>0</v>
      </c>
      <c r="I56">
        <f t="shared" si="22"/>
        <v>0</v>
      </c>
      <c r="J56">
        <f t="shared" si="22"/>
        <v>0</v>
      </c>
    </row>
    <row r="57" spans="1:10" ht="15" customHeight="1" x14ac:dyDescent="0.45">
      <c r="A57" s="50"/>
      <c r="B57" t="s">
        <v>55</v>
      </c>
      <c r="E57">
        <f>E117</f>
        <v>2633.4</v>
      </c>
      <c r="F57">
        <f>SUM(F53:F56)</f>
        <v>3048.4019900000003</v>
      </c>
      <c r="G57">
        <f t="shared" ref="G57:J57" si="23">SUM(G53:G56)</f>
        <v>3692.4923229500005</v>
      </c>
      <c r="H57">
        <f t="shared" si="23"/>
        <v>4387.6612527725001</v>
      </c>
      <c r="I57">
        <f t="shared" si="23"/>
        <v>5134.7845977608004</v>
      </c>
      <c r="J57">
        <f t="shared" si="23"/>
        <v>5917.3834378685424</v>
      </c>
    </row>
    <row r="58" spans="1:10" ht="15" customHeight="1" x14ac:dyDescent="0.45">
      <c r="A58" s="52"/>
    </row>
    <row r="59" spans="1:10" ht="15" customHeight="1" x14ac:dyDescent="0.45">
      <c r="A59" s="50" t="s">
        <v>65</v>
      </c>
    </row>
    <row r="60" spans="1:10" ht="15" customHeight="1" x14ac:dyDescent="0.45">
      <c r="A60" s="50"/>
      <c r="B60" t="s">
        <v>66</v>
      </c>
      <c r="C60">
        <f>C96</f>
        <v>141.19999999999999</v>
      </c>
      <c r="D60">
        <f t="shared" ref="D60:F60" si="24">D96</f>
        <v>202.9</v>
      </c>
      <c r="E60">
        <f t="shared" si="24"/>
        <v>248.6</v>
      </c>
      <c r="F60">
        <f t="shared" si="24"/>
        <v>255.65625</v>
      </c>
      <c r="G60">
        <f t="shared" ref="G60:J60" si="25">G96</f>
        <v>270.99562500000002</v>
      </c>
      <c r="H60">
        <f t="shared" si="25"/>
        <v>284.54540625000004</v>
      </c>
      <c r="I60">
        <f t="shared" si="25"/>
        <v>295.92722250000008</v>
      </c>
      <c r="J60">
        <f t="shared" si="25"/>
        <v>304.8050391750001</v>
      </c>
    </row>
    <row r="61" spans="1:10" ht="15" customHeight="1" x14ac:dyDescent="0.45">
      <c r="A61" s="50"/>
      <c r="B61" t="s">
        <v>67</v>
      </c>
      <c r="C61">
        <f t="shared" ref="C61:F62" si="26">C97</f>
        <v>813.7</v>
      </c>
      <c r="D61">
        <f t="shared" si="26"/>
        <v>989.4</v>
      </c>
      <c r="E61">
        <f t="shared" si="26"/>
        <v>1466.4</v>
      </c>
      <c r="F61">
        <f t="shared" si="26"/>
        <v>1451.6161875000003</v>
      </c>
      <c r="G61">
        <f t="shared" ref="G61:J61" si="27">G97</f>
        <v>1538.7131587500003</v>
      </c>
      <c r="H61">
        <f t="shared" si="27"/>
        <v>1615.6488166875001</v>
      </c>
      <c r="I61">
        <f t="shared" si="27"/>
        <v>1680.2747693550007</v>
      </c>
      <c r="J61">
        <f t="shared" si="27"/>
        <v>1730.6830124356507</v>
      </c>
    </row>
    <row r="62" spans="1:10" ht="15" customHeight="1" x14ac:dyDescent="0.45">
      <c r="A62" s="50"/>
      <c r="B62" t="s">
        <v>68</v>
      </c>
      <c r="C62">
        <f t="shared" si="26"/>
        <v>0</v>
      </c>
      <c r="D62">
        <f t="shared" si="26"/>
        <v>170.2</v>
      </c>
      <c r="E62">
        <f t="shared" si="26"/>
        <v>138.19999999999999</v>
      </c>
      <c r="F62">
        <f t="shared" si="26"/>
        <v>136.62270000000001</v>
      </c>
      <c r="G62">
        <f t="shared" ref="G62:J62" si="28">G98</f>
        <v>144.82006200000001</v>
      </c>
      <c r="H62">
        <f t="shared" si="28"/>
        <v>152.06106510000001</v>
      </c>
      <c r="I62">
        <f t="shared" si="28"/>
        <v>158.14350770400006</v>
      </c>
      <c r="J62">
        <f t="shared" si="28"/>
        <v>162.88781293512005</v>
      </c>
    </row>
    <row r="63" spans="1:10" ht="15" customHeight="1" x14ac:dyDescent="0.45">
      <c r="A63" s="50"/>
      <c r="B63" t="s">
        <v>69</v>
      </c>
      <c r="C63">
        <f>C107</f>
        <v>1102</v>
      </c>
      <c r="D63">
        <f t="shared" ref="D63:F64" si="29">D107</f>
        <v>1279.5</v>
      </c>
      <c r="E63">
        <f t="shared" si="29"/>
        <v>1471.2</v>
      </c>
      <c r="F63">
        <f t="shared" si="29"/>
        <v>1494.31078125</v>
      </c>
      <c r="G63">
        <f t="shared" ref="G63:J63" si="30">G107</f>
        <v>1583.9694281249999</v>
      </c>
      <c r="H63">
        <f t="shared" si="30"/>
        <v>1663.16789953125</v>
      </c>
      <c r="I63">
        <f t="shared" si="30"/>
        <v>1729.6946155125004</v>
      </c>
      <c r="J63">
        <f t="shared" si="30"/>
        <v>1781.5854539778754</v>
      </c>
    </row>
    <row r="64" spans="1:10" ht="15" customHeight="1" x14ac:dyDescent="0.45">
      <c r="A64" s="50"/>
      <c r="B64" t="s">
        <v>70</v>
      </c>
      <c r="C64">
        <f>C108</f>
        <v>29.5</v>
      </c>
      <c r="D64">
        <f>D108</f>
        <v>0</v>
      </c>
      <c r="E64">
        <f>E108</f>
        <v>17.5</v>
      </c>
      <c r="F64">
        <f t="shared" si="29"/>
        <v>31.870779600000009</v>
      </c>
      <c r="G64">
        <f t="shared" ref="G64:J64" si="31">G108</f>
        <v>45.373023795000016</v>
      </c>
      <c r="H64">
        <f t="shared" si="31"/>
        <v>48.881971685250029</v>
      </c>
      <c r="I64">
        <f t="shared" si="31"/>
        <v>52.424096648022037</v>
      </c>
      <c r="J64">
        <f t="shared" si="31"/>
        <v>54.855166060906249</v>
      </c>
    </row>
    <row r="65" spans="1:10" ht="15" customHeight="1" x14ac:dyDescent="0.45">
      <c r="A65" s="50"/>
      <c r="B65" t="s">
        <v>71</v>
      </c>
      <c r="C65">
        <f>C109</f>
        <v>0.7</v>
      </c>
      <c r="D65">
        <f t="shared" ref="D65:F65" si="32">D109</f>
        <v>155.79999999999998</v>
      </c>
      <c r="E65">
        <f t="shared" si="32"/>
        <v>175.29999999999998</v>
      </c>
      <c r="F65">
        <f t="shared" si="32"/>
        <v>179.31729375000003</v>
      </c>
      <c r="G65">
        <f t="shared" ref="G65:J65" si="33">G109</f>
        <v>190.07633137500002</v>
      </c>
      <c r="H65">
        <f t="shared" si="33"/>
        <v>199.58014794375003</v>
      </c>
      <c r="I65">
        <f t="shared" si="33"/>
        <v>207.56335386150008</v>
      </c>
      <c r="J65">
        <f t="shared" si="33"/>
        <v>213.79025447734509</v>
      </c>
    </row>
    <row r="66" spans="1:10" ht="15" customHeight="1" x14ac:dyDescent="0.45">
      <c r="A66" s="50"/>
      <c r="B66" t="s">
        <v>65</v>
      </c>
      <c r="C66">
        <f>SUM(C60:C62)-SUM(C63:C65)</f>
        <v>-177.29999999999995</v>
      </c>
      <c r="D66">
        <f t="shared" ref="D66:F66" si="34">SUM(D60:D62)-SUM(D63:D65)</f>
        <v>-72.799999999999955</v>
      </c>
      <c r="E66">
        <f t="shared" si="34"/>
        <v>189.20000000000005</v>
      </c>
      <c r="F66">
        <f t="shared" si="34"/>
        <v>138.39628289999996</v>
      </c>
      <c r="G66">
        <f t="shared" ref="G66" si="35">SUM(G60:G62)-SUM(G63:G65)</f>
        <v>135.11006245500016</v>
      </c>
      <c r="H66">
        <f t="shared" ref="H66" si="36">SUM(H60:H62)-SUM(H63:H65)</f>
        <v>140.62526887725016</v>
      </c>
      <c r="I66">
        <f t="shared" ref="I66" si="37">SUM(I60:I62)-SUM(I63:I65)</f>
        <v>144.66343353697857</v>
      </c>
      <c r="J66">
        <f t="shared" ref="J66" si="38">SUM(J60:J62)-SUM(J63:J65)</f>
        <v>148.14499002964385</v>
      </c>
    </row>
    <row r="67" spans="1:10" ht="15" customHeight="1" x14ac:dyDescent="0.45">
      <c r="A67" s="52"/>
    </row>
    <row r="68" spans="1:10" ht="15" customHeight="1" x14ac:dyDescent="0.45">
      <c r="A68" s="50" t="s">
        <v>72</v>
      </c>
    </row>
    <row r="69" spans="1:10" ht="15" customHeight="1" x14ac:dyDescent="0.45">
      <c r="A69" s="50"/>
      <c r="B69" t="s">
        <v>73</v>
      </c>
      <c r="C69" s="53">
        <v>6167.3</v>
      </c>
      <c r="D69" s="53">
        <v>8563</v>
      </c>
      <c r="E69" s="53">
        <v>10125</v>
      </c>
      <c r="F69">
        <f>(1+F4)*E69</f>
        <v>10226.25</v>
      </c>
      <c r="G69">
        <f t="shared" ref="G69:J69" si="39">(1+G4)*F69</f>
        <v>10839.825000000001</v>
      </c>
      <c r="H69">
        <f t="shared" si="39"/>
        <v>11381.816250000002</v>
      </c>
      <c r="I69">
        <f t="shared" si="39"/>
        <v>11837.088900000002</v>
      </c>
      <c r="J69">
        <f t="shared" si="39"/>
        <v>12192.201567000004</v>
      </c>
    </row>
    <row r="70" spans="1:10" ht="15" customHeight="1" x14ac:dyDescent="0.45">
      <c r="A70" s="50"/>
      <c r="B70" t="s">
        <v>74</v>
      </c>
      <c r="C70" s="53">
        <f>6167.3-3205.7-2126.4-381.2-C71-C72</f>
        <v>953.20000000000027</v>
      </c>
      <c r="D70" s="53">
        <v>1566.4</v>
      </c>
      <c r="E70" s="53">
        <v>1660</v>
      </c>
      <c r="F70">
        <f>F5*F69</f>
        <v>1687.3312500000002</v>
      </c>
      <c r="G70">
        <f t="shared" ref="G70:J70" si="40">G5*G69</f>
        <v>1788.5711250000002</v>
      </c>
      <c r="H70">
        <f t="shared" si="40"/>
        <v>1877.9996812500003</v>
      </c>
      <c r="I70">
        <f t="shared" si="40"/>
        <v>1953.1196685000004</v>
      </c>
      <c r="J70">
        <f t="shared" si="40"/>
        <v>2011.7132585550007</v>
      </c>
    </row>
    <row r="71" spans="1:10" ht="15" customHeight="1" x14ac:dyDescent="0.45">
      <c r="A71" s="50"/>
      <c r="B71" t="s">
        <v>75</v>
      </c>
      <c r="C71" s="53">
        <f>-136.8-41</f>
        <v>-177.8</v>
      </c>
      <c r="D71" s="53">
        <f>-158.2-63.4-0.1</f>
        <v>-221.7</v>
      </c>
      <c r="E71" s="53">
        <f>-162-76</f>
        <v>-238</v>
      </c>
      <c r="F71">
        <f>F36</f>
        <v>-420.3</v>
      </c>
      <c r="G71">
        <f t="shared" ref="G71:J71" si="41">G36</f>
        <v>-407.23064999999997</v>
      </c>
      <c r="H71">
        <f t="shared" si="41"/>
        <v>-400.26886200000001</v>
      </c>
      <c r="I71">
        <f t="shared" si="41"/>
        <v>-397.87718229000001</v>
      </c>
      <c r="J71">
        <f t="shared" si="41"/>
        <v>-398.70227354580004</v>
      </c>
    </row>
    <row r="72" spans="1:10" ht="15" customHeight="1" x14ac:dyDescent="0.45">
      <c r="A72" s="52"/>
      <c r="B72" t="s">
        <v>76</v>
      </c>
      <c r="C72" s="53">
        <v>-321.39999999999998</v>
      </c>
      <c r="D72" s="53">
        <v>-358.2</v>
      </c>
      <c r="E72" s="53">
        <v>-395.2</v>
      </c>
      <c r="F72">
        <f>F42</f>
        <v>-406.03000000000003</v>
      </c>
      <c r="G72">
        <f t="shared" ref="G72:J72" si="42">G42</f>
        <v>-406.60379999999998</v>
      </c>
      <c r="H72">
        <f t="shared" si="42"/>
        <v>-411.73174799999998</v>
      </c>
      <c r="I72">
        <f t="shared" si="42"/>
        <v>-420.00451937999992</v>
      </c>
      <c r="J72">
        <f t="shared" si="42"/>
        <v>-430.16553633779995</v>
      </c>
    </row>
    <row r="73" spans="1:10" ht="15" customHeight="1" x14ac:dyDescent="0.45">
      <c r="A73" s="52"/>
      <c r="B73" t="s">
        <v>77</v>
      </c>
      <c r="C73">
        <f>C70+C71+C72</f>
        <v>454.00000000000034</v>
      </c>
      <c r="D73">
        <f>D70+D71+D72</f>
        <v>986.5</v>
      </c>
      <c r="E73">
        <f t="shared" ref="E73:F73" si="43">E70+E71+E72</f>
        <v>1026.8</v>
      </c>
      <c r="F73">
        <f t="shared" si="43"/>
        <v>861.00125000000025</v>
      </c>
      <c r="G73">
        <f t="shared" ref="G73" si="44">G70+G71+G72</f>
        <v>974.73667500000022</v>
      </c>
      <c r="H73">
        <f t="shared" ref="H73" si="45">H70+H71+H72</f>
        <v>1065.9990712500005</v>
      </c>
      <c r="I73">
        <f t="shared" ref="I73" si="46">I70+I71+I72</f>
        <v>1135.2379668300005</v>
      </c>
      <c r="J73">
        <f t="shared" ref="J73" si="47">J70+J71+J72</f>
        <v>1182.8454486714008</v>
      </c>
    </row>
    <row r="74" spans="1:10" ht="15" customHeight="1" x14ac:dyDescent="0.45">
      <c r="A74" s="52"/>
      <c r="B74" t="s">
        <v>27</v>
      </c>
      <c r="C74" s="53">
        <v>-97.3</v>
      </c>
      <c r="D74" s="53">
        <v>-292.5</v>
      </c>
      <c r="E74" s="53">
        <v>-550.5</v>
      </c>
      <c r="F74">
        <f>F6</f>
        <v>-200</v>
      </c>
      <c r="G74">
        <f t="shared" ref="G74:J74" si="48">G6</f>
        <v>0</v>
      </c>
      <c r="H74">
        <f t="shared" si="48"/>
        <v>0</v>
      </c>
      <c r="I74">
        <f t="shared" si="48"/>
        <v>0</v>
      </c>
      <c r="J74">
        <f t="shared" si="48"/>
        <v>0</v>
      </c>
    </row>
    <row r="75" spans="1:10" ht="15" customHeight="1" x14ac:dyDescent="0.45">
      <c r="A75" s="52"/>
      <c r="B75" t="s">
        <v>78</v>
      </c>
      <c r="C75" s="53">
        <f>15.2+13.1</f>
        <v>28.299999999999997</v>
      </c>
      <c r="D75" s="53">
        <f>10.6+3.2+13.4</f>
        <v>27.200000000000003</v>
      </c>
      <c r="E75" s="53">
        <f>22.1+4.9+6.5</f>
        <v>33.5</v>
      </c>
      <c r="F75">
        <f>(1+F7)*E75</f>
        <v>36.18</v>
      </c>
      <c r="G75">
        <f t="shared" ref="G75:J75" si="49">(1+G7)*F75</f>
        <v>39.074400000000004</v>
      </c>
      <c r="H75">
        <f t="shared" si="49"/>
        <v>42.200352000000009</v>
      </c>
      <c r="I75">
        <f t="shared" si="49"/>
        <v>45.576380160000014</v>
      </c>
      <c r="J75">
        <f t="shared" si="49"/>
        <v>49.222490572800019</v>
      </c>
    </row>
    <row r="76" spans="1:10" ht="15" customHeight="1" x14ac:dyDescent="0.45">
      <c r="A76" s="52"/>
      <c r="B76" t="s">
        <v>79</v>
      </c>
      <c r="C76">
        <f>C73+C74+C75</f>
        <v>385.00000000000034</v>
      </c>
      <c r="D76">
        <f>D73+D74+D75</f>
        <v>721.2</v>
      </c>
      <c r="E76">
        <f>E73+E74+E75</f>
        <v>509.79999999999995</v>
      </c>
      <c r="F76">
        <f>F73+F74+F75</f>
        <v>697.1812500000002</v>
      </c>
      <c r="G76">
        <f t="shared" ref="G76:J76" si="50">G73+G74+G75</f>
        <v>1013.8110750000002</v>
      </c>
      <c r="H76">
        <f t="shared" si="50"/>
        <v>1108.1994232500006</v>
      </c>
      <c r="I76">
        <f t="shared" si="50"/>
        <v>1180.8143469900006</v>
      </c>
      <c r="J76">
        <f t="shared" si="50"/>
        <v>1232.0679392442009</v>
      </c>
    </row>
    <row r="77" spans="1:10" ht="15" customHeight="1" x14ac:dyDescent="0.45">
      <c r="A77" s="52"/>
    </row>
    <row r="78" spans="1:10" ht="15" customHeight="1" x14ac:dyDescent="0.45">
      <c r="A78" s="52"/>
      <c r="B78" t="s">
        <v>80</v>
      </c>
      <c r="C78" s="53">
        <v>-54.9</v>
      </c>
      <c r="D78" s="53">
        <v>-59.5</v>
      </c>
      <c r="E78" s="53">
        <v>-68.900000000000006</v>
      </c>
      <c r="F78">
        <f>F48*-1</f>
        <v>-93.568000000000012</v>
      </c>
      <c r="G78">
        <f t="shared" ref="G78:J78" si="51">G48*-1</f>
        <v>-117.11100000000005</v>
      </c>
      <c r="H78">
        <f t="shared" si="51"/>
        <v>-142.15255200000001</v>
      </c>
      <c r="I78">
        <f t="shared" si="51"/>
        <v>-144.76500611999998</v>
      </c>
      <c r="J78">
        <f t="shared" si="51"/>
        <v>-147.97374831720001</v>
      </c>
    </row>
    <row r="79" spans="1:10" ht="15" customHeight="1" x14ac:dyDescent="0.45">
      <c r="A79" s="52"/>
      <c r="B79" t="s">
        <v>81</v>
      </c>
      <c r="C79" s="53">
        <v>-6.1</v>
      </c>
      <c r="D79" s="53">
        <v>-7</v>
      </c>
      <c r="E79" s="53">
        <v>0</v>
      </c>
      <c r="F79">
        <f>IF(circ=1,F154,0)</f>
        <v>0</v>
      </c>
      <c r="G79">
        <f>IF(circ=1,G154,0)</f>
        <v>0</v>
      </c>
      <c r="H79">
        <f>IF(circ=1,H154,0)</f>
        <v>0</v>
      </c>
      <c r="I79">
        <f>IF(circ=1,I154,0)</f>
        <v>0</v>
      </c>
      <c r="J79">
        <f>IF(circ=1,J154,0)</f>
        <v>0</v>
      </c>
    </row>
    <row r="80" spans="1:10" ht="15" customHeight="1" x14ac:dyDescent="0.45">
      <c r="A80" s="52"/>
      <c r="B80" t="s">
        <v>82</v>
      </c>
      <c r="C80">
        <f>C76+C78+C79</f>
        <v>324.00000000000034</v>
      </c>
      <c r="D80">
        <f t="shared" ref="D80:J80" si="52">D76+D78+D79</f>
        <v>654.70000000000005</v>
      </c>
      <c r="E80">
        <f t="shared" si="52"/>
        <v>440.9</v>
      </c>
      <c r="F80">
        <f t="shared" si="52"/>
        <v>603.61325000000022</v>
      </c>
      <c r="G80">
        <f t="shared" si="52"/>
        <v>896.7000750000002</v>
      </c>
      <c r="H80">
        <f t="shared" si="52"/>
        <v>966.04687125000055</v>
      </c>
      <c r="I80">
        <f t="shared" si="52"/>
        <v>1036.0493408700006</v>
      </c>
      <c r="J80">
        <f t="shared" si="52"/>
        <v>1084.0941909270009</v>
      </c>
    </row>
    <row r="81" spans="1:10" ht="15" customHeight="1" x14ac:dyDescent="0.45">
      <c r="A81" s="52"/>
    </row>
    <row r="82" spans="1:10" ht="15" customHeight="1" x14ac:dyDescent="0.45">
      <c r="A82" s="52"/>
      <c r="B82" t="s">
        <v>83</v>
      </c>
      <c r="C82" s="53">
        <v>-94.8</v>
      </c>
      <c r="D82" s="53">
        <v>-195.1</v>
      </c>
      <c r="E82" s="53">
        <v>-214.2</v>
      </c>
      <c r="F82">
        <f>F8*F80*-1</f>
        <v>-144.86718000000005</v>
      </c>
      <c r="G82">
        <f t="shared" ref="G82:J82" si="53">G8*G80*-1</f>
        <v>-206.24101725000006</v>
      </c>
      <c r="H82">
        <f t="shared" si="53"/>
        <v>-222.19078038750013</v>
      </c>
      <c r="I82">
        <f t="shared" si="53"/>
        <v>-238.29134840010016</v>
      </c>
      <c r="J82">
        <f t="shared" si="53"/>
        <v>-249.34166391321023</v>
      </c>
    </row>
    <row r="83" spans="1:10" ht="15" customHeight="1" x14ac:dyDescent="0.45">
      <c r="A83" s="52"/>
      <c r="B83" t="s">
        <v>84</v>
      </c>
      <c r="C83">
        <f>C80+C82</f>
        <v>229.20000000000033</v>
      </c>
      <c r="D83">
        <f>D80+D82</f>
        <v>459.6</v>
      </c>
      <c r="E83">
        <f t="shared" ref="E83:F83" si="54">E80+E82</f>
        <v>226.7</v>
      </c>
      <c r="F83">
        <f t="shared" si="54"/>
        <v>458.74607000000015</v>
      </c>
      <c r="G83">
        <f t="shared" ref="G83" si="55">G80+G82</f>
        <v>690.45905775000017</v>
      </c>
      <c r="H83">
        <f t="shared" ref="H83" si="56">H80+H82</f>
        <v>743.85609086250042</v>
      </c>
      <c r="I83">
        <f t="shared" ref="I83" si="57">I80+I82</f>
        <v>797.7579924699005</v>
      </c>
      <c r="J83">
        <f t="shared" ref="J83" si="58">J80+J82</f>
        <v>834.75252701379065</v>
      </c>
    </row>
    <row r="84" spans="1:10" ht="15" customHeight="1" x14ac:dyDescent="0.45">
      <c r="A84" s="52"/>
    </row>
    <row r="85" spans="1:10" ht="15" customHeight="1" x14ac:dyDescent="0.45">
      <c r="A85" s="52"/>
      <c r="B85" t="s">
        <v>85</v>
      </c>
      <c r="C85" s="53">
        <v>313.3</v>
      </c>
      <c r="D85" s="53">
        <v>662.5</v>
      </c>
      <c r="E85" s="53">
        <v>690.6</v>
      </c>
      <c r="F85">
        <f>F83-F74*(1-F9)</f>
        <v>620.74607000000015</v>
      </c>
      <c r="G85">
        <f>G83-G74*(1-G9)</f>
        <v>690.45905775000017</v>
      </c>
      <c r="H85">
        <f>H83-H74*(1-H9)</f>
        <v>743.85609086250042</v>
      </c>
      <c r="I85">
        <f>I83-I74*(1-I9)</f>
        <v>797.7579924699005</v>
      </c>
      <c r="J85">
        <f>J83-J74*(1-J9)</f>
        <v>834.75252701379065</v>
      </c>
    </row>
    <row r="86" spans="1:10" ht="15" customHeight="1" x14ac:dyDescent="0.45">
      <c r="A86" s="52"/>
    </row>
    <row r="87" spans="1:10" ht="15" customHeight="1" x14ac:dyDescent="0.45">
      <c r="A87" s="50"/>
      <c r="B87" t="s">
        <v>86</v>
      </c>
      <c r="C87" s="53">
        <v>4866.2</v>
      </c>
      <c r="D87" s="53">
        <v>5158.1000000000004</v>
      </c>
      <c r="E87" s="53">
        <v>5158.5</v>
      </c>
      <c r="F87">
        <f t="shared" ref="F87" si="59">E87</f>
        <v>5158.5</v>
      </c>
      <c r="G87">
        <f t="shared" ref="G87:J87" si="60">F87</f>
        <v>5158.5</v>
      </c>
      <c r="H87">
        <f t="shared" si="60"/>
        <v>5158.5</v>
      </c>
      <c r="I87">
        <f t="shared" si="60"/>
        <v>5158.5</v>
      </c>
      <c r="J87">
        <f t="shared" si="60"/>
        <v>5158.5</v>
      </c>
    </row>
    <row r="88" spans="1:10" ht="15" customHeight="1" x14ac:dyDescent="0.45">
      <c r="A88" s="50"/>
      <c r="B88" t="s">
        <v>87</v>
      </c>
      <c r="C88" s="56">
        <f>C85/C87*100</f>
        <v>6.4382886030167281</v>
      </c>
      <c r="D88" s="56">
        <f>D85/D87*100</f>
        <v>12.8438766212365</v>
      </c>
      <c r="E88" s="56">
        <f>E85/E87*100</f>
        <v>13.3876126781041</v>
      </c>
      <c r="F88" s="56">
        <f t="shared" ref="F88" si="61">F85/F87*100</f>
        <v>12.033460695938745</v>
      </c>
      <c r="G88" s="56">
        <f t="shared" ref="G88" si="62">G85/G87*100</f>
        <v>13.384880444896776</v>
      </c>
      <c r="H88" s="56">
        <f t="shared" ref="H88" si="63">H85/H87*100</f>
        <v>14.420007577057293</v>
      </c>
      <c r="I88" s="56">
        <f t="shared" ref="I88" si="64">I85/I87*100</f>
        <v>15.464921827467295</v>
      </c>
      <c r="J88" s="56">
        <f t="shared" ref="J88" si="65">J85/J87*100</f>
        <v>16.182078647160818</v>
      </c>
    </row>
    <row r="89" spans="1:10" ht="15" customHeight="1" x14ac:dyDescent="0.45">
      <c r="A89" s="50"/>
      <c r="B89" t="s">
        <v>88</v>
      </c>
      <c r="C89" s="56"/>
      <c r="D89" s="55">
        <f>D88/C88-1</f>
        <v>0.99492091970191687</v>
      </c>
      <c r="E89" s="55">
        <f t="shared" ref="E89:F89" si="66">E88/D88-1</f>
        <v>4.2334263470622968E-2</v>
      </c>
      <c r="F89" s="55">
        <f t="shared" si="66"/>
        <v>-0.10114962351578316</v>
      </c>
      <c r="G89" s="55">
        <f t="shared" ref="G89" si="67">G88/F88-1</f>
        <v>0.11230516167424143</v>
      </c>
      <c r="H89" s="55">
        <f t="shared" ref="H89" si="68">H88/G88-1</f>
        <v>7.7335553083343056E-2</v>
      </c>
      <c r="I89" s="55">
        <f t="shared" ref="I89" si="69">I88/H88-1</f>
        <v>7.246280869314492E-2</v>
      </c>
      <c r="J89" s="55">
        <f t="shared" ref="J89" si="70">J88/I88-1</f>
        <v>4.6373129311250594E-2</v>
      </c>
    </row>
    <row r="90" spans="1:10" ht="15" customHeight="1" x14ac:dyDescent="0.45">
      <c r="A90" s="50"/>
      <c r="C90" s="56"/>
      <c r="D90" s="55"/>
      <c r="E90" s="55"/>
      <c r="F90" s="55"/>
      <c r="G90" s="55"/>
      <c r="H90" s="55"/>
      <c r="I90" s="55"/>
      <c r="J90" s="55"/>
    </row>
    <row r="91" spans="1:10" ht="15" customHeight="1" x14ac:dyDescent="0.45">
      <c r="A91" s="50"/>
      <c r="B91" t="s">
        <v>89</v>
      </c>
      <c r="C91" s="57">
        <v>0.28999999999999998</v>
      </c>
      <c r="D91" s="57">
        <v>0.35</v>
      </c>
      <c r="E91" s="57">
        <v>0.8</v>
      </c>
      <c r="F91" s="56">
        <f>(1+F15)*E91</f>
        <v>0.84800000000000009</v>
      </c>
      <c r="G91" s="56">
        <f>(1+G15)*F91</f>
        <v>0.89888000000000012</v>
      </c>
      <c r="H91" s="56">
        <f>(1+H15)*G91</f>
        <v>0.94382400000000022</v>
      </c>
      <c r="I91" s="56">
        <f>(1+I15)*H91</f>
        <v>0.98157696000000028</v>
      </c>
      <c r="J91" s="56">
        <f>(1+J15)*I91</f>
        <v>1.0110242688000004</v>
      </c>
    </row>
    <row r="92" spans="1:10" ht="15" customHeight="1" x14ac:dyDescent="0.45">
      <c r="A92" s="50"/>
      <c r="B92" t="s">
        <v>90</v>
      </c>
      <c r="C92" s="55">
        <f>C91/C88</f>
        <v>4.5043025853814228E-2</v>
      </c>
      <c r="D92" s="55">
        <f t="shared" ref="D92:F92" si="71">D91/D88</f>
        <v>2.725033962264151E-2</v>
      </c>
      <c r="E92" s="55">
        <f t="shared" si="71"/>
        <v>5.9756733275412692E-2</v>
      </c>
      <c r="F92" s="55">
        <f t="shared" si="71"/>
        <v>7.0470168260590021E-2</v>
      </c>
      <c r="G92" s="55">
        <f t="shared" ref="G92" si="72">G91/G88</f>
        <v>6.7156371228008549E-2</v>
      </c>
      <c r="H92" s="55">
        <f t="shared" ref="H92" si="73">H91/H88</f>
        <v>6.5452392792196265E-2</v>
      </c>
      <c r="I92" s="55">
        <f t="shared" ref="I92" si="74">I91/I88</f>
        <v>6.3471187953670641E-2</v>
      </c>
      <c r="J92" s="55">
        <f t="shared" ref="J92" si="75">J91/J88</f>
        <v>6.2478022190145942E-2</v>
      </c>
    </row>
    <row r="93" spans="1:10" ht="15" customHeight="1" x14ac:dyDescent="0.45">
      <c r="A93" s="52"/>
      <c r="C93" s="54"/>
      <c r="D93" s="54"/>
      <c r="E93" s="54"/>
    </row>
    <row r="94" spans="1:10" ht="15" customHeight="1" x14ac:dyDescent="0.45">
      <c r="A94" s="50" t="s">
        <v>91</v>
      </c>
      <c r="C94" s="54"/>
      <c r="D94" s="54"/>
      <c r="E94" s="54"/>
    </row>
    <row r="95" spans="1:10" ht="15" customHeight="1" x14ac:dyDescent="0.45">
      <c r="A95" s="50"/>
      <c r="B95" t="s">
        <v>92</v>
      </c>
      <c r="C95" s="54">
        <v>964.4</v>
      </c>
      <c r="D95" s="54">
        <v>1314</v>
      </c>
      <c r="E95" s="54">
        <v>1582.5</v>
      </c>
      <c r="F95">
        <f>MAX(0,F142)</f>
        <v>2045.7132070999999</v>
      </c>
      <c r="G95">
        <f t="shared" ref="G95:J95" si="76">MAX(0,G142)</f>
        <v>2731.7663604949994</v>
      </c>
      <c r="H95">
        <f t="shared" si="76"/>
        <v>3434.7071933952498</v>
      </c>
      <c r="I95">
        <f t="shared" si="76"/>
        <v>4173.2085334138219</v>
      </c>
      <c r="J95">
        <f t="shared" si="76"/>
        <v>4936.4932372966996</v>
      </c>
    </row>
    <row r="96" spans="1:10" ht="15" customHeight="1" x14ac:dyDescent="0.45">
      <c r="A96" s="50"/>
      <c r="B96" t="s">
        <v>66</v>
      </c>
      <c r="C96" s="54">
        <v>141.19999999999999</v>
      </c>
      <c r="D96" s="54">
        <v>202.9</v>
      </c>
      <c r="E96" s="54">
        <v>248.6</v>
      </c>
      <c r="F96">
        <f>F17*F69</f>
        <v>255.65625</v>
      </c>
      <c r="G96">
        <f>G17*G69</f>
        <v>270.99562500000002</v>
      </c>
      <c r="H96">
        <f>H17*H69</f>
        <v>284.54540625000004</v>
      </c>
      <c r="I96">
        <f>I17*I69</f>
        <v>295.92722250000008</v>
      </c>
      <c r="J96">
        <f>J17*J69</f>
        <v>304.8050391750001</v>
      </c>
    </row>
    <row r="97" spans="1:10" ht="15" customHeight="1" x14ac:dyDescent="0.45">
      <c r="A97" s="50"/>
      <c r="B97" t="s">
        <v>67</v>
      </c>
      <c r="C97" s="54">
        <v>813.7</v>
      </c>
      <c r="D97" s="54">
        <v>989.4</v>
      </c>
      <c r="E97" s="54">
        <v>1466.4</v>
      </c>
      <c r="F97">
        <f>F18*(F69-F70)</f>
        <v>1451.6161875000003</v>
      </c>
      <c r="G97">
        <f>G18*(G69-G70)</f>
        <v>1538.7131587500003</v>
      </c>
      <c r="H97">
        <f>H18*(H69-H70)</f>
        <v>1615.6488166875001</v>
      </c>
      <c r="I97">
        <f>I18*(I69-I70)</f>
        <v>1680.2747693550007</v>
      </c>
      <c r="J97">
        <f>J18*(J69-J70)</f>
        <v>1730.6830124356507</v>
      </c>
    </row>
    <row r="98" spans="1:10" ht="15" customHeight="1" x14ac:dyDescent="0.45">
      <c r="A98" s="50"/>
      <c r="B98" t="s">
        <v>68</v>
      </c>
      <c r="C98" s="54">
        <v>0</v>
      </c>
      <c r="D98" s="54">
        <f>12.5+0.6+157.1</f>
        <v>170.2</v>
      </c>
      <c r="E98" s="54">
        <f>15.2+123</f>
        <v>138.19999999999999</v>
      </c>
      <c r="F98">
        <f>F19*(F69-F70)</f>
        <v>136.62270000000001</v>
      </c>
      <c r="G98">
        <f>G19*(G69-G70)</f>
        <v>144.82006200000001</v>
      </c>
      <c r="H98">
        <f>H19*(H69-H70)</f>
        <v>152.06106510000001</v>
      </c>
      <c r="I98">
        <f>I19*(I69-I70)</f>
        <v>158.14350770400006</v>
      </c>
      <c r="J98">
        <f>J19*(J69-J70)</f>
        <v>162.88781293512005</v>
      </c>
    </row>
    <row r="99" spans="1:10" ht="15" customHeight="1" x14ac:dyDescent="0.45">
      <c r="A99" s="50"/>
      <c r="B99" t="s">
        <v>93</v>
      </c>
      <c r="C99">
        <f>SUM(C95:C98)</f>
        <v>1919.3</v>
      </c>
      <c r="D99">
        <f>SUM(D95:D98)</f>
        <v>2676.5</v>
      </c>
      <c r="E99">
        <f>SUM(E95:E98)</f>
        <v>3435.7</v>
      </c>
      <c r="F99">
        <f>SUM(F95:F98)</f>
        <v>3889.6083445999998</v>
      </c>
      <c r="G99">
        <f t="shared" ref="G99:J99" si="77">SUM(G95:G98)</f>
        <v>4686.2952062449995</v>
      </c>
      <c r="H99">
        <f t="shared" si="77"/>
        <v>5486.9624814327499</v>
      </c>
      <c r="I99">
        <f t="shared" si="77"/>
        <v>6307.5540329728228</v>
      </c>
      <c r="J99">
        <f t="shared" si="77"/>
        <v>7134.8691018424706</v>
      </c>
    </row>
    <row r="100" spans="1:10" ht="15" customHeight="1" x14ac:dyDescent="0.45">
      <c r="A100" s="52"/>
    </row>
    <row r="101" spans="1:10" ht="15" customHeight="1" x14ac:dyDescent="0.45">
      <c r="A101" s="50"/>
      <c r="B101" t="s">
        <v>94</v>
      </c>
      <c r="C101" s="54">
        <f>819.7+564</f>
        <v>1383.7</v>
      </c>
      <c r="D101" s="54">
        <f>1473.6+688.5</f>
        <v>2162.1</v>
      </c>
      <c r="E101" s="54">
        <f>1459.4+875.6</f>
        <v>2335</v>
      </c>
      <c r="F101">
        <f>F37</f>
        <v>2262.3924999999999</v>
      </c>
      <c r="G101">
        <f>G37</f>
        <v>2223.7159000000001</v>
      </c>
      <c r="H101">
        <f>H37</f>
        <v>2210.4287905000001</v>
      </c>
      <c r="I101">
        <f>I37</f>
        <v>2215.0126308100002</v>
      </c>
      <c r="J101">
        <f>J37</f>
        <v>2230.8452105422007</v>
      </c>
    </row>
    <row r="102" spans="1:10" ht="15" customHeight="1" x14ac:dyDescent="0.45">
      <c r="A102" s="50"/>
      <c r="B102" t="s">
        <v>95</v>
      </c>
      <c r="C102" s="54">
        <v>1752.4</v>
      </c>
      <c r="D102" s="53">
        <v>2032.6</v>
      </c>
      <c r="E102" s="54">
        <v>2137</v>
      </c>
      <c r="F102">
        <f>F43</f>
        <v>2140.02</v>
      </c>
      <c r="G102">
        <f>G43</f>
        <v>2167.0092</v>
      </c>
      <c r="H102">
        <f>H43</f>
        <v>2210.5501019999997</v>
      </c>
      <c r="I102">
        <f>I43</f>
        <v>2264.0291386199997</v>
      </c>
      <c r="J102">
        <f>J43</f>
        <v>2321.5516649622</v>
      </c>
    </row>
    <row r="103" spans="1:10" ht="15" customHeight="1" x14ac:dyDescent="0.45">
      <c r="A103" s="50"/>
      <c r="B103" t="s">
        <v>96</v>
      </c>
      <c r="C103" s="54">
        <f>2.7+63.2+40.6</f>
        <v>106.5</v>
      </c>
      <c r="D103" s="54">
        <f>56.2+57+2.5+81.7</f>
        <v>197.4</v>
      </c>
      <c r="E103" s="54">
        <f>38.8+56.9+7.6+0.8+12.9</f>
        <v>116.99999999999999</v>
      </c>
      <c r="F103">
        <f>F20+E103</f>
        <v>116.99999999999999</v>
      </c>
      <c r="G103">
        <f>G20+F103</f>
        <v>116.99999999999999</v>
      </c>
      <c r="H103">
        <f>H20+G103</f>
        <v>116.99999999999999</v>
      </c>
      <c r="I103">
        <f>I20+H103</f>
        <v>116.99999999999999</v>
      </c>
      <c r="J103">
        <f>J20+I103</f>
        <v>116.99999999999999</v>
      </c>
    </row>
    <row r="104" spans="1:10" ht="15" customHeight="1" x14ac:dyDescent="0.45">
      <c r="A104" s="50"/>
      <c r="B104" t="s">
        <v>97</v>
      </c>
      <c r="C104">
        <f>SUM(C101:C103)+C99</f>
        <v>5161.9000000000005</v>
      </c>
      <c r="D104">
        <f>SUM(D101:D103)+D99</f>
        <v>7068.5999999999995</v>
      </c>
      <c r="E104">
        <f>SUM(E101:E103)+E99</f>
        <v>8024.7</v>
      </c>
      <c r="F104">
        <f t="shared" ref="F104" si="78">SUM(F101:F103)+F99</f>
        <v>8409.0208445999997</v>
      </c>
      <c r="G104">
        <f t="shared" ref="G104" si="79">SUM(G101:G103)+G99</f>
        <v>9194.0203062449982</v>
      </c>
      <c r="H104">
        <f t="shared" ref="H104" si="80">SUM(H101:H103)+H99</f>
        <v>10024.94137393275</v>
      </c>
      <c r="I104">
        <f t="shared" ref="I104" si="81">SUM(I101:I103)+I99</f>
        <v>10903.595802402822</v>
      </c>
      <c r="J104">
        <f t="shared" ref="J104" si="82">SUM(J101:J103)+J99</f>
        <v>11804.265977346871</v>
      </c>
    </row>
    <row r="105" spans="1:10" ht="15" customHeight="1" x14ac:dyDescent="0.45">
      <c r="A105" s="52"/>
    </row>
    <row r="106" spans="1:10" ht="15" customHeight="1" x14ac:dyDescent="0.45">
      <c r="A106" s="50"/>
      <c r="B106" t="s">
        <v>98</v>
      </c>
      <c r="C106" s="54">
        <v>120.9</v>
      </c>
      <c r="D106" s="54">
        <v>72.599999999999994</v>
      </c>
      <c r="E106" s="54">
        <v>75.2</v>
      </c>
      <c r="F106">
        <f>-MIN(0,F142)</f>
        <v>0</v>
      </c>
      <c r="G106">
        <f t="shared" ref="G106:J106" si="83">-MIN(0,G142)</f>
        <v>0</v>
      </c>
      <c r="H106">
        <f t="shared" si="83"/>
        <v>0</v>
      </c>
      <c r="I106">
        <f t="shared" si="83"/>
        <v>0</v>
      </c>
      <c r="J106">
        <f t="shared" si="83"/>
        <v>0</v>
      </c>
    </row>
    <row r="107" spans="1:10" ht="15" customHeight="1" x14ac:dyDescent="0.45">
      <c r="A107" s="50"/>
      <c r="B107" t="s">
        <v>69</v>
      </c>
      <c r="C107" s="54">
        <v>1102</v>
      </c>
      <c r="D107" s="54">
        <v>1279.5</v>
      </c>
      <c r="E107" s="54">
        <v>1471.2</v>
      </c>
      <c r="F107">
        <f>F21*(F69-F70)</f>
        <v>1494.31078125</v>
      </c>
      <c r="G107">
        <f>G21*(G69-G70)</f>
        <v>1583.9694281249999</v>
      </c>
      <c r="H107">
        <f>H21*(H69-H70)</f>
        <v>1663.16789953125</v>
      </c>
      <c r="I107">
        <f>I21*(I69-I70)</f>
        <v>1729.6946155125004</v>
      </c>
      <c r="J107">
        <f>J21*(J69-J70)</f>
        <v>1781.5854539778754</v>
      </c>
    </row>
    <row r="108" spans="1:10" ht="15" customHeight="1" x14ac:dyDescent="0.45">
      <c r="A108" s="50"/>
      <c r="B108" t="s">
        <v>70</v>
      </c>
      <c r="C108" s="54">
        <v>29.5</v>
      </c>
      <c r="D108" s="54">
        <v>0</v>
      </c>
      <c r="E108" s="54">
        <v>17.5</v>
      </c>
      <c r="F108">
        <f>F22*F82*-1</f>
        <v>31.870779600000009</v>
      </c>
      <c r="G108">
        <f t="shared" ref="G108:J108" si="84">G22*G82*-1</f>
        <v>45.373023795000016</v>
      </c>
      <c r="H108">
        <f t="shared" si="84"/>
        <v>48.881971685250029</v>
      </c>
      <c r="I108">
        <f t="shared" si="84"/>
        <v>52.424096648022037</v>
      </c>
      <c r="J108">
        <f t="shared" si="84"/>
        <v>54.855166060906249</v>
      </c>
    </row>
    <row r="109" spans="1:10" ht="15" customHeight="1" x14ac:dyDescent="0.45">
      <c r="A109" s="50"/>
      <c r="B109" t="s">
        <v>71</v>
      </c>
      <c r="C109" s="54">
        <v>0.7</v>
      </c>
      <c r="D109" s="54">
        <f>13.2+142.6</f>
        <v>155.79999999999998</v>
      </c>
      <c r="E109" s="54">
        <f>165.6+9.7</f>
        <v>175.29999999999998</v>
      </c>
      <c r="F109">
        <f>F23*(F69-F70)</f>
        <v>179.31729375000003</v>
      </c>
      <c r="G109">
        <f>G23*(G69-G70)</f>
        <v>190.07633137500002</v>
      </c>
      <c r="H109">
        <f>H23*(H69-H70)</f>
        <v>199.58014794375003</v>
      </c>
      <c r="I109">
        <f>I23*(I69-I70)</f>
        <v>207.56335386150008</v>
      </c>
      <c r="J109">
        <f>J23*(J69-J70)</f>
        <v>213.79025447734509</v>
      </c>
    </row>
    <row r="110" spans="1:10" ht="15" customHeight="1" x14ac:dyDescent="0.45">
      <c r="A110" s="50"/>
      <c r="B110" t="s">
        <v>99</v>
      </c>
      <c r="C110">
        <f>SUM(C106:C109)</f>
        <v>1253.1000000000001</v>
      </c>
      <c r="D110">
        <f>SUM(D106:D109)</f>
        <v>1507.8999999999999</v>
      </c>
      <c r="E110">
        <f t="shared" ref="E110:F110" si="85">SUM(E106:E109)</f>
        <v>1739.2</v>
      </c>
      <c r="F110">
        <f t="shared" si="85"/>
        <v>1705.4988546000002</v>
      </c>
      <c r="G110">
        <f t="shared" ref="G110" si="86">SUM(G106:G109)</f>
        <v>1819.4187832950001</v>
      </c>
      <c r="H110">
        <f t="shared" ref="H110" si="87">SUM(H106:H109)</f>
        <v>1911.63001916025</v>
      </c>
      <c r="I110">
        <f t="shared" ref="I110" si="88">SUM(I106:I109)</f>
        <v>1989.6820660220224</v>
      </c>
      <c r="J110">
        <f t="shared" ref="J110" si="89">SUM(J106:J109)</f>
        <v>2050.2308745161267</v>
      </c>
    </row>
    <row r="111" spans="1:10" ht="15" customHeight="1" x14ac:dyDescent="0.45">
      <c r="A111" s="52"/>
    </row>
    <row r="112" spans="1:10" ht="15" customHeight="1" x14ac:dyDescent="0.45">
      <c r="A112" s="50"/>
      <c r="B112" t="s">
        <v>100</v>
      </c>
      <c r="C112" s="54">
        <v>48.1</v>
      </c>
      <c r="D112" s="54">
        <v>55.5</v>
      </c>
      <c r="E112" s="54">
        <v>38</v>
      </c>
      <c r="F112">
        <f>F26+E112</f>
        <v>38</v>
      </c>
      <c r="G112">
        <f>G26+F112</f>
        <v>38</v>
      </c>
      <c r="H112">
        <f>H26+G112</f>
        <v>38</v>
      </c>
      <c r="I112">
        <f>I26+H112</f>
        <v>38</v>
      </c>
      <c r="J112">
        <f>J26+I112</f>
        <v>38</v>
      </c>
    </row>
    <row r="113" spans="1:10" ht="15" customHeight="1" x14ac:dyDescent="0.45">
      <c r="A113" s="50"/>
      <c r="B113" t="s">
        <v>58</v>
      </c>
      <c r="C113" s="54">
        <f>301.8+1628</f>
        <v>1929.8</v>
      </c>
      <c r="D113" s="54">
        <f>1863.9+379</f>
        <v>2242.9</v>
      </c>
      <c r="E113" s="54">
        <f>1915.4+423.8</f>
        <v>2339.2000000000003</v>
      </c>
      <c r="F113">
        <f>F50</f>
        <v>2342.2200000000007</v>
      </c>
      <c r="G113">
        <f>G50</f>
        <v>2369.2092000000002</v>
      </c>
      <c r="H113">
        <f>H50</f>
        <v>2412.750102</v>
      </c>
      <c r="I113">
        <f>I50</f>
        <v>2466.2291386200004</v>
      </c>
      <c r="J113">
        <f>J50</f>
        <v>2523.7516649622003</v>
      </c>
    </row>
    <row r="114" spans="1:10" ht="15" customHeight="1" x14ac:dyDescent="0.45">
      <c r="A114" s="50"/>
      <c r="B114" t="s">
        <v>101</v>
      </c>
      <c r="C114" s="54">
        <f>374.4+5.1+55</f>
        <v>434.5</v>
      </c>
      <c r="D114" s="54">
        <f>10.6+764.8+19.9+127.4</f>
        <v>922.69999999999993</v>
      </c>
      <c r="E114" s="54">
        <f>102.4+1061.2+21.1+90.2</f>
        <v>1274.9000000000001</v>
      </c>
      <c r="F114">
        <f>F24+E114</f>
        <v>1274.9000000000001</v>
      </c>
      <c r="G114">
        <f>G24+F114</f>
        <v>1274.9000000000001</v>
      </c>
      <c r="H114">
        <f>H24+G114</f>
        <v>1274.9000000000001</v>
      </c>
      <c r="I114">
        <f>I24+H114</f>
        <v>1274.9000000000001</v>
      </c>
      <c r="J114">
        <f>J24+I114</f>
        <v>1274.9000000000001</v>
      </c>
    </row>
    <row r="115" spans="1:10" ht="15" customHeight="1" x14ac:dyDescent="0.45">
      <c r="A115" s="50"/>
      <c r="B115" t="s">
        <v>102</v>
      </c>
      <c r="C115">
        <f t="shared" ref="C115:F115" si="90">SUM(C112:C114)+C110</f>
        <v>3665.5</v>
      </c>
      <c r="D115">
        <f t="shared" si="90"/>
        <v>4729</v>
      </c>
      <c r="E115">
        <f t="shared" si="90"/>
        <v>5391.3</v>
      </c>
      <c r="F115">
        <f t="shared" si="90"/>
        <v>5360.6188546000012</v>
      </c>
      <c r="G115">
        <f t="shared" ref="G115" si="91">SUM(G112:G114)+G110</f>
        <v>5501.527983295</v>
      </c>
      <c r="H115">
        <f t="shared" ref="H115" si="92">SUM(H112:H114)+H110</f>
        <v>5637.28012116025</v>
      </c>
      <c r="I115">
        <f t="shared" ref="I115" si="93">SUM(I112:I114)+I110</f>
        <v>5768.8112046420229</v>
      </c>
      <c r="J115">
        <f t="shared" ref="J115" si="94">SUM(J112:J114)+J110</f>
        <v>5886.8825394783271</v>
      </c>
    </row>
    <row r="116" spans="1:10" ht="15" customHeight="1" x14ac:dyDescent="0.45">
      <c r="A116" s="52"/>
    </row>
    <row r="117" spans="1:10" ht="15" customHeight="1" x14ac:dyDescent="0.45">
      <c r="A117" s="50"/>
      <c r="B117" t="s">
        <v>103</v>
      </c>
      <c r="C117" s="54">
        <v>1496.4</v>
      </c>
      <c r="D117" s="54">
        <v>2339.6</v>
      </c>
      <c r="E117" s="54">
        <v>2633.4</v>
      </c>
      <c r="F117">
        <f>F57</f>
        <v>3048.4019900000003</v>
      </c>
      <c r="G117">
        <f>G57</f>
        <v>3692.4923229500005</v>
      </c>
      <c r="H117">
        <f>H57</f>
        <v>4387.6612527725001</v>
      </c>
      <c r="I117">
        <f>I57</f>
        <v>5134.7845977608004</v>
      </c>
      <c r="J117">
        <f>J57</f>
        <v>5917.3834378685424</v>
      </c>
    </row>
    <row r="118" spans="1:10" ht="15" customHeight="1" x14ac:dyDescent="0.45">
      <c r="A118" s="50"/>
      <c r="B118" t="s">
        <v>104</v>
      </c>
      <c r="C118">
        <f>C115+C117</f>
        <v>5161.8999999999996</v>
      </c>
      <c r="D118">
        <f>D115+D117</f>
        <v>7068.6</v>
      </c>
      <c r="E118">
        <f>E115+E117</f>
        <v>8024.7000000000007</v>
      </c>
      <c r="F118">
        <f t="shared" ref="F118" si="95">F115+SUM(F117:F117)</f>
        <v>8409.0208446000015</v>
      </c>
      <c r="G118">
        <f t="shared" ref="G118" si="96">G115+SUM(G117:G117)</f>
        <v>9194.020306245</v>
      </c>
      <c r="H118">
        <f t="shared" ref="H118" si="97">H115+SUM(H117:H117)</f>
        <v>10024.94137393275</v>
      </c>
      <c r="I118">
        <f t="shared" ref="I118" si="98">I115+SUM(I117:I117)</f>
        <v>10903.595802402822</v>
      </c>
      <c r="J118">
        <f t="shared" ref="J118" si="99">J115+SUM(J117:J117)</f>
        <v>11804.265977346869</v>
      </c>
    </row>
    <row r="119" spans="1:10" ht="15" customHeight="1" x14ac:dyDescent="0.45">
      <c r="A119" s="52"/>
    </row>
    <row r="120" spans="1:10" ht="15" customHeight="1" x14ac:dyDescent="0.45">
      <c r="A120" s="50"/>
      <c r="B120" t="s">
        <v>105</v>
      </c>
      <c r="C120">
        <f>C104-C118</f>
        <v>0</v>
      </c>
      <c r="D120">
        <f t="shared" ref="D120:J120" si="100">D104-D118</f>
        <v>0</v>
      </c>
      <c r="E120">
        <f t="shared" si="100"/>
        <v>0</v>
      </c>
      <c r="F120">
        <f t="shared" si="100"/>
        <v>0</v>
      </c>
      <c r="G120">
        <f t="shared" si="100"/>
        <v>0</v>
      </c>
      <c r="H120">
        <f t="shared" si="100"/>
        <v>0</v>
      </c>
      <c r="I120">
        <f t="shared" si="100"/>
        <v>0</v>
      </c>
      <c r="J120">
        <f t="shared" si="100"/>
        <v>0</v>
      </c>
    </row>
    <row r="121" spans="1:10" ht="15" customHeight="1" x14ac:dyDescent="0.45">
      <c r="A121" s="52"/>
    </row>
    <row r="122" spans="1:10" ht="15" customHeight="1" x14ac:dyDescent="0.45">
      <c r="A122" s="50" t="s">
        <v>106</v>
      </c>
    </row>
    <row r="123" spans="1:10" ht="15" customHeight="1" x14ac:dyDescent="0.45">
      <c r="A123"/>
      <c r="B123" t="s">
        <v>84</v>
      </c>
      <c r="F123">
        <f>F83</f>
        <v>458.74607000000015</v>
      </c>
      <c r="G123">
        <f t="shared" ref="G123:J123" si="101">G83</f>
        <v>690.45905775000017</v>
      </c>
      <c r="H123">
        <f t="shared" si="101"/>
        <v>743.85609086250042</v>
      </c>
      <c r="I123">
        <f t="shared" si="101"/>
        <v>797.7579924699005</v>
      </c>
      <c r="J123">
        <f t="shared" si="101"/>
        <v>834.75252701379065</v>
      </c>
    </row>
    <row r="124" spans="1:10" ht="15" customHeight="1" x14ac:dyDescent="0.45">
      <c r="A124"/>
      <c r="B124" s="51" t="s">
        <v>107</v>
      </c>
      <c r="C124" s="51"/>
      <c r="F124">
        <f t="shared" ref="F124:J125" si="102">F71*-1</f>
        <v>420.3</v>
      </c>
      <c r="G124">
        <f t="shared" si="102"/>
        <v>407.23064999999997</v>
      </c>
      <c r="H124">
        <f t="shared" si="102"/>
        <v>400.26886200000001</v>
      </c>
      <c r="I124">
        <f t="shared" si="102"/>
        <v>397.87718229000001</v>
      </c>
      <c r="J124">
        <f t="shared" si="102"/>
        <v>398.70227354580004</v>
      </c>
    </row>
    <row r="125" spans="1:10" ht="15" customHeight="1" x14ac:dyDescent="0.45">
      <c r="A125"/>
      <c r="B125" s="51" t="s">
        <v>108</v>
      </c>
      <c r="C125" s="51"/>
      <c r="F125">
        <f t="shared" si="102"/>
        <v>406.03000000000003</v>
      </c>
      <c r="G125">
        <f t="shared" si="102"/>
        <v>406.60379999999998</v>
      </c>
      <c r="H125">
        <f t="shared" si="102"/>
        <v>411.73174799999998</v>
      </c>
      <c r="I125">
        <f t="shared" si="102"/>
        <v>420.00451937999992</v>
      </c>
      <c r="J125">
        <f t="shared" si="102"/>
        <v>430.16553633779995</v>
      </c>
    </row>
    <row r="126" spans="1:10" ht="15" customHeight="1" x14ac:dyDescent="0.45">
      <c r="A126"/>
      <c r="B126" t="s">
        <v>109</v>
      </c>
      <c r="F126">
        <f>E66-F66</f>
        <v>50.803717100000085</v>
      </c>
      <c r="G126">
        <f>F66-G66</f>
        <v>3.2862204449997989</v>
      </c>
      <c r="H126">
        <f>G66-H66</f>
        <v>-5.515206422250003</v>
      </c>
      <c r="I126">
        <f>H66-I66</f>
        <v>-4.0381646597284089</v>
      </c>
      <c r="J126">
        <f>I66-J66</f>
        <v>-3.4815564926652769</v>
      </c>
    </row>
    <row r="127" spans="1:10" ht="15" customHeight="1" x14ac:dyDescent="0.45">
      <c r="A127"/>
      <c r="B127" t="s">
        <v>110</v>
      </c>
      <c r="F127">
        <f t="shared" ref="F127" si="103">E103-F103</f>
        <v>0</v>
      </c>
      <c r="G127">
        <f t="shared" ref="G127:J127" si="104">F103-G103</f>
        <v>0</v>
      </c>
      <c r="H127">
        <f t="shared" si="104"/>
        <v>0</v>
      </c>
      <c r="I127">
        <f t="shared" si="104"/>
        <v>0</v>
      </c>
      <c r="J127">
        <f t="shared" si="104"/>
        <v>0</v>
      </c>
    </row>
    <row r="128" spans="1:10" ht="15" customHeight="1" x14ac:dyDescent="0.45">
      <c r="A128"/>
      <c r="B128" t="s">
        <v>111</v>
      </c>
      <c r="F128">
        <f t="shared" ref="F128" si="105">F114-E114</f>
        <v>0</v>
      </c>
      <c r="G128">
        <f t="shared" ref="G128:J128" si="106">G114-F114</f>
        <v>0</v>
      </c>
      <c r="H128">
        <f t="shared" si="106"/>
        <v>0</v>
      </c>
      <c r="I128">
        <f t="shared" si="106"/>
        <v>0</v>
      </c>
      <c r="J128">
        <f t="shared" si="106"/>
        <v>0</v>
      </c>
    </row>
    <row r="129" spans="1:10" ht="15" customHeight="1" x14ac:dyDescent="0.45">
      <c r="A129"/>
      <c r="B129" t="s">
        <v>112</v>
      </c>
      <c r="F129">
        <f t="shared" ref="F129" si="107">SUM(F123:F128)</f>
        <v>1335.8797871000002</v>
      </c>
      <c r="G129">
        <f t="shared" ref="G129" si="108">SUM(G123:G128)</f>
        <v>1507.5797281949999</v>
      </c>
      <c r="H129">
        <f t="shared" ref="H129" si="109">SUM(H123:H128)</f>
        <v>1550.3414944402502</v>
      </c>
      <c r="I129">
        <f t="shared" ref="I129" si="110">SUM(I123:I128)</f>
        <v>1611.6015294801721</v>
      </c>
      <c r="J129">
        <f t="shared" ref="J129" si="111">SUM(J123:J128)</f>
        <v>1660.1387804047254</v>
      </c>
    </row>
    <row r="130" spans="1:10" ht="15" customHeight="1" x14ac:dyDescent="0.45">
      <c r="A130"/>
    </row>
    <row r="131" spans="1:10" ht="15" customHeight="1" x14ac:dyDescent="0.45">
      <c r="A131"/>
      <c r="B131" t="s">
        <v>53</v>
      </c>
      <c r="F131">
        <f>F35*-1</f>
        <v>-347.69250000000005</v>
      </c>
      <c r="G131">
        <f>G35*-1</f>
        <v>-368.55405000000007</v>
      </c>
      <c r="H131">
        <f>H35*-1</f>
        <v>-386.98175250000008</v>
      </c>
      <c r="I131">
        <f>I35*-1</f>
        <v>-402.46102260000009</v>
      </c>
      <c r="J131">
        <f>J35*-1</f>
        <v>-414.53485327800013</v>
      </c>
    </row>
    <row r="132" spans="1:10" ht="15" customHeight="1" x14ac:dyDescent="0.45">
      <c r="A132"/>
      <c r="B132" t="s">
        <v>113</v>
      </c>
      <c r="F132">
        <f>SUM(F131:F131)</f>
        <v>-347.69250000000005</v>
      </c>
      <c r="G132">
        <f t="shared" ref="G132:J132" si="112">SUM(G131:G131)</f>
        <v>-368.55405000000007</v>
      </c>
      <c r="H132">
        <f t="shared" si="112"/>
        <v>-386.98175250000008</v>
      </c>
      <c r="I132">
        <f t="shared" si="112"/>
        <v>-402.46102260000009</v>
      </c>
      <c r="J132">
        <f t="shared" si="112"/>
        <v>-414.53485327800013</v>
      </c>
    </row>
    <row r="133" spans="1:10" ht="15" customHeight="1" x14ac:dyDescent="0.45">
      <c r="A133"/>
    </row>
    <row r="134" spans="1:10" ht="15" customHeight="1" x14ac:dyDescent="0.45">
      <c r="A134"/>
      <c r="B134" t="s">
        <v>114</v>
      </c>
      <c r="F134">
        <f>F112-E112</f>
        <v>0</v>
      </c>
      <c r="G134">
        <f t="shared" ref="G134:J134" si="113">G112-F112</f>
        <v>0</v>
      </c>
      <c r="H134">
        <f t="shared" si="113"/>
        <v>0</v>
      </c>
      <c r="I134">
        <f t="shared" si="113"/>
        <v>0</v>
      </c>
      <c r="J134">
        <f t="shared" si="113"/>
        <v>0</v>
      </c>
    </row>
    <row r="135" spans="1:10" ht="15" customHeight="1" x14ac:dyDescent="0.45">
      <c r="A135"/>
      <c r="B135" t="s">
        <v>115</v>
      </c>
      <c r="F135">
        <f>F49+F48</f>
        <v>-406.03000000000009</v>
      </c>
      <c r="G135">
        <f>G49+G48</f>
        <v>-406.60379999999992</v>
      </c>
      <c r="H135">
        <f>H49+H48</f>
        <v>-411.73174799999993</v>
      </c>
      <c r="I135">
        <f>I49+I48</f>
        <v>-420.00451937999992</v>
      </c>
      <c r="J135">
        <f>J49+J48</f>
        <v>-430.16553633779995</v>
      </c>
    </row>
    <row r="136" spans="1:10" ht="15" customHeight="1" x14ac:dyDescent="0.45">
      <c r="A136"/>
      <c r="B136" t="s">
        <v>116</v>
      </c>
      <c r="F136">
        <f t="shared" ref="F136:J137" si="114">F55</f>
        <v>-43.744080000000004</v>
      </c>
      <c r="G136">
        <f t="shared" si="114"/>
        <v>-46.36872480000001</v>
      </c>
      <c r="H136">
        <f t="shared" si="114"/>
        <v>-48.687161040000007</v>
      </c>
      <c r="I136">
        <f t="shared" si="114"/>
        <v>-50.634647481600012</v>
      </c>
      <c r="J136">
        <f t="shared" si="114"/>
        <v>-52.153686906048023</v>
      </c>
    </row>
    <row r="137" spans="1:10" ht="15" customHeight="1" x14ac:dyDescent="0.45">
      <c r="A137"/>
      <c r="B137" t="s">
        <v>36</v>
      </c>
      <c r="F137">
        <f t="shared" si="114"/>
        <v>0</v>
      </c>
      <c r="G137">
        <f t="shared" si="114"/>
        <v>0</v>
      </c>
      <c r="H137">
        <f t="shared" si="114"/>
        <v>0</v>
      </c>
      <c r="I137">
        <f t="shared" si="114"/>
        <v>0</v>
      </c>
      <c r="J137">
        <f t="shared" si="114"/>
        <v>0</v>
      </c>
    </row>
    <row r="138" spans="1:10" ht="15" customHeight="1" x14ac:dyDescent="0.45">
      <c r="A138"/>
      <c r="B138" t="s">
        <v>117</v>
      </c>
      <c r="F138">
        <f t="shared" ref="F138" si="115">SUM(F134:F137)</f>
        <v>-449.77408000000008</v>
      </c>
      <c r="G138">
        <f t="shared" ref="G138" si="116">SUM(G134:G137)</f>
        <v>-452.97252479999992</v>
      </c>
      <c r="H138">
        <f t="shared" ref="H138" si="117">SUM(H134:H137)</f>
        <v>-460.4189090399999</v>
      </c>
      <c r="I138">
        <f t="shared" ref="I138" si="118">SUM(I134:I137)</f>
        <v>-470.63916686159996</v>
      </c>
      <c r="J138">
        <f t="shared" ref="J138" si="119">SUM(J134:J137)</f>
        <v>-482.319223243848</v>
      </c>
    </row>
    <row r="139" spans="1:10" ht="15" customHeight="1" x14ac:dyDescent="0.45">
      <c r="A139"/>
    </row>
    <row r="140" spans="1:10" ht="15" customHeight="1" x14ac:dyDescent="0.45">
      <c r="A140"/>
      <c r="B140" t="s">
        <v>118</v>
      </c>
      <c r="F140">
        <f t="shared" ref="F140" si="120">E142</f>
        <v>1507.3</v>
      </c>
      <c r="G140">
        <f t="shared" ref="G140:J140" si="121">F142</f>
        <v>2045.7132070999999</v>
      </c>
      <c r="H140">
        <f t="shared" si="121"/>
        <v>2731.7663604949994</v>
      </c>
      <c r="I140">
        <f t="shared" si="121"/>
        <v>3434.7071933952498</v>
      </c>
      <c r="J140">
        <f t="shared" si="121"/>
        <v>4173.2085334138219</v>
      </c>
    </row>
    <row r="141" spans="1:10" ht="15" customHeight="1" x14ac:dyDescent="0.45">
      <c r="A141"/>
      <c r="B141" t="s">
        <v>119</v>
      </c>
      <c r="F141">
        <f>F129+F132+F138</f>
        <v>538.41320709999991</v>
      </c>
      <c r="G141">
        <f t="shared" ref="G141:J141" si="122">G129+G132+G138</f>
        <v>686.05315339499975</v>
      </c>
      <c r="H141">
        <f t="shared" si="122"/>
        <v>702.94083290025026</v>
      </c>
      <c r="I141">
        <f t="shared" si="122"/>
        <v>738.50134001857191</v>
      </c>
      <c r="J141">
        <f t="shared" si="122"/>
        <v>763.28470388287724</v>
      </c>
    </row>
    <row r="142" spans="1:10" ht="15" customHeight="1" x14ac:dyDescent="0.45">
      <c r="A142"/>
      <c r="B142" t="s">
        <v>120</v>
      </c>
      <c r="E142">
        <f>E95-E106</f>
        <v>1507.3</v>
      </c>
      <c r="F142">
        <f t="shared" ref="F142" si="123">SUM(F140:F141)</f>
        <v>2045.7132070999999</v>
      </c>
      <c r="G142">
        <f t="shared" ref="G142" si="124">SUM(G140:G141)</f>
        <v>2731.7663604949994</v>
      </c>
      <c r="H142">
        <f t="shared" ref="H142" si="125">SUM(H140:H141)</f>
        <v>3434.7071933952498</v>
      </c>
      <c r="I142">
        <f t="shared" ref="I142" si="126">SUM(I140:I141)</f>
        <v>4173.2085334138219</v>
      </c>
      <c r="J142">
        <f t="shared" ref="J142" si="127">SUM(J140:J141)</f>
        <v>4936.4932372966996</v>
      </c>
    </row>
    <row r="143" spans="1:10" ht="15" customHeight="1" x14ac:dyDescent="0.45">
      <c r="A143"/>
    </row>
    <row r="144" spans="1:10" ht="15" customHeight="1" x14ac:dyDescent="0.45">
      <c r="A144" s="15" t="s">
        <v>121</v>
      </c>
    </row>
    <row r="145" spans="1:10" ht="15" customHeight="1" x14ac:dyDescent="0.45">
      <c r="A145"/>
      <c r="B145" t="s">
        <v>122</v>
      </c>
      <c r="E145">
        <f>E106</f>
        <v>75.2</v>
      </c>
      <c r="F145">
        <f>F106</f>
        <v>0</v>
      </c>
      <c r="G145">
        <f t="shared" ref="G145:J145" si="128">G106</f>
        <v>0</v>
      </c>
      <c r="H145">
        <f t="shared" si="128"/>
        <v>0</v>
      </c>
      <c r="I145">
        <f t="shared" si="128"/>
        <v>0</v>
      </c>
      <c r="J145">
        <f t="shared" si="128"/>
        <v>0</v>
      </c>
    </row>
    <row r="146" spans="1:10" ht="15" customHeight="1" x14ac:dyDescent="0.45">
      <c r="A146"/>
      <c r="B146" t="s">
        <v>123</v>
      </c>
      <c r="F146">
        <f>F28*AVERAGE(E145,F145)</f>
        <v>2.2559999999999998</v>
      </c>
      <c r="G146">
        <f>G28*AVERAGE(F145,G145)</f>
        <v>0</v>
      </c>
      <c r="H146">
        <f>H28*AVERAGE(G145,H145)</f>
        <v>0</v>
      </c>
      <c r="I146">
        <f>I28*AVERAGE(H145,I145)</f>
        <v>0</v>
      </c>
      <c r="J146">
        <f>J28*AVERAGE(I145,J145)</f>
        <v>0</v>
      </c>
    </row>
    <row r="147" spans="1:10" ht="15" customHeight="1" x14ac:dyDescent="0.45">
      <c r="A147"/>
    </row>
    <row r="148" spans="1:10" ht="15" customHeight="1" x14ac:dyDescent="0.45">
      <c r="A148"/>
      <c r="B148" t="s">
        <v>124</v>
      </c>
      <c r="E148">
        <f>E112</f>
        <v>38</v>
      </c>
      <c r="F148">
        <f>F112</f>
        <v>38</v>
      </c>
      <c r="G148">
        <f t="shared" ref="G148:J148" si="129">G112</f>
        <v>38</v>
      </c>
      <c r="H148">
        <f t="shared" si="129"/>
        <v>38</v>
      </c>
      <c r="I148">
        <f t="shared" si="129"/>
        <v>38</v>
      </c>
      <c r="J148">
        <f t="shared" si="129"/>
        <v>38</v>
      </c>
    </row>
    <row r="149" spans="1:10" ht="15" customHeight="1" x14ac:dyDescent="0.45">
      <c r="A149"/>
      <c r="B149" t="s">
        <v>123</v>
      </c>
      <c r="F149">
        <f>F29*AVERAGE(E148,F148)</f>
        <v>2.2799999999999998</v>
      </c>
      <c r="G149">
        <f>G29*AVERAGE(F148,G148)</f>
        <v>2.2799999999999998</v>
      </c>
      <c r="H149">
        <f>H29*AVERAGE(G148,H148)</f>
        <v>2.2799999999999998</v>
      </c>
      <c r="I149">
        <f>I29*AVERAGE(H148,I148)</f>
        <v>2.2799999999999998</v>
      </c>
      <c r="J149">
        <f>J29*AVERAGE(I148,J148)</f>
        <v>2.2799999999999998</v>
      </c>
    </row>
    <row r="150" spans="1:10" ht="15" customHeight="1" x14ac:dyDescent="0.45">
      <c r="A150"/>
    </row>
    <row r="151" spans="1:10" ht="15" customHeight="1" x14ac:dyDescent="0.45">
      <c r="A151"/>
      <c r="B151" t="s">
        <v>125</v>
      </c>
      <c r="E151">
        <f>E95</f>
        <v>1582.5</v>
      </c>
      <c r="F151">
        <f t="shared" ref="F151" si="130">F95</f>
        <v>2045.7132070999999</v>
      </c>
      <c r="G151">
        <f t="shared" ref="G151:J151" si="131">G95</f>
        <v>2731.7663604949994</v>
      </c>
      <c r="H151">
        <f t="shared" si="131"/>
        <v>3434.7071933952498</v>
      </c>
      <c r="I151">
        <f t="shared" si="131"/>
        <v>4173.2085334138219</v>
      </c>
      <c r="J151">
        <f t="shared" si="131"/>
        <v>4936.4932372966996</v>
      </c>
    </row>
    <row r="152" spans="1:10" ht="15" customHeight="1" x14ac:dyDescent="0.45">
      <c r="A152"/>
      <c r="B152" t="s">
        <v>126</v>
      </c>
      <c r="F152">
        <f>F30*AVERAGE(E151,F151)</f>
        <v>18.1410660355</v>
      </c>
      <c r="G152">
        <f>G30*AVERAGE(F151,G151)</f>
        <v>23.887397837974994</v>
      </c>
      <c r="H152">
        <f>H30*AVERAGE(G151,H151)</f>
        <v>30.832367769451249</v>
      </c>
      <c r="I152">
        <f>I30*AVERAGE(H151,I151)</f>
        <v>38.039578634045355</v>
      </c>
      <c r="J152">
        <f>J30*AVERAGE(I151,J151)</f>
        <v>45.548508853552612</v>
      </c>
    </row>
    <row r="154" spans="1:10" ht="15" customHeight="1" x14ac:dyDescent="0.45">
      <c r="A154"/>
      <c r="B154" t="s">
        <v>81</v>
      </c>
      <c r="F154">
        <f>F152-F146-F149</f>
        <v>13.6050660355</v>
      </c>
      <c r="G154">
        <f t="shared" ref="G154:J154" si="132">G152-G146-G149</f>
        <v>21.607397837974993</v>
      </c>
      <c r="H154">
        <f t="shared" si="132"/>
        <v>28.552367769451248</v>
      </c>
      <c r="I154">
        <f t="shared" si="132"/>
        <v>35.759578634045354</v>
      </c>
      <c r="J154">
        <f t="shared" si="132"/>
        <v>43.268508853552611</v>
      </c>
    </row>
    <row r="156" spans="1:10" ht="15" customHeight="1" x14ac:dyDescent="0.45">
      <c r="A156" s="63" t="s">
        <v>127</v>
      </c>
    </row>
    <row r="157" spans="1:10" ht="15" customHeight="1" x14ac:dyDescent="0.45">
      <c r="A157" s="60"/>
      <c r="B157" t="s">
        <v>128</v>
      </c>
      <c r="C157" s="55">
        <f>C70/C69</f>
        <v>0.15455709954112826</v>
      </c>
      <c r="D157" s="55">
        <f t="shared" ref="D157:J157" si="133">D66/D65</f>
        <v>-0.46726572528883159</v>
      </c>
      <c r="E157" s="55">
        <f t="shared" si="133"/>
        <v>1.0792926411865378</v>
      </c>
      <c r="F157" s="55">
        <f t="shared" si="133"/>
        <v>0.77179551400629998</v>
      </c>
      <c r="G157" s="55">
        <f t="shared" si="133"/>
        <v>0.71082002413252932</v>
      </c>
      <c r="H157" s="55">
        <f t="shared" si="133"/>
        <v>0.70460549471525691</v>
      </c>
      <c r="I157" s="55">
        <f t="shared" si="133"/>
        <v>0.69696037785893328</v>
      </c>
      <c r="J157" s="55">
        <f t="shared" si="133"/>
        <v>0.69294547776190829</v>
      </c>
    </row>
    <row r="158" spans="1:10" ht="15" customHeight="1" x14ac:dyDescent="0.45">
      <c r="A158" s="60"/>
      <c r="B158" t="s">
        <v>129</v>
      </c>
      <c r="C158" s="55">
        <f>C73/C69</f>
        <v>7.361406125857349E-2</v>
      </c>
      <c r="D158" s="55">
        <f t="shared" ref="D158:J158" si="134">D68/D65</f>
        <v>0</v>
      </c>
      <c r="E158" s="55">
        <f t="shared" si="134"/>
        <v>0</v>
      </c>
      <c r="F158" s="55">
        <f t="shared" si="134"/>
        <v>0</v>
      </c>
      <c r="G158" s="55">
        <f t="shared" si="134"/>
        <v>0</v>
      </c>
      <c r="H158" s="55">
        <f t="shared" si="134"/>
        <v>0</v>
      </c>
      <c r="I158" s="55">
        <f t="shared" si="134"/>
        <v>0</v>
      </c>
      <c r="J158" s="55">
        <f t="shared" si="134"/>
        <v>0</v>
      </c>
    </row>
    <row r="159" spans="1:10" ht="15" customHeight="1" x14ac:dyDescent="0.45">
      <c r="A159" s="60"/>
      <c r="B159" t="s">
        <v>130</v>
      </c>
      <c r="C159" s="55">
        <f t="shared" ref="C159:J159" si="135">C85/C69</f>
        <v>5.080018808879088E-2</v>
      </c>
      <c r="D159" s="55">
        <f t="shared" si="135"/>
        <v>7.736774494920004E-2</v>
      </c>
      <c r="E159" s="55">
        <f t="shared" si="135"/>
        <v>6.8207407407407411E-2</v>
      </c>
      <c r="F159" s="55">
        <f t="shared" si="135"/>
        <v>6.0701241413030203E-2</v>
      </c>
      <c r="G159" s="55">
        <f t="shared" si="135"/>
        <v>6.369651334315822E-2</v>
      </c>
      <c r="H159" s="55">
        <f t="shared" si="135"/>
        <v>6.5354779459078013E-2</v>
      </c>
      <c r="I159" s="55">
        <f t="shared" si="135"/>
        <v>6.739477917327294E-2</v>
      </c>
      <c r="J159" s="55">
        <f t="shared" si="135"/>
        <v>6.8466102895901243E-2</v>
      </c>
    </row>
    <row r="160" spans="1:10" ht="15" customHeight="1" x14ac:dyDescent="0.45">
      <c r="A160" s="60"/>
    </row>
    <row r="161" spans="1:10" ht="15" customHeight="1" x14ac:dyDescent="0.45">
      <c r="A161" s="63" t="s">
        <v>131</v>
      </c>
    </row>
    <row r="162" spans="1:10" ht="15" customHeight="1" x14ac:dyDescent="0.45">
      <c r="A162" s="60"/>
      <c r="B162" t="s">
        <v>132</v>
      </c>
      <c r="C162" s="55">
        <f t="shared" ref="C162:J162" si="136">C66/C69</f>
        <v>-2.8748398813094864E-2</v>
      </c>
      <c r="D162" s="55">
        <f t="shared" si="136"/>
        <v>-8.5016933317762413E-3</v>
      </c>
      <c r="E162" s="55">
        <f t="shared" si="136"/>
        <v>1.8686419753086426E-2</v>
      </c>
      <c r="F162" s="55">
        <f t="shared" si="136"/>
        <v>1.3533434338100473E-2</v>
      </c>
      <c r="G162" s="55">
        <f t="shared" si="136"/>
        <v>1.2464229123163903E-2</v>
      </c>
      <c r="H162" s="55">
        <f t="shared" si="136"/>
        <v>1.2355257349832031E-2</v>
      </c>
      <c r="I162" s="55">
        <f t="shared" si="136"/>
        <v>1.2221200225756398E-2</v>
      </c>
      <c r="J162" s="55">
        <f t="shared" si="136"/>
        <v>1.2150798952555063E-2</v>
      </c>
    </row>
    <row r="163" spans="1:10" ht="15" customHeight="1" x14ac:dyDescent="0.45">
      <c r="A163" s="60"/>
      <c r="B163" t="s">
        <v>133</v>
      </c>
      <c r="C163" s="55">
        <f t="shared" ref="C163:J163" si="137">C101/C69</f>
        <v>0.22436074132926889</v>
      </c>
      <c r="D163" s="55">
        <f t="shared" si="137"/>
        <v>0.25249328506364593</v>
      </c>
      <c r="E163" s="55">
        <f t="shared" si="137"/>
        <v>0.23061728395061729</v>
      </c>
      <c r="F163" s="55">
        <f t="shared" si="137"/>
        <v>0.22123383449456055</v>
      </c>
      <c r="G163" s="55">
        <f t="shared" si="137"/>
        <v>0.20514315498635818</v>
      </c>
      <c r="H163" s="55">
        <f t="shared" si="137"/>
        <v>0.19420703532267969</v>
      </c>
      <c r="I163" s="55">
        <f t="shared" si="137"/>
        <v>0.18712477785057438</v>
      </c>
      <c r="J163" s="55">
        <f t="shared" si="137"/>
        <v>0.18297312411404951</v>
      </c>
    </row>
    <row r="164" spans="1:10" ht="15" customHeight="1" x14ac:dyDescent="0.45">
      <c r="A164" s="60"/>
      <c r="B164" t="s">
        <v>134</v>
      </c>
      <c r="C164">
        <f>C106+C112+C113+C117-C95</f>
        <v>2630.8</v>
      </c>
      <c r="D164">
        <f t="shared" ref="D164" si="138">D106+D112+D113+D117-D95</f>
        <v>3396.6000000000004</v>
      </c>
      <c r="E164">
        <f t="shared" ref="E164:J164" si="139">E106+E112+E113+E117-E95</f>
        <v>3503.3</v>
      </c>
      <c r="F164">
        <f t="shared" si="139"/>
        <v>3382.9087829000018</v>
      </c>
      <c r="G164">
        <f t="shared" si="139"/>
        <v>3367.9351624550018</v>
      </c>
      <c r="H164">
        <f t="shared" si="139"/>
        <v>3403.7041613772503</v>
      </c>
      <c r="I164">
        <f t="shared" si="139"/>
        <v>3465.8052029669789</v>
      </c>
      <c r="J164">
        <f t="shared" si="139"/>
        <v>3542.641865534044</v>
      </c>
    </row>
    <row r="165" spans="1:10" ht="15" customHeight="1" x14ac:dyDescent="0.45">
      <c r="A165" s="60"/>
      <c r="B165" t="s">
        <v>135</v>
      </c>
      <c r="D165" s="55">
        <f t="shared" ref="D165:J165" si="140">D73*(1-D8)/C164</f>
        <v>0.26323700170222131</v>
      </c>
      <c r="E165" s="55">
        <f t="shared" si="140"/>
        <v>0.15543645255598079</v>
      </c>
      <c r="F165" s="55">
        <f t="shared" si="140"/>
        <v>0.18678416064853143</v>
      </c>
      <c r="G165" s="55">
        <f t="shared" si="140"/>
        <v>0.2218644627794524</v>
      </c>
      <c r="H165" s="55">
        <f t="shared" si="140"/>
        <v>0.24371588087942211</v>
      </c>
      <c r="I165" s="55">
        <f t="shared" si="140"/>
        <v>0.25681821715827302</v>
      </c>
      <c r="J165" s="55">
        <f t="shared" si="140"/>
        <v>0.26279347572600903</v>
      </c>
    </row>
    <row r="166" spans="1:10" ht="15" customHeight="1" x14ac:dyDescent="0.45">
      <c r="A166" s="60"/>
    </row>
    <row r="167" spans="1:10" ht="15" customHeight="1" x14ac:dyDescent="0.45">
      <c r="A167" s="63" t="s">
        <v>136</v>
      </c>
    </row>
    <row r="168" spans="1:10" ht="15" customHeight="1" x14ac:dyDescent="0.45">
      <c r="A168" s="60"/>
      <c r="B168" t="s">
        <v>137</v>
      </c>
      <c r="C168" s="61">
        <f t="shared" ref="C168:J168" si="141">(C106+C112-C95)/C70</f>
        <v>-0.83445237096097336</v>
      </c>
      <c r="D168" s="61">
        <f t="shared" si="141"/>
        <v>-0.75708631256384062</v>
      </c>
      <c r="E168" s="61">
        <f t="shared" si="141"/>
        <v>-0.88512048192771087</v>
      </c>
      <c r="F168" s="61">
        <f t="shared" si="141"/>
        <v>-1.189874962073985</v>
      </c>
      <c r="G168" s="61">
        <f t="shared" si="141"/>
        <v>-1.5060996584606046</v>
      </c>
      <c r="H168" s="61">
        <f t="shared" si="141"/>
        <v>-1.8086835835533235</v>
      </c>
      <c r="I168" s="61">
        <f t="shared" si="141"/>
        <v>-2.1172325485768466</v>
      </c>
      <c r="J168" s="61">
        <f t="shared" si="141"/>
        <v>-2.4349858094663315</v>
      </c>
    </row>
    <row r="169" spans="1:10" ht="15" customHeight="1" x14ac:dyDescent="0.45">
      <c r="A169" s="60"/>
      <c r="B169" t="s">
        <v>138</v>
      </c>
      <c r="C169" s="61">
        <f t="shared" ref="C169:J169" si="142">(C106+C112-C95+C113)/C70</f>
        <v>1.1900965169953837</v>
      </c>
      <c r="D169" s="61">
        <f t="shared" si="142"/>
        <v>0.67479570990806947</v>
      </c>
      <c r="E169" s="61">
        <f t="shared" si="142"/>
        <v>0.52403614457831349</v>
      </c>
      <c r="F169" s="61">
        <f t="shared" si="142"/>
        <v>0.1982460722516701</v>
      </c>
      <c r="G169" s="61">
        <f t="shared" si="142"/>
        <v>-0.18146170200248488</v>
      </c>
      <c r="H169" s="61">
        <f t="shared" si="142"/>
        <v>-0.52393890223683426</v>
      </c>
      <c r="I169" s="61">
        <f t="shared" si="142"/>
        <v>-0.85451978274101392</v>
      </c>
      <c r="J169" s="61">
        <f t="shared" si="142"/>
        <v>-1.1804572854683373</v>
      </c>
    </row>
    <row r="170" spans="1:10" ht="15" customHeight="1" x14ac:dyDescent="0.45">
      <c r="A170" s="60"/>
      <c r="B170" t="s">
        <v>139</v>
      </c>
      <c r="C170" s="61"/>
      <c r="D170" s="61"/>
      <c r="E170" s="61"/>
      <c r="F170" s="61">
        <f>F70/(F48+F146+F149)</f>
        <v>17.199413377640056</v>
      </c>
      <c r="G170" s="61">
        <f t="shared" ref="G170:J170" si="143">G70/(G48+G146+G149)</f>
        <v>14.980786868356907</v>
      </c>
      <c r="H170" s="61">
        <f t="shared" si="143"/>
        <v>13.002606789430683</v>
      </c>
      <c r="I170" s="61">
        <f t="shared" si="143"/>
        <v>13.282461744441054</v>
      </c>
      <c r="J170" s="61">
        <f t="shared" si="143"/>
        <v>13.388772533701335</v>
      </c>
    </row>
    <row r="171" spans="1:10" ht="15" customHeight="1" x14ac:dyDescent="0.45">
      <c r="A171" s="60"/>
      <c r="B171" t="s">
        <v>140</v>
      </c>
      <c r="C171" s="55">
        <f>(C106+C112-C95)/(C106+C112-C95+C117)</f>
        <v>-1.1346647646219683</v>
      </c>
      <c r="D171" s="55">
        <f t="shared" ref="D171:J171" si="144">(D106+D112-D95)/(D106+D112-D95+D117)</f>
        <v>-1.027910201958915</v>
      </c>
      <c r="E171" s="55">
        <f t="shared" si="144"/>
        <v>-1.2621767889356583</v>
      </c>
      <c r="F171" s="55">
        <f t="shared" si="144"/>
        <v>-1.9292157656444353</v>
      </c>
      <c r="G171" s="55">
        <f t="shared" si="144"/>
        <v>-2.6972026979987223</v>
      </c>
      <c r="H171" s="55">
        <f t="shared" si="144"/>
        <v>-3.4277140915390745</v>
      </c>
      <c r="I171" s="55">
        <f t="shared" si="144"/>
        <v>-4.1369623392446355</v>
      </c>
      <c r="J171" s="55">
        <f t="shared" si="144"/>
        <v>-4.8076752868439261</v>
      </c>
    </row>
    <row r="172" spans="1:10" ht="15" customHeight="1" x14ac:dyDescent="0.45">
      <c r="B172" t="s">
        <v>141</v>
      </c>
      <c r="C172" s="55">
        <f>(C106+C112-C95+C113)/(C106+C112-C95+C113+C117)</f>
        <v>0.43119963509198722</v>
      </c>
      <c r="D172" s="55">
        <f t="shared" ref="D172:J172" si="145">(D106+D112-D95+D113)/(D106+D112-D95+D113+D117)</f>
        <v>0.31119354648766412</v>
      </c>
      <c r="E172" s="55">
        <f t="shared" si="145"/>
        <v>0.24830873747609405</v>
      </c>
      <c r="F172" s="55">
        <f t="shared" si="145"/>
        <v>9.8881410752448565E-2</v>
      </c>
      <c r="G172" s="55">
        <f t="shared" si="145"/>
        <v>-9.6366807803514393E-2</v>
      </c>
      <c r="H172" s="55">
        <f t="shared" si="145"/>
        <v>-0.28908419907948418</v>
      </c>
      <c r="I172" s="55">
        <f t="shared" si="145"/>
        <v>-0.48155603014417975</v>
      </c>
      <c r="J172" s="55">
        <f t="shared" si="145"/>
        <v>-0.67033069174676896</v>
      </c>
    </row>
    <row r="174" spans="1:10" ht="15" customHeight="1" x14ac:dyDescent="0.45">
      <c r="A174" s="15" t="s">
        <v>142</v>
      </c>
    </row>
    <row r="175" spans="1:10" ht="15" customHeight="1" x14ac:dyDescent="0.45">
      <c r="A175"/>
    </row>
    <row r="176" spans="1:10" ht="15" customHeight="1" x14ac:dyDescent="0.45">
      <c r="A176"/>
    </row>
    <row r="177" spans="1:1" ht="15" customHeight="1" x14ac:dyDescent="0.45">
      <c r="A177"/>
    </row>
    <row r="178" spans="1:1" ht="15" customHeight="1" x14ac:dyDescent="0.45">
      <c r="A178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4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58" max="25" man="1"/>
    <brk id="119" max="25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8EFE3-7433-469A-947C-286A648AC66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0530173-1906-448D-B69A-234D99DFB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2753A-2BDD-4B4A-A5FE-AC9E55B1F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Welcome</vt:lpstr>
      <vt:lpstr>Info</vt:lpstr>
      <vt:lpstr>Leases IFRS</vt:lpstr>
      <vt:lpstr>circ</vt:lpstr>
      <vt:lpstr>'Leases IFRS'!Print_Area</vt:lpstr>
      <vt:lpstr>'Leases IFRS'!Print_Titles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Maria Weber</cp:lastModifiedBy>
  <cp:revision/>
  <dcterms:created xsi:type="dcterms:W3CDTF">2016-02-03T14:06:14Z</dcterms:created>
  <dcterms:modified xsi:type="dcterms:W3CDTF">2026-01-28T17:13:10Z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