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litch Fixes/3140 Models with Complex BS Items/Final - Sent to Zuza/Felix/"/>
    </mc:Choice>
  </mc:AlternateContent>
  <xr:revisionPtr revIDLastSave="41" documentId="8_{934857AC-ECFF-46DC-B38A-EF4519CE2707}" xr6:coauthVersionLast="47" xr6:coauthVersionMax="47" xr10:uidLastSave="{F859955F-139F-47C0-A960-A85DD3E2FAFF}"/>
  <bookViews>
    <workbookView xWindow="-98" yWindow="-98" windowWidth="21795" windowHeight="13875" tabRatio="806" xr2:uid="{00000000-000D-0000-FFFF-FFFF00000000}"/>
  </bookViews>
  <sheets>
    <sheet name="Welcome" sheetId="1" r:id="rId1"/>
    <sheet name="Info" sheetId="6" r:id="rId2"/>
    <sheet name="Leases US GAAP" sheetId="21" r:id="rId3"/>
  </sheets>
  <definedNames>
    <definedName name="CIQWBGuid" hidden="1">"04d2e721-88dd-4253-a427-d502d43eac85"</definedName>
    <definedName name="circ">Info!$N$10</definedName>
    <definedName name="_xlnm.Print_Area" localSheetId="2">'Leases US GAAP'!$A$1:$Z$158</definedName>
    <definedName name="_xlnm.Print_Titles" localSheetId="2">'Leases US GAAP'!$1:$2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21" l="1"/>
  <c r="E158" i="21"/>
  <c r="F158" i="21"/>
  <c r="G158" i="21"/>
  <c r="H158" i="21"/>
  <c r="I158" i="21"/>
  <c r="J158" i="21"/>
  <c r="C158" i="21"/>
  <c r="D157" i="21"/>
  <c r="E157" i="21"/>
  <c r="F157" i="21"/>
  <c r="G157" i="21"/>
  <c r="H157" i="21"/>
  <c r="I157" i="21"/>
  <c r="J157" i="21"/>
  <c r="C157" i="21"/>
  <c r="G155" i="21"/>
  <c r="H155" i="21"/>
  <c r="I155" i="21"/>
  <c r="J155" i="21"/>
  <c r="F155" i="21"/>
  <c r="D154" i="21"/>
  <c r="E154" i="21"/>
  <c r="F154" i="21"/>
  <c r="G154" i="21"/>
  <c r="H154" i="21"/>
  <c r="I154" i="21"/>
  <c r="J154" i="21"/>
  <c r="C154" i="21"/>
  <c r="G65" i="21"/>
  <c r="G67" i="21" s="1"/>
  <c r="H65" i="21"/>
  <c r="H67" i="21" s="1"/>
  <c r="I65" i="21"/>
  <c r="I67" i="21" s="1"/>
  <c r="J65" i="21"/>
  <c r="J67" i="21" s="1"/>
  <c r="F65" i="21"/>
  <c r="F67" i="21" s="1"/>
  <c r="D21" i="21"/>
  <c r="E21" i="21"/>
  <c r="C21" i="21"/>
  <c r="D19" i="21"/>
  <c r="E19" i="21"/>
  <c r="C19" i="21"/>
  <c r="D18" i="21"/>
  <c r="E18" i="21"/>
  <c r="C18" i="21"/>
  <c r="C5" i="21"/>
  <c r="F63" i="21"/>
  <c r="G63" i="21"/>
  <c r="H63" i="21"/>
  <c r="I63" i="21"/>
  <c r="J63" i="21"/>
  <c r="D106" i="21" l="1"/>
  <c r="E106" i="21"/>
  <c r="C106" i="21"/>
  <c r="D150" i="21"/>
  <c r="E150" i="21"/>
  <c r="F150" i="21"/>
  <c r="D147" i="21"/>
  <c r="E147" i="21"/>
  <c r="D148" i="21"/>
  <c r="E148" i="21"/>
  <c r="F148" i="21"/>
  <c r="G148" i="21"/>
  <c r="H148" i="21"/>
  <c r="I148" i="21"/>
  <c r="J148" i="21"/>
  <c r="D149" i="21"/>
  <c r="E149" i="21"/>
  <c r="D142" i="21"/>
  <c r="E142" i="21"/>
  <c r="F142" i="21"/>
  <c r="G142" i="21"/>
  <c r="H142" i="21"/>
  <c r="I142" i="21"/>
  <c r="J142" i="21"/>
  <c r="D143" i="21"/>
  <c r="E143" i="21"/>
  <c r="F143" i="21"/>
  <c r="G143" i="21"/>
  <c r="H143" i="21"/>
  <c r="I143" i="21"/>
  <c r="J143" i="21"/>
  <c r="D144" i="21"/>
  <c r="E144" i="21"/>
  <c r="D12" i="21"/>
  <c r="E12" i="21"/>
  <c r="C12" i="21"/>
  <c r="E2" i="21" l="1"/>
  <c r="D2" i="21" s="1"/>
  <c r="C2" i="21" s="1"/>
  <c r="D7" i="21"/>
  <c r="E7" i="21"/>
  <c r="C7" i="21"/>
  <c r="D14" i="21"/>
  <c r="C23" i="21"/>
  <c r="C99" i="21"/>
  <c r="C96" i="21"/>
  <c r="C89" i="21"/>
  <c r="D20" i="21" s="1"/>
  <c r="C87" i="21"/>
  <c r="C85" i="21"/>
  <c r="E36" i="21"/>
  <c r="F33" i="21" s="1"/>
  <c r="F35" i="21" s="1"/>
  <c r="F62" i="21" s="1"/>
  <c r="F110" i="21" s="1"/>
  <c r="F100" i="21"/>
  <c r="F113" i="21" s="1"/>
  <c r="F98" i="21"/>
  <c r="F120" i="21" s="1"/>
  <c r="F89" i="21"/>
  <c r="F112" i="21" s="1"/>
  <c r="F81" i="21"/>
  <c r="G81" i="21" s="1"/>
  <c r="F76" i="21"/>
  <c r="F72" i="21"/>
  <c r="G72" i="21" s="1"/>
  <c r="H72" i="21" s="1"/>
  <c r="I72" i="21" s="1"/>
  <c r="J72" i="21" s="1"/>
  <c r="F66" i="21"/>
  <c r="F58" i="21"/>
  <c r="F59" i="21" s="1"/>
  <c r="E13" i="21"/>
  <c r="C76" i="21"/>
  <c r="D13" i="21" s="1"/>
  <c r="G45" i="21"/>
  <c r="G122" i="21" s="1"/>
  <c r="H45" i="21"/>
  <c r="I45" i="21"/>
  <c r="I122" i="21" s="1"/>
  <c r="J45" i="21"/>
  <c r="J122" i="21" s="1"/>
  <c r="G66" i="21"/>
  <c r="H66" i="21"/>
  <c r="I66" i="21"/>
  <c r="J66" i="21"/>
  <c r="G89" i="21"/>
  <c r="G112" i="21" s="1"/>
  <c r="H122" i="21"/>
  <c r="E46" i="21"/>
  <c r="F42" i="21" s="1"/>
  <c r="D54" i="21"/>
  <c r="E54" i="21"/>
  <c r="C54" i="21"/>
  <c r="D23" i="21"/>
  <c r="E23" i="21"/>
  <c r="D38" i="21"/>
  <c r="D39" i="21"/>
  <c r="E38" i="21"/>
  <c r="E39" i="21"/>
  <c r="E11" i="21"/>
  <c r="D6" i="21"/>
  <c r="E6" i="21"/>
  <c r="C6" i="21"/>
  <c r="D5" i="21"/>
  <c r="E5" i="21"/>
  <c r="D61" i="21"/>
  <c r="E61" i="21"/>
  <c r="C61" i="21"/>
  <c r="E96" i="21"/>
  <c r="D96" i="21"/>
  <c r="E136" i="21"/>
  <c r="E133" i="21"/>
  <c r="E130" i="21"/>
  <c r="E127" i="21"/>
  <c r="F125" i="21" s="1"/>
  <c r="E85" i="21"/>
  <c r="E90" i="21" s="1"/>
  <c r="D85" i="21"/>
  <c r="D90" i="21" s="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F45" i="21"/>
  <c r="F122" i="21" s="1"/>
  <c r="E26" i="21"/>
  <c r="D26" i="21"/>
  <c r="E24" i="21"/>
  <c r="D24" i="21"/>
  <c r="E22" i="21"/>
  <c r="D22" i="21"/>
  <c r="C22" i="21"/>
  <c r="E20" i="21"/>
  <c r="E17" i="21"/>
  <c r="D17" i="21"/>
  <c r="C17" i="21"/>
  <c r="E16" i="21"/>
  <c r="D16" i="21"/>
  <c r="E14" i="21"/>
  <c r="E10" i="21"/>
  <c r="D10" i="21"/>
  <c r="C10" i="21"/>
  <c r="E4" i="21"/>
  <c r="D4" i="21"/>
  <c r="G2" i="21"/>
  <c r="H2" i="21" s="1"/>
  <c r="I2" i="21" s="1"/>
  <c r="J2" i="21" s="1"/>
  <c r="C142" i="21" l="1"/>
  <c r="C153" i="21"/>
  <c r="E63" i="21"/>
  <c r="E153" i="21"/>
  <c r="D11" i="21"/>
  <c r="C148" i="21"/>
  <c r="D153" i="21"/>
  <c r="C149" i="21"/>
  <c r="D101" i="21"/>
  <c r="E101" i="21"/>
  <c r="G100" i="21"/>
  <c r="H100" i="21" s="1"/>
  <c r="H113" i="21" s="1"/>
  <c r="C101" i="21"/>
  <c r="F117" i="21"/>
  <c r="G98" i="21"/>
  <c r="H98" i="21" s="1"/>
  <c r="H120" i="21" s="1"/>
  <c r="C90" i="21"/>
  <c r="F95" i="21"/>
  <c r="F54" i="21" s="1"/>
  <c r="F60" i="21"/>
  <c r="F34" i="21"/>
  <c r="F116" i="21" s="1"/>
  <c r="G58" i="21"/>
  <c r="H58" i="21" s="1"/>
  <c r="H60" i="21" s="1"/>
  <c r="H38" i="21" s="1"/>
  <c r="F82" i="21"/>
  <c r="F49" i="21" s="1"/>
  <c r="H81" i="21"/>
  <c r="I81" i="21" s="1"/>
  <c r="G117" i="21"/>
  <c r="F93" i="21"/>
  <c r="F52" i="21" s="1"/>
  <c r="G76" i="21"/>
  <c r="H76" i="21" s="1"/>
  <c r="I76" i="21" s="1"/>
  <c r="F84" i="21"/>
  <c r="F51" i="21" s="1"/>
  <c r="F83" i="21"/>
  <c r="F50" i="21" s="1"/>
  <c r="I100" i="21"/>
  <c r="H89" i="21"/>
  <c r="H112" i="21" s="1"/>
  <c r="D55" i="21"/>
  <c r="C55" i="21"/>
  <c r="C147" i="21" s="1"/>
  <c r="E55" i="21"/>
  <c r="D63" i="21"/>
  <c r="C63" i="21"/>
  <c r="F44" i="21"/>
  <c r="F121" i="21" s="1"/>
  <c r="F123" i="21" s="1"/>
  <c r="F133" i="21"/>
  <c r="F134" i="21" s="1"/>
  <c r="F38" i="21" l="1"/>
  <c r="F39" i="21" s="1"/>
  <c r="D104" i="21"/>
  <c r="C104" i="21"/>
  <c r="E104" i="21"/>
  <c r="C67" i="21"/>
  <c r="C8" i="21" s="1"/>
  <c r="C143" i="21"/>
  <c r="G113" i="21"/>
  <c r="D67" i="21"/>
  <c r="D8" i="21" s="1"/>
  <c r="E67" i="21"/>
  <c r="H133" i="21"/>
  <c r="G120" i="21"/>
  <c r="F118" i="21"/>
  <c r="I98" i="21"/>
  <c r="J98" i="21" s="1"/>
  <c r="G133" i="21"/>
  <c r="F61" i="21"/>
  <c r="I117" i="21"/>
  <c r="G82" i="21"/>
  <c r="G49" i="21" s="1"/>
  <c r="G60" i="21"/>
  <c r="G38" i="21" s="1"/>
  <c r="H82" i="21"/>
  <c r="H49" i="21" s="1"/>
  <c r="H59" i="21"/>
  <c r="H83" i="21" s="1"/>
  <c r="H50" i="21" s="1"/>
  <c r="H34" i="21"/>
  <c r="H116" i="21" s="1"/>
  <c r="I58" i="21"/>
  <c r="I82" i="21" s="1"/>
  <c r="I49" i="21" s="1"/>
  <c r="G34" i="21"/>
  <c r="G116" i="21" s="1"/>
  <c r="G118" i="21" s="1"/>
  <c r="G59" i="21"/>
  <c r="G84" i="21" s="1"/>
  <c r="G51" i="21" s="1"/>
  <c r="G44" i="21"/>
  <c r="G121" i="21" s="1"/>
  <c r="H44" i="21"/>
  <c r="H121" i="21" s="1"/>
  <c r="H123" i="21" s="1"/>
  <c r="H117" i="21"/>
  <c r="J81" i="21"/>
  <c r="J117" i="21" s="1"/>
  <c r="J100" i="21"/>
  <c r="J113" i="21" s="1"/>
  <c r="I113" i="21"/>
  <c r="I89" i="21"/>
  <c r="I44" i="21"/>
  <c r="I121" i="21" s="1"/>
  <c r="J76" i="21"/>
  <c r="C70" i="21"/>
  <c r="C144" i="21" s="1"/>
  <c r="F36" i="21"/>
  <c r="G39" i="21" l="1"/>
  <c r="H39" i="21" s="1"/>
  <c r="H88" i="21" s="1"/>
  <c r="F88" i="21"/>
  <c r="F99" i="21"/>
  <c r="D70" i="21"/>
  <c r="D73" i="21" s="1"/>
  <c r="E70" i="21"/>
  <c r="E73" i="21" s="1"/>
  <c r="E8" i="21"/>
  <c r="H134" i="21"/>
  <c r="G95" i="21"/>
  <c r="G54" i="21" s="1"/>
  <c r="G123" i="21"/>
  <c r="G134" i="21"/>
  <c r="I133" i="21"/>
  <c r="I134" i="21" s="1"/>
  <c r="I120" i="21"/>
  <c r="I123" i="21" s="1"/>
  <c r="H61" i="21"/>
  <c r="H84" i="21"/>
  <c r="H51" i="21" s="1"/>
  <c r="H93" i="21"/>
  <c r="H52" i="21" s="1"/>
  <c r="H95" i="21"/>
  <c r="H54" i="21" s="1"/>
  <c r="H118" i="21"/>
  <c r="I59" i="21"/>
  <c r="I83" i="21" s="1"/>
  <c r="I50" i="21" s="1"/>
  <c r="I34" i="21"/>
  <c r="I116" i="21" s="1"/>
  <c r="I118" i="21" s="1"/>
  <c r="I60" i="21"/>
  <c r="J58" i="21"/>
  <c r="J60" i="21" s="1"/>
  <c r="G83" i="21"/>
  <c r="G50" i="21" s="1"/>
  <c r="G93" i="21"/>
  <c r="G52" i="21" s="1"/>
  <c r="G61" i="21"/>
  <c r="F87" i="21"/>
  <c r="G33" i="21"/>
  <c r="J89" i="21"/>
  <c r="J112" i="21" s="1"/>
  <c r="J120" i="21"/>
  <c r="J133" i="21"/>
  <c r="J134" i="21" s="1"/>
  <c r="I112" i="21"/>
  <c r="J44" i="21"/>
  <c r="J121" i="21" s="1"/>
  <c r="G99" i="21"/>
  <c r="C73" i="21"/>
  <c r="C77" i="21" s="1"/>
  <c r="G88" i="21" l="1"/>
  <c r="I38" i="21"/>
  <c r="I39" i="21" s="1"/>
  <c r="J38" i="21"/>
  <c r="J82" i="21"/>
  <c r="J49" i="21" s="1"/>
  <c r="J59" i="21"/>
  <c r="J61" i="21" s="1"/>
  <c r="J34" i="21"/>
  <c r="J116" i="21" s="1"/>
  <c r="J118" i="21" s="1"/>
  <c r="I84" i="21"/>
  <c r="I51" i="21" s="1"/>
  <c r="I95" i="21"/>
  <c r="I54" i="21" s="1"/>
  <c r="I61" i="21"/>
  <c r="I93" i="21"/>
  <c r="I52" i="21" s="1"/>
  <c r="J123" i="21"/>
  <c r="G35" i="21"/>
  <c r="G62" i="21" s="1"/>
  <c r="H99" i="21"/>
  <c r="E74" i="21"/>
  <c r="E77" i="21"/>
  <c r="D77" i="21"/>
  <c r="D74" i="21"/>
  <c r="J39" i="21" l="1"/>
  <c r="J88" i="21" s="1"/>
  <c r="I88" i="21"/>
  <c r="J83" i="21"/>
  <c r="J50" i="21" s="1"/>
  <c r="J93" i="21"/>
  <c r="J52" i="21" s="1"/>
  <c r="J95" i="21"/>
  <c r="J54" i="21" s="1"/>
  <c r="J84" i="21"/>
  <c r="J51" i="21" s="1"/>
  <c r="G36" i="21"/>
  <c r="H33" i="21" s="1"/>
  <c r="G110" i="21"/>
  <c r="J99" i="21"/>
  <c r="I99" i="21"/>
  <c r="G87" i="21" l="1"/>
  <c r="H35" i="21"/>
  <c r="H62" i="21" s="1"/>
  <c r="H110" i="21" l="1"/>
  <c r="H36" i="21"/>
  <c r="I33" i="21" l="1"/>
  <c r="H87" i="21"/>
  <c r="I35" i="21" l="1"/>
  <c r="I62" i="21" s="1"/>
  <c r="I110" i="21" l="1"/>
  <c r="I36" i="21"/>
  <c r="J33" i="21" l="1"/>
  <c r="I87" i="21"/>
  <c r="J35" i="21" l="1"/>
  <c r="J62" i="21" s="1"/>
  <c r="J36" i="21" l="1"/>
  <c r="J87" i="21" s="1"/>
  <c r="J110" i="21"/>
  <c r="A7" i="1" l="1"/>
  <c r="A1" i="6" l="1"/>
  <c r="I69" i="21" l="1"/>
  <c r="I94" i="21" s="1"/>
  <c r="I53" i="21" s="1"/>
  <c r="I55" i="21" s="1"/>
  <c r="F69" i="21"/>
  <c r="F94" i="21" s="1"/>
  <c r="F53" i="21" s="1"/>
  <c r="F55" i="21" s="1"/>
  <c r="H69" i="21"/>
  <c r="H94" i="21" s="1"/>
  <c r="H53" i="21" s="1"/>
  <c r="H55" i="21" s="1"/>
  <c r="F70" i="21" l="1"/>
  <c r="J69" i="21"/>
  <c r="J94" i="21" s="1"/>
  <c r="J53" i="21" s="1"/>
  <c r="J55" i="21" s="1"/>
  <c r="J147" i="21" s="1"/>
  <c r="J70" i="21"/>
  <c r="F147" i="21"/>
  <c r="F111" i="21"/>
  <c r="I111" i="21"/>
  <c r="H147" i="21"/>
  <c r="I147" i="21"/>
  <c r="F43" i="21"/>
  <c r="F46" i="21" s="1"/>
  <c r="H70" i="21"/>
  <c r="G69" i="21"/>
  <c r="G94" i="21" s="1"/>
  <c r="G53" i="21" s="1"/>
  <c r="G55" i="21" s="1"/>
  <c r="I70" i="21"/>
  <c r="G70" i="21" l="1"/>
  <c r="G43" i="21" s="1"/>
  <c r="F144" i="21"/>
  <c r="F73" i="21"/>
  <c r="F109" i="21"/>
  <c r="F114" i="21" s="1"/>
  <c r="F126" i="21" s="1"/>
  <c r="F127" i="21" s="1"/>
  <c r="G147" i="21"/>
  <c r="H111" i="21"/>
  <c r="J43" i="21"/>
  <c r="J73" i="21"/>
  <c r="J109" i="21"/>
  <c r="J144" i="21"/>
  <c r="H43" i="21"/>
  <c r="H73" i="21"/>
  <c r="H109" i="21"/>
  <c r="H144" i="21"/>
  <c r="F103" i="21"/>
  <c r="G42" i="21"/>
  <c r="J111" i="21"/>
  <c r="G111" i="21"/>
  <c r="I144" i="21"/>
  <c r="I109" i="21"/>
  <c r="I114" i="21" s="1"/>
  <c r="I126" i="21" s="1"/>
  <c r="I73" i="21"/>
  <c r="I43" i="21"/>
  <c r="H114" i="21" l="1"/>
  <c r="H126" i="21" s="1"/>
  <c r="G109" i="21"/>
  <c r="G73" i="21"/>
  <c r="G144" i="21"/>
  <c r="G46" i="21"/>
  <c r="H42" i="21" s="1"/>
  <c r="H46" i="21" s="1"/>
  <c r="F80" i="21"/>
  <c r="F85" i="21" s="1"/>
  <c r="F90" i="21" s="1"/>
  <c r="G125" i="21"/>
  <c r="F92" i="21"/>
  <c r="F77" i="21"/>
  <c r="F74" i="21"/>
  <c r="I74" i="21"/>
  <c r="I77" i="21"/>
  <c r="J114" i="21"/>
  <c r="J126" i="21" s="1"/>
  <c r="J77" i="21"/>
  <c r="J74" i="21"/>
  <c r="G74" i="21"/>
  <c r="G77" i="21"/>
  <c r="G114" i="21"/>
  <c r="G126" i="21" s="1"/>
  <c r="G127" i="21" s="1"/>
  <c r="H77" i="21"/>
  <c r="H74" i="21"/>
  <c r="F130" i="21" l="1"/>
  <c r="F153" i="21"/>
  <c r="F136" i="21"/>
  <c r="G103" i="21"/>
  <c r="F96" i="21"/>
  <c r="F149" i="21"/>
  <c r="G150" i="21" s="1"/>
  <c r="F137" i="21"/>
  <c r="F131" i="21"/>
  <c r="F101" i="21"/>
  <c r="F104" i="21" s="1"/>
  <c r="F106" i="21" s="1"/>
  <c r="H103" i="21"/>
  <c r="I42" i="21"/>
  <c r="I46" i="21" s="1"/>
  <c r="G92" i="21"/>
  <c r="G80" i="21"/>
  <c r="H125" i="21"/>
  <c r="H127" i="21" s="1"/>
  <c r="G136" i="21" l="1"/>
  <c r="G85" i="21"/>
  <c r="G90" i="21" s="1"/>
  <c r="J42" i="21"/>
  <c r="J46" i="21" s="1"/>
  <c r="J103" i="21" s="1"/>
  <c r="I103" i="21"/>
  <c r="F139" i="21"/>
  <c r="F156" i="21"/>
  <c r="G149" i="21"/>
  <c r="H150" i="21" s="1"/>
  <c r="G130" i="21"/>
  <c r="G153" i="21"/>
  <c r="G96" i="21"/>
  <c r="I125" i="21"/>
  <c r="I127" i="21" s="1"/>
  <c r="H80" i="21"/>
  <c r="H92" i="21"/>
  <c r="G101" i="21" l="1"/>
  <c r="G104" i="21" s="1"/>
  <c r="G106" i="21" s="1"/>
  <c r="I80" i="21"/>
  <c r="J125" i="21"/>
  <c r="J127" i="21" s="1"/>
  <c r="I92" i="21"/>
  <c r="G131" i="21"/>
  <c r="H136" i="21"/>
  <c r="H85" i="21"/>
  <c r="H90" i="21" s="1"/>
  <c r="H96" i="21"/>
  <c r="H153" i="21"/>
  <c r="H149" i="21"/>
  <c r="I150" i="21" s="1"/>
  <c r="H130" i="21"/>
  <c r="H137" i="21"/>
  <c r="G137" i="21"/>
  <c r="I149" i="21" l="1"/>
  <c r="J150" i="21" s="1"/>
  <c r="I153" i="21"/>
  <c r="I96" i="21"/>
  <c r="I130" i="21"/>
  <c r="H101" i="21"/>
  <c r="H104" i="21" s="1"/>
  <c r="H106" i="21" s="1"/>
  <c r="J92" i="21"/>
  <c r="J80" i="21"/>
  <c r="I85" i="21"/>
  <c r="I90" i="21" s="1"/>
  <c r="I136" i="21"/>
  <c r="I137" i="21" s="1"/>
  <c r="G156" i="21"/>
  <c r="G139" i="21"/>
  <c r="I131" i="21"/>
  <c r="H131" i="21"/>
  <c r="I156" i="21" l="1"/>
  <c r="I139" i="21"/>
  <c r="J136" i="21"/>
  <c r="J137" i="21" s="1"/>
  <c r="J85" i="21"/>
  <c r="J90" i="21" s="1"/>
  <c r="H139" i="21"/>
  <c r="H156" i="21"/>
  <c r="J130" i="21"/>
  <c r="J131" i="21" s="1"/>
  <c r="J96" i="21"/>
  <c r="J153" i="21"/>
  <c r="J149" i="21"/>
  <c r="I101" i="21"/>
  <c r="I104" i="21" s="1"/>
  <c r="I106" i="21" s="1"/>
  <c r="J139" i="21" l="1"/>
  <c r="J156" i="21"/>
  <c r="J101" i="21"/>
  <c r="J104" i="21" s="1"/>
  <c r="J10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Debs Taylor</author>
  </authors>
  <commentList>
    <comment ref="B95" authorId="0" shapeId="0" xr:uid="{AE875819-E65C-47B8-8AE4-8C06896EAEF6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Includes sales returns liabilities</t>
        </r>
      </text>
    </comment>
  </commentList>
</comments>
</file>

<file path=xl/sharedStrings.xml><?xml version="1.0" encoding="utf-8"?>
<sst xmlns="http://schemas.openxmlformats.org/spreadsheetml/2006/main" count="159" uniqueCount="136">
  <si>
    <t>Modeling Complexities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</si>
  <si>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</si>
  <si>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</si>
  <si>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</si>
  <si>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</si>
  <si>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</si>
  <si>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Leases (US GAAP)</t>
  </si>
  <si>
    <t>Company name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</si>
  <si>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</si>
  <si>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</si>
  <si>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</si>
  <si>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</si>
  <si>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</si>
  <si>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</si>
  <si>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</si>
  <si>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</si>
  <si>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Formatting</t>
  </si>
  <si>
    <t>Input</t>
  </si>
  <si>
    <t>Hard coded</t>
  </si>
  <si>
    <t>Formulas</t>
  </si>
  <si>
    <t>Leases US GAAP</t>
  </si>
  <si>
    <t>Actual</t>
  </si>
  <si>
    <t>Projected</t>
  </si>
  <si>
    <t>NIKE</t>
  </si>
  <si>
    <t>Assumptions</t>
  </si>
  <si>
    <t>Revenue growth %</t>
  </si>
  <si>
    <t>EBITDAR margin %</t>
  </si>
  <si>
    <t>Operating lease expense % revenue</t>
  </si>
  <si>
    <t>Other (income)/expense</t>
  </si>
  <si>
    <t>Effective tax rate</t>
  </si>
  <si>
    <t>Marginal tax rate</t>
  </si>
  <si>
    <t>Capex % revenue</t>
  </si>
  <si>
    <t>D&amp;A % beginning net PP&amp;E and intangibles</t>
  </si>
  <si>
    <t>Lease capitalization multiple</t>
  </si>
  <si>
    <t>Dividends per share growth rate</t>
  </si>
  <si>
    <t>Issuance of equity</t>
  </si>
  <si>
    <t>Change in marketable securities</t>
  </si>
  <si>
    <t>Accounts receivable % revenue</t>
  </si>
  <si>
    <t>Inventories % operating expenses</t>
  </si>
  <si>
    <t>Other current assets % operating expenses</t>
  </si>
  <si>
    <t>Change in other non-current assets</t>
  </si>
  <si>
    <t>Accounts payable % operating expenses</t>
  </si>
  <si>
    <t>Income tax liabilities % tax expense</t>
  </si>
  <si>
    <t>Other current liabilities % operating expenses</t>
  </si>
  <si>
    <t>Change in other non-current liabilities</t>
  </si>
  <si>
    <t>Long term debt issuance/(repayment)</t>
  </si>
  <si>
    <t>Interest on short term borrowings</t>
  </si>
  <si>
    <t>Interest on long term debt</t>
  </si>
  <si>
    <t>Interest on cash and marketable securities</t>
  </si>
  <si>
    <t>Calculations</t>
  </si>
  <si>
    <t>PP&amp;E and intangibles</t>
  </si>
  <si>
    <t>Beginning</t>
  </si>
  <si>
    <t>Capital expenditure</t>
  </si>
  <si>
    <t>Depreciation</t>
  </si>
  <si>
    <t>Ending</t>
  </si>
  <si>
    <t>Operating lease liabilities</t>
  </si>
  <si>
    <t>Operating right-of-use assets</t>
  </si>
  <si>
    <t xml:space="preserve">Equity </t>
  </si>
  <si>
    <t xml:space="preserve">Net income </t>
  </si>
  <si>
    <t>Dividends</t>
  </si>
  <si>
    <t>Issuance (repurchases)</t>
  </si>
  <si>
    <t>Net working capital</t>
  </si>
  <si>
    <t>Accounts receivable</t>
  </si>
  <si>
    <t>Inventories</t>
  </si>
  <si>
    <t>Other current assets</t>
  </si>
  <si>
    <t>Accounts payable</t>
  </si>
  <si>
    <t>Income tax liabilities</t>
  </si>
  <si>
    <t>Other current liabilities</t>
  </si>
  <si>
    <t>Income statement</t>
  </si>
  <si>
    <t>Revenue</t>
  </si>
  <si>
    <t>EBITDAR</t>
  </si>
  <si>
    <t>Operating lease expense</t>
  </si>
  <si>
    <t xml:space="preserve">EBITDA </t>
  </si>
  <si>
    <t>Depreciation &amp; amortization</t>
  </si>
  <si>
    <t>EBIT</t>
  </si>
  <si>
    <t>Net interest expense</t>
  </si>
  <si>
    <t>Profit before tax</t>
  </si>
  <si>
    <t>Tax expense</t>
  </si>
  <si>
    <t>Net income</t>
  </si>
  <si>
    <t>Basic shares outstanding</t>
  </si>
  <si>
    <t>Basic earnings per share ($)</t>
  </si>
  <si>
    <t>EPS growth</t>
  </si>
  <si>
    <t>Dividends per share ($)</t>
  </si>
  <si>
    <t>Dividend payout ratio %</t>
  </si>
  <si>
    <t>Balance sheet</t>
  </si>
  <si>
    <t>Cash and equivalents</t>
  </si>
  <si>
    <t>Short-term investments</t>
  </si>
  <si>
    <t>Current assets</t>
  </si>
  <si>
    <t>PP&amp;E &amp; intangibles</t>
  </si>
  <si>
    <t>Other non-current assets</t>
  </si>
  <si>
    <t xml:space="preserve"> Total assets</t>
  </si>
  <si>
    <t>Short term borrowings</t>
  </si>
  <si>
    <t>Current liabilities</t>
  </si>
  <si>
    <t>Long-term debt</t>
  </si>
  <si>
    <t>Other non-current liabilities</t>
  </si>
  <si>
    <t>Total liabilities</t>
  </si>
  <si>
    <t>Equity</t>
  </si>
  <si>
    <t>Total liabilities and equity</t>
  </si>
  <si>
    <t>Check</t>
  </si>
  <si>
    <t>Cash flow statement</t>
  </si>
  <si>
    <t>+ Depreciation</t>
  </si>
  <si>
    <t>(Inc) dec in net working capital</t>
  </si>
  <si>
    <t>(Inc) dec in other non-current assets</t>
  </si>
  <si>
    <t>(Inc) dec in other non-current liabilities</t>
  </si>
  <si>
    <t>Cash flow from operations</t>
  </si>
  <si>
    <t>(Purchase)/disposal of short term investments</t>
  </si>
  <si>
    <t>Cash flow from investing activities</t>
  </si>
  <si>
    <t>Inc (dec) in long-term debt</t>
  </si>
  <si>
    <t>Dividends paid</t>
  </si>
  <si>
    <t>Cash flow from financing activities</t>
  </si>
  <si>
    <t>Beginning cash net of short term borrowings</t>
  </si>
  <si>
    <t>Net cash flow</t>
  </si>
  <si>
    <t>Ending cash net of short term borrowings</t>
  </si>
  <si>
    <t>Interest calculations</t>
  </si>
  <si>
    <t>Ending short term borrowings</t>
  </si>
  <si>
    <t>Interest expense</t>
  </si>
  <si>
    <t>Ending long term debt</t>
  </si>
  <si>
    <t>Ending cash and short term investments</t>
  </si>
  <si>
    <t>Interest income</t>
  </si>
  <si>
    <t>Income statement operating statistics</t>
  </si>
  <si>
    <t>EBITDA margin</t>
  </si>
  <si>
    <t>EBIT margin</t>
  </si>
  <si>
    <t>NI margin</t>
  </si>
  <si>
    <t>Balance sheet operating statistics</t>
  </si>
  <si>
    <t>OWC % revenue</t>
  </si>
  <si>
    <t>PP&amp;E &amp; Intangibles % revenue</t>
  </si>
  <si>
    <t>Invested capital</t>
  </si>
  <si>
    <t>Return on opening invested capital</t>
  </si>
  <si>
    <t>Net debt and interest statistics</t>
  </si>
  <si>
    <t>Net debt / EBITDA</t>
  </si>
  <si>
    <t>Lease adjusted net debt /EBITDAR</t>
  </si>
  <si>
    <t>EBITDA / interest expense</t>
  </si>
  <si>
    <t>EBITDAR/ interest expense</t>
  </si>
  <si>
    <t>Net debt / net debt + equity</t>
  </si>
  <si>
    <t>Lease adjusted net debt / net debt + equity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</si>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</sst>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#,##0.0_);\(#,##0.0\);0.0_);@_)"/>
    <numFmt numFmtId="174" formatCode="#,##0.0_);\(#,##0.0\)"/>
    <numFmt numFmtId="175" formatCode="#,##0.0\ \x_);\(#,##0.0\ \x\)"/>
    <numFmt numFmtId="176" formatCode="#,##0.00_);\(#,##0.00\);0.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40404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DBEEFD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3" fontId="0" fillId="0" borderId="0"/>
    <xf numFmtId="173" fontId="3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5" applyNumberFormat="0" applyAlignment="0" applyProtection="0"/>
    <xf numFmtId="0" fontId="17" fillId="10" borderId="6" applyNumberFormat="0" applyAlignment="0" applyProtection="0"/>
    <xf numFmtId="0" fontId="18" fillId="10" borderId="5" applyNumberFormat="0" applyAlignment="0" applyProtection="0"/>
    <xf numFmtId="0" fontId="19" fillId="0" borderId="7" applyNumberFormat="0" applyFill="0" applyAlignment="0" applyProtection="0"/>
    <xf numFmtId="0" fontId="20" fillId="11" borderId="8" applyNumberFormat="0" applyAlignment="0" applyProtection="0"/>
    <xf numFmtId="0" fontId="21" fillId="0" borderId="0" applyNumberFormat="0" applyFill="0" applyBorder="0" applyAlignment="0" applyProtection="0"/>
    <xf numFmtId="0" fontId="8" fillId="12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4" fillId="36" borderId="0" applyNumberFormat="0" applyBorder="0" applyAlignment="0" applyProtection="0"/>
    <xf numFmtId="0" fontId="30" fillId="2" borderId="0" applyNumberFormat="0">
      <alignment horizontal="left"/>
    </xf>
    <xf numFmtId="0" fontId="7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7" fillId="3" borderId="0">
      <alignment horizontal="center"/>
    </xf>
    <xf numFmtId="170" fontId="26" fillId="2" borderId="0">
      <alignment horizontal="center"/>
    </xf>
    <xf numFmtId="168" fontId="28" fillId="0" borderId="0" applyFont="0" applyFill="0" applyBorder="0" applyAlignment="0" applyProtection="0"/>
    <xf numFmtId="175" fontId="8" fillId="0" borderId="0" applyFont="0" applyFill="0" applyBorder="0" applyAlignment="0" applyProtection="0"/>
    <xf numFmtId="172" fontId="28" fillId="2" borderId="0" applyFont="0" applyFill="0" applyBorder="0" applyAlignment="0" applyProtection="0"/>
    <xf numFmtId="170" fontId="29" fillId="2" borderId="0" applyNumberFormat="0" applyFill="0" applyBorder="0" applyAlignment="0" applyProtection="0"/>
    <xf numFmtId="171" fontId="29" fillId="37" borderId="11" applyNumberFormat="0">
      <protection locked="0"/>
    </xf>
    <xf numFmtId="170" fontId="26" fillId="2" borderId="0" applyNumberFormat="0" applyBorder="0" applyProtection="0">
      <alignment horizontal="center"/>
    </xf>
    <xf numFmtId="0" fontId="2" fillId="5" borderId="12" applyFont="0" applyAlignment="0" applyProtection="0">
      <alignment vertical="top"/>
    </xf>
  </cellStyleXfs>
  <cellXfs count="84">
    <xf numFmtId="173" fontId="0" fillId="0" borderId="0" xfId="0"/>
    <xf numFmtId="173" fontId="2" fillId="5" borderId="0" xfId="0" applyFont="1" applyFill="1"/>
    <xf numFmtId="173" fontId="2" fillId="4" borderId="0" xfId="0" applyFont="1" applyFill="1"/>
    <xf numFmtId="173" fontId="2" fillId="5" borderId="0" xfId="0" applyFont="1" applyFill="1" applyAlignment="1">
      <alignment vertical="top" wrapText="1"/>
    </xf>
    <xf numFmtId="173" fontId="2" fillId="5" borderId="1" xfId="0" applyFont="1" applyFill="1" applyBorder="1" applyAlignment="1">
      <alignment vertical="top"/>
    </xf>
    <xf numFmtId="170" fontId="30" fillId="2" borderId="0" xfId="48" applyNumberFormat="1">
      <alignment horizontal="left"/>
    </xf>
    <xf numFmtId="173" fontId="24" fillId="2" borderId="0" xfId="0" applyFont="1" applyFill="1"/>
    <xf numFmtId="173" fontId="25" fillId="3" borderId="0" xfId="0" applyFont="1" applyFill="1"/>
    <xf numFmtId="173" fontId="3" fillId="5" borderId="0" xfId="0" applyFont="1" applyFill="1" applyAlignment="1">
      <alignment horizontal="center" vertical="top"/>
    </xf>
    <xf numFmtId="173" fontId="3" fillId="5" borderId="0" xfId="0" applyFont="1" applyFill="1" applyAlignment="1">
      <alignment vertical="top"/>
    </xf>
    <xf numFmtId="173" fontId="24" fillId="2" borderId="0" xfId="0" applyFont="1" applyFill="1" applyAlignment="1">
      <alignment vertical="center"/>
    </xf>
    <xf numFmtId="168" fontId="27" fillId="3" borderId="0" xfId="52">
      <alignment horizontal="center"/>
    </xf>
    <xf numFmtId="170" fontId="26" fillId="2" borderId="0" xfId="53">
      <alignment horizontal="center"/>
    </xf>
    <xf numFmtId="170" fontId="30" fillId="2" borderId="0" xfId="48" applyNumberFormat="1" applyAlignment="1"/>
    <xf numFmtId="170" fontId="7" fillId="3" borderId="0" xfId="49" applyNumberFormat="1" applyAlignment="1"/>
    <xf numFmtId="170" fontId="4" fillId="0" borderId="0" xfId="50" applyNumberFormat="1">
      <alignment horizontal="left" vertical="center"/>
    </xf>
    <xf numFmtId="173" fontId="2" fillId="5" borderId="0" xfId="0" applyFont="1" applyFill="1" applyAlignment="1">
      <alignment horizontal="left" vertical="top"/>
    </xf>
    <xf numFmtId="173" fontId="2" fillId="5" borderId="0" xfId="0" applyFont="1" applyFill="1" applyAlignment="1">
      <alignment vertical="top"/>
    </xf>
    <xf numFmtId="173" fontId="2" fillId="0" borderId="0" xfId="0" applyFont="1" applyAlignment="1">
      <alignment vertical="top" wrapText="1"/>
    </xf>
    <xf numFmtId="173" fontId="3" fillId="0" borderId="0" xfId="0" applyFont="1" applyAlignment="1">
      <alignment vertical="top"/>
    </xf>
    <xf numFmtId="173" fontId="2" fillId="0" borderId="0" xfId="0" applyFont="1" applyAlignment="1">
      <alignment horizontal="left" wrapText="1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2" fillId="0" borderId="0" xfId="0" applyFont="1" applyAlignment="1">
      <alignment horizontal="left" vertical="top"/>
    </xf>
    <xf numFmtId="173" fontId="3" fillId="0" borderId="0" xfId="0" applyFont="1" applyAlignment="1">
      <alignment horizontal="center" vertical="top"/>
    </xf>
    <xf numFmtId="173" fontId="6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3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3" fontId="3" fillId="0" borderId="0" xfId="0" applyFont="1" applyAlignment="1">
      <alignment horizontal="left" vertical="top"/>
    </xf>
    <xf numFmtId="173" fontId="3" fillId="0" borderId="0" xfId="0" applyFont="1"/>
    <xf numFmtId="173" fontId="24" fillId="0" borderId="0" xfId="0" applyFont="1"/>
    <xf numFmtId="173" fontId="25" fillId="0" borderId="0" xfId="0" applyFont="1"/>
    <xf numFmtId="170" fontId="29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173" fontId="24" fillId="0" borderId="0" xfId="0" applyFont="1" applyAlignment="1">
      <alignment vertical="center"/>
    </xf>
    <xf numFmtId="170" fontId="6" fillId="5" borderId="0" xfId="51" applyNumberFormat="1" applyFont="1" applyAlignment="1">
      <alignment vertical="center" wrapText="1"/>
    </xf>
    <xf numFmtId="170" fontId="29" fillId="37" borderId="11" xfId="58" applyNumberFormat="1">
      <protection locked="0"/>
    </xf>
    <xf numFmtId="170" fontId="2" fillId="0" borderId="0" xfId="51" applyNumberFormat="1" applyFont="1" applyFill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173" fontId="4" fillId="5" borderId="0" xfId="51" applyNumberFormat="1" applyFont="1" applyAlignment="1">
      <alignment vertical="center"/>
    </xf>
    <xf numFmtId="173" fontId="29" fillId="37" borderId="11" xfId="58" applyNumberFormat="1">
      <protection locked="0"/>
    </xf>
    <xf numFmtId="172" fontId="29" fillId="37" borderId="11" xfId="58" applyNumberFormat="1">
      <protection locked="0"/>
    </xf>
    <xf numFmtId="174" fontId="4" fillId="0" borderId="0" xfId="50" applyNumberFormat="1">
      <alignment horizontal="left" vertical="center"/>
    </xf>
    <xf numFmtId="173" fontId="0" fillId="0" borderId="0" xfId="0" quotePrefix="1"/>
    <xf numFmtId="173" fontId="4" fillId="0" borderId="0" xfId="50" applyNumberFormat="1">
      <alignment horizontal="left" vertical="center"/>
    </xf>
    <xf numFmtId="173" fontId="29" fillId="0" borderId="0" xfId="57" applyNumberFormat="1" applyFill="1"/>
    <xf numFmtId="173" fontId="29" fillId="0" borderId="0" xfId="0" applyFont="1"/>
    <xf numFmtId="172" fontId="0" fillId="0" borderId="0" xfId="56" applyFont="1" applyFill="1"/>
    <xf numFmtId="176" fontId="0" fillId="0" borderId="0" xfId="0" applyNumberFormat="1"/>
    <xf numFmtId="176" fontId="29" fillId="0" borderId="0" xfId="0" applyNumberFormat="1" applyFont="1"/>
    <xf numFmtId="172" fontId="29" fillId="38" borderId="11" xfId="56" applyFont="1" applyFill="1" applyBorder="1"/>
    <xf numFmtId="176" fontId="29" fillId="0" borderId="0" xfId="57" applyNumberFormat="1" applyFill="1"/>
    <xf numFmtId="173" fontId="34" fillId="0" borderId="0" xfId="0" applyFont="1"/>
    <xf numFmtId="175" fontId="0" fillId="0" borderId="0" xfId="55" applyFont="1"/>
    <xf numFmtId="175" fontId="0" fillId="0" borderId="0" xfId="55" applyFont="1" applyFill="1"/>
    <xf numFmtId="175" fontId="29" fillId="37" borderId="11" xfId="55" applyFont="1" applyFill="1" applyBorder="1" applyProtection="1">
      <protection locked="0"/>
    </xf>
    <xf numFmtId="173" fontId="4" fillId="0" borderId="0" xfId="0" applyFont="1" applyAlignment="1">
      <alignment horizontal="left" vertical="center"/>
    </xf>
    <xf numFmtId="0" fontId="2" fillId="5" borderId="12" xfId="60" applyFont="1" applyAlignment="1"/>
    <xf numFmtId="0" fontId="3" fillId="5" borderId="12" xfId="60" applyFont="1" applyAlignment="1">
      <alignment horizontal="left" vertical="top"/>
    </xf>
    <xf numFmtId="0" fontId="3" fillId="5" borderId="12" xfId="60" applyFont="1" applyAlignment="1"/>
    <xf numFmtId="0" fontId="2" fillId="5" borderId="12" xfId="60" applyFont="1" applyAlignment="1">
      <alignment horizontal="left"/>
    </xf>
    <xf numFmtId="0" fontId="6" fillId="5" borderId="12" xfId="60" applyFont="1" applyAlignment="1">
      <alignment horizontal="center" vertical="center" wrapText="1"/>
    </xf>
    <xf numFmtId="0" fontId="0" fillId="5" borderId="12" xfId="60" applyFont="1" applyAlignment="1"/>
    <xf numFmtId="0" fontId="6" fillId="5" borderId="12" xfId="60" applyFont="1" applyAlignment="1">
      <alignment vertical="center" wrapText="1"/>
    </xf>
    <xf numFmtId="170" fontId="30" fillId="2" borderId="0" xfId="48" applyNumberFormat="1" applyAlignment="1">
      <alignment horizontal="center"/>
    </xf>
    <xf numFmtId="173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0" fillId="3" borderId="0" xfId="49" applyNumberFormat="1" applyFont="1" applyAlignment="1">
      <alignment horizontal="center" vertical="center"/>
    </xf>
    <xf numFmtId="170" fontId="0" fillId="5" borderId="0" xfId="0" applyNumberFormat="1" applyFill="1" applyAlignment="1">
      <alignment horizontal="center" vertical="center" wrapText="1"/>
    </xf>
    <xf numFmtId="173" fontId="6" fillId="0" borderId="0" xfId="0" applyFont="1" applyAlignment="1">
      <alignment horizontal="center" vertical="center" wrapText="1"/>
    </xf>
    <xf numFmtId="173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3" fontId="4" fillId="5" borderId="0" xfId="0" applyFont="1" applyFill="1" applyAlignment="1">
      <alignment horizontal="left" vertical="center"/>
    </xf>
    <xf numFmtId="173" fontId="4" fillId="5" borderId="0" xfId="50" applyNumberFormat="1" applyFill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9000000}"/>
    <cellStyle name="Bad" xfId="13" builtinId="27" hidden="1"/>
    <cellStyle name="BG Border" xfId="60" xr:uid="{D773C595-2587-45FC-B7AE-956C7460A527}"/>
    <cellStyle name="Calculation" xfId="17" builtinId="22" hidden="1"/>
    <cellStyle name="Check Cell" xfId="19" builtinId="23" hidden="1"/>
    <cellStyle name="Column Heading" xfId="59" xr:uid="{6220ED68-8F45-4A45-85DC-98CE115B11AA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7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E000000}"/>
    <cellStyle name="Hyperlink" xfId="1" builtinId="8" customBuiltin="1"/>
    <cellStyle name="Input" xfId="15" builtinId="20" hidden="1"/>
    <cellStyle name="Input" xfId="58" builtinId="20" customBuiltin="1"/>
    <cellStyle name="Linked Cell" xfId="18" builtinId="24" hidden="1"/>
    <cellStyle name="Multiple" xfId="55" xr:uid="{00000000-0005-0000-0000-000033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D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6F6F6F"/>
      <color rgb="FFBBDEFB"/>
      <color rgb="FF163260"/>
      <color rgb="FF085393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170012</xdr:colOff>
      <xdr:row>0</xdr:row>
      <xdr:rowOff>474889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21" customFormat="1" ht="75" customHeight="1" x14ac:dyDescent="0.4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74"/>
      <c r="D4" s="74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22" customFormat="1" ht="15" customHeight="1" x14ac:dyDescent="0.4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s="22" customFormat="1" ht="15" customHeight="1" x14ac:dyDescent="0.45">
      <c r="A7" s="76" t="str">
        <f ca="1">"© "&amp;YEAR(TODAY())&amp;" Financial Edge Training "</f>
        <v xml:space="preserve">© 2026 Financial Edge Training 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s="22" customFormat="1" ht="15" customHeight="1" x14ac:dyDescent="0.45">
      <c r="A8" s="21"/>
      <c r="B8" s="26"/>
      <c r="C8" s="21"/>
      <c r="D8" s="21"/>
      <c r="F8" s="24"/>
      <c r="G8" s="24"/>
      <c r="H8" s="24"/>
      <c r="I8" s="24"/>
      <c r="J8" s="24"/>
      <c r="K8" s="24"/>
    </row>
    <row r="9" spans="1:14" s="22" customFormat="1" ht="15" customHeight="1" x14ac:dyDescent="0.45">
      <c r="F9" s="27"/>
      <c r="G9" s="77"/>
      <c r="H9" s="77"/>
      <c r="I9" s="77"/>
      <c r="J9" s="77"/>
      <c r="K9" s="27"/>
    </row>
    <row r="10" spans="1:14" s="22" customFormat="1" ht="15" customHeight="1" x14ac:dyDescent="0.45">
      <c r="B10" s="23"/>
      <c r="C10" s="23"/>
      <c r="F10" s="27"/>
      <c r="G10" s="77"/>
      <c r="H10" s="77"/>
      <c r="I10" s="77"/>
      <c r="J10" s="77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3"/>
      <c r="H12" s="73"/>
      <c r="I12" s="73"/>
      <c r="J12" s="73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3"/>
      <c r="H13" s="73"/>
      <c r="I13" s="73"/>
      <c r="J13" s="73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3"/>
      <c r="H14" s="73"/>
      <c r="I14" s="73"/>
      <c r="J14" s="73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3"/>
      <c r="H16" s="73"/>
      <c r="I16" s="73"/>
      <c r="J16" s="73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Modeling Complexities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3</v>
      </c>
      <c r="C4" s="82"/>
      <c r="D4" s="82"/>
      <c r="E4" s="82"/>
      <c r="F4" s="82"/>
      <c r="G4" s="82"/>
      <c r="H4" s="82"/>
      <c r="I4" s="82"/>
      <c r="K4" s="1"/>
      <c r="L4" s="82" t="s">
        <v>4</v>
      </c>
      <c r="M4" s="82"/>
      <c r="N4" s="82"/>
      <c r="O4" s="82"/>
      <c r="P4" s="82"/>
      <c r="Q4" s="39"/>
      <c r="R4" s="39"/>
    </row>
    <row r="5" spans="1:18" s="2" customFormat="1" ht="15" customHeight="1" x14ac:dyDescent="0.45">
      <c r="A5" s="16"/>
      <c r="B5" s="8" t="s">
        <v>5</v>
      </c>
      <c r="C5" s="45" t="s">
        <v>6</v>
      </c>
      <c r="D5" s="17"/>
      <c r="E5" s="17"/>
      <c r="F5" s="17"/>
      <c r="G5" s="17"/>
      <c r="H5" s="17"/>
      <c r="I5" s="17"/>
      <c r="K5" s="1"/>
      <c r="L5" s="9" t="s">
        <v>7</v>
      </c>
      <c r="M5" s="9"/>
      <c r="N5" s="79"/>
      <c r="O5" s="79"/>
      <c r="P5" s="79"/>
      <c r="Q5" s="79"/>
      <c r="R5" s="39"/>
    </row>
    <row r="6" spans="1:18" s="2" customFormat="1" ht="15" customHeight="1" x14ac:dyDescent="0.45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8</v>
      </c>
      <c r="M6" s="9"/>
      <c r="N6" s="80"/>
      <c r="O6" s="80"/>
      <c r="P6" s="80"/>
      <c r="Q6" s="80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9</v>
      </c>
      <c r="M7" s="9"/>
      <c r="N7" s="79" t="s">
        <v>10</v>
      </c>
      <c r="O7" s="79"/>
      <c r="P7" s="79"/>
      <c r="Q7" s="79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11</v>
      </c>
      <c r="M8" s="9"/>
      <c r="N8" s="79" t="s">
        <v>12</v>
      </c>
      <c r="O8" s="79"/>
      <c r="P8" s="79"/>
      <c r="Q8" s="79"/>
      <c r="R8" s="39"/>
    </row>
    <row r="9" spans="1:18" s="2" customFormat="1" ht="15" customHeight="1" x14ac:dyDescent="0.45">
      <c r="A9" s="40"/>
      <c r="B9" s="8"/>
      <c r="C9" s="17"/>
      <c r="D9" s="40"/>
      <c r="E9" s="40"/>
      <c r="F9" s="40"/>
      <c r="G9" s="40"/>
      <c r="H9" s="40"/>
      <c r="I9" s="40"/>
      <c r="K9" s="17"/>
      <c r="L9" s="9" t="s">
        <v>13</v>
      </c>
      <c r="M9" s="9"/>
      <c r="N9" s="79" t="s">
        <v>14</v>
      </c>
      <c r="O9" s="79"/>
      <c r="P9" s="79"/>
      <c r="Q9" s="79"/>
      <c r="R9" s="39"/>
    </row>
    <row r="10" spans="1:18" s="2" customFormat="1" ht="15" customHeight="1" x14ac:dyDescent="0.45">
      <c r="A10" s="38"/>
      <c r="B10" s="8"/>
      <c r="C10" s="17"/>
      <c r="D10" s="38"/>
      <c r="E10" s="38"/>
      <c r="F10" s="38"/>
      <c r="G10" s="38"/>
      <c r="H10" s="38"/>
      <c r="I10" s="38"/>
      <c r="K10" s="17"/>
      <c r="L10" s="9" t="s">
        <v>15</v>
      </c>
      <c r="M10" s="9"/>
      <c r="N10" s="81">
        <v>0</v>
      </c>
      <c r="O10" s="81"/>
      <c r="P10" s="81"/>
      <c r="Q10" s="81"/>
      <c r="R10" s="42"/>
    </row>
    <row r="11" spans="1:18" s="2" customFormat="1" ht="15" customHeight="1" thickBot="1" x14ac:dyDescent="0.5">
      <c r="A11" s="65"/>
      <c r="B11" s="65"/>
      <c r="C11" s="65"/>
      <c r="D11" s="65"/>
      <c r="E11" s="65"/>
      <c r="F11" s="65"/>
      <c r="G11" s="65"/>
      <c r="H11" s="65"/>
      <c r="I11" s="65"/>
      <c r="K11" s="4"/>
      <c r="L11" s="66"/>
      <c r="M11" s="66"/>
      <c r="N11" s="67"/>
      <c r="O11" s="68"/>
      <c r="P11" s="68"/>
      <c r="Q11" s="69"/>
      <c r="R11" s="71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45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16</v>
      </c>
      <c r="P13" s="82"/>
      <c r="Q13" s="82"/>
      <c r="R13" s="47"/>
    </row>
    <row r="14" spans="1:18" s="2" customFormat="1" ht="15" customHeight="1" x14ac:dyDescent="0.45">
      <c r="A14" s="46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N14" s="16"/>
      <c r="O14" s="26"/>
      <c r="P14" s="21"/>
      <c r="Q14" s="21"/>
      <c r="R14" s="46"/>
    </row>
    <row r="15" spans="1:18" s="2" customFormat="1" ht="15" customHeight="1" x14ac:dyDescent="0.45">
      <c r="A15" s="46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N15" s="3"/>
      <c r="O15" s="26"/>
      <c r="P15" s="43" t="s">
        <v>17</v>
      </c>
      <c r="Q15" s="21"/>
      <c r="R15" s="46"/>
    </row>
    <row r="16" spans="1:18" s="2" customFormat="1" ht="15" customHeight="1" x14ac:dyDescent="0.45">
      <c r="A16" s="46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N16" s="17"/>
      <c r="O16" s="26"/>
      <c r="P16" s="35" t="s">
        <v>18</v>
      </c>
      <c r="Q16" s="21"/>
      <c r="R16" s="46"/>
    </row>
    <row r="17" spans="1:18" s="2" customFormat="1" ht="15" customHeight="1" x14ac:dyDescent="0.45">
      <c r="A17" s="4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7"/>
      <c r="O17" s="26"/>
      <c r="P17" t="s">
        <v>19</v>
      </c>
      <c r="Q17" s="21"/>
      <c r="R17" s="46"/>
    </row>
    <row r="18" spans="1:18" s="2" customFormat="1" ht="15" customHeight="1" x14ac:dyDescent="0.45">
      <c r="A18" s="3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38"/>
      <c r="O18" s="44"/>
      <c r="P18" s="44"/>
      <c r="Q18" s="44"/>
      <c r="R18" s="38"/>
    </row>
    <row r="19" spans="1:18" ht="14.65" thickBot="1" x14ac:dyDescent="0.5">
      <c r="A19" s="65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N19" s="65"/>
      <c r="O19" s="65"/>
      <c r="P19" s="65"/>
      <c r="Q19" s="65"/>
      <c r="R19" s="65"/>
    </row>
    <row r="20" spans="1:18" x14ac:dyDescent="0.45">
      <c r="Q20" s="22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F6C8-4D4F-442A-9997-329E230D8C4A}">
  <sheetPr>
    <pageSetUpPr fitToPage="1"/>
  </sheetPr>
  <dimension ref="A1:J16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328125" defaultRowHeight="15" customHeight="1" x14ac:dyDescent="0.45"/>
  <cols>
    <col min="1" max="1" width="1.3984375" style="15" customWidth="1"/>
    <col min="2" max="2" width="44.86328125" bestFit="1" customWidth="1"/>
    <col min="3" max="10" width="11.59765625" customWidth="1"/>
    <col min="11" max="11" width="9.265625" customWidth="1"/>
  </cols>
  <sheetData>
    <row r="1" spans="1:10" s="41" customFormat="1" ht="45" customHeight="1" x14ac:dyDescent="0.85">
      <c r="A1" s="5" t="s">
        <v>20</v>
      </c>
      <c r="B1" s="10"/>
      <c r="C1" s="12" t="s">
        <v>21</v>
      </c>
      <c r="D1" s="12" t="s">
        <v>21</v>
      </c>
      <c r="E1" s="12" t="s">
        <v>21</v>
      </c>
      <c r="F1" s="12" t="s">
        <v>22</v>
      </c>
      <c r="G1" s="12" t="s">
        <v>22</v>
      </c>
      <c r="H1" s="12" t="s">
        <v>22</v>
      </c>
      <c r="I1" s="12" t="s">
        <v>22</v>
      </c>
      <c r="J1" s="12" t="s">
        <v>22</v>
      </c>
    </row>
    <row r="2" spans="1:10" s="34" customFormat="1" ht="30" customHeight="1" x14ac:dyDescent="0.65">
      <c r="A2" s="14" t="s">
        <v>23</v>
      </c>
      <c r="B2" s="7"/>
      <c r="C2" s="11">
        <f>EDATE(D2,-12)</f>
        <v>44347</v>
      </c>
      <c r="D2" s="11">
        <f>EDATE(E2,-12)</f>
        <v>44712</v>
      </c>
      <c r="E2" s="11">
        <f>EDATE(F2,-12)</f>
        <v>45077</v>
      </c>
      <c r="F2" s="11">
        <v>45443</v>
      </c>
      <c r="G2" s="11">
        <f>EDATE(F2,12)</f>
        <v>45808</v>
      </c>
      <c r="H2" s="11">
        <f t="shared" ref="H2:J2" si="0">EDATE(G2,12)</f>
        <v>46173</v>
      </c>
      <c r="I2" s="11">
        <f t="shared" si="0"/>
        <v>46538</v>
      </c>
      <c r="J2" s="11">
        <f t="shared" si="0"/>
        <v>46904</v>
      </c>
    </row>
    <row r="3" spans="1:10" ht="15" customHeight="1" x14ac:dyDescent="0.45">
      <c r="A3" s="50" t="s">
        <v>24</v>
      </c>
    </row>
    <row r="4" spans="1:10" ht="15" customHeight="1" x14ac:dyDescent="0.45">
      <c r="A4"/>
      <c r="B4" t="s">
        <v>25</v>
      </c>
      <c r="D4" s="55">
        <f>D58/C58-1</f>
        <v>4.8767344739323759E-2</v>
      </c>
      <c r="E4" s="55">
        <f>E58/D58-1</f>
        <v>9.6488974523656568E-2</v>
      </c>
      <c r="F4" s="49">
        <v>0.01</v>
      </c>
      <c r="G4" s="49">
        <v>0.03</v>
      </c>
      <c r="H4" s="49">
        <v>0.05</v>
      </c>
      <c r="I4" s="49">
        <v>0.04</v>
      </c>
      <c r="J4" s="49">
        <v>0.03</v>
      </c>
    </row>
    <row r="5" spans="1:10" ht="15" customHeight="1" x14ac:dyDescent="0.45">
      <c r="A5"/>
      <c r="B5" t="s">
        <v>26</v>
      </c>
      <c r="C5" s="55">
        <f>C59/C58</f>
        <v>0.20346670259104585</v>
      </c>
      <c r="D5" s="55">
        <f t="shared" ref="D5:E5" si="1">D59/D58</f>
        <v>0.17152643973453222</v>
      </c>
      <c r="E5" s="55">
        <f t="shared" si="1"/>
        <v>0.14091024464533261</v>
      </c>
      <c r="F5" s="49">
        <v>0.14000000000000001</v>
      </c>
      <c r="G5" s="49">
        <v>0.14499999999999999</v>
      </c>
      <c r="H5" s="49">
        <v>0.15</v>
      </c>
      <c r="I5" s="49">
        <v>0.15</v>
      </c>
      <c r="J5" s="49">
        <v>0.15</v>
      </c>
    </row>
    <row r="6" spans="1:10" ht="15" customHeight="1" x14ac:dyDescent="0.45">
      <c r="A6"/>
      <c r="B6" t="s">
        <v>27</v>
      </c>
      <c r="C6" s="55">
        <f>C60/C58</f>
        <v>1.3224662086308321E-2</v>
      </c>
      <c r="D6" s="55">
        <f t="shared" ref="D6:E6" si="2">D60/D58</f>
        <v>1.2695354313851423E-2</v>
      </c>
      <c r="E6" s="55">
        <f t="shared" si="2"/>
        <v>1.1421988792783645E-2</v>
      </c>
      <c r="F6" s="49">
        <v>1.12E-2</v>
      </c>
      <c r="G6" s="49">
        <v>1.12E-2</v>
      </c>
      <c r="H6" s="49">
        <v>1.12E-2</v>
      </c>
      <c r="I6" s="49">
        <v>1.12E-2</v>
      </c>
      <c r="J6" s="49">
        <v>1.12E-2</v>
      </c>
    </row>
    <row r="7" spans="1:10" ht="15" customHeight="1" x14ac:dyDescent="0.45">
      <c r="A7"/>
      <c r="B7" t="s">
        <v>28</v>
      </c>
      <c r="C7">
        <f>C66</f>
        <v>14</v>
      </c>
      <c r="D7">
        <f t="shared" ref="D7:E7" si="3">D66</f>
        <v>-181</v>
      </c>
      <c r="E7">
        <f t="shared" si="3"/>
        <v>-280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</row>
    <row r="8" spans="1:10" ht="15" customHeight="1" x14ac:dyDescent="0.45">
      <c r="A8"/>
      <c r="B8" t="s">
        <v>29</v>
      </c>
      <c r="C8" s="55">
        <f>C69/C67</f>
        <v>0.14021918630836211</v>
      </c>
      <c r="D8" s="55">
        <f>D69/D67</f>
        <v>9.0963764847391368E-2</v>
      </c>
      <c r="E8" s="55">
        <f>E69/E67</f>
        <v>0.18238993710691823</v>
      </c>
      <c r="F8" s="49">
        <v>0.19500000000000001</v>
      </c>
      <c r="G8" s="49">
        <v>0.21</v>
      </c>
      <c r="H8" s="49">
        <v>0.21</v>
      </c>
      <c r="I8" s="49">
        <v>0.21</v>
      </c>
      <c r="J8" s="49">
        <v>0.21</v>
      </c>
    </row>
    <row r="9" spans="1:10" ht="15" customHeight="1" x14ac:dyDescent="0.45">
      <c r="A9"/>
      <c r="B9" t="s">
        <v>30</v>
      </c>
      <c r="C9" s="55">
        <v>0.221</v>
      </c>
      <c r="D9" s="55">
        <v>0.221</v>
      </c>
      <c r="E9" s="55">
        <v>0.224</v>
      </c>
      <c r="F9" s="49">
        <v>0.22</v>
      </c>
      <c r="G9" s="49">
        <v>0.22</v>
      </c>
      <c r="H9" s="49">
        <v>0.22</v>
      </c>
      <c r="I9" s="49">
        <v>0.22</v>
      </c>
      <c r="J9" s="49">
        <v>0.22</v>
      </c>
    </row>
    <row r="10" spans="1:10" ht="15" customHeight="1" x14ac:dyDescent="0.45">
      <c r="A10"/>
      <c r="B10" t="s">
        <v>31</v>
      </c>
      <c r="C10" s="55">
        <f>C34/C58</f>
        <v>1.5604652207104046E-2</v>
      </c>
      <c r="D10" s="55">
        <f>D34/D58</f>
        <v>1.6227788482123744E-2</v>
      </c>
      <c r="E10" s="55">
        <f>E34/E58</f>
        <v>1.8919499384969833E-2</v>
      </c>
      <c r="F10" s="49">
        <v>0.02</v>
      </c>
      <c r="G10" s="49">
        <v>0.02</v>
      </c>
      <c r="H10" s="49">
        <v>0.02</v>
      </c>
      <c r="I10" s="49">
        <v>0.02</v>
      </c>
      <c r="J10" s="49">
        <v>0.02</v>
      </c>
    </row>
    <row r="11" spans="1:10" ht="15" customHeight="1" x14ac:dyDescent="0.45">
      <c r="A11"/>
      <c r="B11" t="s">
        <v>32</v>
      </c>
      <c r="D11" s="55">
        <f>D62/C87</f>
        <v>0.14382369998066885</v>
      </c>
      <c r="E11" s="55">
        <f>E62/D87</f>
        <v>0.14122513295253103</v>
      </c>
      <c r="F11" s="49">
        <v>0.14099999999999999</v>
      </c>
      <c r="G11" s="49">
        <v>0.14099999999999999</v>
      </c>
      <c r="H11" s="49">
        <v>0.14099999999999999</v>
      </c>
      <c r="I11" s="49">
        <v>0.14099999999999999</v>
      </c>
      <c r="J11" s="49">
        <v>0.14099999999999999</v>
      </c>
    </row>
    <row r="12" spans="1:10" ht="15" customHeight="1" x14ac:dyDescent="0.45">
      <c r="A12"/>
      <c r="B12" t="s">
        <v>33</v>
      </c>
      <c r="C12" s="62">
        <f>C99/C60</f>
        <v>5.7691001697792865</v>
      </c>
      <c r="D12" s="62">
        <f t="shared" ref="D12:E12" si="4">D99/D60</f>
        <v>5.3912310286677911</v>
      </c>
      <c r="E12" s="62">
        <f t="shared" si="4"/>
        <v>5.4888888888888889</v>
      </c>
      <c r="F12" s="63">
        <v>5.5</v>
      </c>
      <c r="G12" s="63">
        <v>5.5</v>
      </c>
      <c r="H12" s="63">
        <v>5.5</v>
      </c>
      <c r="I12" s="63">
        <v>5.5</v>
      </c>
      <c r="J12" s="63">
        <v>5.5</v>
      </c>
    </row>
    <row r="13" spans="1:10" ht="15" customHeight="1" x14ac:dyDescent="0.45">
      <c r="A13"/>
      <c r="B13" t="s">
        <v>34</v>
      </c>
      <c r="D13" s="55">
        <f>D76/C76-1</f>
        <v>0.11214953271028016</v>
      </c>
      <c r="E13" s="55">
        <f>E76/D76-1</f>
        <v>0.11344537815126055</v>
      </c>
      <c r="F13" s="49">
        <v>0.06</v>
      </c>
      <c r="G13" s="49">
        <v>0.05</v>
      </c>
      <c r="H13" s="49">
        <v>0.04</v>
      </c>
      <c r="I13" s="49">
        <v>0.03</v>
      </c>
      <c r="J13" s="49">
        <v>0.03</v>
      </c>
    </row>
    <row r="14" spans="1:10" ht="15" customHeight="1" x14ac:dyDescent="0.45">
      <c r="A14"/>
      <c r="B14" t="s">
        <v>35</v>
      </c>
      <c r="D14">
        <f>D45</f>
        <v>0</v>
      </c>
      <c r="E14">
        <f>E45</f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</row>
    <row r="15" spans="1:10" ht="15" customHeight="1" x14ac:dyDescent="0.45">
      <c r="A15"/>
    </row>
    <row r="16" spans="1:10" ht="15" customHeight="1" x14ac:dyDescent="0.45">
      <c r="A16"/>
      <c r="B16" t="s">
        <v>36</v>
      </c>
      <c r="C16" s="55"/>
      <c r="D16">
        <f>D81-C81</f>
        <v>836</v>
      </c>
      <c r="E16">
        <f>E81-D81</f>
        <v>-1189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</row>
    <row r="17" spans="1:10" ht="15" customHeight="1" x14ac:dyDescent="0.45">
      <c r="A17"/>
      <c r="B17" t="s">
        <v>37</v>
      </c>
      <c r="C17" s="55">
        <f>C82/C58</f>
        <v>0.10020656518029548</v>
      </c>
      <c r="D17" s="55">
        <f>D82/D58</f>
        <v>9.9914365232284308E-2</v>
      </c>
      <c r="E17" s="55">
        <f>E82/E58</f>
        <v>8.0656813167502978E-2</v>
      </c>
      <c r="F17" s="49">
        <v>8.1000000000000003E-2</v>
      </c>
      <c r="G17" s="49">
        <v>8.1000000000000003E-2</v>
      </c>
      <c r="H17" s="49">
        <v>8.1000000000000003E-2</v>
      </c>
      <c r="I17" s="49">
        <v>8.1000000000000003E-2</v>
      </c>
      <c r="J17" s="49">
        <v>8.1000000000000003E-2</v>
      </c>
    </row>
    <row r="18" spans="1:10" ht="15" customHeight="1" x14ac:dyDescent="0.45">
      <c r="A18"/>
      <c r="B18" t="s">
        <v>38</v>
      </c>
      <c r="C18" s="55">
        <f>C83/(C58-C59)</f>
        <v>0.19320103732100574</v>
      </c>
      <c r="D18" s="55">
        <f t="shared" ref="D18:E18" si="5">D83/(D58-D59)</f>
        <v>0.2175823039950385</v>
      </c>
      <c r="E18" s="55">
        <f t="shared" si="5"/>
        <v>0.19213636363636363</v>
      </c>
      <c r="F18" s="49">
        <v>0.19</v>
      </c>
      <c r="G18" s="49">
        <v>0.19</v>
      </c>
      <c r="H18" s="49">
        <v>0.19</v>
      </c>
      <c r="I18" s="49">
        <v>0.19</v>
      </c>
      <c r="J18" s="49">
        <v>0.19</v>
      </c>
    </row>
    <row r="19" spans="1:10" ht="15" customHeight="1" x14ac:dyDescent="0.45">
      <c r="A19"/>
      <c r="B19" t="s">
        <v>39</v>
      </c>
      <c r="C19" s="55">
        <f>C84/(C58-C59)</f>
        <v>4.2225730071033939E-2</v>
      </c>
      <c r="D19" s="55">
        <f t="shared" ref="D19:E19" si="6">D84/(D58-D59)</f>
        <v>5.5015763088531705E-2</v>
      </c>
      <c r="E19" s="55">
        <f t="shared" si="6"/>
        <v>4.4136363636363633E-2</v>
      </c>
      <c r="F19" s="49">
        <v>4.4999999999999998E-2</v>
      </c>
      <c r="G19" s="49">
        <v>4.4999999999999998E-2</v>
      </c>
      <c r="H19" s="49">
        <v>4.4999999999999998E-2</v>
      </c>
      <c r="I19" s="49">
        <v>4.4999999999999998E-2</v>
      </c>
      <c r="J19" s="49">
        <v>4.4999999999999998E-2</v>
      </c>
    </row>
    <row r="20" spans="1:10" ht="15" customHeight="1" x14ac:dyDescent="0.45">
      <c r="A20"/>
      <c r="B20" t="s">
        <v>40</v>
      </c>
      <c r="D20">
        <f>D89-C89</f>
        <v>942</v>
      </c>
      <c r="E20">
        <f>E89-D89</f>
        <v>-54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</row>
    <row r="21" spans="1:10" ht="15" customHeight="1" x14ac:dyDescent="0.45">
      <c r="A21"/>
      <c r="B21" t="s">
        <v>41</v>
      </c>
      <c r="C21" s="55">
        <f>C93/(C58-C59)</f>
        <v>7.9941368812718461E-2</v>
      </c>
      <c r="D21" s="55">
        <f t="shared" ref="D21:E21" si="7">D93/(D58-D59)</f>
        <v>8.677451031061037E-2</v>
      </c>
      <c r="E21" s="55">
        <f t="shared" si="7"/>
        <v>6.5045454545454545E-2</v>
      </c>
      <c r="F21" s="49">
        <v>6.5000000000000002E-2</v>
      </c>
      <c r="G21" s="49">
        <v>6.5000000000000002E-2</v>
      </c>
      <c r="H21" s="49">
        <v>6.5000000000000002E-2</v>
      </c>
      <c r="I21" s="49">
        <v>6.5000000000000002E-2</v>
      </c>
      <c r="J21" s="49">
        <v>6.5000000000000002E-2</v>
      </c>
    </row>
    <row r="22" spans="1:10" ht="15" customHeight="1" x14ac:dyDescent="0.45">
      <c r="A22"/>
      <c r="B22" t="s">
        <v>42</v>
      </c>
      <c r="C22" s="55">
        <f>C94/C69</f>
        <v>0.32762312633832974</v>
      </c>
      <c r="D22" s="55">
        <f>D94/D69</f>
        <v>0.3669421487603306</v>
      </c>
      <c r="E22" s="55">
        <f>E94/E69</f>
        <v>0.21220159151193635</v>
      </c>
      <c r="F22" s="49">
        <v>0.22</v>
      </c>
      <c r="G22" s="49">
        <v>0.22</v>
      </c>
      <c r="H22" s="49">
        <v>0.22</v>
      </c>
      <c r="I22" s="49">
        <v>0.22</v>
      </c>
      <c r="J22" s="49">
        <v>0.22</v>
      </c>
    </row>
    <row r="23" spans="1:10" ht="15" customHeight="1" x14ac:dyDescent="0.45">
      <c r="A23"/>
      <c r="B23" t="s">
        <v>43</v>
      </c>
      <c r="C23" s="55">
        <f>C95/(C58-C59)</f>
        <v>0.17090427331153457</v>
      </c>
      <c r="D23" s="55">
        <f>D95/(D58-D59)</f>
        <v>0.16073182076593107</v>
      </c>
      <c r="E23" s="55">
        <f>E95/(E58-E59)</f>
        <v>0.13006818181818181</v>
      </c>
      <c r="F23" s="49">
        <v>0.13</v>
      </c>
      <c r="G23" s="49">
        <v>0.13</v>
      </c>
      <c r="H23" s="49">
        <v>0.13</v>
      </c>
      <c r="I23" s="49">
        <v>0.13</v>
      </c>
      <c r="J23" s="49">
        <v>0.13</v>
      </c>
    </row>
    <row r="24" spans="1:10" ht="15" customHeight="1" x14ac:dyDescent="0.45">
      <c r="A24"/>
      <c r="B24" t="s">
        <v>44</v>
      </c>
      <c r="C24" s="55"/>
      <c r="D24">
        <f>D100-C100</f>
        <v>-342</v>
      </c>
      <c r="E24">
        <f>E100-D100</f>
        <v>-55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</row>
    <row r="25" spans="1:10" ht="15" customHeight="1" x14ac:dyDescent="0.45">
      <c r="A25"/>
    </row>
    <row r="26" spans="1:10" ht="15" customHeight="1" x14ac:dyDescent="0.45">
      <c r="A26"/>
      <c r="B26" t="s">
        <v>45</v>
      </c>
      <c r="D26">
        <f>D98-C98</f>
        <v>-493</v>
      </c>
      <c r="E26">
        <f>E98-D98</f>
        <v>7</v>
      </c>
      <c r="F26" s="48">
        <v>0</v>
      </c>
      <c r="G26" s="48">
        <v>0</v>
      </c>
      <c r="H26" s="48">
        <v>-1000</v>
      </c>
      <c r="I26" s="48">
        <v>-1000</v>
      </c>
      <c r="J26" s="48">
        <v>0</v>
      </c>
    </row>
    <row r="27" spans="1:10" ht="15" customHeight="1" x14ac:dyDescent="0.45">
      <c r="A27"/>
      <c r="B27" t="s">
        <v>46</v>
      </c>
      <c r="F27" s="49">
        <v>0.05</v>
      </c>
      <c r="G27" s="49">
        <v>0.05</v>
      </c>
      <c r="H27" s="49">
        <v>0.05</v>
      </c>
      <c r="I27" s="49">
        <v>0.05</v>
      </c>
      <c r="J27" s="49">
        <v>0.05</v>
      </c>
    </row>
    <row r="28" spans="1:10" ht="15" customHeight="1" x14ac:dyDescent="0.45">
      <c r="A28"/>
      <c r="B28" t="s">
        <v>47</v>
      </c>
      <c r="F28" s="58">
        <v>4.4999999999999998E-2</v>
      </c>
      <c r="G28" s="58">
        <v>0.05</v>
      </c>
      <c r="H28" s="58">
        <v>0.05</v>
      </c>
      <c r="I28" s="58">
        <v>0.05</v>
      </c>
      <c r="J28" s="58">
        <v>0.05</v>
      </c>
    </row>
    <row r="29" spans="1:10" ht="15" customHeight="1" x14ac:dyDescent="0.45">
      <c r="A29"/>
      <c r="B29" t="s">
        <v>48</v>
      </c>
      <c r="F29" s="58">
        <v>0.03</v>
      </c>
      <c r="G29" s="58">
        <v>0.03</v>
      </c>
      <c r="H29" s="58">
        <v>0.03</v>
      </c>
      <c r="I29" s="58">
        <v>0.03</v>
      </c>
      <c r="J29" s="58">
        <v>0.03</v>
      </c>
    </row>
    <row r="30" spans="1:10" ht="15" customHeight="1" x14ac:dyDescent="0.45">
      <c r="A30"/>
    </row>
    <row r="31" spans="1:10" ht="15" customHeight="1" x14ac:dyDescent="0.45">
      <c r="A31" s="50" t="s">
        <v>49</v>
      </c>
    </row>
    <row r="32" spans="1:10" ht="15" customHeight="1" x14ac:dyDescent="0.45">
      <c r="A32" s="50"/>
      <c r="B32" t="s">
        <v>50</v>
      </c>
    </row>
    <row r="33" spans="1:10" ht="15" customHeight="1" x14ac:dyDescent="0.45">
      <c r="A33" s="50"/>
      <c r="B33" t="s">
        <v>51</v>
      </c>
      <c r="F33">
        <f>E36</f>
        <v>5355</v>
      </c>
      <c r="G33">
        <f t="shared" ref="G33:J33" si="8">F36</f>
        <v>5634.5283999999992</v>
      </c>
      <c r="H33">
        <f t="shared" si="8"/>
        <v>5905.6807976</v>
      </c>
      <c r="I33">
        <f t="shared" si="8"/>
        <v>6191.8817522384006</v>
      </c>
      <c r="J33">
        <f t="shared" si="8"/>
        <v>6482.4844501567859</v>
      </c>
    </row>
    <row r="34" spans="1:10" ht="15" customHeight="1" x14ac:dyDescent="0.45">
      <c r="A34" s="50"/>
      <c r="B34" t="s">
        <v>52</v>
      </c>
      <c r="C34" s="53">
        <v>695</v>
      </c>
      <c r="D34" s="53">
        <v>758</v>
      </c>
      <c r="E34" s="53">
        <v>969</v>
      </c>
      <c r="F34">
        <f>F10*F58</f>
        <v>1034.5834</v>
      </c>
      <c r="G34">
        <f>G10*G58</f>
        <v>1065.6209020000001</v>
      </c>
      <c r="H34">
        <f>H10*H58</f>
        <v>1118.9019471000001</v>
      </c>
      <c r="I34">
        <f>I10*I58</f>
        <v>1163.6580249840003</v>
      </c>
      <c r="J34">
        <f>J10*J58</f>
        <v>1198.5677657335202</v>
      </c>
    </row>
    <row r="35" spans="1:10" ht="15" customHeight="1" x14ac:dyDescent="0.45">
      <c r="A35" s="50"/>
      <c r="B35" t="s">
        <v>53</v>
      </c>
      <c r="F35">
        <f>F11*F33*-1</f>
        <v>-755.05499999999995</v>
      </c>
      <c r="G35">
        <f>-G11*G33</f>
        <v>-794.4685043999998</v>
      </c>
      <c r="H35">
        <f>-H11*H33</f>
        <v>-832.70099246159987</v>
      </c>
      <c r="I35">
        <f>-I11*I33</f>
        <v>-873.05532706561439</v>
      </c>
      <c r="J35">
        <f>-J11*J33</f>
        <v>-914.03030747210676</v>
      </c>
    </row>
    <row r="36" spans="1:10" ht="15" customHeight="1" x14ac:dyDescent="0.45">
      <c r="A36" s="50"/>
      <c r="B36" t="s">
        <v>54</v>
      </c>
      <c r="E36">
        <f>E87</f>
        <v>5355</v>
      </c>
      <c r="F36">
        <f>SUM(F33:F35)</f>
        <v>5634.5283999999992</v>
      </c>
      <c r="G36">
        <f t="shared" ref="G36:J36" si="9">SUM(G33:G35)</f>
        <v>5905.6807976</v>
      </c>
      <c r="H36">
        <f t="shared" si="9"/>
        <v>6191.8817522384006</v>
      </c>
      <c r="I36">
        <f t="shared" si="9"/>
        <v>6482.4844501567859</v>
      </c>
      <c r="J36">
        <f t="shared" si="9"/>
        <v>6767.021908418199</v>
      </c>
    </row>
    <row r="37" spans="1:10" ht="15" customHeight="1" x14ac:dyDescent="0.45">
      <c r="A37" s="50"/>
    </row>
    <row r="38" spans="1:10" ht="15" customHeight="1" x14ac:dyDescent="0.45">
      <c r="A38" s="50"/>
      <c r="B38" t="s">
        <v>55</v>
      </c>
      <c r="D38">
        <f>D99</f>
        <v>3197</v>
      </c>
      <c r="E38">
        <f>E99</f>
        <v>3211</v>
      </c>
      <c r="F38">
        <f>F60*F12</f>
        <v>3186.5168720000001</v>
      </c>
      <c r="G38">
        <f t="shared" ref="G38:J38" si="10">G60*G12</f>
        <v>3282.1123781599999</v>
      </c>
      <c r="H38">
        <f t="shared" si="10"/>
        <v>3446.2179970680004</v>
      </c>
      <c r="I38">
        <f t="shared" si="10"/>
        <v>3584.0667169507205</v>
      </c>
      <c r="J38">
        <f t="shared" si="10"/>
        <v>3691.588718459242</v>
      </c>
    </row>
    <row r="39" spans="1:10" ht="15" customHeight="1" x14ac:dyDescent="0.45">
      <c r="A39" s="50"/>
      <c r="B39" t="s">
        <v>56</v>
      </c>
      <c r="D39">
        <f>D88</f>
        <v>2926</v>
      </c>
      <c r="E39">
        <f>E88</f>
        <v>2923</v>
      </c>
      <c r="F39">
        <f>E39+F38-E38</f>
        <v>2898.5168720000001</v>
      </c>
      <c r="G39">
        <f t="shared" ref="G39:J39" si="11">F39+G38-F38</f>
        <v>2994.1123781599999</v>
      </c>
      <c r="H39">
        <f t="shared" si="11"/>
        <v>3158.2179970680008</v>
      </c>
      <c r="I39">
        <f t="shared" si="11"/>
        <v>3296.066716950721</v>
      </c>
      <c r="J39">
        <f t="shared" si="11"/>
        <v>3403.588718459242</v>
      </c>
    </row>
    <row r="40" spans="1:10" ht="15" customHeight="1" x14ac:dyDescent="0.45">
      <c r="A40" s="50"/>
    </row>
    <row r="41" spans="1:10" ht="15" customHeight="1" x14ac:dyDescent="0.45">
      <c r="A41" s="50"/>
      <c r="B41" t="s">
        <v>57</v>
      </c>
    </row>
    <row r="42" spans="1:10" ht="15" customHeight="1" x14ac:dyDescent="0.45">
      <c r="A42" s="50"/>
      <c r="B42" t="s">
        <v>51</v>
      </c>
      <c r="F42">
        <f>E46</f>
        <v>14004</v>
      </c>
      <c r="G42">
        <f t="shared" ref="G42:J42" si="12">F46</f>
        <v>16580.445787280001</v>
      </c>
      <c r="H42">
        <f t="shared" si="12"/>
        <v>19296.545387964201</v>
      </c>
      <c r="I42">
        <f t="shared" si="12"/>
        <v>22393.492776689996</v>
      </c>
      <c r="J42">
        <f t="shared" si="12"/>
        <v>25632.548594413438</v>
      </c>
    </row>
    <row r="43" spans="1:10" ht="15" customHeight="1" x14ac:dyDescent="0.45">
      <c r="A43" s="50"/>
      <c r="B43" t="s">
        <v>58</v>
      </c>
      <c r="F43">
        <f>F70</f>
        <v>4755.6679872799996</v>
      </c>
      <c r="G43">
        <f t="shared" ref="G43:J43" si="13">G70</f>
        <v>5004.2829106842</v>
      </c>
      <c r="H43">
        <f t="shared" si="13"/>
        <v>5476.6580311257958</v>
      </c>
      <c r="I43">
        <f t="shared" si="13"/>
        <v>5690.157779395443</v>
      </c>
      <c r="J43">
        <f t="shared" si="13"/>
        <v>5849.1836895076322</v>
      </c>
    </row>
    <row r="44" spans="1:10" ht="15" customHeight="1" x14ac:dyDescent="0.45">
      <c r="A44" s="50"/>
      <c r="B44" t="s">
        <v>59</v>
      </c>
      <c r="F44">
        <f>F76*F72*-1</f>
        <v>-2179.2222000000002</v>
      </c>
      <c r="G44">
        <f t="shared" ref="G44:J44" si="14">G76*G72*-1</f>
        <v>-2288.1833099999999</v>
      </c>
      <c r="H44">
        <f t="shared" si="14"/>
        <v>-2379.7106423999999</v>
      </c>
      <c r="I44">
        <f t="shared" si="14"/>
        <v>-2451.101961672</v>
      </c>
      <c r="J44">
        <f t="shared" si="14"/>
        <v>-2524.6350205221602</v>
      </c>
    </row>
    <row r="45" spans="1:10" ht="15" customHeight="1" x14ac:dyDescent="0.45">
      <c r="A45" s="50"/>
      <c r="B45" t="s">
        <v>60</v>
      </c>
      <c r="F45">
        <f>F14</f>
        <v>0</v>
      </c>
      <c r="G45">
        <f>G14</f>
        <v>0</v>
      </c>
      <c r="H45">
        <f>H14</f>
        <v>0</v>
      </c>
      <c r="I45">
        <f>I14</f>
        <v>0</v>
      </c>
      <c r="J45">
        <f>J14</f>
        <v>0</v>
      </c>
    </row>
    <row r="46" spans="1:10" ht="15" customHeight="1" x14ac:dyDescent="0.45">
      <c r="A46" s="50"/>
      <c r="B46" t="s">
        <v>54</v>
      </c>
      <c r="E46">
        <f>E103</f>
        <v>14004</v>
      </c>
      <c r="F46">
        <f>SUM(F42:F45)</f>
        <v>16580.445787280001</v>
      </c>
      <c r="G46">
        <f t="shared" ref="G46:J46" si="15">SUM(G42:G45)</f>
        <v>19296.545387964201</v>
      </c>
      <c r="H46">
        <f t="shared" si="15"/>
        <v>22393.492776689996</v>
      </c>
      <c r="I46">
        <f t="shared" si="15"/>
        <v>25632.548594413438</v>
      </c>
      <c r="J46">
        <f t="shared" si="15"/>
        <v>28957.097263398908</v>
      </c>
    </row>
    <row r="47" spans="1:10" ht="15" customHeight="1" x14ac:dyDescent="0.45">
      <c r="A47" s="52"/>
    </row>
    <row r="48" spans="1:10" ht="15" customHeight="1" x14ac:dyDescent="0.45">
      <c r="A48" s="50" t="s">
        <v>61</v>
      </c>
    </row>
    <row r="49" spans="1:10" ht="15" customHeight="1" x14ac:dyDescent="0.45">
      <c r="A49" s="50"/>
      <c r="B49" t="s">
        <v>62</v>
      </c>
      <c r="C49">
        <f>C82</f>
        <v>4463</v>
      </c>
      <c r="D49">
        <f t="shared" ref="D49:F49" si="16">D82</f>
        <v>4667</v>
      </c>
      <c r="E49">
        <f t="shared" si="16"/>
        <v>4131</v>
      </c>
      <c r="F49">
        <f t="shared" si="16"/>
        <v>4190.0627699999995</v>
      </c>
      <c r="G49">
        <f t="shared" ref="G49:J49" si="17">G82</f>
        <v>4315.7646531</v>
      </c>
      <c r="H49">
        <f t="shared" si="17"/>
        <v>4531.5528857550007</v>
      </c>
      <c r="I49">
        <f t="shared" si="17"/>
        <v>4712.8150011852013</v>
      </c>
      <c r="J49">
        <f t="shared" si="17"/>
        <v>4854.1994512207566</v>
      </c>
    </row>
    <row r="50" spans="1:10" ht="15" customHeight="1" x14ac:dyDescent="0.45">
      <c r="A50" s="50"/>
      <c r="B50" t="s">
        <v>63</v>
      </c>
      <c r="C50">
        <f t="shared" ref="C50:F51" si="18">C83</f>
        <v>6854</v>
      </c>
      <c r="D50">
        <f t="shared" si="18"/>
        <v>8420</v>
      </c>
      <c r="E50">
        <f t="shared" si="18"/>
        <v>8454</v>
      </c>
      <c r="F50">
        <f t="shared" si="18"/>
        <v>8452.5463779999991</v>
      </c>
      <c r="G50">
        <f t="shared" ref="G50:J50" si="19">G83</f>
        <v>8655.5057764949997</v>
      </c>
      <c r="H50">
        <f t="shared" si="19"/>
        <v>9035.1332228325009</v>
      </c>
      <c r="I50">
        <f t="shared" si="19"/>
        <v>9396.5385517458035</v>
      </c>
      <c r="J50">
        <f t="shared" si="19"/>
        <v>9678.4347082981767</v>
      </c>
    </row>
    <row r="51" spans="1:10" ht="15" customHeight="1" x14ac:dyDescent="0.45">
      <c r="A51" s="50"/>
      <c r="B51" t="s">
        <v>64</v>
      </c>
      <c r="C51">
        <f t="shared" si="18"/>
        <v>1498</v>
      </c>
      <c r="D51">
        <f t="shared" si="18"/>
        <v>2129</v>
      </c>
      <c r="E51">
        <f t="shared" si="18"/>
        <v>1942</v>
      </c>
      <c r="F51">
        <f t="shared" si="18"/>
        <v>2001.9188789999998</v>
      </c>
      <c r="G51">
        <f t="shared" ref="G51:J51" si="20">G84</f>
        <v>2049.9882102225001</v>
      </c>
      <c r="H51">
        <f t="shared" si="20"/>
        <v>2139.8999738287503</v>
      </c>
      <c r="I51">
        <f t="shared" si="20"/>
        <v>2225.4959727819005</v>
      </c>
      <c r="J51">
        <f t="shared" si="20"/>
        <v>2292.2608519653572</v>
      </c>
    </row>
    <row r="52" spans="1:10" ht="15" customHeight="1" x14ac:dyDescent="0.45">
      <c r="A52" s="50"/>
      <c r="B52" t="s">
        <v>65</v>
      </c>
      <c r="C52">
        <f>C93</f>
        <v>2836</v>
      </c>
      <c r="D52">
        <f t="shared" ref="D52:F52" si="21">D93</f>
        <v>3358</v>
      </c>
      <c r="E52">
        <f t="shared" si="21"/>
        <v>2862</v>
      </c>
      <c r="F52">
        <f t="shared" si="21"/>
        <v>2891.6606029999998</v>
      </c>
      <c r="G52">
        <f t="shared" ref="G52:J52" si="22">G93</f>
        <v>2961.0940814325004</v>
      </c>
      <c r="H52">
        <f t="shared" si="22"/>
        <v>3090.9666288637504</v>
      </c>
      <c r="I52">
        <f t="shared" si="22"/>
        <v>3214.6052940183008</v>
      </c>
      <c r="J52">
        <f t="shared" si="22"/>
        <v>3311.0434528388496</v>
      </c>
    </row>
    <row r="53" spans="1:10" ht="15" customHeight="1" x14ac:dyDescent="0.45">
      <c r="A53" s="50"/>
      <c r="B53" t="s">
        <v>66</v>
      </c>
      <c r="C53">
        <f>C94</f>
        <v>306</v>
      </c>
      <c r="D53">
        <f>D94</f>
        <v>222</v>
      </c>
      <c r="E53">
        <f>E94</f>
        <v>240</v>
      </c>
      <c r="F53">
        <f t="shared" ref="F53" si="23">F94</f>
        <v>253.43870391839999</v>
      </c>
      <c r="G53">
        <f t="shared" ref="G53:J53" si="24">G94</f>
        <v>292.65553224507596</v>
      </c>
      <c r="H53">
        <f t="shared" si="24"/>
        <v>320.28050764305289</v>
      </c>
      <c r="I53">
        <f t="shared" si="24"/>
        <v>332.76618912413852</v>
      </c>
      <c r="J53">
        <f t="shared" si="24"/>
        <v>342.06618538639572</v>
      </c>
    </row>
    <row r="54" spans="1:10" ht="15" customHeight="1" x14ac:dyDescent="0.45">
      <c r="A54" s="50"/>
      <c r="B54" t="s">
        <v>67</v>
      </c>
      <c r="C54">
        <f>C95</f>
        <v>6063</v>
      </c>
      <c r="D54">
        <f t="shared" ref="D54:F54" si="25">D95</f>
        <v>6220</v>
      </c>
      <c r="E54">
        <f t="shared" si="25"/>
        <v>5723</v>
      </c>
      <c r="F54">
        <f t="shared" si="25"/>
        <v>5783.3212059999996</v>
      </c>
      <c r="G54">
        <f t="shared" ref="G54:J54" si="26">G95</f>
        <v>5922.1881628650008</v>
      </c>
      <c r="H54">
        <f t="shared" si="26"/>
        <v>6181.9332577275009</v>
      </c>
      <c r="I54">
        <f t="shared" si="26"/>
        <v>6429.2105880366016</v>
      </c>
      <c r="J54">
        <f t="shared" si="26"/>
        <v>6622.0869056776992</v>
      </c>
    </row>
    <row r="55" spans="1:10" ht="15" customHeight="1" x14ac:dyDescent="0.45">
      <c r="A55" s="50"/>
      <c r="B55" t="s">
        <v>61</v>
      </c>
      <c r="C55">
        <f>SUM(C49:C51)-SUM(C52:C54)</f>
        <v>3610</v>
      </c>
      <c r="D55">
        <f t="shared" ref="D55:E55" si="27">SUM(D49:D51)-SUM(D52:D54)</f>
        <v>5416</v>
      </c>
      <c r="E55">
        <f t="shared" si="27"/>
        <v>5702</v>
      </c>
      <c r="F55">
        <f t="shared" ref="F55:G55" si="28">SUM(F49:F51)-SUM(F52:F54)</f>
        <v>5716.107514081601</v>
      </c>
      <c r="G55">
        <f t="shared" si="28"/>
        <v>5845.3208632749211</v>
      </c>
      <c r="H55">
        <f t="shared" ref="H55" si="29">SUM(H49:H51)-SUM(H52:H54)</f>
        <v>6113.4056881819488</v>
      </c>
      <c r="I55">
        <f t="shared" ref="I55" si="30">SUM(I49:I51)-SUM(I52:I54)</f>
        <v>6358.267454533865</v>
      </c>
      <c r="J55">
        <f t="shared" ref="J55" si="31">SUM(J49:J51)-SUM(J52:J54)</f>
        <v>6549.6984675813474</v>
      </c>
    </row>
    <row r="56" spans="1:10" ht="15" customHeight="1" x14ac:dyDescent="0.45">
      <c r="A56" s="52"/>
    </row>
    <row r="57" spans="1:10" ht="15" customHeight="1" x14ac:dyDescent="0.45">
      <c r="A57" s="50" t="s">
        <v>68</v>
      </c>
    </row>
    <row r="58" spans="1:10" ht="15" customHeight="1" x14ac:dyDescent="0.45">
      <c r="A58" s="50"/>
      <c r="B58" t="s">
        <v>69</v>
      </c>
      <c r="C58" s="53">
        <v>44538</v>
      </c>
      <c r="D58" s="53">
        <v>46710</v>
      </c>
      <c r="E58" s="53">
        <v>51217</v>
      </c>
      <c r="F58">
        <f>(1+F4)*E58</f>
        <v>51729.17</v>
      </c>
      <c r="G58">
        <f>(1+G4)*F58</f>
        <v>53281.045100000003</v>
      </c>
      <c r="H58">
        <f>(1+H4)*G58</f>
        <v>55945.097355000005</v>
      </c>
      <c r="I58">
        <f>(1+I4)*H58</f>
        <v>58182.901249200011</v>
      </c>
      <c r="J58">
        <f>(1+J4)*I58</f>
        <v>59928.38828667601</v>
      </c>
    </row>
    <row r="59" spans="1:10" ht="15" customHeight="1" x14ac:dyDescent="0.45">
      <c r="A59" s="50"/>
      <c r="B59" t="s">
        <v>70</v>
      </c>
      <c r="C59" s="53">
        <v>9062</v>
      </c>
      <c r="D59" s="53">
        <v>8012</v>
      </c>
      <c r="E59" s="53">
        <v>7217</v>
      </c>
      <c r="F59">
        <f>F5*F58</f>
        <v>7242.0838000000003</v>
      </c>
      <c r="G59">
        <f>G5*G58</f>
        <v>7725.7515395</v>
      </c>
      <c r="H59">
        <f>H5*H58</f>
        <v>8391.7646032499997</v>
      </c>
      <c r="I59">
        <f>I5*I58</f>
        <v>8727.4351873800006</v>
      </c>
      <c r="J59">
        <f>J5*J58</f>
        <v>8989.2582430014008</v>
      </c>
    </row>
    <row r="60" spans="1:10" ht="15" customHeight="1" x14ac:dyDescent="0.45">
      <c r="A60" s="50"/>
      <c r="B60" t="s">
        <v>71</v>
      </c>
      <c r="C60" s="53">
        <v>589</v>
      </c>
      <c r="D60" s="53">
        <v>593</v>
      </c>
      <c r="E60" s="53">
        <v>585</v>
      </c>
      <c r="F60">
        <f>F6*F58</f>
        <v>579.36670400000003</v>
      </c>
      <c r="G60">
        <f>G6*G58</f>
        <v>596.74770511999998</v>
      </c>
      <c r="H60">
        <f>H6*H58</f>
        <v>626.58509037600004</v>
      </c>
      <c r="I60">
        <f>I6*I58</f>
        <v>651.64849399104014</v>
      </c>
      <c r="J60">
        <f>J6*J58</f>
        <v>671.19794881077132</v>
      </c>
    </row>
    <row r="61" spans="1:10" ht="15" customHeight="1" x14ac:dyDescent="0.45">
      <c r="A61" s="50"/>
      <c r="B61" t="s">
        <v>72</v>
      </c>
      <c r="C61">
        <f>C59-C60</f>
        <v>8473</v>
      </c>
      <c r="D61">
        <f t="shared" ref="D61:E61" si="32">D59-D60</f>
        <v>7419</v>
      </c>
      <c r="E61">
        <f t="shared" si="32"/>
        <v>6632</v>
      </c>
      <c r="F61">
        <f t="shared" ref="F61:G61" si="33">F59-F60</f>
        <v>6662.7170960000003</v>
      </c>
      <c r="G61">
        <f t="shared" si="33"/>
        <v>7129.0038343799997</v>
      </c>
      <c r="H61">
        <f t="shared" ref="H61" si="34">H59-H60</f>
        <v>7765.1795128739996</v>
      </c>
      <c r="I61">
        <f t="shared" ref="I61" si="35">I59-I60</f>
        <v>8075.78669338896</v>
      </c>
      <c r="J61">
        <f t="shared" ref="J61" si="36">J59-J60</f>
        <v>8318.0602941906291</v>
      </c>
    </row>
    <row r="62" spans="1:10" ht="15" customHeight="1" x14ac:dyDescent="0.45">
      <c r="A62" s="52"/>
      <c r="B62" t="s">
        <v>73</v>
      </c>
      <c r="C62" s="53">
        <v>1536</v>
      </c>
      <c r="D62" s="53">
        <v>744</v>
      </c>
      <c r="E62" s="53">
        <v>717</v>
      </c>
      <c r="F62">
        <f>F35*-1</f>
        <v>755.05499999999995</v>
      </c>
      <c r="G62">
        <f>G35*-1</f>
        <v>794.4685043999998</v>
      </c>
      <c r="H62">
        <f>H35*-1</f>
        <v>832.70099246159987</v>
      </c>
      <c r="I62">
        <f>I35*-1</f>
        <v>873.05532706561439</v>
      </c>
      <c r="J62">
        <f>J35*-1</f>
        <v>914.03030747210676</v>
      </c>
    </row>
    <row r="63" spans="1:10" ht="15" customHeight="1" x14ac:dyDescent="0.45">
      <c r="A63" s="52"/>
      <c r="B63" t="s">
        <v>74</v>
      </c>
      <c r="C63">
        <f>C61-C62</f>
        <v>6937</v>
      </c>
      <c r="D63">
        <f>D61-D62</f>
        <v>6675</v>
      </c>
      <c r="E63">
        <f>E61-E62</f>
        <v>5915</v>
      </c>
      <c r="F63">
        <f t="shared" ref="F63:J63" si="37">F61-F62</f>
        <v>5907.662096</v>
      </c>
      <c r="G63">
        <f t="shared" si="37"/>
        <v>6334.5353299799999</v>
      </c>
      <c r="H63">
        <f t="shared" si="37"/>
        <v>6932.4785204124</v>
      </c>
      <c r="I63">
        <f t="shared" si="37"/>
        <v>7202.7313663233454</v>
      </c>
      <c r="J63">
        <f t="shared" si="37"/>
        <v>7404.0299867185222</v>
      </c>
    </row>
    <row r="64" spans="1:10" ht="15" customHeight="1" x14ac:dyDescent="0.45">
      <c r="A64" s="52"/>
    </row>
    <row r="65" spans="1:10" ht="15" customHeight="1" x14ac:dyDescent="0.45">
      <c r="A65" s="52"/>
      <c r="B65" t="s">
        <v>75</v>
      </c>
      <c r="C65" s="53">
        <v>262</v>
      </c>
      <c r="D65" s="53">
        <v>205</v>
      </c>
      <c r="E65" s="53">
        <v>-6</v>
      </c>
      <c r="F65">
        <f>IF(circ=1,F139,0)</f>
        <v>0</v>
      </c>
      <c r="G65">
        <f>IF(circ=1,G139,0)</f>
        <v>0</v>
      </c>
      <c r="H65">
        <f>IF(circ=1,H139,0)</f>
        <v>0</v>
      </c>
      <c r="I65">
        <f>IF(circ=1,I139,0)</f>
        <v>0</v>
      </c>
      <c r="J65">
        <f>IF(circ=1,J139,0)</f>
        <v>0</v>
      </c>
    </row>
    <row r="66" spans="1:10" ht="15" customHeight="1" x14ac:dyDescent="0.45">
      <c r="A66" s="52"/>
      <c r="B66" t="s">
        <v>28</v>
      </c>
      <c r="C66" s="53">
        <v>14</v>
      </c>
      <c r="D66" s="53">
        <v>-181</v>
      </c>
      <c r="E66" s="53">
        <v>-280</v>
      </c>
      <c r="F66">
        <f>F7</f>
        <v>0</v>
      </c>
      <c r="G66">
        <f>G7</f>
        <v>0</v>
      </c>
      <c r="H66">
        <f>H7</f>
        <v>0</v>
      </c>
      <c r="I66">
        <f>I7</f>
        <v>0</v>
      </c>
      <c r="J66">
        <f>J7</f>
        <v>0</v>
      </c>
    </row>
    <row r="67" spans="1:10" ht="15" customHeight="1" x14ac:dyDescent="0.45">
      <c r="A67" s="52"/>
      <c r="B67" t="s">
        <v>76</v>
      </c>
      <c r="C67">
        <f>C63-C65-C66</f>
        <v>6661</v>
      </c>
      <c r="D67">
        <f t="shared" ref="D67:J67" si="38">D63-D65-D66</f>
        <v>6651</v>
      </c>
      <c r="E67">
        <f t="shared" si="38"/>
        <v>6201</v>
      </c>
      <c r="F67">
        <f t="shared" si="38"/>
        <v>5907.662096</v>
      </c>
      <c r="G67">
        <f t="shared" si="38"/>
        <v>6334.5353299799999</v>
      </c>
      <c r="H67">
        <f t="shared" si="38"/>
        <v>6932.4785204124</v>
      </c>
      <c r="I67">
        <f t="shared" si="38"/>
        <v>7202.7313663233454</v>
      </c>
      <c r="J67">
        <f t="shared" si="38"/>
        <v>7404.0299867185222</v>
      </c>
    </row>
    <row r="68" spans="1:10" ht="15" customHeight="1" x14ac:dyDescent="0.45">
      <c r="A68" s="52"/>
    </row>
    <row r="69" spans="1:10" ht="15" customHeight="1" x14ac:dyDescent="0.45">
      <c r="A69" s="52"/>
      <c r="B69" t="s">
        <v>77</v>
      </c>
      <c r="C69" s="53">
        <v>934</v>
      </c>
      <c r="D69" s="53">
        <v>605</v>
      </c>
      <c r="E69" s="53">
        <v>1131</v>
      </c>
      <c r="F69">
        <f>F8*F67</f>
        <v>1151.99410872</v>
      </c>
      <c r="G69">
        <f>G8*G67</f>
        <v>1330.2524192957999</v>
      </c>
      <c r="H69">
        <f>H8*H67</f>
        <v>1455.820489286604</v>
      </c>
      <c r="I69">
        <f>I8*I67</f>
        <v>1512.5735869279024</v>
      </c>
      <c r="J69">
        <f>J8*J67</f>
        <v>1554.8462972108896</v>
      </c>
    </row>
    <row r="70" spans="1:10" ht="15" customHeight="1" x14ac:dyDescent="0.45">
      <c r="A70" s="52"/>
      <c r="B70" t="s">
        <v>78</v>
      </c>
      <c r="C70">
        <f>C67-C69</f>
        <v>5727</v>
      </c>
      <c r="D70">
        <f t="shared" ref="D70:E70" si="39">D67-D69</f>
        <v>6046</v>
      </c>
      <c r="E70">
        <f t="shared" si="39"/>
        <v>5070</v>
      </c>
      <c r="F70">
        <f t="shared" ref="F70:G70" si="40">F67-F69</f>
        <v>4755.6679872799996</v>
      </c>
      <c r="G70">
        <f t="shared" si="40"/>
        <v>5004.2829106842</v>
      </c>
      <c r="H70">
        <f t="shared" ref="H70" si="41">H67-H69</f>
        <v>5476.6580311257958</v>
      </c>
      <c r="I70">
        <f t="shared" ref="I70" si="42">I67-I69</f>
        <v>5690.157779395443</v>
      </c>
      <c r="J70">
        <f t="shared" ref="J70" si="43">J67-J69</f>
        <v>5849.1836895076322</v>
      </c>
    </row>
    <row r="71" spans="1:10" ht="15" customHeight="1" x14ac:dyDescent="0.45">
      <c r="A71" s="52"/>
    </row>
    <row r="72" spans="1:10" ht="15" customHeight="1" x14ac:dyDescent="0.45">
      <c r="A72" s="50"/>
      <c r="B72" t="s">
        <v>79</v>
      </c>
      <c r="C72" s="53">
        <v>1573</v>
      </c>
      <c r="D72" s="53">
        <v>1578</v>
      </c>
      <c r="E72" s="53">
        <v>1551.6</v>
      </c>
      <c r="F72">
        <f t="shared" ref="F72" si="44">E72</f>
        <v>1551.6</v>
      </c>
      <c r="G72">
        <f t="shared" ref="G72:J72" si="45">F72</f>
        <v>1551.6</v>
      </c>
      <c r="H72">
        <f t="shared" si="45"/>
        <v>1551.6</v>
      </c>
      <c r="I72">
        <f t="shared" si="45"/>
        <v>1551.6</v>
      </c>
      <c r="J72">
        <f t="shared" si="45"/>
        <v>1551.6</v>
      </c>
    </row>
    <row r="73" spans="1:10" ht="15" customHeight="1" x14ac:dyDescent="0.45">
      <c r="A73" s="50"/>
      <c r="B73" t="s">
        <v>80</v>
      </c>
      <c r="C73" s="59">
        <f>C70/C72</f>
        <v>3.6408137317228224</v>
      </c>
      <c r="D73" s="59">
        <f t="shared" ref="D73:E73" si="46">D70/D72</f>
        <v>3.8314321926489225</v>
      </c>
      <c r="E73" s="59">
        <f t="shared" si="46"/>
        <v>3.2675947409126067</v>
      </c>
      <c r="F73" s="56">
        <f t="shared" ref="F73:G73" si="47">F70/F72</f>
        <v>3.0650090147460687</v>
      </c>
      <c r="G73" s="56">
        <f t="shared" si="47"/>
        <v>3.2252403394458624</v>
      </c>
      <c r="H73" s="56">
        <f t="shared" ref="H73" si="48">H70/H72</f>
        <v>3.5296842170184299</v>
      </c>
      <c r="I73" s="56">
        <f t="shared" ref="I73" si="49">I70/I72</f>
        <v>3.6672839516598628</v>
      </c>
      <c r="J73" s="56">
        <f t="shared" ref="J73" si="50">J70/J72</f>
        <v>3.7697755152794743</v>
      </c>
    </row>
    <row r="74" spans="1:10" ht="15" customHeight="1" x14ac:dyDescent="0.45">
      <c r="A74" s="50"/>
      <c r="B74" t="s">
        <v>81</v>
      </c>
      <c r="C74" s="56"/>
      <c r="D74" s="55">
        <f>D73/C73-1</f>
        <v>5.2356004720928162E-2</v>
      </c>
      <c r="E74" s="55">
        <f t="shared" ref="E74" si="51">E73/D73-1</f>
        <v>-0.14716101535559156</v>
      </c>
      <c r="F74" s="55">
        <f t="shared" ref="F74:G74" si="52">F73/E73-1</f>
        <v>-6.1998424599605584E-2</v>
      </c>
      <c r="G74" s="55">
        <f t="shared" si="52"/>
        <v>5.2277603076827717E-2</v>
      </c>
      <c r="H74" s="55">
        <f t="shared" ref="H74" si="53">H73/G73-1</f>
        <v>9.439416773041942E-2</v>
      </c>
      <c r="I74" s="55">
        <f t="shared" ref="I74" si="54">I73/H73-1</f>
        <v>3.8983582151058682E-2</v>
      </c>
      <c r="J74" s="55">
        <f t="shared" ref="J74" si="55">J73/I73-1</f>
        <v>2.7947539642580121E-2</v>
      </c>
    </row>
    <row r="75" spans="1:10" ht="15" customHeight="1" x14ac:dyDescent="0.45">
      <c r="A75" s="50"/>
      <c r="C75" s="56"/>
      <c r="D75" s="55"/>
      <c r="E75" s="55"/>
      <c r="F75" s="55"/>
      <c r="G75" s="55"/>
      <c r="H75" s="55"/>
      <c r="I75" s="55"/>
      <c r="J75" s="55"/>
    </row>
    <row r="76" spans="1:10" ht="15" customHeight="1" x14ac:dyDescent="0.45">
      <c r="A76" s="50"/>
      <c r="B76" t="s">
        <v>82</v>
      </c>
      <c r="C76" s="57">
        <f>1.07</f>
        <v>1.07</v>
      </c>
      <c r="D76" s="57">
        <v>1.19</v>
      </c>
      <c r="E76" s="57">
        <v>1.325</v>
      </c>
      <c r="F76" s="56">
        <f>(1+F13)*E76</f>
        <v>1.4045000000000001</v>
      </c>
      <c r="G76" s="56">
        <f>(1+G13)*F76</f>
        <v>1.4747250000000001</v>
      </c>
      <c r="H76" s="56">
        <f>(1+H13)*G76</f>
        <v>1.533714</v>
      </c>
      <c r="I76" s="56">
        <f>(1+I13)*H76</f>
        <v>1.5797254200000002</v>
      </c>
      <c r="J76" s="56">
        <f>(1+J13)*I76</f>
        <v>1.6271171826000002</v>
      </c>
    </row>
    <row r="77" spans="1:10" ht="15" customHeight="1" x14ac:dyDescent="0.45">
      <c r="A77" s="50"/>
      <c r="B77" t="s">
        <v>83</v>
      </c>
      <c r="C77" s="55">
        <f>C76/C73</f>
        <v>0.29389034398463421</v>
      </c>
      <c r="D77" s="55">
        <f t="shared" ref="D77:E77" si="56">D76/D73</f>
        <v>0.31058881905391994</v>
      </c>
      <c r="E77" s="55">
        <f t="shared" si="56"/>
        <v>0.40549704142011828</v>
      </c>
      <c r="F77" s="55">
        <f t="shared" ref="F77:G77" si="57">F76/F73</f>
        <v>0.45823682515868908</v>
      </c>
      <c r="G77" s="55">
        <f t="shared" si="57"/>
        <v>0.45724499410588937</v>
      </c>
      <c r="H77" s="55">
        <f t="shared" ref="H77" si="58">H76/H73</f>
        <v>0.43451875740191515</v>
      </c>
      <c r="I77" s="55">
        <f t="shared" ref="I77" si="59">I76/I73</f>
        <v>0.43076168652961677</v>
      </c>
      <c r="J77" s="55">
        <f t="shared" ref="J77" si="60">J76/J73</f>
        <v>0.43162177058157614</v>
      </c>
    </row>
    <row r="78" spans="1:10" ht="15" customHeight="1" x14ac:dyDescent="0.45">
      <c r="A78" s="52"/>
      <c r="C78" s="54"/>
      <c r="D78" s="54"/>
      <c r="E78" s="54"/>
    </row>
    <row r="79" spans="1:10" ht="15" customHeight="1" x14ac:dyDescent="0.45">
      <c r="A79" s="50" t="s">
        <v>84</v>
      </c>
      <c r="C79" s="54"/>
      <c r="D79" s="54"/>
      <c r="E79" s="54"/>
    </row>
    <row r="80" spans="1:10" ht="15" customHeight="1" x14ac:dyDescent="0.45">
      <c r="A80" s="50"/>
      <c r="B80" t="s">
        <v>85</v>
      </c>
      <c r="C80" s="54">
        <v>9889</v>
      </c>
      <c r="D80" s="54">
        <v>8574</v>
      </c>
      <c r="E80" s="54">
        <v>7441</v>
      </c>
      <c r="F80">
        <f t="shared" ref="F80" si="61">MAX(0,F127)</f>
        <v>9717.8098731983991</v>
      </c>
      <c r="G80">
        <f t="shared" ref="G80:J80" si="62">MAX(0,G127)</f>
        <v>12033.543727089278</v>
      </c>
      <c r="H80">
        <f t="shared" si="62"/>
        <v>13576.205336269646</v>
      </c>
      <c r="I80">
        <f t="shared" si="62"/>
        <v>15279.796689722787</v>
      </c>
      <c r="J80">
        <f t="shared" si="62"/>
        <v>18128.376887399365</v>
      </c>
    </row>
    <row r="81" spans="1:10" ht="15" customHeight="1" x14ac:dyDescent="0.45">
      <c r="A81" s="50"/>
      <c r="B81" t="s">
        <v>86</v>
      </c>
      <c r="C81" s="54">
        <v>3587</v>
      </c>
      <c r="D81" s="54">
        <v>4423</v>
      </c>
      <c r="E81" s="54">
        <v>3234</v>
      </c>
      <c r="F81">
        <f>F16+E81</f>
        <v>3234</v>
      </c>
      <c r="G81">
        <f>G16+F81</f>
        <v>3234</v>
      </c>
      <c r="H81">
        <f>H16+G81</f>
        <v>3234</v>
      </c>
      <c r="I81">
        <f>I16+H81</f>
        <v>3234</v>
      </c>
      <c r="J81">
        <f>J16+I81</f>
        <v>3234</v>
      </c>
    </row>
    <row r="82" spans="1:10" ht="15" customHeight="1" x14ac:dyDescent="0.45">
      <c r="A82" s="50"/>
      <c r="B82" t="s">
        <v>62</v>
      </c>
      <c r="C82" s="54">
        <v>4463</v>
      </c>
      <c r="D82" s="54">
        <v>4667</v>
      </c>
      <c r="E82" s="54">
        <v>4131</v>
      </c>
      <c r="F82">
        <f>F17*F58</f>
        <v>4190.0627699999995</v>
      </c>
      <c r="G82">
        <f>G17*G58</f>
        <v>4315.7646531</v>
      </c>
      <c r="H82">
        <f>H17*H58</f>
        <v>4531.5528857550007</v>
      </c>
      <c r="I82">
        <f>I17*I58</f>
        <v>4712.8150011852013</v>
      </c>
      <c r="J82">
        <f>J17*J58</f>
        <v>4854.1994512207566</v>
      </c>
    </row>
    <row r="83" spans="1:10" ht="15" customHeight="1" x14ac:dyDescent="0.45">
      <c r="A83" s="50"/>
      <c r="B83" t="s">
        <v>63</v>
      </c>
      <c r="C83" s="54">
        <v>6854</v>
      </c>
      <c r="D83" s="54">
        <v>8420</v>
      </c>
      <c r="E83" s="54">
        <v>8454</v>
      </c>
      <c r="F83">
        <f>F18*(F58-F59)</f>
        <v>8452.5463779999991</v>
      </c>
      <c r="G83">
        <f>G18*(G58-G59)</f>
        <v>8655.5057764949997</v>
      </c>
      <c r="H83">
        <f>H18*(H58-H59)</f>
        <v>9035.1332228325009</v>
      </c>
      <c r="I83">
        <f>I18*(I58-I59)</f>
        <v>9396.5385517458035</v>
      </c>
      <c r="J83">
        <f>J18*(J58-J59)</f>
        <v>9678.4347082981767</v>
      </c>
    </row>
    <row r="84" spans="1:10" ht="15" customHeight="1" x14ac:dyDescent="0.45">
      <c r="A84" s="50"/>
      <c r="B84" t="s">
        <v>64</v>
      </c>
      <c r="C84" s="54">
        <v>1498</v>
      </c>
      <c r="D84" s="54">
        <v>2129</v>
      </c>
      <c r="E84" s="54">
        <v>1942</v>
      </c>
      <c r="F84">
        <f>F19*(F58-F59)</f>
        <v>2001.9188789999998</v>
      </c>
      <c r="G84">
        <f>G19*(G58-G59)</f>
        <v>2049.9882102225001</v>
      </c>
      <c r="H84">
        <f>H19*(H58-H59)</f>
        <v>2139.8999738287503</v>
      </c>
      <c r="I84">
        <f>I19*(I58-I59)</f>
        <v>2225.4959727819005</v>
      </c>
      <c r="J84">
        <f>J19*(J58-J59)</f>
        <v>2292.2608519653572</v>
      </c>
    </row>
    <row r="85" spans="1:10" ht="15" customHeight="1" x14ac:dyDescent="0.45">
      <c r="A85" s="50"/>
      <c r="B85" t="s">
        <v>87</v>
      </c>
      <c r="C85">
        <f t="shared" ref="C85:E85" si="63">SUM(C80:C84)</f>
        <v>26291</v>
      </c>
      <c r="D85">
        <f t="shared" si="63"/>
        <v>28213</v>
      </c>
      <c r="E85">
        <f t="shared" si="63"/>
        <v>25202</v>
      </c>
      <c r="F85">
        <f t="shared" ref="F85:G85" si="64">SUM(F80:F84)</f>
        <v>27596.337900198399</v>
      </c>
      <c r="G85">
        <f t="shared" si="64"/>
        <v>30288.802366906777</v>
      </c>
      <c r="H85">
        <f t="shared" ref="H85" si="65">SUM(H80:H84)</f>
        <v>32516.791418685898</v>
      </c>
      <c r="I85">
        <f t="shared" ref="I85" si="66">SUM(I80:I84)</f>
        <v>34848.646215435692</v>
      </c>
      <c r="J85">
        <f t="shared" ref="J85" si="67">SUM(J80:J84)</f>
        <v>38187.271898883657</v>
      </c>
    </row>
    <row r="86" spans="1:10" ht="15" customHeight="1" x14ac:dyDescent="0.45">
      <c r="A86" s="52"/>
    </row>
    <row r="87" spans="1:10" ht="15" customHeight="1" x14ac:dyDescent="0.45">
      <c r="A87" s="50"/>
      <c r="B87" t="s">
        <v>88</v>
      </c>
      <c r="C87" s="54">
        <f>4904+269</f>
        <v>5173</v>
      </c>
      <c r="D87" s="54">
        <v>5077</v>
      </c>
      <c r="E87" s="54">
        <v>5355</v>
      </c>
      <c r="F87">
        <f>F36</f>
        <v>5634.5283999999992</v>
      </c>
      <c r="G87">
        <f>G36</f>
        <v>5905.6807976</v>
      </c>
      <c r="H87">
        <f>H36</f>
        <v>6191.8817522384006</v>
      </c>
      <c r="I87">
        <f>I36</f>
        <v>6482.4844501567859</v>
      </c>
      <c r="J87">
        <f>J36</f>
        <v>6767.021908418199</v>
      </c>
    </row>
    <row r="88" spans="1:10" ht="15" customHeight="1" x14ac:dyDescent="0.45">
      <c r="A88" s="50"/>
      <c r="B88" t="s">
        <v>56</v>
      </c>
      <c r="C88" s="54">
        <v>3113</v>
      </c>
      <c r="D88" s="53">
        <v>2926</v>
      </c>
      <c r="E88" s="54">
        <v>2923</v>
      </c>
      <c r="F88">
        <f>F39</f>
        <v>2898.5168720000001</v>
      </c>
      <c r="G88">
        <f>G39</f>
        <v>2994.1123781599999</v>
      </c>
      <c r="H88">
        <f>H39</f>
        <v>3158.2179970680008</v>
      </c>
      <c r="I88">
        <f>I39</f>
        <v>3296.066716950721</v>
      </c>
      <c r="J88">
        <f>J39</f>
        <v>3403.588718459242</v>
      </c>
    </row>
    <row r="89" spans="1:10" ht="15" customHeight="1" x14ac:dyDescent="0.45">
      <c r="A89" s="50"/>
      <c r="B89" t="s">
        <v>89</v>
      </c>
      <c r="C89" s="54">
        <f>242+2921</f>
        <v>3163</v>
      </c>
      <c r="D89" s="54">
        <v>4105</v>
      </c>
      <c r="E89" s="54">
        <v>4051</v>
      </c>
      <c r="F89">
        <f>F20+E89</f>
        <v>4051</v>
      </c>
      <c r="G89">
        <f>G20+F89</f>
        <v>4051</v>
      </c>
      <c r="H89">
        <f>H20+G89</f>
        <v>4051</v>
      </c>
      <c r="I89">
        <f>I20+H89</f>
        <v>4051</v>
      </c>
      <c r="J89">
        <f>J20+I89</f>
        <v>4051</v>
      </c>
    </row>
    <row r="90" spans="1:10" ht="15" customHeight="1" x14ac:dyDescent="0.45">
      <c r="A90" s="50"/>
      <c r="B90" t="s">
        <v>90</v>
      </c>
      <c r="C90">
        <f>SUM(C87:C89)+C85</f>
        <v>37740</v>
      </c>
      <c r="D90">
        <f>SUM(D87:D89)+D85</f>
        <v>40321</v>
      </c>
      <c r="E90">
        <f>SUM(E87:E89)+E85</f>
        <v>37531</v>
      </c>
      <c r="F90">
        <f t="shared" ref="F90:G90" si="68">SUM(F87:F89)+F85</f>
        <v>40180.383172198402</v>
      </c>
      <c r="G90">
        <f t="shared" si="68"/>
        <v>43239.595542666779</v>
      </c>
      <c r="H90">
        <f t="shared" ref="H90" si="69">SUM(H87:H89)+H85</f>
        <v>45917.891167992304</v>
      </c>
      <c r="I90">
        <f t="shared" ref="I90" si="70">SUM(I87:I89)+I85</f>
        <v>48678.1973825432</v>
      </c>
      <c r="J90">
        <f t="shared" ref="J90" si="71">SUM(J87:J89)+J85</f>
        <v>52408.882525761102</v>
      </c>
    </row>
    <row r="91" spans="1:10" ht="15" customHeight="1" x14ac:dyDescent="0.45">
      <c r="A91" s="52"/>
    </row>
    <row r="92" spans="1:10" ht="15" customHeight="1" x14ac:dyDescent="0.45">
      <c r="A92" s="50"/>
      <c r="B92" t="s">
        <v>91</v>
      </c>
      <c r="C92" s="54">
        <v>2</v>
      </c>
      <c r="D92" s="54">
        <v>510</v>
      </c>
      <c r="E92" s="54">
        <v>6</v>
      </c>
      <c r="F92">
        <f t="shared" ref="F92" si="72">-MIN(F127,0)</f>
        <v>0</v>
      </c>
      <c r="G92">
        <f t="shared" ref="G92:J92" si="73">-MIN(G127,0)</f>
        <v>0</v>
      </c>
      <c r="H92">
        <f t="shared" si="73"/>
        <v>0</v>
      </c>
      <c r="I92">
        <f t="shared" si="73"/>
        <v>0</v>
      </c>
      <c r="J92">
        <f t="shared" si="73"/>
        <v>0</v>
      </c>
    </row>
    <row r="93" spans="1:10" ht="15" customHeight="1" x14ac:dyDescent="0.45">
      <c r="A93" s="50"/>
      <c r="B93" t="s">
        <v>65</v>
      </c>
      <c r="C93" s="54">
        <v>2836</v>
      </c>
      <c r="D93" s="54">
        <v>3358</v>
      </c>
      <c r="E93" s="54">
        <v>2862</v>
      </c>
      <c r="F93">
        <f>F21*(F58-F59)</f>
        <v>2891.6606029999998</v>
      </c>
      <c r="G93">
        <f>G21*(G58-G59)</f>
        <v>2961.0940814325004</v>
      </c>
      <c r="H93">
        <f>H21*(H58-H59)</f>
        <v>3090.9666288637504</v>
      </c>
      <c r="I93">
        <f>I21*(I58-I59)</f>
        <v>3214.6052940183008</v>
      </c>
      <c r="J93">
        <f>J21*(J58-J59)</f>
        <v>3311.0434528388496</v>
      </c>
    </row>
    <row r="94" spans="1:10" ht="15" customHeight="1" x14ac:dyDescent="0.45">
      <c r="A94" s="50"/>
      <c r="B94" t="s">
        <v>66</v>
      </c>
      <c r="C94" s="54">
        <v>306</v>
      </c>
      <c r="D94" s="54">
        <v>222</v>
      </c>
      <c r="E94" s="54">
        <v>240</v>
      </c>
      <c r="F94">
        <f>F22*F69</f>
        <v>253.43870391839999</v>
      </c>
      <c r="G94">
        <f>G22*G69</f>
        <v>292.65553224507596</v>
      </c>
      <c r="H94">
        <f>H22*H69</f>
        <v>320.28050764305289</v>
      </c>
      <c r="I94">
        <f>I22*I69</f>
        <v>332.76618912413852</v>
      </c>
      <c r="J94">
        <f>J22*J69</f>
        <v>342.06618538639572</v>
      </c>
    </row>
    <row r="95" spans="1:10" ht="15" customHeight="1" x14ac:dyDescent="0.45">
      <c r="A95" s="50"/>
      <c r="B95" t="s">
        <v>67</v>
      </c>
      <c r="C95" s="54">
        <v>6063</v>
      </c>
      <c r="D95" s="54">
        <v>6220</v>
      </c>
      <c r="E95" s="54">
        <v>5723</v>
      </c>
      <c r="F95">
        <f>F23*(F58-F59)</f>
        <v>5783.3212059999996</v>
      </c>
      <c r="G95">
        <f>G23*(G58-G59)</f>
        <v>5922.1881628650008</v>
      </c>
      <c r="H95">
        <f>H23*(H58-H59)</f>
        <v>6181.9332577275009</v>
      </c>
      <c r="I95">
        <f>I23*(I58-I59)</f>
        <v>6429.2105880366016</v>
      </c>
      <c r="J95">
        <f>J23*(J58-J59)</f>
        <v>6622.0869056776992</v>
      </c>
    </row>
    <row r="96" spans="1:10" ht="15" customHeight="1" x14ac:dyDescent="0.45">
      <c r="A96" s="50"/>
      <c r="B96" t="s">
        <v>92</v>
      </c>
      <c r="C96">
        <f>SUM(C92:C95)</f>
        <v>9207</v>
      </c>
      <c r="D96">
        <f>SUM(D92:D95)</f>
        <v>10310</v>
      </c>
      <c r="E96">
        <f t="shared" ref="E96" si="74">SUM(E92:E95)</f>
        <v>8831</v>
      </c>
      <c r="F96">
        <f t="shared" ref="F96:G96" si="75">SUM(F92:F95)</f>
        <v>8928.4205129183993</v>
      </c>
      <c r="G96">
        <f t="shared" si="75"/>
        <v>9175.9377765425779</v>
      </c>
      <c r="H96">
        <f t="shared" ref="H96" si="76">SUM(H92:H95)</f>
        <v>9593.1803942343031</v>
      </c>
      <c r="I96">
        <f t="shared" ref="I96" si="77">SUM(I92:I95)</f>
        <v>9976.5820711790402</v>
      </c>
      <c r="J96">
        <f t="shared" ref="J96" si="78">SUM(J92:J95)</f>
        <v>10275.196543902945</v>
      </c>
    </row>
    <row r="97" spans="1:10" ht="15" customHeight="1" x14ac:dyDescent="0.45">
      <c r="A97" s="52"/>
    </row>
    <row r="98" spans="1:10" ht="15" customHeight="1" x14ac:dyDescent="0.45">
      <c r="A98" s="50"/>
      <c r="B98" t="s">
        <v>93</v>
      </c>
      <c r="C98" s="54">
        <v>9413</v>
      </c>
      <c r="D98" s="54">
        <v>8920</v>
      </c>
      <c r="E98" s="54">
        <v>8927</v>
      </c>
      <c r="F98">
        <f>F26+E98</f>
        <v>8927</v>
      </c>
      <c r="G98">
        <f>G26+F98</f>
        <v>8927</v>
      </c>
      <c r="H98">
        <f>H26+G98</f>
        <v>7927</v>
      </c>
      <c r="I98">
        <f>I26+H98</f>
        <v>6927</v>
      </c>
      <c r="J98">
        <f>J26+I98</f>
        <v>6927</v>
      </c>
    </row>
    <row r="99" spans="1:10" ht="15" customHeight="1" x14ac:dyDescent="0.45">
      <c r="A99" s="50"/>
      <c r="B99" t="s">
        <v>55</v>
      </c>
      <c r="C99" s="54">
        <f>2931+467</f>
        <v>3398</v>
      </c>
      <c r="D99" s="54">
        <v>3197</v>
      </c>
      <c r="E99" s="54">
        <v>3211</v>
      </c>
      <c r="F99">
        <f t="shared" ref="F99" si="79">F38</f>
        <v>3186.5168720000001</v>
      </c>
      <c r="G99">
        <f t="shared" ref="G99:J99" si="80">G38</f>
        <v>3282.1123781599999</v>
      </c>
      <c r="H99">
        <f t="shared" si="80"/>
        <v>3446.2179970680004</v>
      </c>
      <c r="I99">
        <f t="shared" si="80"/>
        <v>3584.0667169507205</v>
      </c>
      <c r="J99">
        <f t="shared" si="80"/>
        <v>3691.588718459242</v>
      </c>
    </row>
    <row r="100" spans="1:10" ht="15" customHeight="1" x14ac:dyDescent="0.45">
      <c r="A100" s="50"/>
      <c r="B100" t="s">
        <v>94</v>
      </c>
      <c r="C100" s="54">
        <v>2955</v>
      </c>
      <c r="D100" s="54">
        <v>2613</v>
      </c>
      <c r="E100" s="54">
        <v>2558</v>
      </c>
      <c r="F100">
        <f>F24+E100</f>
        <v>2558</v>
      </c>
      <c r="G100">
        <f>G24+F100</f>
        <v>2558</v>
      </c>
      <c r="H100">
        <f>H24+G100</f>
        <v>2558</v>
      </c>
      <c r="I100">
        <f>I24+H100</f>
        <v>2558</v>
      </c>
      <c r="J100">
        <f>J24+I100</f>
        <v>2558</v>
      </c>
    </row>
    <row r="101" spans="1:10" ht="15" customHeight="1" x14ac:dyDescent="0.45">
      <c r="A101" s="50"/>
      <c r="B101" t="s">
        <v>95</v>
      </c>
      <c r="C101">
        <f t="shared" ref="C101:E101" si="81">SUM(C98:C100)+C96</f>
        <v>24973</v>
      </c>
      <c r="D101">
        <f t="shared" si="81"/>
        <v>25040</v>
      </c>
      <c r="E101">
        <f t="shared" si="81"/>
        <v>23527</v>
      </c>
      <c r="F101">
        <f>SUM(F98:F100)+F96</f>
        <v>23599.937384918398</v>
      </c>
      <c r="G101">
        <f t="shared" ref="G101" si="82">SUM(G98:G100)+G96</f>
        <v>23943.050154702578</v>
      </c>
      <c r="H101">
        <f t="shared" ref="H101" si="83">SUM(H98:H100)+H96</f>
        <v>23524.398391302304</v>
      </c>
      <c r="I101">
        <f t="shared" ref="I101" si="84">SUM(I98:I100)+I96</f>
        <v>23045.648788129762</v>
      </c>
      <c r="J101">
        <f t="shared" ref="J101" si="85">SUM(J98:J100)+J96</f>
        <v>23451.785262362187</v>
      </c>
    </row>
    <row r="102" spans="1:10" ht="15" customHeight="1" x14ac:dyDescent="0.45">
      <c r="A102" s="52"/>
    </row>
    <row r="103" spans="1:10" ht="15" customHeight="1" x14ac:dyDescent="0.45">
      <c r="A103" s="50"/>
      <c r="B103" t="s">
        <v>96</v>
      </c>
      <c r="C103" s="54">
        <v>12767</v>
      </c>
      <c r="D103" s="54">
        <v>15281</v>
      </c>
      <c r="E103" s="54">
        <v>14004</v>
      </c>
      <c r="F103">
        <f t="shared" ref="F103:J103" si="86">F46</f>
        <v>16580.445787280001</v>
      </c>
      <c r="G103">
        <f t="shared" si="86"/>
        <v>19296.545387964201</v>
      </c>
      <c r="H103">
        <f t="shared" si="86"/>
        <v>22393.492776689996</v>
      </c>
      <c r="I103">
        <f t="shared" si="86"/>
        <v>25632.548594413438</v>
      </c>
      <c r="J103">
        <f t="shared" si="86"/>
        <v>28957.097263398908</v>
      </c>
    </row>
    <row r="104" spans="1:10" ht="15" customHeight="1" x14ac:dyDescent="0.45">
      <c r="A104" s="50"/>
      <c r="B104" t="s">
        <v>97</v>
      </c>
      <c r="C104">
        <f>C101+C103</f>
        <v>37740</v>
      </c>
      <c r="D104">
        <f>D101+D103</f>
        <v>40321</v>
      </c>
      <c r="E104">
        <f>E101+E103</f>
        <v>37531</v>
      </c>
      <c r="F104">
        <f t="shared" ref="F104:G104" si="87">F101+SUM(F103:F103)</f>
        <v>40180.383172198402</v>
      </c>
      <c r="G104">
        <f t="shared" si="87"/>
        <v>43239.595542666779</v>
      </c>
      <c r="H104">
        <f t="shared" ref="H104" si="88">H101+SUM(H103:H103)</f>
        <v>45917.891167992304</v>
      </c>
      <c r="I104">
        <f t="shared" ref="I104" si="89">I101+SUM(I103:I103)</f>
        <v>48678.1973825432</v>
      </c>
      <c r="J104">
        <f t="shared" ref="J104" si="90">J101+SUM(J103:J103)</f>
        <v>52408.882525761095</v>
      </c>
    </row>
    <row r="105" spans="1:10" ht="15" customHeight="1" x14ac:dyDescent="0.45">
      <c r="A105" s="52"/>
    </row>
    <row r="106" spans="1:10" ht="15" customHeight="1" x14ac:dyDescent="0.45">
      <c r="A106" s="50"/>
      <c r="B106" t="s">
        <v>98</v>
      </c>
      <c r="C106">
        <f>C90-C104</f>
        <v>0</v>
      </c>
      <c r="D106">
        <f t="shared" ref="D106:J106" si="91">D90-D104</f>
        <v>0</v>
      </c>
      <c r="E106">
        <f t="shared" si="91"/>
        <v>0</v>
      </c>
      <c r="F106">
        <f t="shared" si="91"/>
        <v>0</v>
      </c>
      <c r="G106">
        <f t="shared" si="91"/>
        <v>0</v>
      </c>
      <c r="H106">
        <f t="shared" si="91"/>
        <v>0</v>
      </c>
      <c r="I106">
        <f t="shared" si="91"/>
        <v>0</v>
      </c>
      <c r="J106">
        <f t="shared" si="91"/>
        <v>0</v>
      </c>
    </row>
    <row r="107" spans="1:10" ht="15" customHeight="1" x14ac:dyDescent="0.45">
      <c r="A107" s="52"/>
    </row>
    <row r="108" spans="1:10" ht="15" customHeight="1" x14ac:dyDescent="0.45">
      <c r="A108" s="50" t="s">
        <v>99</v>
      </c>
    </row>
    <row r="109" spans="1:10" ht="15" customHeight="1" x14ac:dyDescent="0.45">
      <c r="A109"/>
      <c r="B109" t="s">
        <v>78</v>
      </c>
      <c r="F109">
        <f t="shared" ref="F109" si="92">F70</f>
        <v>4755.6679872799996</v>
      </c>
      <c r="G109">
        <f t="shared" ref="G109:J109" si="93">G70</f>
        <v>5004.2829106842</v>
      </c>
      <c r="H109">
        <f t="shared" si="93"/>
        <v>5476.6580311257958</v>
      </c>
      <c r="I109">
        <f t="shared" si="93"/>
        <v>5690.157779395443</v>
      </c>
      <c r="J109">
        <f t="shared" si="93"/>
        <v>5849.1836895076322</v>
      </c>
    </row>
    <row r="110" spans="1:10" ht="15" customHeight="1" x14ac:dyDescent="0.45">
      <c r="A110"/>
      <c r="B110" s="51" t="s">
        <v>100</v>
      </c>
      <c r="C110" s="51"/>
      <c r="F110">
        <f>F62</f>
        <v>755.05499999999995</v>
      </c>
      <c r="G110">
        <f t="shared" ref="G110:J110" si="94">G62</f>
        <v>794.4685043999998</v>
      </c>
      <c r="H110">
        <f t="shared" si="94"/>
        <v>832.70099246159987</v>
      </c>
      <c r="I110">
        <f t="shared" si="94"/>
        <v>873.05532706561439</v>
      </c>
      <c r="J110">
        <f t="shared" si="94"/>
        <v>914.03030747210676</v>
      </c>
    </row>
    <row r="111" spans="1:10" ht="15" customHeight="1" x14ac:dyDescent="0.45">
      <c r="A111"/>
      <c r="B111" t="s">
        <v>101</v>
      </c>
      <c r="F111">
        <f t="shared" ref="F111" si="95">E55-F55</f>
        <v>-14.107514081601039</v>
      </c>
      <c r="G111">
        <f t="shared" ref="G111:J111" si="96">F55-G55</f>
        <v>-129.21334919332003</v>
      </c>
      <c r="H111">
        <f t="shared" si="96"/>
        <v>-268.08482490702772</v>
      </c>
      <c r="I111">
        <f t="shared" si="96"/>
        <v>-244.86176635191623</v>
      </c>
      <c r="J111">
        <f t="shared" si="96"/>
        <v>-191.43101304748234</v>
      </c>
    </row>
    <row r="112" spans="1:10" ht="15" customHeight="1" x14ac:dyDescent="0.45">
      <c r="A112"/>
      <c r="B112" t="s">
        <v>102</v>
      </c>
      <c r="F112">
        <f t="shared" ref="F112" si="97">E89-F89</f>
        <v>0</v>
      </c>
      <c r="G112">
        <f t="shared" ref="G112:J112" si="98">F89-G89</f>
        <v>0</v>
      </c>
      <c r="H112">
        <f t="shared" si="98"/>
        <v>0</v>
      </c>
      <c r="I112">
        <f t="shared" si="98"/>
        <v>0</v>
      </c>
      <c r="J112">
        <f t="shared" si="98"/>
        <v>0</v>
      </c>
    </row>
    <row r="113" spans="1:10" ht="15" customHeight="1" x14ac:dyDescent="0.45">
      <c r="A113"/>
      <c r="B113" t="s">
        <v>103</v>
      </c>
      <c r="F113">
        <f t="shared" ref="F113" si="99">F100-E100</f>
        <v>0</v>
      </c>
      <c r="G113">
        <f t="shared" ref="G113:J113" si="100">G100-F100</f>
        <v>0</v>
      </c>
      <c r="H113">
        <f t="shared" si="100"/>
        <v>0</v>
      </c>
      <c r="I113">
        <f t="shared" si="100"/>
        <v>0</v>
      </c>
      <c r="J113">
        <f t="shared" si="100"/>
        <v>0</v>
      </c>
    </row>
    <row r="114" spans="1:10" ht="15" customHeight="1" x14ac:dyDescent="0.45">
      <c r="A114"/>
      <c r="B114" t="s">
        <v>104</v>
      </c>
      <c r="F114">
        <f t="shared" ref="F114:J114" si="101">SUM(F109:F113)</f>
        <v>5496.6154731983988</v>
      </c>
      <c r="G114">
        <f t="shared" si="101"/>
        <v>5669.5380658908798</v>
      </c>
      <c r="H114">
        <f t="shared" si="101"/>
        <v>6041.2741986803676</v>
      </c>
      <c r="I114">
        <f t="shared" si="101"/>
        <v>6318.3513401091413</v>
      </c>
      <c r="J114">
        <f t="shared" si="101"/>
        <v>6571.7829839322567</v>
      </c>
    </row>
    <row r="115" spans="1:10" ht="15" customHeight="1" x14ac:dyDescent="0.45">
      <c r="A115"/>
    </row>
    <row r="116" spans="1:10" ht="15" customHeight="1" x14ac:dyDescent="0.45">
      <c r="A116"/>
      <c r="B116" t="s">
        <v>52</v>
      </c>
      <c r="F116">
        <f>F34*-1</f>
        <v>-1034.5834</v>
      </c>
      <c r="G116">
        <f>G34*-1</f>
        <v>-1065.6209020000001</v>
      </c>
      <c r="H116">
        <f>H34*-1</f>
        <v>-1118.9019471000001</v>
      </c>
      <c r="I116">
        <f>I34*-1</f>
        <v>-1163.6580249840003</v>
      </c>
      <c r="J116">
        <f>J34*-1</f>
        <v>-1198.5677657335202</v>
      </c>
    </row>
    <row r="117" spans="1:10" ht="15" customHeight="1" x14ac:dyDescent="0.45">
      <c r="A117"/>
      <c r="B117" t="s">
        <v>105</v>
      </c>
      <c r="F117">
        <f t="shared" ref="F117" si="102">E81-F81</f>
        <v>0</v>
      </c>
      <c r="G117">
        <f t="shared" ref="G117:J117" si="103">F81-G81</f>
        <v>0</v>
      </c>
      <c r="H117">
        <f t="shared" si="103"/>
        <v>0</v>
      </c>
      <c r="I117">
        <f t="shared" si="103"/>
        <v>0</v>
      </c>
      <c r="J117">
        <f t="shared" si="103"/>
        <v>0</v>
      </c>
    </row>
    <row r="118" spans="1:10" ht="15" customHeight="1" x14ac:dyDescent="0.45">
      <c r="A118"/>
      <c r="B118" t="s">
        <v>106</v>
      </c>
      <c r="F118">
        <f t="shared" ref="F118:J118" si="104">SUM(F116:F117)</f>
        <v>-1034.5834</v>
      </c>
      <c r="G118">
        <f t="shared" si="104"/>
        <v>-1065.6209020000001</v>
      </c>
      <c r="H118">
        <f t="shared" si="104"/>
        <v>-1118.9019471000001</v>
      </c>
      <c r="I118">
        <f t="shared" si="104"/>
        <v>-1163.6580249840003</v>
      </c>
      <c r="J118">
        <f t="shared" si="104"/>
        <v>-1198.5677657335202</v>
      </c>
    </row>
    <row r="119" spans="1:10" ht="15" customHeight="1" x14ac:dyDescent="0.45">
      <c r="A119"/>
    </row>
    <row r="120" spans="1:10" ht="15" customHeight="1" x14ac:dyDescent="0.45">
      <c r="A120"/>
      <c r="B120" t="s">
        <v>107</v>
      </c>
      <c r="F120">
        <f t="shared" ref="F120" si="105">F98-E98</f>
        <v>0</v>
      </c>
      <c r="G120">
        <f t="shared" ref="G120:J120" si="106">G98-F98</f>
        <v>0</v>
      </c>
      <c r="H120">
        <f t="shared" si="106"/>
        <v>-1000</v>
      </c>
      <c r="I120">
        <f t="shared" si="106"/>
        <v>-1000</v>
      </c>
      <c r="J120">
        <f t="shared" si="106"/>
        <v>0</v>
      </c>
    </row>
    <row r="121" spans="1:10" ht="15" customHeight="1" x14ac:dyDescent="0.45">
      <c r="A121"/>
      <c r="B121" t="s">
        <v>108</v>
      </c>
      <c r="F121">
        <f t="shared" ref="F121" si="107">F44</f>
        <v>-2179.2222000000002</v>
      </c>
      <c r="G121">
        <f t="shared" ref="G121:J121" si="108">G44</f>
        <v>-2288.1833099999999</v>
      </c>
      <c r="H121">
        <f t="shared" si="108"/>
        <v>-2379.7106423999999</v>
      </c>
      <c r="I121">
        <f t="shared" si="108"/>
        <v>-2451.101961672</v>
      </c>
      <c r="J121">
        <f t="shared" si="108"/>
        <v>-2524.6350205221602</v>
      </c>
    </row>
    <row r="122" spans="1:10" ht="15" customHeight="1" x14ac:dyDescent="0.45">
      <c r="A122"/>
      <c r="B122" t="s">
        <v>35</v>
      </c>
      <c r="F122">
        <f t="shared" ref="F122" si="109">F45</f>
        <v>0</v>
      </c>
      <c r="G122">
        <f t="shared" ref="G122:J122" si="110">G45</f>
        <v>0</v>
      </c>
      <c r="H122">
        <f t="shared" si="110"/>
        <v>0</v>
      </c>
      <c r="I122">
        <f t="shared" si="110"/>
        <v>0</v>
      </c>
      <c r="J122">
        <f t="shared" si="110"/>
        <v>0</v>
      </c>
    </row>
    <row r="123" spans="1:10" ht="15" customHeight="1" x14ac:dyDescent="0.45">
      <c r="A123"/>
      <c r="B123" t="s">
        <v>109</v>
      </c>
      <c r="F123">
        <f t="shared" ref="F123:J123" si="111">SUM(F120:F122)</f>
        <v>-2179.2222000000002</v>
      </c>
      <c r="G123">
        <f t="shared" si="111"/>
        <v>-2288.1833099999999</v>
      </c>
      <c r="H123">
        <f t="shared" si="111"/>
        <v>-3379.7106423999999</v>
      </c>
      <c r="I123">
        <f t="shared" si="111"/>
        <v>-3451.101961672</v>
      </c>
      <c r="J123">
        <f t="shared" si="111"/>
        <v>-2524.6350205221602</v>
      </c>
    </row>
    <row r="124" spans="1:10" ht="15" customHeight="1" x14ac:dyDescent="0.45">
      <c r="A124"/>
    </row>
    <row r="125" spans="1:10" ht="15" customHeight="1" x14ac:dyDescent="0.45">
      <c r="A125"/>
      <c r="B125" t="s">
        <v>110</v>
      </c>
      <c r="F125">
        <f t="shared" ref="F125" si="112">E127</f>
        <v>7435</v>
      </c>
      <c r="G125">
        <f t="shared" ref="G125:J125" si="113">F127</f>
        <v>9717.8098731983991</v>
      </c>
      <c r="H125">
        <f t="shared" si="113"/>
        <v>12033.543727089278</v>
      </c>
      <c r="I125">
        <f t="shared" si="113"/>
        <v>13576.205336269646</v>
      </c>
      <c r="J125">
        <f t="shared" si="113"/>
        <v>15279.796689722787</v>
      </c>
    </row>
    <row r="126" spans="1:10" ht="15" customHeight="1" x14ac:dyDescent="0.45">
      <c r="A126"/>
      <c r="B126" t="s">
        <v>111</v>
      </c>
      <c r="F126">
        <f t="shared" ref="F126" si="114">F114+F118+F123</f>
        <v>2282.8098731983991</v>
      </c>
      <c r="G126">
        <f t="shared" ref="G126:J126" si="115">G114+G118+G123</f>
        <v>2315.7338538908793</v>
      </c>
      <c r="H126">
        <f t="shared" si="115"/>
        <v>1542.6616091803676</v>
      </c>
      <c r="I126">
        <f t="shared" si="115"/>
        <v>1703.5913534531414</v>
      </c>
      <c r="J126">
        <f t="shared" si="115"/>
        <v>2848.5801976765765</v>
      </c>
    </row>
    <row r="127" spans="1:10" ht="15" customHeight="1" x14ac:dyDescent="0.45">
      <c r="A127"/>
      <c r="B127" t="s">
        <v>112</v>
      </c>
      <c r="E127">
        <f>E80-E92</f>
        <v>7435</v>
      </c>
      <c r="F127">
        <f t="shared" ref="F127:J127" si="116">SUM(F125:F126)</f>
        <v>9717.8098731983991</v>
      </c>
      <c r="G127">
        <f t="shared" si="116"/>
        <v>12033.543727089278</v>
      </c>
      <c r="H127">
        <f t="shared" si="116"/>
        <v>13576.205336269646</v>
      </c>
      <c r="I127">
        <f t="shared" si="116"/>
        <v>15279.796689722787</v>
      </c>
      <c r="J127">
        <f t="shared" si="116"/>
        <v>18128.376887399365</v>
      </c>
    </row>
    <row r="128" spans="1:10" ht="15" customHeight="1" x14ac:dyDescent="0.45">
      <c r="A128"/>
    </row>
    <row r="129" spans="1:10" ht="15" customHeight="1" x14ac:dyDescent="0.45">
      <c r="A129" s="15" t="s">
        <v>113</v>
      </c>
    </row>
    <row r="130" spans="1:10" ht="15" customHeight="1" x14ac:dyDescent="0.45">
      <c r="A130"/>
      <c r="B130" t="s">
        <v>114</v>
      </c>
      <c r="E130">
        <f>E92</f>
        <v>6</v>
      </c>
      <c r="F130">
        <f>F92</f>
        <v>0</v>
      </c>
      <c r="G130">
        <f t="shared" ref="G130:J130" si="117">G92</f>
        <v>0</v>
      </c>
      <c r="H130">
        <f t="shared" si="117"/>
        <v>0</v>
      </c>
      <c r="I130">
        <f t="shared" si="117"/>
        <v>0</v>
      </c>
      <c r="J130">
        <f t="shared" si="117"/>
        <v>0</v>
      </c>
    </row>
    <row r="131" spans="1:10" ht="15" customHeight="1" x14ac:dyDescent="0.45">
      <c r="A131"/>
      <c r="B131" t="s">
        <v>115</v>
      </c>
      <c r="F131">
        <f>F27*AVERAGE(E130,F130)</f>
        <v>0.15000000000000002</v>
      </c>
      <c r="G131">
        <f>G27*AVERAGE(F130,G130)</f>
        <v>0</v>
      </c>
      <c r="H131">
        <f>H27*AVERAGE(G130,H130)</f>
        <v>0</v>
      </c>
      <c r="I131">
        <f>I27*AVERAGE(H130,I130)</f>
        <v>0</v>
      </c>
      <c r="J131">
        <f>J27*AVERAGE(I130,J130)</f>
        <v>0</v>
      </c>
    </row>
    <row r="132" spans="1:10" ht="15" customHeight="1" x14ac:dyDescent="0.45">
      <c r="A132"/>
    </row>
    <row r="133" spans="1:10" ht="15" customHeight="1" x14ac:dyDescent="0.45">
      <c r="A133"/>
      <c r="B133" t="s">
        <v>116</v>
      </c>
      <c r="E133">
        <f>E98</f>
        <v>8927</v>
      </c>
      <c r="F133">
        <f>F98</f>
        <v>8927</v>
      </c>
      <c r="G133">
        <f t="shared" ref="G133:J133" si="118">G98</f>
        <v>8927</v>
      </c>
      <c r="H133">
        <f t="shared" si="118"/>
        <v>7927</v>
      </c>
      <c r="I133">
        <f t="shared" si="118"/>
        <v>6927</v>
      </c>
      <c r="J133">
        <f t="shared" si="118"/>
        <v>6927</v>
      </c>
    </row>
    <row r="134" spans="1:10" ht="15" customHeight="1" x14ac:dyDescent="0.45">
      <c r="A134"/>
      <c r="B134" t="s">
        <v>115</v>
      </c>
      <c r="F134">
        <f>F28*AVERAGE(E133,F133)</f>
        <v>401.71499999999997</v>
      </c>
      <c r="G134">
        <f>G28*AVERAGE(F133,G133)</f>
        <v>446.35</v>
      </c>
      <c r="H134">
        <f>H28*AVERAGE(G133,H133)</f>
        <v>421.35</v>
      </c>
      <c r="I134">
        <f>I28*AVERAGE(H133,I133)</f>
        <v>371.35</v>
      </c>
      <c r="J134">
        <f>J28*AVERAGE(I133,J133)</f>
        <v>346.35</v>
      </c>
    </row>
    <row r="135" spans="1:10" ht="15" customHeight="1" x14ac:dyDescent="0.45">
      <c r="A135"/>
    </row>
    <row r="136" spans="1:10" ht="15" customHeight="1" x14ac:dyDescent="0.45">
      <c r="A136"/>
      <c r="B136" t="s">
        <v>117</v>
      </c>
      <c r="E136">
        <f>E80+E81</f>
        <v>10675</v>
      </c>
      <c r="F136">
        <f>F80+F81</f>
        <v>12951.809873198399</v>
      </c>
      <c r="G136">
        <f t="shared" ref="G136:J136" si="119">G80+G81</f>
        <v>15267.543727089278</v>
      </c>
      <c r="H136">
        <f t="shared" si="119"/>
        <v>16810.205336269646</v>
      </c>
      <c r="I136">
        <f t="shared" si="119"/>
        <v>18513.796689722789</v>
      </c>
      <c r="J136">
        <f t="shared" si="119"/>
        <v>21362.376887399365</v>
      </c>
    </row>
    <row r="137" spans="1:10" ht="15" customHeight="1" x14ac:dyDescent="0.45">
      <c r="A137"/>
      <c r="B137" t="s">
        <v>118</v>
      </c>
      <c r="F137">
        <f>F29*AVERAGE(E136,F136)</f>
        <v>354.40214809797595</v>
      </c>
      <c r="G137">
        <f>G29*AVERAGE(F136,G136)</f>
        <v>423.29030400431515</v>
      </c>
      <c r="H137">
        <f>H29*AVERAGE(G136,H136)</f>
        <v>481.16623595038385</v>
      </c>
      <c r="I137">
        <f>I29*AVERAGE(H136,I136)</f>
        <v>529.86003038988656</v>
      </c>
      <c r="J137">
        <f>J29*AVERAGE(I136,J136)</f>
        <v>598.14260365683231</v>
      </c>
    </row>
    <row r="139" spans="1:10" ht="15" customHeight="1" x14ac:dyDescent="0.45">
      <c r="A139"/>
      <c r="B139" t="s">
        <v>75</v>
      </c>
      <c r="F139">
        <f>F131+F134-F137</f>
        <v>47.462851902023999</v>
      </c>
      <c r="G139">
        <f t="shared" ref="G139:J139" si="120">G131+G134-G137</f>
        <v>23.059695995684876</v>
      </c>
      <c r="H139">
        <f t="shared" si="120"/>
        <v>-59.816235950383827</v>
      </c>
      <c r="I139">
        <f t="shared" si="120"/>
        <v>-158.51003038988654</v>
      </c>
      <c r="J139">
        <f t="shared" si="120"/>
        <v>-251.79260365683228</v>
      </c>
    </row>
    <row r="141" spans="1:10" ht="15" customHeight="1" x14ac:dyDescent="0.45">
      <c r="A141" s="64" t="s">
        <v>119</v>
      </c>
    </row>
    <row r="142" spans="1:10" ht="15" customHeight="1" x14ac:dyDescent="0.45">
      <c r="A142" s="60"/>
      <c r="B142" t="s">
        <v>120</v>
      </c>
      <c r="C142" s="55">
        <f>C61/C58</f>
        <v>0.19024204050473753</v>
      </c>
      <c r="D142" s="55">
        <f t="shared" ref="D142:J142" si="121">D61/D58</f>
        <v>0.15883108542068081</v>
      </c>
      <c r="E142" s="55">
        <f t="shared" si="121"/>
        <v>0.12948825585254894</v>
      </c>
      <c r="F142" s="55">
        <f t="shared" si="121"/>
        <v>0.1288</v>
      </c>
      <c r="G142" s="55">
        <f t="shared" si="121"/>
        <v>0.13379999999999997</v>
      </c>
      <c r="H142" s="55">
        <f t="shared" si="121"/>
        <v>0.13879999999999998</v>
      </c>
      <c r="I142" s="55">
        <f t="shared" si="121"/>
        <v>0.13879999999999998</v>
      </c>
      <c r="J142" s="55">
        <f t="shared" si="121"/>
        <v>0.13879999999999998</v>
      </c>
    </row>
    <row r="143" spans="1:10" ht="15" customHeight="1" x14ac:dyDescent="0.45">
      <c r="A143" s="60"/>
      <c r="B143" t="s">
        <v>121</v>
      </c>
      <c r="C143" s="55">
        <f>C63/C58</f>
        <v>0.15575463649018814</v>
      </c>
      <c r="D143" s="55">
        <f t="shared" ref="D143:J143" si="122">D63/D58</f>
        <v>0.14290301862556198</v>
      </c>
      <c r="E143" s="55">
        <f t="shared" si="122"/>
        <v>0.11548899779370131</v>
      </c>
      <c r="F143" s="55">
        <f t="shared" si="122"/>
        <v>0.11420369002634298</v>
      </c>
      <c r="G143" s="55">
        <f t="shared" si="122"/>
        <v>0.11888909682779476</v>
      </c>
      <c r="H143" s="55">
        <f t="shared" si="122"/>
        <v>0.12391574683340542</v>
      </c>
      <c r="I143" s="55">
        <f t="shared" si="122"/>
        <v>0.12379464089413003</v>
      </c>
      <c r="J143" s="55">
        <f t="shared" si="122"/>
        <v>0.12354795779423078</v>
      </c>
    </row>
    <row r="144" spans="1:10" ht="15" customHeight="1" x14ac:dyDescent="0.45">
      <c r="A144" s="60"/>
      <c r="B144" t="s">
        <v>122</v>
      </c>
      <c r="C144" s="55">
        <f>C70/C58</f>
        <v>0.12858682473393507</v>
      </c>
      <c r="D144" s="55">
        <f t="shared" ref="D144:J144" si="123">D70/D58</f>
        <v>0.12943695140226932</v>
      </c>
      <c r="E144" s="55">
        <f t="shared" si="123"/>
        <v>9.8990569537458259E-2</v>
      </c>
      <c r="F144" s="55">
        <f t="shared" si="123"/>
        <v>9.1933970471206092E-2</v>
      </c>
      <c r="G144" s="55">
        <f t="shared" si="123"/>
        <v>9.3922386493957857E-2</v>
      </c>
      <c r="H144" s="55">
        <f t="shared" si="123"/>
        <v>9.7893439998390286E-2</v>
      </c>
      <c r="I144" s="55">
        <f t="shared" si="123"/>
        <v>9.7797766306362735E-2</v>
      </c>
      <c r="J144" s="55">
        <f t="shared" si="123"/>
        <v>9.7602886657442309E-2</v>
      </c>
    </row>
    <row r="145" spans="1:10" ht="15" customHeight="1" x14ac:dyDescent="0.45">
      <c r="A145" s="60"/>
    </row>
    <row r="146" spans="1:10" ht="15" customHeight="1" x14ac:dyDescent="0.45">
      <c r="A146" s="64" t="s">
        <v>123</v>
      </c>
    </row>
    <row r="147" spans="1:10" ht="15" customHeight="1" x14ac:dyDescent="0.45">
      <c r="A147" s="60"/>
      <c r="B147" t="s">
        <v>124</v>
      </c>
      <c r="C147" s="55">
        <f>C55/C58</f>
        <v>8.1054380528986489E-2</v>
      </c>
      <c r="D147" s="55">
        <f t="shared" ref="D147:J147" si="124">D55/D58</f>
        <v>0.11594947548704775</v>
      </c>
      <c r="E147" s="55">
        <f t="shared" si="124"/>
        <v>0.11133022238709804</v>
      </c>
      <c r="F147" s="55">
        <f t="shared" si="124"/>
        <v>0.11050066169786991</v>
      </c>
      <c r="G147" s="55">
        <f t="shared" si="124"/>
        <v>0.10970732372655582</v>
      </c>
      <c r="H147" s="55">
        <f t="shared" si="124"/>
        <v>0.10927509249629669</v>
      </c>
      <c r="I147" s="55">
        <f t="shared" si="124"/>
        <v>0.10928068759069123</v>
      </c>
      <c r="J147" s="55">
        <f t="shared" si="124"/>
        <v>0.10929208434990657</v>
      </c>
    </row>
    <row r="148" spans="1:10" ht="15" customHeight="1" x14ac:dyDescent="0.45">
      <c r="A148" s="60"/>
      <c r="B148" t="s">
        <v>125</v>
      </c>
      <c r="C148" s="55">
        <f>C87/C58</f>
        <v>0.11614800844222911</v>
      </c>
      <c r="D148" s="55">
        <f t="shared" ref="D148:J148" si="125">D87/D58</f>
        <v>0.10869192892314279</v>
      </c>
      <c r="E148" s="55">
        <f t="shared" si="125"/>
        <v>0.10455512818009645</v>
      </c>
      <c r="F148" s="55">
        <f t="shared" si="125"/>
        <v>0.10892361891752757</v>
      </c>
      <c r="G148" s="55">
        <f t="shared" si="125"/>
        <v>0.11084018315549143</v>
      </c>
      <c r="H148" s="55">
        <f t="shared" si="125"/>
        <v>0.11067782602911157</v>
      </c>
      <c r="I148" s="55">
        <f t="shared" si="125"/>
        <v>0.11141562746058349</v>
      </c>
      <c r="J148" s="55">
        <f t="shared" si="125"/>
        <v>0.11291846989188467</v>
      </c>
    </row>
    <row r="149" spans="1:10" ht="15" customHeight="1" x14ac:dyDescent="0.45">
      <c r="A149" s="60"/>
      <c r="B149" t="s">
        <v>126</v>
      </c>
      <c r="C149">
        <f>C92+C98+C99+C103-C80-C81</f>
        <v>12104</v>
      </c>
      <c r="D149">
        <f t="shared" ref="D149:J149" si="126">D92+D98+D99+D103-D80-D81</f>
        <v>14911</v>
      </c>
      <c r="E149">
        <f t="shared" si="126"/>
        <v>15473</v>
      </c>
      <c r="F149">
        <f t="shared" si="126"/>
        <v>15742.152786081602</v>
      </c>
      <c r="G149">
        <f t="shared" si="126"/>
        <v>16238.114039034925</v>
      </c>
      <c r="H149">
        <f t="shared" si="126"/>
        <v>16956.505437488348</v>
      </c>
      <c r="I149">
        <f t="shared" si="126"/>
        <v>17629.818621641374</v>
      </c>
      <c r="J149">
        <f t="shared" si="126"/>
        <v>18213.309094458786</v>
      </c>
    </row>
    <row r="150" spans="1:10" ht="15" customHeight="1" x14ac:dyDescent="0.45">
      <c r="A150" s="60"/>
      <c r="B150" t="s">
        <v>127</v>
      </c>
      <c r="D150" s="55">
        <f t="shared" ref="D150:J150" si="127">D63*(1-D8)/C149</f>
        <v>0.50130674732680625</v>
      </c>
      <c r="E150" s="55">
        <f t="shared" si="127"/>
        <v>0.32433529085994089</v>
      </c>
      <c r="F150" s="55">
        <f t="shared" si="127"/>
        <v>0.30735267803787242</v>
      </c>
      <c r="G150" s="55">
        <f t="shared" si="127"/>
        <v>0.31789063279253194</v>
      </c>
      <c r="H150" s="55">
        <f t="shared" si="127"/>
        <v>0.3372718049621044</v>
      </c>
      <c r="I150" s="55">
        <f t="shared" si="127"/>
        <v>0.33557373011630914</v>
      </c>
      <c r="J150" s="55">
        <f t="shared" si="127"/>
        <v>0.33177787106258166</v>
      </c>
    </row>
    <row r="151" spans="1:10" ht="15" customHeight="1" x14ac:dyDescent="0.45">
      <c r="A151" s="60"/>
      <c r="D151" s="55"/>
      <c r="E151" s="55"/>
      <c r="F151" s="55"/>
      <c r="G151" s="55"/>
      <c r="H151" s="55"/>
      <c r="I151" s="55"/>
      <c r="J151" s="55"/>
    </row>
    <row r="152" spans="1:10" ht="15" customHeight="1" x14ac:dyDescent="0.45">
      <c r="A152" s="64" t="s">
        <v>128</v>
      </c>
    </row>
    <row r="153" spans="1:10" ht="15" customHeight="1" x14ac:dyDescent="0.45">
      <c r="A153" s="60"/>
      <c r="B153" t="s">
        <v>129</v>
      </c>
      <c r="C153" s="61">
        <f>(C92+C98-C80-C81)/C61</f>
        <v>-0.47928714740941813</v>
      </c>
      <c r="D153" s="61">
        <f t="shared" ref="D153:J153" si="128">(D92+D98-D80-D81)/D61</f>
        <v>-0.4807925596441569</v>
      </c>
      <c r="E153" s="61">
        <f t="shared" si="128"/>
        <v>-0.26266586248492158</v>
      </c>
      <c r="F153" s="61">
        <f t="shared" si="128"/>
        <v>-0.60407935909731425</v>
      </c>
      <c r="G153" s="61">
        <f t="shared" si="128"/>
        <v>-0.88940108245021121</v>
      </c>
      <c r="H153" s="61">
        <f t="shared" si="128"/>
        <v>-1.1439793917889542</v>
      </c>
      <c r="I153" s="61">
        <f t="shared" si="128"/>
        <v>-1.4347576440086049</v>
      </c>
      <c r="J153" s="61">
        <f t="shared" si="128"/>
        <v>-1.7354258537271121</v>
      </c>
    </row>
    <row r="154" spans="1:10" ht="15" customHeight="1" x14ac:dyDescent="0.45">
      <c r="A154" s="60"/>
      <c r="B154" t="s">
        <v>130</v>
      </c>
      <c r="C154" s="61">
        <f>(C92+C98+C99-C80-C81)/C59</f>
        <v>-7.3162657250055177E-2</v>
      </c>
      <c r="D154" s="61">
        <f t="shared" ref="D154:J154" si="129">(D92+D98+D99-D80-D81)/D59</f>
        <v>-4.6180728906640038E-2</v>
      </c>
      <c r="E154" s="61">
        <f t="shared" si="129"/>
        <v>0.20354718026880975</v>
      </c>
      <c r="F154" s="61">
        <f t="shared" si="129"/>
        <v>-0.11575301036952913</v>
      </c>
      <c r="G154" s="61">
        <f t="shared" si="129"/>
        <v>-0.3958749298747466</v>
      </c>
      <c r="H154" s="61">
        <f t="shared" si="129"/>
        <v>-0.64789559720204548</v>
      </c>
      <c r="I154" s="61">
        <f t="shared" si="129"/>
        <v>-0.91696240658929562</v>
      </c>
      <c r="J154" s="61">
        <f t="shared" si="129"/>
        <v>-1.1951807233154874</v>
      </c>
    </row>
    <row r="155" spans="1:10" ht="15" customHeight="1" x14ac:dyDescent="0.45">
      <c r="A155" s="60"/>
      <c r="B155" t="s">
        <v>131</v>
      </c>
      <c r="C155" s="61"/>
      <c r="D155" s="61"/>
      <c r="E155" s="61"/>
      <c r="F155" s="61">
        <f>F61/(F131+F134)</f>
        <v>16.579490863847315</v>
      </c>
      <c r="G155" s="61">
        <f t="shared" ref="G155:J155" si="130">G61/(G131+G134)</f>
        <v>15.971779622224711</v>
      </c>
      <c r="H155" s="61">
        <f t="shared" si="130"/>
        <v>18.429285660078317</v>
      </c>
      <c r="I155" s="61">
        <f t="shared" si="130"/>
        <v>21.747102984755511</v>
      </c>
      <c r="J155" s="61">
        <f t="shared" si="130"/>
        <v>24.016342700131741</v>
      </c>
    </row>
    <row r="156" spans="1:10" ht="15" customHeight="1" x14ac:dyDescent="0.45">
      <c r="A156" s="60"/>
      <c r="B156" t="s">
        <v>132</v>
      </c>
      <c r="C156" s="61"/>
      <c r="D156" s="61"/>
      <c r="E156" s="61"/>
      <c r="F156" s="61">
        <f>F59/(F131+F134)</f>
        <v>18.021185721573168</v>
      </c>
      <c r="G156" s="61">
        <f t="shared" ref="G156:J156" si="131">G59/(G131+G134)</f>
        <v>17.308729784922146</v>
      </c>
      <c r="H156" s="61">
        <f t="shared" si="131"/>
        <v>19.916374992880026</v>
      </c>
      <c r="I156" s="61">
        <f t="shared" si="131"/>
        <v>23.501912447502356</v>
      </c>
      <c r="J156" s="61">
        <f t="shared" si="131"/>
        <v>25.954260843081855</v>
      </c>
    </row>
    <row r="157" spans="1:10" ht="15" customHeight="1" x14ac:dyDescent="0.45">
      <c r="A157" s="60"/>
      <c r="B157" t="s">
        <v>133</v>
      </c>
      <c r="C157" s="55">
        <f>(C92+C98-C80-C81)/(C92+C98-C80-C81+C103)</f>
        <v>-0.46645991270388237</v>
      </c>
      <c r="D157" s="55">
        <f t="shared" ref="D157:J157" si="132">(D92+D98-D80-D81)/(D92+D98-D80-D81+D103)</f>
        <v>-0.30450742701041489</v>
      </c>
      <c r="E157" s="55">
        <f t="shared" si="132"/>
        <v>-0.14206491600065244</v>
      </c>
      <c r="F157" s="55">
        <f t="shared" si="132"/>
        <v>-0.32055802674912137</v>
      </c>
      <c r="G157" s="55">
        <f t="shared" si="132"/>
        <v>-0.48939046883860149</v>
      </c>
      <c r="H157" s="55">
        <f t="shared" si="132"/>
        <v>-0.65751416285139086</v>
      </c>
      <c r="I157" s="55">
        <f t="shared" si="132"/>
        <v>-0.82493246131261344</v>
      </c>
      <c r="J157" s="55">
        <f t="shared" si="132"/>
        <v>-0.99405418322591588</v>
      </c>
    </row>
    <row r="158" spans="1:10" ht="15" customHeight="1" x14ac:dyDescent="0.45">
      <c r="B158" t="s">
        <v>134</v>
      </c>
      <c r="C158" s="55">
        <f>(C92+C98+C99-C80-C81)/(C92+C98+C99-C80-C81+C103)</f>
        <v>-5.4775280898876406E-2</v>
      </c>
      <c r="D158" s="55">
        <f t="shared" ref="D158:J158" si="133">(D92+D98+D99-D80-D81)/(D92+D98+D99-D80-D81+D103)</f>
        <v>-2.4813895781637719E-2</v>
      </c>
      <c r="E158" s="55">
        <f t="shared" si="133"/>
        <v>9.4939572157952568E-2</v>
      </c>
      <c r="F158" s="55">
        <f t="shared" si="133"/>
        <v>-5.3251484253130511E-2</v>
      </c>
      <c r="G158" s="55">
        <f t="shared" si="133"/>
        <v>-0.18834892657959493</v>
      </c>
      <c r="H158" s="55">
        <f t="shared" si="133"/>
        <v>-0.32064315134068028</v>
      </c>
      <c r="I158" s="55">
        <f t="shared" si="133"/>
        <v>-0.45393149779478525</v>
      </c>
      <c r="J158" s="55">
        <f t="shared" si="133"/>
        <v>-0.58988666547194379</v>
      </c>
    </row>
    <row r="159" spans="1:10" ht="15" customHeight="1" x14ac:dyDescent="0.45">
      <c r="A159" s="15" t="s">
        <v>135</v>
      </c>
    </row>
    <row r="160" spans="1:10" ht="15" customHeight="1" x14ac:dyDescent="0.45">
      <c r="A160"/>
    </row>
    <row r="161" spans="1:1" ht="15" customHeight="1" x14ac:dyDescent="0.45">
      <c r="A161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4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56" max="25" man="1"/>
    <brk id="107" max="16383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C0530173-1906-448D-B69A-234D99DFBD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556D5F-753C-4C0B-8A8D-12FE0A728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8EFE3-7433-469A-947C-286A648AC66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Welcome</vt:lpstr>
      <vt:lpstr>Info</vt:lpstr>
      <vt:lpstr>Leases US GAAP</vt:lpstr>
      <vt:lpstr>circ</vt:lpstr>
      <vt:lpstr>'Leases US GAAP'!Print_Area</vt:lpstr>
      <vt:lpstr>'Leases US GAAP'!Print_Titles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Maria Weber</cp:lastModifiedBy>
  <cp:revision/>
  <dcterms:created xsi:type="dcterms:W3CDTF">2016-02-03T14:06:14Z</dcterms:created>
  <dcterms:modified xsi:type="dcterms:W3CDTF">2026-01-28T15:54:44Z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