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https://ibhero.sharepoint.com/FE Materials/Materials Development/11000 Industry Specific/11710 Chemicals/Elearning/22. Chemicals Model - Cashflow Statement/"/>
    </mc:Choice>
  </mc:AlternateContent>
  <xr:revisionPtr revIDLastSave="0" documentId="14_{8C121498-070C-4F74-BBDB-4864ECEF63DC}" xr6:coauthVersionLast="47" xr6:coauthVersionMax="47" xr10:uidLastSave="{00000000-0000-0000-0000-000000000000}"/>
  <bookViews>
    <workbookView xWindow="-98" yWindow="-98" windowWidth="21795" windowHeight="13875" activeTab="3" xr2:uid="{00000000-000D-0000-FFFF-FFFF00000000}"/>
  </bookViews>
  <sheets>
    <sheet name="Welcome" sheetId="1" r:id="rId1"/>
    <sheet name="Info" sheetId="6" r:id="rId2"/>
    <sheet name="Segments" sheetId="14" r:id="rId3"/>
    <sheet name="Model" sheetId="2" r:id="rId4"/>
    <sheet name="Valuation" sheetId="17" r:id="rId5"/>
  </sheets>
  <definedNames>
    <definedName name="_xlnm.Print_Area" localSheetId="3">Model!$A$1:$O$145</definedName>
    <definedName name="_xlnm.Print_Area" localSheetId="2">Segments!$A$1:$O$2</definedName>
    <definedName name="_xlnm.Print_Area" localSheetId="4">Valuation!$A$1:$O$159</definedName>
    <definedName name="_xlnm.Print_Titles" localSheetId="3">Model!$1:$2</definedName>
    <definedName name="_xlnm.Print_Titles" localSheetId="2">Segments!$1:$2</definedName>
    <definedName name="_xlnm.Print_Titles" localSheetId="4">Valuation!$1:$2</definedName>
    <definedName name="switch">Info!$N$10</definedName>
  </definedNames>
  <calcPr calcId="191028" calcMode="autoNoTable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1" i="2" l="1"/>
  <c r="H31" i="2"/>
  <c r="I31" i="2"/>
  <c r="J31" i="2"/>
  <c r="K31" i="2"/>
  <c r="H32" i="2"/>
  <c r="H86" i="2" s="1"/>
  <c r="H68" i="2" s="1"/>
  <c r="I32" i="2"/>
  <c r="I86" i="2" s="1"/>
  <c r="I68" i="2" s="1"/>
  <c r="G33" i="2"/>
  <c r="G32" i="2" s="1"/>
  <c r="H33" i="2"/>
  <c r="I33" i="2"/>
  <c r="J33" i="2"/>
  <c r="J32" i="2" s="1"/>
  <c r="K33" i="2"/>
  <c r="K32" i="2" s="1"/>
  <c r="G36" i="2"/>
  <c r="H36" i="2"/>
  <c r="I36" i="2"/>
  <c r="J36" i="2"/>
  <c r="K36" i="2"/>
  <c r="G37" i="2"/>
  <c r="H37" i="2"/>
  <c r="I37" i="2"/>
  <c r="J37" i="2"/>
  <c r="K37" i="2"/>
  <c r="G41" i="2"/>
  <c r="H41" i="2"/>
  <c r="I41" i="2"/>
  <c r="J41" i="2"/>
  <c r="K41" i="2"/>
  <c r="G45" i="2"/>
  <c r="H45" i="2" s="1"/>
  <c r="G46" i="2"/>
  <c r="G64" i="2" s="1"/>
  <c r="H46" i="2"/>
  <c r="I46" i="2"/>
  <c r="J46" i="2"/>
  <c r="K46" i="2"/>
  <c r="G47" i="2"/>
  <c r="H47" i="2"/>
  <c r="I47" i="2"/>
  <c r="J47" i="2"/>
  <c r="K47" i="2"/>
  <c r="G53" i="2"/>
  <c r="G54" i="2"/>
  <c r="H54" i="2"/>
  <c r="I54" i="2"/>
  <c r="J54" i="2"/>
  <c r="K54" i="2"/>
  <c r="G55" i="2"/>
  <c r="G56" i="2" s="1"/>
  <c r="G58" i="2"/>
  <c r="G59" i="2"/>
  <c r="G60" i="2" s="1"/>
  <c r="H59" i="2"/>
  <c r="I59" i="2"/>
  <c r="J59" i="2"/>
  <c r="K59" i="2"/>
  <c r="G73" i="2"/>
  <c r="H73" i="2"/>
  <c r="H67" i="2" s="1"/>
  <c r="H69" i="2" s="1"/>
  <c r="I73" i="2"/>
  <c r="J73" i="2"/>
  <c r="K73" i="2"/>
  <c r="H74" i="2"/>
  <c r="I74" i="2"/>
  <c r="I67" i="2" s="1"/>
  <c r="G75" i="2"/>
  <c r="H75" i="2"/>
  <c r="I75" i="2"/>
  <c r="J75" i="2"/>
  <c r="K75" i="2"/>
  <c r="G79" i="2"/>
  <c r="H79" i="2" s="1"/>
  <c r="G80" i="2"/>
  <c r="H80" i="2"/>
  <c r="I80" i="2" s="1"/>
  <c r="J80" i="2" s="1"/>
  <c r="K80" i="2" s="1"/>
  <c r="G82" i="2"/>
  <c r="H82" i="2"/>
  <c r="I82" i="2"/>
  <c r="J82" i="2"/>
  <c r="K82" i="2"/>
  <c r="G89" i="2"/>
  <c r="H89" i="2"/>
  <c r="I89" i="2"/>
  <c r="J89" i="2"/>
  <c r="K89" i="2" s="1"/>
  <c r="G90" i="2"/>
  <c r="H90" i="2"/>
  <c r="I90" i="2"/>
  <c r="J90" i="2"/>
  <c r="K90" i="2"/>
  <c r="F82" i="2"/>
  <c r="F89" i="2"/>
  <c r="F80" i="2"/>
  <c r="F79" i="2"/>
  <c r="E15" i="2"/>
  <c r="D15" i="2"/>
  <c r="G86" i="2" l="1"/>
  <c r="G68" i="2" s="1"/>
  <c r="G74" i="2"/>
  <c r="K67" i="2"/>
  <c r="K69" i="2" s="1"/>
  <c r="H53" i="2"/>
  <c r="G78" i="2"/>
  <c r="I79" i="2"/>
  <c r="H58" i="2"/>
  <c r="H60" i="2" s="1"/>
  <c r="G81" i="2"/>
  <c r="G67" i="2"/>
  <c r="G69" i="2" s="1"/>
  <c r="I45" i="2"/>
  <c r="H64" i="2"/>
  <c r="K74" i="2"/>
  <c r="K86" i="2"/>
  <c r="K68" i="2" s="1"/>
  <c r="J74" i="2"/>
  <c r="J67" i="2" s="1"/>
  <c r="J86" i="2"/>
  <c r="J68" i="2" s="1"/>
  <c r="I69" i="2"/>
  <c r="J45" i="2" l="1"/>
  <c r="I64" i="2"/>
  <c r="J79" i="2"/>
  <c r="I58" i="2"/>
  <c r="I60" i="2" s="1"/>
  <c r="H81" i="2"/>
  <c r="J69" i="2"/>
  <c r="H55" i="2"/>
  <c r="H56" i="2" l="1"/>
  <c r="J58" i="2"/>
  <c r="J60" i="2" s="1"/>
  <c r="I81" i="2"/>
  <c r="K79" i="2"/>
  <c r="K45" i="2"/>
  <c r="K64" i="2" s="1"/>
  <c r="J64" i="2"/>
  <c r="J81" i="2" l="1"/>
  <c r="K58" i="2"/>
  <c r="K60" i="2" s="1"/>
  <c r="K81" i="2" s="1"/>
  <c r="H78" i="2"/>
  <c r="I53" i="2"/>
  <c r="I55" i="2" l="1"/>
  <c r="I56" i="2" l="1"/>
  <c r="J53" i="2" l="1"/>
  <c r="I78" i="2"/>
  <c r="J55" i="2" l="1"/>
  <c r="J56" i="2" l="1"/>
  <c r="K53" i="2" l="1"/>
  <c r="J78" i="2"/>
  <c r="K55" i="2" l="1"/>
  <c r="K56" i="2" l="1"/>
  <c r="K78" i="2" s="1"/>
  <c r="D67" i="2" l="1"/>
  <c r="E67" i="2"/>
  <c r="D68" i="2"/>
  <c r="E68" i="2"/>
  <c r="E69" i="2" s="1"/>
  <c r="C68" i="2"/>
  <c r="C69" i="2" s="1"/>
  <c r="C67" i="2"/>
  <c r="F62" i="2"/>
  <c r="E65" i="2"/>
  <c r="F58" i="2"/>
  <c r="F53" i="2"/>
  <c r="F45" i="2"/>
  <c r="F41" i="2"/>
  <c r="F37" i="2"/>
  <c r="F33" i="2"/>
  <c r="F31" i="2"/>
  <c r="F54" i="2" s="1"/>
  <c r="E91" i="2"/>
  <c r="E94" i="2" s="1"/>
  <c r="C91" i="2"/>
  <c r="C94" i="2" s="1"/>
  <c r="D87" i="2"/>
  <c r="D91" i="2" s="1"/>
  <c r="D94" i="2" s="1"/>
  <c r="E87" i="2"/>
  <c r="C87" i="2"/>
  <c r="D76" i="2"/>
  <c r="E76" i="2"/>
  <c r="C76" i="2"/>
  <c r="G122" i="2"/>
  <c r="G123" i="2"/>
  <c r="G144" i="2"/>
  <c r="G145" i="2"/>
  <c r="G146" i="2"/>
  <c r="G147" i="2"/>
  <c r="G148" i="2"/>
  <c r="G149" i="2"/>
  <c r="G150" i="2"/>
  <c r="G151" i="2"/>
  <c r="G152" i="2"/>
  <c r="G153" i="2"/>
  <c r="G154" i="2"/>
  <c r="G155" i="2"/>
  <c r="C38" i="2"/>
  <c r="C40" i="2" s="1"/>
  <c r="C42" i="2" s="1"/>
  <c r="C43" i="2" s="1"/>
  <c r="C48" i="2" s="1"/>
  <c r="D32" i="2"/>
  <c r="E32" i="2"/>
  <c r="C32" i="2"/>
  <c r="E72" i="14"/>
  <c r="F73" i="14" s="1"/>
  <c r="F72" i="14"/>
  <c r="G72" i="14"/>
  <c r="H72" i="14"/>
  <c r="H73" i="14" s="1"/>
  <c r="I72" i="14"/>
  <c r="J73" i="14" s="1"/>
  <c r="J72" i="14"/>
  <c r="K72" i="14"/>
  <c r="G73" i="14"/>
  <c r="K73" i="14"/>
  <c r="E76" i="14"/>
  <c r="F76" i="14"/>
  <c r="G76" i="14"/>
  <c r="H76" i="14"/>
  <c r="I76" i="14"/>
  <c r="J76" i="14"/>
  <c r="K76" i="14"/>
  <c r="D73" i="14"/>
  <c r="D72" i="14"/>
  <c r="D76" i="14"/>
  <c r="C76" i="14"/>
  <c r="C72" i="14"/>
  <c r="G46" i="14"/>
  <c r="H46" i="14"/>
  <c r="I46" i="14"/>
  <c r="J46" i="14"/>
  <c r="K46" i="14"/>
  <c r="F46" i="14"/>
  <c r="G47" i="14"/>
  <c r="H47" i="14"/>
  <c r="I47" i="14"/>
  <c r="J47" i="14"/>
  <c r="K47" i="14"/>
  <c r="F47" i="14"/>
  <c r="F50" i="14" s="1"/>
  <c r="D51" i="14"/>
  <c r="E51" i="14"/>
  <c r="C51" i="14"/>
  <c r="G48" i="14"/>
  <c r="H48" i="14"/>
  <c r="I48" i="14"/>
  <c r="J48" i="14"/>
  <c r="K48" i="14"/>
  <c r="F48" i="14"/>
  <c r="F45" i="14"/>
  <c r="G38" i="14"/>
  <c r="H38" i="14" s="1"/>
  <c r="I38" i="14" s="1"/>
  <c r="J38" i="14" s="1"/>
  <c r="K38" i="14" s="1"/>
  <c r="F38" i="14"/>
  <c r="G37" i="14"/>
  <c r="H37" i="14"/>
  <c r="I37" i="14"/>
  <c r="J37" i="14"/>
  <c r="K37" i="14"/>
  <c r="F37" i="14"/>
  <c r="D36" i="14"/>
  <c r="E36" i="14"/>
  <c r="F36" i="14"/>
  <c r="G36" i="14"/>
  <c r="H36" i="14"/>
  <c r="I36" i="14"/>
  <c r="J36" i="14"/>
  <c r="K36" i="14"/>
  <c r="C36" i="14"/>
  <c r="F20" i="14"/>
  <c r="F19" i="14"/>
  <c r="F18" i="14"/>
  <c r="D23" i="14"/>
  <c r="E23" i="14"/>
  <c r="C23" i="14"/>
  <c r="F17" i="14"/>
  <c r="D8" i="14"/>
  <c r="E8" i="14"/>
  <c r="F8" i="14"/>
  <c r="F9" i="14" s="1"/>
  <c r="F10" i="14" s="1"/>
  <c r="G8" i="14"/>
  <c r="G9" i="14" s="1"/>
  <c r="G10" i="14" s="1"/>
  <c r="H8" i="14"/>
  <c r="H9" i="14" s="1"/>
  <c r="I8" i="14"/>
  <c r="I9" i="14" s="1"/>
  <c r="J8" i="14"/>
  <c r="J9" i="14" s="1"/>
  <c r="K8" i="14"/>
  <c r="K9" i="14" s="1"/>
  <c r="C8" i="14"/>
  <c r="D30" i="17"/>
  <c r="E36" i="2"/>
  <c r="D36" i="2"/>
  <c r="C36" i="2"/>
  <c r="E35" i="2"/>
  <c r="E38" i="2" s="1"/>
  <c r="E40" i="2" s="1"/>
  <c r="E42" i="2" s="1"/>
  <c r="D35" i="2"/>
  <c r="D38" i="2" s="1"/>
  <c r="D40" i="2" s="1"/>
  <c r="D42" i="2" s="1"/>
  <c r="C35" i="2"/>
  <c r="D21" i="2"/>
  <c r="E21" i="2"/>
  <c r="F21" i="2" s="1"/>
  <c r="C21" i="2"/>
  <c r="J9" i="2"/>
  <c r="K9" i="2" s="1"/>
  <c r="F36" i="2" l="1"/>
  <c r="G21" i="2"/>
  <c r="H21" i="2" s="1"/>
  <c r="I21" i="2" s="1"/>
  <c r="J21" i="2" s="1"/>
  <c r="K21" i="2" s="1"/>
  <c r="F75" i="2"/>
  <c r="D69" i="2"/>
  <c r="F32" i="2"/>
  <c r="F74" i="2" s="1"/>
  <c r="E73" i="14"/>
  <c r="I73" i="14"/>
  <c r="G45" i="14"/>
  <c r="G50" i="14" s="1"/>
  <c r="F51" i="14"/>
  <c r="H10" i="14"/>
  <c r="H18" i="14"/>
  <c r="H19" i="14"/>
  <c r="H20" i="14"/>
  <c r="G18" i="14"/>
  <c r="G19" i="14"/>
  <c r="G20" i="14"/>
  <c r="F22" i="14"/>
  <c r="G17" i="14" s="1"/>
  <c r="G22" i="14" s="1"/>
  <c r="H17" i="14" s="1"/>
  <c r="D81" i="2"/>
  <c r="E81" i="2"/>
  <c r="C81" i="2"/>
  <c r="D78" i="2"/>
  <c r="D83" i="2" s="1"/>
  <c r="D96" i="2" s="1"/>
  <c r="E78" i="2"/>
  <c r="E83" i="2" s="1"/>
  <c r="E96" i="2" s="1"/>
  <c r="C78" i="2"/>
  <c r="F63" i="14"/>
  <c r="C83" i="2" l="1"/>
  <c r="C96" i="2" s="1"/>
  <c r="H45" i="14"/>
  <c r="H50" i="14" s="1"/>
  <c r="G51" i="14"/>
  <c r="F23" i="14"/>
  <c r="H22" i="14"/>
  <c r="I17" i="14" s="1"/>
  <c r="I22" i="14" s="1"/>
  <c r="J17" i="14" s="1"/>
  <c r="I10" i="14"/>
  <c r="I20" i="14"/>
  <c r="I18" i="14"/>
  <c r="I19" i="14"/>
  <c r="G23" i="14"/>
  <c r="F54" i="14"/>
  <c r="F26" i="14"/>
  <c r="D19" i="2"/>
  <c r="E19" i="2"/>
  <c r="C19" i="2"/>
  <c r="D20" i="2"/>
  <c r="E20" i="2"/>
  <c r="F20" i="2" s="1"/>
  <c r="F59" i="2" s="1"/>
  <c r="C20" i="2"/>
  <c r="G54" i="14" l="1"/>
  <c r="F60" i="2"/>
  <c r="I45" i="14"/>
  <c r="I50" i="14" s="1"/>
  <c r="H51" i="14"/>
  <c r="H23" i="14"/>
  <c r="J10" i="14"/>
  <c r="J19" i="14"/>
  <c r="J20" i="14"/>
  <c r="J18" i="14"/>
  <c r="I23" i="14"/>
  <c r="G26" i="14"/>
  <c r="F66" i="14"/>
  <c r="G20" i="2"/>
  <c r="H54" i="14" l="1"/>
  <c r="F81" i="2"/>
  <c r="J45" i="14"/>
  <c r="J50" i="14" s="1"/>
  <c r="I51" i="14"/>
  <c r="J22" i="14"/>
  <c r="K17" i="14" s="1"/>
  <c r="J23" i="14"/>
  <c r="K10" i="14"/>
  <c r="K19" i="14"/>
  <c r="K20" i="14"/>
  <c r="K18" i="14"/>
  <c r="H26" i="14"/>
  <c r="G66" i="14"/>
  <c r="H20" i="2"/>
  <c r="I54" i="14" l="1"/>
  <c r="K45" i="14"/>
  <c r="J51" i="14"/>
  <c r="K22" i="14"/>
  <c r="K23" i="14"/>
  <c r="I26" i="14"/>
  <c r="H66" i="14"/>
  <c r="I20" i="2"/>
  <c r="J54" i="14" l="1"/>
  <c r="K50" i="14"/>
  <c r="J26" i="14"/>
  <c r="I66" i="14"/>
  <c r="J20" i="2"/>
  <c r="K54" i="14" l="1"/>
  <c r="K51" i="14"/>
  <c r="K26" i="14"/>
  <c r="J66" i="14"/>
  <c r="K20" i="2"/>
  <c r="K66" i="14" l="1"/>
  <c r="E18" i="2"/>
  <c r="F18" i="2" s="1"/>
  <c r="D18" i="2"/>
  <c r="E45" i="14"/>
  <c r="D45" i="14"/>
  <c r="D21" i="14"/>
  <c r="E21" i="14"/>
  <c r="E17" i="14"/>
  <c r="D17" i="14"/>
  <c r="G18" i="2" l="1"/>
  <c r="H18" i="2" s="1"/>
  <c r="I18" i="2" s="1"/>
  <c r="J18" i="2" s="1"/>
  <c r="K18" i="2" s="1"/>
  <c r="F55" i="2"/>
  <c r="E2" i="17"/>
  <c r="F2" i="17" s="1"/>
  <c r="G2" i="17" s="1"/>
  <c r="H2" i="17" s="1"/>
  <c r="I2" i="17" s="1"/>
  <c r="J2" i="17" s="1"/>
  <c r="K2" i="17" s="1"/>
  <c r="J6" i="2"/>
  <c r="K6" i="2" s="1"/>
  <c r="G12" i="2"/>
  <c r="G27" i="2"/>
  <c r="H27" i="2" s="1"/>
  <c r="I27" i="2" s="1"/>
  <c r="J27" i="2" s="1"/>
  <c r="K27" i="2" s="1"/>
  <c r="G26" i="2"/>
  <c r="H26" i="2" s="1"/>
  <c r="I26" i="2" s="1"/>
  <c r="J26" i="2" s="1"/>
  <c r="K26" i="2" s="1"/>
  <c r="G28" i="2"/>
  <c r="H28" i="2" s="1"/>
  <c r="I28" i="2" s="1"/>
  <c r="J28" i="2" s="1"/>
  <c r="K28" i="2" s="1"/>
  <c r="E25" i="2"/>
  <c r="D25" i="2"/>
  <c r="F56" i="2" l="1"/>
  <c r="H12" i="2"/>
  <c r="D2" i="17"/>
  <c r="C2" i="17" s="1"/>
  <c r="F78" i="2" l="1"/>
  <c r="I12" i="2"/>
  <c r="J12" i="2" l="1"/>
  <c r="K12" i="2" l="1"/>
  <c r="D16" i="2" l="1"/>
  <c r="E16" i="2"/>
  <c r="F16" i="2" s="1"/>
  <c r="F73" i="2" s="1"/>
  <c r="C16" i="2"/>
  <c r="F67" i="2" l="1"/>
  <c r="G16" i="2"/>
  <c r="D7" i="2"/>
  <c r="E12" i="2"/>
  <c r="D12" i="2"/>
  <c r="C12" i="2"/>
  <c r="E7" i="2" l="1"/>
  <c r="E43" i="2" s="1"/>
  <c r="E48" i="2" s="1"/>
  <c r="D43" i="2"/>
  <c r="D48" i="2" s="1"/>
  <c r="C17" i="2"/>
  <c r="H16" i="2"/>
  <c r="D17" i="2" l="1"/>
  <c r="E17" i="2"/>
  <c r="G17" i="2" s="1"/>
  <c r="I16" i="2"/>
  <c r="I17" i="2" l="1"/>
  <c r="J16" i="2"/>
  <c r="J17" i="2" l="1"/>
  <c r="K16" i="2"/>
  <c r="K17" i="2" l="1"/>
  <c r="E2" i="14" l="1"/>
  <c r="F2" i="14" s="1"/>
  <c r="G2" i="14" s="1"/>
  <c r="H2" i="14" s="1"/>
  <c r="I2" i="14" s="1"/>
  <c r="J2" i="14" s="1"/>
  <c r="K2" i="14" s="1"/>
  <c r="F7" i="2"/>
  <c r="G7" i="2" l="1"/>
  <c r="H7" i="2" s="1"/>
  <c r="I7" i="2" s="1"/>
  <c r="J7" i="2" s="1"/>
  <c r="K7" i="2" s="1"/>
  <c r="D2" i="14"/>
  <c r="C2" i="14" s="1"/>
  <c r="A7" i="1" l="1"/>
  <c r="E9" i="2" l="1"/>
  <c r="D9" i="2"/>
  <c r="D23" i="2" l="1"/>
  <c r="C23" i="2"/>
  <c r="D24" i="2"/>
  <c r="E24" i="2"/>
  <c r="F24" i="2" s="1"/>
  <c r="C24" i="2"/>
  <c r="D22" i="2"/>
  <c r="E22" i="2"/>
  <c r="F22" i="2" s="1"/>
  <c r="C22" i="2"/>
  <c r="D10" i="2"/>
  <c r="E10" i="2"/>
  <c r="F10" i="2" s="1"/>
  <c r="D11" i="2"/>
  <c r="E11" i="2"/>
  <c r="C11" i="2"/>
  <c r="C10" i="2"/>
  <c r="D8" i="2"/>
  <c r="E8" i="2"/>
  <c r="C8" i="2"/>
  <c r="D5" i="2"/>
  <c r="E5" i="2"/>
  <c r="C5" i="2"/>
  <c r="G24" i="2" l="1"/>
  <c r="H24" i="2" s="1"/>
  <c r="I24" i="2" s="1"/>
  <c r="J24" i="2" s="1"/>
  <c r="K24" i="2" s="1"/>
  <c r="F90" i="2"/>
  <c r="G10" i="2"/>
  <c r="F46" i="2"/>
  <c r="G22" i="2"/>
  <c r="H10" i="2"/>
  <c r="F11" i="2"/>
  <c r="F47" i="2" s="1"/>
  <c r="F64" i="2" l="1"/>
  <c r="H22" i="2"/>
  <c r="I10" i="2"/>
  <c r="G11" i="2"/>
  <c r="D6" i="2"/>
  <c r="C6" i="2"/>
  <c r="E23" i="2" l="1"/>
  <c r="F23" i="2" s="1"/>
  <c r="F86" i="2" s="1"/>
  <c r="I22" i="2"/>
  <c r="J10" i="2"/>
  <c r="E6" i="2"/>
  <c r="H11" i="2"/>
  <c r="F68" i="2" l="1"/>
  <c r="J22" i="2"/>
  <c r="G23" i="2"/>
  <c r="K10" i="2"/>
  <c r="I11" i="2"/>
  <c r="F69" i="2" l="1"/>
  <c r="H23" i="2"/>
  <c r="K22" i="2"/>
  <c r="J11" i="2"/>
  <c r="I23" i="2" l="1"/>
  <c r="K11" i="2"/>
  <c r="J23" i="2" l="1"/>
  <c r="K23" i="2" l="1"/>
  <c r="E2" i="2" l="1"/>
  <c r="A1" i="6"/>
  <c r="D2" i="2" l="1"/>
  <c r="C2" i="2" s="1"/>
  <c r="F2" i="2" l="1"/>
  <c r="G2" i="2" s="1"/>
  <c r="H2" i="2" s="1"/>
  <c r="I2" i="2" s="1"/>
  <c r="J2" i="2" s="1"/>
  <c r="K2" i="2" s="1"/>
  <c r="I38" i="2" l="1"/>
  <c r="J38" i="2"/>
  <c r="J39" i="2" s="1"/>
  <c r="K38" i="2"/>
  <c r="K39" i="2" s="1"/>
  <c r="F38" i="2"/>
  <c r="G38" i="2"/>
  <c r="H38" i="2"/>
  <c r="H39" i="2"/>
  <c r="H40" i="2" s="1"/>
  <c r="H42" i="2" s="1"/>
  <c r="G39" i="2" l="1"/>
  <c r="G40" i="2" s="1"/>
  <c r="G42" i="2" s="1"/>
  <c r="K40" i="2"/>
  <c r="K42" i="2" s="1"/>
  <c r="J40" i="2"/>
  <c r="J42" i="2" s="1"/>
  <c r="I39" i="2"/>
  <c r="I40" i="2" s="1"/>
  <c r="I42" i="2" s="1"/>
  <c r="F39" i="2"/>
  <c r="F40" i="2" s="1"/>
  <c r="F42" i="2" s="1"/>
  <c r="H43" i="2"/>
  <c r="H48" i="2" s="1"/>
  <c r="H63" i="2"/>
  <c r="F63" i="2" l="1"/>
  <c r="F65" i="2" s="1"/>
  <c r="F43" i="2"/>
  <c r="F48" i="2" s="1"/>
  <c r="I43" i="2"/>
  <c r="I48" i="2" s="1"/>
  <c r="I63" i="2"/>
  <c r="G63" i="2"/>
  <c r="G43" i="2"/>
  <c r="G48" i="2" s="1"/>
  <c r="J43" i="2"/>
  <c r="J48" i="2" s="1"/>
  <c r="J63" i="2"/>
  <c r="K43" i="2"/>
  <c r="K48" i="2" s="1"/>
  <c r="K63" i="2"/>
  <c r="G62" i="2" l="1"/>
  <c r="G65" i="2" s="1"/>
  <c r="F93" i="2"/>
  <c r="F87" i="2" l="1"/>
  <c r="F91" i="2" s="1"/>
  <c r="F94" i="2" s="1"/>
  <c r="F76" i="2"/>
  <c r="F83" i="2" s="1"/>
  <c r="G93" i="2"/>
  <c r="H62" i="2"/>
  <c r="H65" i="2" s="1"/>
  <c r="G87" i="2" l="1"/>
  <c r="G91" i="2" s="1"/>
  <c r="G94" i="2" s="1"/>
  <c r="H93" i="2"/>
  <c r="I62" i="2"/>
  <c r="I65" i="2" s="1"/>
  <c r="G76" i="2"/>
  <c r="G83" i="2" s="1"/>
  <c r="F96" i="2"/>
  <c r="H76" i="2" l="1"/>
  <c r="H83" i="2" s="1"/>
  <c r="I93" i="2"/>
  <c r="J62" i="2"/>
  <c r="J65" i="2" s="1"/>
  <c r="G96" i="2"/>
  <c r="H87" i="2"/>
  <c r="H91" i="2" s="1"/>
  <c r="H94" i="2" s="1"/>
  <c r="H96" i="2" s="1"/>
  <c r="I76" i="2" l="1"/>
  <c r="I83" i="2" s="1"/>
  <c r="J93" i="2"/>
  <c r="K62" i="2"/>
  <c r="K65" i="2" s="1"/>
  <c r="K93" i="2" s="1"/>
  <c r="I87" i="2"/>
  <c r="I91" i="2" s="1"/>
  <c r="I94" i="2" s="1"/>
  <c r="J76" i="2" l="1"/>
  <c r="J83" i="2" s="1"/>
  <c r="K76" i="2"/>
  <c r="K83" i="2" s="1"/>
  <c r="K87" i="2"/>
  <c r="K91" i="2" s="1"/>
  <c r="K94" i="2" s="1"/>
  <c r="K96" i="2" s="1"/>
  <c r="J87" i="2"/>
  <c r="J91" i="2" s="1"/>
  <c r="J94" i="2" s="1"/>
  <c r="J96" i="2" s="1"/>
  <c r="I96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Financial Edge</author>
  </authors>
  <commentList>
    <comment ref="D6" authorId="0" shapeId="0" xr:uid="{F9E7B09A-CC6B-4321-9C09-19D654CDA678}">
      <text>
        <r>
          <rPr>
            <b/>
            <sz val="9"/>
            <color indexed="81"/>
            <rFont val="Tahoma"/>
            <family val="2"/>
          </rPr>
          <t>Financial Edge:</t>
        </r>
        <r>
          <rPr>
            <sz val="9"/>
            <color indexed="81"/>
            <rFont val="Tahoma"/>
            <family val="2"/>
          </rPr>
          <t xml:space="preserve">
Destocking in EU distribution channels and weak China demand</t>
        </r>
      </text>
    </comment>
    <comment ref="F6" authorId="0" shapeId="0" xr:uid="{E1C9D9E8-3BB8-49E3-A608-1FD311B799CE}">
      <text>
        <r>
          <rPr>
            <b/>
            <sz val="9"/>
            <color indexed="81"/>
            <rFont val="Tahoma"/>
            <family val="2"/>
          </rPr>
          <t>Financial Edge:</t>
        </r>
        <r>
          <rPr>
            <sz val="9"/>
            <color indexed="81"/>
            <rFont val="Tahoma"/>
            <family val="2"/>
          </rPr>
          <t xml:space="preserve">
Higher price in EU (their biggest market) and lower volumes. 
Poor volumes and lower price in China. Weak consumer confidence in China 
Good volume and price in LATAM, but a small part of Akzo's business so offset by other sub-segments</t>
        </r>
      </text>
    </comment>
    <comment ref="G6" authorId="0" shapeId="0" xr:uid="{A637ED97-32B3-4699-A9F0-F03B568907EA}">
      <text>
        <r>
          <rPr>
            <b/>
            <sz val="9"/>
            <color indexed="81"/>
            <rFont val="Tahoma"/>
            <family val="2"/>
          </rPr>
          <t>Financial Edge:</t>
        </r>
        <r>
          <rPr>
            <sz val="9"/>
            <color indexed="81"/>
            <rFont val="Tahoma"/>
            <family val="2"/>
          </rPr>
          <t xml:space="preserve">
Flat volumes and slightly lower price in EU. 
Higher price and volumes in LATAM and China, but not enough to offset the EU price drop.</t>
        </r>
      </text>
    </comment>
    <comment ref="F7" authorId="0" shapeId="0" xr:uid="{1B12C7AE-306A-4079-97FE-E659C78DD293}">
      <text>
        <r>
          <rPr>
            <b/>
            <sz val="9"/>
            <color indexed="81"/>
            <rFont val="Tahoma"/>
            <family val="2"/>
          </rPr>
          <t>Financial Edge:</t>
        </r>
        <r>
          <rPr>
            <sz val="9"/>
            <color indexed="81"/>
            <rFont val="Tahoma"/>
            <family val="2"/>
          </rPr>
          <t xml:space="preserve">
Price increases to maintain margins in the face of lower demand and rising non-raw material pricing. Higher pricing helps soften the impact of Q3 anti-dumping duties on TiO2 (see below)
Akzo didn't pass on raw material cost decreases in 2023 to its customers</t>
        </r>
      </text>
    </comment>
    <comment ref="D9" authorId="0" shapeId="0" xr:uid="{3BB25324-8307-460F-AF3A-4D8E70CC947A}">
      <text>
        <r>
          <rPr>
            <b/>
            <sz val="9"/>
            <color indexed="81"/>
            <rFont val="Tahoma"/>
            <family val="2"/>
          </rPr>
          <t>Financial Edge:</t>
        </r>
        <r>
          <rPr>
            <sz val="9"/>
            <color indexed="81"/>
            <rFont val="Tahoma"/>
            <family val="2"/>
          </rPr>
          <t xml:space="preserve">
Acquisition of Grupa Orbis and Kansai paint</t>
        </r>
      </text>
    </comment>
    <comment ref="F14" authorId="0" shapeId="0" xr:uid="{4FB21B93-0E01-43CA-9DEE-446C86B03DFF}">
      <text>
        <r>
          <rPr>
            <b/>
            <sz val="9"/>
            <color indexed="81"/>
            <rFont val="Tahoma"/>
            <family val="2"/>
          </rPr>
          <t>Financial Edge:</t>
        </r>
        <r>
          <rPr>
            <sz val="9"/>
            <color indexed="81"/>
            <rFont val="Tahoma"/>
            <family val="2"/>
          </rPr>
          <t xml:space="preserve">
Significant volatility predicted e.g. from Q3 provisional anti-dumping duties on Chinese TiO2. 
However, overall oversupply of TiO2 reduces cost in 2024
Brent crude more stable than prior years</t>
        </r>
      </text>
    </comment>
    <comment ref="D19" authorId="0" shapeId="0" xr:uid="{8382D58F-1182-4523-97AF-27910708EE8E}">
      <text>
        <r>
          <rPr>
            <b/>
            <sz val="9"/>
            <color indexed="81"/>
            <rFont val="Tahoma"/>
            <family val="2"/>
          </rPr>
          <t>Financial Edge:</t>
        </r>
        <r>
          <rPr>
            <sz val="9"/>
            <color indexed="81"/>
            <rFont val="Tahoma"/>
            <family val="2"/>
          </rPr>
          <t xml:space="preserve">
Supply chain disruptions for titanium dioxide and crude oil derivatives caused by the pandemic and Ukraine conflict</t>
        </r>
      </text>
    </comment>
    <comment ref="F21" authorId="0" shapeId="0" xr:uid="{7A218CF6-E8B6-4183-B6A9-7961A5094DE0}">
      <text>
        <r>
          <rPr>
            <b/>
            <sz val="9"/>
            <color indexed="81"/>
            <rFont val="Tahoma"/>
            <family val="2"/>
          </rPr>
          <t>Financial Edge:</t>
        </r>
        <r>
          <rPr>
            <sz val="9"/>
            <color indexed="81"/>
            <rFont val="Tahoma"/>
            <family val="2"/>
          </rPr>
          <t xml:space="preserve">
Restructuring improvements</t>
        </r>
      </text>
    </comment>
    <comment ref="F34" authorId="0" shapeId="0" xr:uid="{4A7FB273-6E89-49B3-B2DD-319E1665806E}">
      <text>
        <r>
          <rPr>
            <b/>
            <sz val="9"/>
            <color indexed="81"/>
            <rFont val="Tahoma"/>
            <family val="2"/>
          </rPr>
          <t>Financial Edge:</t>
        </r>
        <r>
          <rPr>
            <sz val="9"/>
            <color indexed="81"/>
            <rFont val="Tahoma"/>
            <family val="2"/>
          </rPr>
          <t xml:space="preserve">
Volume growth in Marine/protective/powder partly offset by weakness in industrial, automotive and specialty</t>
        </r>
      </text>
    </comment>
    <comment ref="F35" authorId="0" shapeId="0" xr:uid="{33C03E16-B5F3-433F-81C3-37ABF83E5EFF}">
      <text>
        <r>
          <rPr>
            <b/>
            <sz val="9"/>
            <color indexed="81"/>
            <rFont val="Tahoma"/>
            <family val="2"/>
          </rPr>
          <t>Financial Edge:</t>
        </r>
        <r>
          <rPr>
            <sz val="9"/>
            <color indexed="81"/>
            <rFont val="Tahoma"/>
            <family val="2"/>
          </rPr>
          <t xml:space="preserve">
Pricing increase despite raw material cost reduction. Retaining price increases in previous years</t>
        </r>
      </text>
    </comment>
    <comment ref="F42" authorId="0" shapeId="0" xr:uid="{996D8D16-AEE4-4B83-B7A5-39202D86F317}">
      <text>
        <r>
          <rPr>
            <b/>
            <sz val="9"/>
            <color indexed="81"/>
            <rFont val="Tahoma"/>
            <family val="2"/>
          </rPr>
          <t>Financial Edge:</t>
        </r>
        <r>
          <rPr>
            <sz val="9"/>
            <color indexed="81"/>
            <rFont val="Tahoma"/>
            <family val="2"/>
          </rPr>
          <t xml:space="preserve">
Perf coatings uses many of the same inputs as deco, but in different proportions. 
It uses a higher % of petrochemical derived resins and other binders. Brent crude more stable in 2024 than TiO2 meaning a lower decline in cost than that segment</t>
        </r>
      </text>
    </comment>
    <comment ref="F49" authorId="0" shapeId="0" xr:uid="{2DFB19C5-5CBF-4CDB-9E20-2B5480E1C716}">
      <text>
        <r>
          <rPr>
            <b/>
            <sz val="9"/>
            <color indexed="81"/>
            <rFont val="Tahoma"/>
            <family val="2"/>
          </rPr>
          <t>Financial Edge:</t>
        </r>
        <r>
          <rPr>
            <sz val="9"/>
            <color indexed="81"/>
            <rFont val="Tahoma"/>
            <family val="2"/>
          </rPr>
          <t xml:space="preserve">
Restructuring improvements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Financial Edge</author>
  </authors>
  <commentList>
    <comment ref="I6" authorId="0" shapeId="0" xr:uid="{3F7F5A66-F222-42A1-91DB-2C10506FC6B3}">
      <text>
        <r>
          <rPr>
            <b/>
            <sz val="9"/>
            <color indexed="81"/>
            <rFont val="Tahoma"/>
            <family val="2"/>
          </rPr>
          <t>Financial Edge:</t>
        </r>
        <r>
          <rPr>
            <sz val="9"/>
            <color indexed="81"/>
            <rFont val="Tahoma"/>
            <family val="2"/>
          </rPr>
          <t xml:space="preserve">
Factset until 27</t>
        </r>
      </text>
    </comment>
    <comment ref="I9" authorId="0" shapeId="0" xr:uid="{85BCDEB5-43BA-4CDB-A69A-8A59A7F60B3F}">
      <text>
        <r>
          <rPr>
            <b/>
            <sz val="9"/>
            <color indexed="81"/>
            <rFont val="Tahoma"/>
            <family val="2"/>
          </rPr>
          <t>Financial Edge:</t>
        </r>
        <r>
          <rPr>
            <sz val="9"/>
            <color indexed="81"/>
            <rFont val="Tahoma"/>
            <family val="2"/>
          </rPr>
          <t xml:space="preserve">
Factset until 27</t>
        </r>
      </text>
    </comment>
  </commentList>
</comments>
</file>

<file path=xl/sharedStrings.xml><?xml version="1.0" encoding="utf-8"?>
<sst xmlns="http://schemas.openxmlformats.org/spreadsheetml/2006/main" count="284" uniqueCount="199">
  <si>
    <t>This document is for training purposes only. Financial Edge accepts no responsibility or liability for any other purpose or usage.</t>
  </si>
  <si>
    <t>Workout Information</t>
  </si>
  <si>
    <t>Features</t>
  </si>
  <si>
    <t>Model Details</t>
  </si>
  <si>
    <t>◦</t>
  </si>
  <si>
    <t>Modeling an income statement</t>
  </si>
  <si>
    <t>Company name</t>
  </si>
  <si>
    <t>Akzo Nobel</t>
  </si>
  <si>
    <t>Modeling a balance sheet</t>
  </si>
  <si>
    <t>Date</t>
  </si>
  <si>
    <t>Modeling a cash flow statement</t>
  </si>
  <si>
    <t>Currency</t>
  </si>
  <si>
    <t>€</t>
  </si>
  <si>
    <t>Segmental forecasting</t>
  </si>
  <si>
    <t>Units</t>
  </si>
  <si>
    <t>Millions</t>
  </si>
  <si>
    <t>Analyst Name</t>
  </si>
  <si>
    <t>Firstname Lastname</t>
  </si>
  <si>
    <t>Circular Switch</t>
  </si>
  <si>
    <t>Tab Structure</t>
  </si>
  <si>
    <t>Formatting</t>
  </si>
  <si>
    <t>Input</t>
  </si>
  <si>
    <t>Hard coded</t>
  </si>
  <si>
    <t>Formulas</t>
  </si>
  <si>
    <t>Segments</t>
  </si>
  <si>
    <t>Hist.</t>
  </si>
  <si>
    <t>Proj.</t>
  </si>
  <si>
    <t>Decorative paint</t>
  </si>
  <si>
    <t>Revenue drivers</t>
  </si>
  <si>
    <t>Revenue</t>
  </si>
  <si>
    <t>EBIT bridge</t>
  </si>
  <si>
    <t>Pricing drop-through</t>
  </si>
  <si>
    <t>Raw material inflation</t>
  </si>
  <si>
    <t>Operating leverage</t>
  </si>
  <si>
    <t xml:space="preserve">Pricing/Mix </t>
  </si>
  <si>
    <t>Raw materials</t>
  </si>
  <si>
    <t>Other costs</t>
  </si>
  <si>
    <t>EBIT margin</t>
  </si>
  <si>
    <t>Total D&amp;A from main model</t>
  </si>
  <si>
    <t>% of total D&amp;A charged to segment</t>
  </si>
  <si>
    <t>Segmental D&amp;A</t>
  </si>
  <si>
    <t>EBITDA</t>
  </si>
  <si>
    <t>EBITDA margin</t>
  </si>
  <si>
    <t>Performance coatings</t>
  </si>
  <si>
    <t>Corporate and other</t>
  </si>
  <si>
    <t>EBIT</t>
  </si>
  <si>
    <t>Totals</t>
  </si>
  <si>
    <t>Total revenue</t>
  </si>
  <si>
    <t>Total revenue growth</t>
  </si>
  <si>
    <t>Total EBITDA</t>
  </si>
  <si>
    <t>Total EBIT</t>
  </si>
  <si>
    <t>End</t>
  </si>
  <si>
    <t>Model</t>
  </si>
  <si>
    <t>Income Statement Assumptions</t>
  </si>
  <si>
    <t>Non recurring items amount</t>
  </si>
  <si>
    <t>Effective tax rate</t>
  </si>
  <si>
    <t>Marginal tax rate</t>
  </si>
  <si>
    <t>Earnings from discontinued operations</t>
  </si>
  <si>
    <t>Dividends per share growth</t>
  </si>
  <si>
    <t>Basic WASO</t>
  </si>
  <si>
    <t>Diluted WASO</t>
  </si>
  <si>
    <t>Balance Sheet Assumptions</t>
  </si>
  <si>
    <t>Receivables days</t>
  </si>
  <si>
    <t>Inventory days</t>
  </si>
  <si>
    <t>Depreciation as a % of opening PP&amp;E</t>
  </si>
  <si>
    <t>Capex as a % of sales</t>
  </si>
  <si>
    <t>Amortization amount</t>
  </si>
  <si>
    <t>Other long term assets amount</t>
  </si>
  <si>
    <t>Current operating liabilities as a% of operating costs</t>
  </si>
  <si>
    <t>Other non current liabilities % revenues</t>
  </si>
  <si>
    <t>Long term debt issuance/repayment</t>
  </si>
  <si>
    <t>Interest rate on short term debt</t>
  </si>
  <si>
    <t>Interest rate on long term debt</t>
  </si>
  <si>
    <t>Interest rate on cash</t>
  </si>
  <si>
    <t>Income Statement</t>
  </si>
  <si>
    <t>Operating expenses</t>
  </si>
  <si>
    <t>Interest expense</t>
  </si>
  <si>
    <t>Interest income</t>
  </si>
  <si>
    <t>Non recurring items</t>
  </si>
  <si>
    <t>Earnings before tax</t>
  </si>
  <si>
    <t>Income tax expense</t>
  </si>
  <si>
    <t>Earnings from continuing operations</t>
  </si>
  <si>
    <t>Earnings of discontinued operations</t>
  </si>
  <si>
    <t>Net income</t>
  </si>
  <si>
    <t>Recurring net income</t>
  </si>
  <si>
    <t>Dividends per share</t>
  </si>
  <si>
    <t>Recurring diluted EPS</t>
  </si>
  <si>
    <t>Balance Sheet Calculations</t>
  </si>
  <si>
    <t xml:space="preserve">Beginning PP&amp;E </t>
  </si>
  <si>
    <t>Capex</t>
  </si>
  <si>
    <t>Depreciation</t>
  </si>
  <si>
    <t xml:space="preserve">Ending PP&amp;E </t>
  </si>
  <si>
    <t>Beginning other intangibles</t>
  </si>
  <si>
    <t>Amortization</t>
  </si>
  <si>
    <t>Ending other intangibles</t>
  </si>
  <si>
    <t>Beginning equity</t>
  </si>
  <si>
    <t>Dividends</t>
  </si>
  <si>
    <t>Ending equity</t>
  </si>
  <si>
    <t>Current operating assets</t>
  </si>
  <si>
    <t>Current operating liabilities</t>
  </si>
  <si>
    <t>Operating working capital</t>
  </si>
  <si>
    <t>Balance Sheet</t>
  </si>
  <si>
    <t>Cash &amp; Short-Term Investments</t>
  </si>
  <si>
    <t>Receivables</t>
  </si>
  <si>
    <t>Inventories</t>
  </si>
  <si>
    <t>Other Current Assets</t>
  </si>
  <si>
    <t>Total current assets</t>
  </si>
  <si>
    <t>PP&amp;E</t>
  </si>
  <si>
    <t xml:space="preserve">Long-Term Investments </t>
  </si>
  <si>
    <t>Goodwill</t>
  </si>
  <si>
    <t>Other intangibles</t>
  </si>
  <si>
    <t>Other long term assets</t>
  </si>
  <si>
    <t>Total assets</t>
  </si>
  <si>
    <t>ST Debt &amp; Curr. Portion LT Debt</t>
  </si>
  <si>
    <t>Total current liabilities</t>
  </si>
  <si>
    <t>Long-Term Debt</t>
  </si>
  <si>
    <t>Other non current liabilities</t>
  </si>
  <si>
    <t>Total liabilities</t>
  </si>
  <si>
    <t>Total Equity</t>
  </si>
  <si>
    <t>Total liabilities and equity</t>
  </si>
  <si>
    <t>Check?</t>
  </si>
  <si>
    <t>Cash Flow Statement</t>
  </si>
  <si>
    <t>Depreciation and amortization</t>
  </si>
  <si>
    <t>Change in OWC</t>
  </si>
  <si>
    <t>Change in other long term assets</t>
  </si>
  <si>
    <t>Change in other non current liabilities</t>
  </si>
  <si>
    <t>Cash flow from operations</t>
  </si>
  <si>
    <t>Change in long term investments</t>
  </si>
  <si>
    <t>Cash from investing activities</t>
  </si>
  <si>
    <t>Change in long term debt</t>
  </si>
  <si>
    <t>(Dividends)</t>
  </si>
  <si>
    <t>Cash from financing</t>
  </si>
  <si>
    <t xml:space="preserve">Beginning cash net of short term debt </t>
  </si>
  <si>
    <t>Net change in cash</t>
  </si>
  <si>
    <t xml:space="preserve">Ending cash net of short term debt </t>
  </si>
  <si>
    <t>Interest</t>
  </si>
  <si>
    <t>Interest on short term debt</t>
  </si>
  <si>
    <t>Interest on long term debt</t>
  </si>
  <si>
    <t>Interest on cash</t>
  </si>
  <si>
    <t>Income Statement Operating Statistics</t>
  </si>
  <si>
    <t>Revenue growth</t>
  </si>
  <si>
    <t>Recurring NI margin</t>
  </si>
  <si>
    <t>Balance Sheet Operating Statistics</t>
  </si>
  <si>
    <t>OWC</t>
  </si>
  <si>
    <t>OWC % revenues</t>
  </si>
  <si>
    <t>PP&amp;E % revenue</t>
  </si>
  <si>
    <t>Net Debt and Interest Statistics</t>
  </si>
  <si>
    <t>Short term borrowings</t>
  </si>
  <si>
    <t>Long term debt</t>
  </si>
  <si>
    <t>Total debt</t>
  </si>
  <si>
    <t>Net debt</t>
  </si>
  <si>
    <t>Total debt / EBITDA</t>
  </si>
  <si>
    <t>Net debt / EBITDA</t>
  </si>
  <si>
    <t>Total interest expense</t>
  </si>
  <si>
    <t>EBITDA / interest expense</t>
  </si>
  <si>
    <t>Net debt / net debt + equity</t>
  </si>
  <si>
    <t>Sum of the parts</t>
  </si>
  <si>
    <t>24E</t>
  </si>
  <si>
    <t>Target</t>
  </si>
  <si>
    <t>Segment/Item</t>
  </si>
  <si>
    <t>EV/EBITDA</t>
  </si>
  <si>
    <t>EV</t>
  </si>
  <si>
    <t>Total</t>
  </si>
  <si>
    <t>Pension/OPEB plan</t>
  </si>
  <si>
    <t>UK CPS</t>
  </si>
  <si>
    <t>Other</t>
  </si>
  <si>
    <t>OPEBs</t>
  </si>
  <si>
    <t xml:space="preserve">Defined Benefit Obligation </t>
  </si>
  <si>
    <t xml:space="preserve">Fair Value of Plan Assets </t>
  </si>
  <si>
    <t>—</t>
  </si>
  <si>
    <t xml:space="preserve">Plan Funded Status </t>
  </si>
  <si>
    <t>Amount included in debt-like valuation</t>
  </si>
  <si>
    <t>Pension liability</t>
  </si>
  <si>
    <t>Equity</t>
  </si>
  <si>
    <t>Diluted shares outstanding</t>
  </si>
  <si>
    <t>Implied share price</t>
  </si>
  <si>
    <t>Share price (30 Dec 23)</t>
  </si>
  <si>
    <t>Discount/premium to share price</t>
  </si>
  <si>
    <t>Organic revenue growth</t>
  </si>
  <si>
    <t>Reported revenue growth</t>
  </si>
  <si>
    <t>Segment D&amp;A</t>
  </si>
  <si>
    <t>Prior year EBIT</t>
  </si>
  <si>
    <t>Chemical Company Model</t>
  </si>
  <si>
    <t>Volume growth</t>
  </si>
  <si>
    <t>Price growth/mix</t>
  </si>
  <si>
    <t>Other current asset amount</t>
  </si>
  <si>
    <t xml:space="preserve">Allocation </t>
  </si>
  <si>
    <t xml:space="preserve">of central </t>
  </si>
  <si>
    <t>Pension</t>
  </si>
  <si>
    <t>Valuation</t>
  </si>
  <si>
    <t>Akzo MTR</t>
  </si>
  <si>
    <t>Implied EV/23E EBITDA</t>
  </si>
  <si>
    <t>NL ICIPF</t>
  </si>
  <si>
    <t>Other income</t>
  </si>
  <si>
    <t>Other income as a % of revenues</t>
  </si>
  <si>
    <t>Akzo Nobel (all in €M)</t>
  </si>
  <si>
    <t>Revenue and EBIT bridges</t>
  </si>
  <si>
    <t>Valuation using sum of the parts</t>
  </si>
  <si>
    <t>Pension adjustments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</si>
</sst>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164" formatCode="_(* #,##0_);_(* \(#,##0\);_(* &quot;-&quot;_);_(@_)"/>
    <numFmt numFmtId="165" formatCode="_(* #,##0.00_);_(* \(#,##0.00\);_(* &quot;-&quot;??_);_(@_)"/>
    <numFmt numFmtId="166" formatCode="_(&quot;£&quot;* #,##0_);_(&quot;£&quot;* \(#,##0\);_(&quot;£&quot;* &quot;-&quot;_);_(@_)"/>
    <numFmt numFmtId="167" formatCode="_(&quot;£&quot;* #,##0.00_);_(&quot;£&quot;* \(#,##0.00\);_(&quot;£&quot;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_);\(#,##0.0\)"/>
    <numFmt numFmtId="176" formatCode="#,##0.00_);\(#,##0.00\);0.00_);@_)"/>
    <numFmt numFmtId="177" formatCode="#,##0.0\ \x_);\(#,##0.0\ \x\)"/>
    <numFmt numFmtId="178" formatCode="0.00%_);\(0.00%\)"/>
  </numFmts>
  <fonts count="38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1"/>
      <color rgb="FFFF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name val="Calibri"/>
      <family val="2"/>
      <scheme val="minor"/>
    </font>
    <font>
      <sz val="9"/>
      <color theme="1"/>
      <name val="Arial"/>
      <family val="2"/>
    </font>
  </fonts>
  <fills count="38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68" fontId="29" fillId="0" borderId="0" applyFont="0" applyFill="0" applyBorder="0" applyAlignment="0" applyProtection="0"/>
    <xf numFmtId="177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0" fontId="37" fillId="0" borderId="0"/>
    <xf numFmtId="9" fontId="37" fillId="0" borderId="0" applyFont="0" applyFill="0" applyBorder="0" applyAlignment="0" applyProtection="0"/>
  </cellStyleXfs>
  <cellXfs count="91">
    <xf numFmtId="174" fontId="0" fillId="0" borderId="0" xfId="0"/>
    <xf numFmtId="174" fontId="2" fillId="5" borderId="0" xfId="0" applyFont="1" applyFill="1"/>
    <xf numFmtId="174" fontId="2" fillId="4" borderId="0" xfId="0" applyFont="1" applyFill="1"/>
    <xf numFmtId="174" fontId="2" fillId="5" borderId="0" xfId="0" applyFont="1" applyFill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/>
    <xf numFmtId="174" fontId="26" fillId="3" borderId="0" xfId="0" applyFont="1" applyFill="1"/>
    <xf numFmtId="174" fontId="3" fillId="5" borderId="0" xfId="0" applyFont="1" applyFill="1" applyAlignment="1">
      <alignment horizontal="center" vertical="top"/>
    </xf>
    <xf numFmtId="174" fontId="3" fillId="5" borderId="0" xfId="0" applyFont="1" applyFill="1" applyAlignment="1">
      <alignment vertical="top"/>
    </xf>
    <xf numFmtId="174" fontId="25" fillId="2" borderId="0" xfId="0" applyFont="1" applyFill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4" fontId="2" fillId="5" borderId="0" xfId="0" applyFont="1" applyFill="1" applyAlignment="1">
      <alignment horizontal="left" vertical="top"/>
    </xf>
    <xf numFmtId="174" fontId="2" fillId="5" borderId="0" xfId="0" applyFont="1" applyFill="1" applyAlignment="1">
      <alignment vertical="top"/>
    </xf>
    <xf numFmtId="174" fontId="2" fillId="0" borderId="0" xfId="0" applyFont="1" applyAlignment="1">
      <alignment vertical="top" wrapText="1"/>
    </xf>
    <xf numFmtId="174" fontId="3" fillId="0" borderId="0" xfId="0" applyFont="1" applyAlignment="1">
      <alignment vertical="top"/>
    </xf>
    <xf numFmtId="174" fontId="2" fillId="0" borderId="0" xfId="0" applyFont="1" applyAlignment="1">
      <alignment horizontal="left" wrapText="1"/>
    </xf>
    <xf numFmtId="174" fontId="2" fillId="0" borderId="0" xfId="0" applyFont="1" applyAlignment="1">
      <alignment vertical="top"/>
    </xf>
    <xf numFmtId="174" fontId="2" fillId="0" borderId="0" xfId="0" applyFont="1"/>
    <xf numFmtId="174" fontId="4" fillId="0" borderId="0" xfId="0" applyFont="1" applyAlignment="1">
      <alignment vertical="center"/>
    </xf>
    <xf numFmtId="174" fontId="5" fillId="0" borderId="0" xfId="0" applyFont="1" applyAlignment="1">
      <alignment vertical="center" wrapText="1"/>
    </xf>
    <xf numFmtId="174" fontId="2" fillId="0" borderId="0" xfId="0" applyFont="1" applyAlignment="1">
      <alignment horizontal="left" vertical="top"/>
    </xf>
    <xf numFmtId="174" fontId="3" fillId="0" borderId="0" xfId="0" applyFont="1" applyAlignment="1">
      <alignment horizontal="center" vertical="top"/>
    </xf>
    <xf numFmtId="174" fontId="7" fillId="0" borderId="0" xfId="0" applyFont="1" applyAlignment="1">
      <alignment vertical="center" wrapText="1"/>
    </xf>
    <xf numFmtId="168" fontId="2" fillId="0" borderId="0" xfId="0" applyNumberFormat="1" applyFont="1" applyAlignment="1">
      <alignment horizontal="left"/>
    </xf>
    <xf numFmtId="174" fontId="2" fillId="0" borderId="0" xfId="0" applyFont="1" applyAlignment="1">
      <alignment horizontal="left"/>
    </xf>
    <xf numFmtId="169" fontId="2" fillId="0" borderId="0" xfId="0" applyNumberFormat="1" applyFont="1" applyAlignment="1">
      <alignment horizontal="left"/>
    </xf>
    <xf numFmtId="174" fontId="3" fillId="0" borderId="0" xfId="0" applyFont="1" applyAlignment="1">
      <alignment horizontal="left" vertical="top"/>
    </xf>
    <xf numFmtId="174" fontId="3" fillId="0" borderId="0" xfId="0" applyFont="1"/>
    <xf numFmtId="174" fontId="25" fillId="0" borderId="0" xfId="0" applyFont="1"/>
    <xf numFmtId="174" fontId="26" fillId="0" borderId="0" xfId="0" applyFont="1"/>
    <xf numFmtId="170" fontId="30" fillId="0" borderId="0" xfId="57" applyFill="1" applyBorder="1" applyAlignment="1">
      <alignment vertical="top"/>
    </xf>
    <xf numFmtId="170" fontId="2" fillId="5" borderId="0" xfId="51" applyNumberFormat="1" applyFont="1" applyAlignment="1">
      <alignment horizontal="left"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170" fontId="2" fillId="5" borderId="0" xfId="51" applyNumberFormat="1" applyFont="1" applyAlignment="1">
      <alignment vertical="top"/>
    </xf>
    <xf numFmtId="0" fontId="2" fillId="5" borderId="12" xfId="61" applyFont="1" applyAlignment="1">
      <alignment vertical="top"/>
    </xf>
    <xf numFmtId="0" fontId="3" fillId="5" borderId="12" xfId="61" applyFont="1" applyAlignment="1">
      <alignment horizontal="center" vertical="top"/>
    </xf>
    <xf numFmtId="0" fontId="2" fillId="5" borderId="12" xfId="61" applyFont="1" applyAlignment="1"/>
    <xf numFmtId="0" fontId="5" fillId="5" borderId="12" xfId="61" applyFont="1" applyAlignment="1">
      <alignment vertical="center" wrapText="1"/>
    </xf>
    <xf numFmtId="174" fontId="25" fillId="0" borderId="0" xfId="0" applyFont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1" applyFont="1" applyAlignment="1"/>
    <xf numFmtId="0" fontId="2" fillId="5" borderId="12" xfId="61" applyFont="1" applyAlignment="1">
      <alignment horizontal="left"/>
    </xf>
    <xf numFmtId="0" fontId="7" fillId="5" borderId="12" xfId="61" applyFont="1" applyAlignment="1">
      <alignment horizontal="center" vertical="center" wrapText="1"/>
    </xf>
    <xf numFmtId="0" fontId="7" fillId="5" borderId="12" xfId="61" applyFont="1" applyAlignment="1">
      <alignment vertical="center" wrapText="1"/>
    </xf>
    <xf numFmtId="170" fontId="30" fillId="37" borderId="11" xfId="60" applyNumberFormat="1">
      <protection locked="0"/>
    </xf>
    <xf numFmtId="170" fontId="2" fillId="0" borderId="0" xfId="51" applyNumberFormat="1" applyFont="1" applyFill="1" applyAlignment="1"/>
    <xf numFmtId="0" fontId="2" fillId="0" borderId="0" xfId="61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1" applyFont="1" applyAlignment="1"/>
    <xf numFmtId="174" fontId="4" fillId="5" borderId="0" xfId="51" applyNumberFormat="1" applyFont="1" applyAlignment="1">
      <alignment vertical="center"/>
    </xf>
    <xf numFmtId="0" fontId="3" fillId="5" borderId="12" xfId="61" applyFont="1" applyAlignment="1">
      <alignment horizontal="left" vertical="top"/>
    </xf>
    <xf numFmtId="174" fontId="30" fillId="0" borderId="0" xfId="57" applyNumberFormat="1" applyFill="1"/>
    <xf numFmtId="172" fontId="0" fillId="0" borderId="0" xfId="56" applyFont="1" applyFill="1"/>
    <xf numFmtId="172" fontId="30" fillId="37" borderId="11" xfId="60" applyNumberFormat="1">
      <protection locked="0"/>
    </xf>
    <xf numFmtId="177" fontId="0" fillId="0" borderId="0" xfId="55" applyFont="1"/>
    <xf numFmtId="175" fontId="30" fillId="37" borderId="11" xfId="60" applyNumberFormat="1">
      <protection locked="0"/>
    </xf>
    <xf numFmtId="39" fontId="0" fillId="0" borderId="0" xfId="0" applyNumberFormat="1"/>
    <xf numFmtId="174" fontId="9" fillId="0" borderId="0" xfId="0" applyFont="1"/>
    <xf numFmtId="175" fontId="30" fillId="0" borderId="0" xfId="57" applyNumberFormat="1" applyFill="1"/>
    <xf numFmtId="176" fontId="0" fillId="0" borderId="0" xfId="0" applyNumberFormat="1"/>
    <xf numFmtId="172" fontId="30" fillId="37" borderId="11" xfId="56" applyFont="1" applyFill="1" applyBorder="1" applyProtection="1">
      <protection locked="0"/>
    </xf>
    <xf numFmtId="174" fontId="0" fillId="0" borderId="0" xfId="0" applyAlignment="1">
      <alignment horizontal="right"/>
    </xf>
    <xf numFmtId="172" fontId="30" fillId="0" borderId="0" xfId="56" applyFont="1" applyFill="1"/>
    <xf numFmtId="174" fontId="33" fillId="0" borderId="0" xfId="0" applyFont="1"/>
    <xf numFmtId="39" fontId="30" fillId="0" borderId="0" xfId="57" applyNumberFormat="1" applyFill="1"/>
    <xf numFmtId="174" fontId="36" fillId="0" borderId="0" xfId="0" applyFont="1"/>
    <xf numFmtId="174" fontId="30" fillId="37" borderId="11" xfId="60" applyNumberFormat="1">
      <protection locked="0"/>
    </xf>
    <xf numFmtId="172" fontId="30" fillId="0" borderId="0" xfId="57" applyNumberFormat="1" applyFill="1"/>
    <xf numFmtId="177" fontId="30" fillId="37" borderId="11" xfId="60" applyNumberFormat="1">
      <protection locked="0"/>
    </xf>
    <xf numFmtId="170" fontId="27" fillId="2" borderId="0" xfId="53" applyAlignment="1">
      <alignment horizontal="right"/>
    </xf>
    <xf numFmtId="178" fontId="0" fillId="0" borderId="0" xfId="56" applyNumberFormat="1" applyFont="1" applyFill="1"/>
    <xf numFmtId="170" fontId="32" fillId="2" borderId="0" xfId="48" applyNumberFormat="1" applyAlignment="1">
      <alignment horizontal="center"/>
    </xf>
    <xf numFmtId="174" fontId="5" fillId="0" borderId="0" xfId="0" applyFont="1" applyAlignment="1">
      <alignment horizontal="center" vertical="center" wrapText="1"/>
    </xf>
    <xf numFmtId="170" fontId="2" fillId="5" borderId="0" xfId="51" applyNumberFormat="1" applyFont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8" applyNumberFormat="1" applyFill="1" applyBorder="1" applyAlignment="1">
      <alignment horizontal="center" vertical="center" wrapText="1"/>
    </xf>
    <xf numFmtId="174" fontId="7" fillId="0" borderId="0" xfId="0" applyFont="1" applyAlignment="1">
      <alignment horizontal="center" vertical="center" wrapText="1"/>
    </xf>
    <xf numFmtId="174" fontId="4" fillId="5" borderId="0" xfId="0" applyFont="1" applyFill="1" applyAlignment="1">
      <alignment horizontal="left" vertical="center"/>
    </xf>
    <xf numFmtId="174" fontId="4" fillId="5" borderId="0" xfId="50" applyNumberFormat="1" applyFill="1">
      <alignment horizontal="left" vertical="center"/>
    </xf>
    <xf numFmtId="174" fontId="0" fillId="5" borderId="0" xfId="51" applyNumberFormat="1" applyFont="1" applyAlignment="1">
      <alignment horizontal="left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0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9000000}"/>
    <cellStyle name="Bad" xfId="13" builtinId="27" hidden="1"/>
    <cellStyle name="BG Border" xfId="61" xr:uid="{00000000-0005-0000-0000-00001B000000}"/>
    <cellStyle name="Blank" xfId="59" xr:uid="{00000000-0005-0000-0000-00001C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2" xr:uid="{00000000-0005-0000-0000-000021000000}"/>
    <cellStyle name="Currency" xfId="4" builtinId="4" hidden="1"/>
    <cellStyle name="Currency [0]" xfId="5" builtinId="7" hidden="1"/>
    <cellStyle name="Date" xfId="54" xr:uid="{00000000-0005-0000-0000-000024000000}"/>
    <cellStyle name="Date Heading" xfId="52" xr:uid="{00000000-0005-0000-0000-000025000000}"/>
    <cellStyle name="Explanatory Text" xfId="22" builtinId="53" hidden="1"/>
    <cellStyle name="Good" xfId="12" builtinId="26" hidden="1"/>
    <cellStyle name="Hard Coded Number" xfId="57" xr:uid="{00000000-0005-0000-0000-000028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st Proj Title" xfId="53" xr:uid="{00000000-0005-0000-0000-00002E000000}"/>
    <cellStyle name="Hyperlink" xfId="1" builtinId="8" hidden="1" customBuiltin="1"/>
    <cellStyle name="Input" xfId="15" builtinId="20" hidden="1"/>
    <cellStyle name="Input" xfId="60" builtinId="20" customBuiltin="1"/>
    <cellStyle name="Linked Cell" xfId="18" builtinId="24" hidden="1"/>
    <cellStyle name="Multiple" xfId="55" xr:uid="{00000000-0005-0000-0000-000033000000}"/>
    <cellStyle name="Neutral" xfId="14" builtinId="28" hidden="1"/>
    <cellStyle name="Normal" xfId="0" builtinId="0" customBuiltin="1"/>
    <cellStyle name="Normal 10" xfId="63" xr:uid="{531D5640-245B-4ABB-BE20-478BC8AA3F13}"/>
    <cellStyle name="Note" xfId="21" builtinId="10" hidden="1"/>
    <cellStyle name="Notes and Comments" xfId="58" xr:uid="{00000000-0005-0000-0000-000037000000}"/>
    <cellStyle name="Output" xfId="16" builtinId="21" hidden="1"/>
    <cellStyle name="Per cent" xfId="6" builtinId="5" hidden="1"/>
    <cellStyle name="Per cent" xfId="56" builtinId="5" customBuiltin="1"/>
    <cellStyle name="Percent 12" xfId="64" xr:uid="{1C5B5FCB-1D7E-4D65-847D-577020DD4906}"/>
    <cellStyle name="Primary Title" xfId="48" xr:uid="{00000000-0005-0000-0000-00003C000000}"/>
    <cellStyle name="Secondary Title" xfId="49" xr:uid="{00000000-0005-0000-0000-00003E000000}"/>
    <cellStyle name="Tertiary Title" xfId="50" xr:uid="{00000000-0005-0000-0000-00003F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2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8"/>
  <sheetViews>
    <sheetView showGridLines="0" zoomScale="125" zoomScaleNormal="125" workbookViewId="0">
      <selection sqref="A1:N1"/>
    </sheetView>
  </sheetViews>
  <sheetFormatPr defaultColWidth="9.1328125" defaultRowHeight="14.25" x14ac:dyDescent="0.45"/>
  <cols>
    <col min="1" max="1" width="9.86328125" customWidth="1"/>
    <col min="2" max="13" width="9.265625" customWidth="1"/>
    <col min="14" max="14" width="9.86328125" customWidth="1"/>
    <col min="15" max="26" width="9.1328125" customWidth="1"/>
  </cols>
  <sheetData>
    <row r="1" spans="1:14" s="33" customFormat="1" ht="189.75" customHeight="1" x14ac:dyDescent="0.85">
      <c r="A1" s="79"/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</row>
    <row r="2" spans="1:14" s="21" customFormat="1" ht="75" customHeight="1" x14ac:dyDescent="0.45">
      <c r="A2" s="82" t="s">
        <v>182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</row>
    <row r="3" spans="1:14" s="22" customFormat="1" ht="7.5" customHeight="1" x14ac:dyDescent="0.45">
      <c r="B3" s="23"/>
      <c r="C3" s="23"/>
      <c r="F3" s="24"/>
      <c r="G3" s="24"/>
      <c r="H3" s="24"/>
      <c r="I3" s="24"/>
      <c r="J3" s="24"/>
      <c r="K3" s="24"/>
    </row>
    <row r="4" spans="1:14" s="22" customFormat="1" ht="15" customHeight="1" x14ac:dyDescent="0.45">
      <c r="A4" s="36"/>
      <c r="B4" s="37"/>
      <c r="C4" s="81"/>
      <c r="D4" s="81"/>
      <c r="E4" s="38"/>
      <c r="F4" s="39"/>
      <c r="G4" s="39"/>
      <c r="H4" s="39"/>
      <c r="I4" s="39"/>
      <c r="J4" s="39"/>
      <c r="K4" s="39"/>
      <c r="L4" s="38"/>
      <c r="M4" s="38"/>
      <c r="N4" s="38"/>
    </row>
    <row r="5" spans="1:14" s="22" customFormat="1" ht="15" customHeight="1" x14ac:dyDescent="0.45">
      <c r="A5" s="83" t="s">
        <v>0</v>
      </c>
      <c r="B5" s="83"/>
      <c r="C5" s="83"/>
      <c r="D5" s="83"/>
      <c r="E5" s="83"/>
      <c r="F5" s="83"/>
      <c r="G5" s="83"/>
      <c r="H5" s="83"/>
      <c r="I5" s="83"/>
      <c r="J5" s="83"/>
      <c r="K5" s="83"/>
      <c r="L5" s="83"/>
      <c r="M5" s="83"/>
      <c r="N5" s="83"/>
    </row>
    <row r="6" spans="1:14" s="22" customFormat="1" ht="15" customHeight="1" x14ac:dyDescent="0.45">
      <c r="A6" s="83"/>
      <c r="B6" s="83"/>
      <c r="C6" s="83"/>
      <c r="D6" s="83"/>
      <c r="E6" s="83"/>
      <c r="F6" s="83"/>
      <c r="G6" s="83"/>
      <c r="H6" s="83"/>
      <c r="I6" s="83"/>
      <c r="J6" s="83"/>
      <c r="K6" s="83"/>
      <c r="L6" s="83"/>
      <c r="M6" s="83"/>
      <c r="N6" s="83"/>
    </row>
    <row r="7" spans="1:14" s="22" customFormat="1" ht="15" customHeight="1" x14ac:dyDescent="0.45">
      <c r="A7" s="83" t="str">
        <f ca="1">"© "&amp;YEAR(TODAY())&amp;" Financial Edge Training "</f>
        <v xml:space="preserve">© 2025 Financial Edge Training </v>
      </c>
      <c r="B7" s="83"/>
      <c r="C7" s="83"/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</row>
    <row r="8" spans="1:14" s="22" customFormat="1" ht="15" customHeight="1" thickBot="1" x14ac:dyDescent="0.5">
      <c r="A8" s="41"/>
      <c r="B8" s="42"/>
      <c r="C8" s="41"/>
      <c r="D8" s="41"/>
      <c r="E8" s="43"/>
      <c r="F8" s="44"/>
      <c r="G8" s="44"/>
      <c r="H8" s="44"/>
      <c r="I8" s="44"/>
      <c r="J8" s="44"/>
      <c r="K8" s="44"/>
      <c r="L8" s="43"/>
      <c r="M8" s="43"/>
      <c r="N8" s="43"/>
    </row>
    <row r="9" spans="1:14" s="22" customFormat="1" ht="15" customHeight="1" x14ac:dyDescent="0.45">
      <c r="F9" s="27"/>
      <c r="G9" s="84"/>
      <c r="H9" s="84"/>
      <c r="I9" s="84"/>
      <c r="J9" s="84"/>
      <c r="K9" s="27"/>
    </row>
    <row r="10" spans="1:14" s="22" customFormat="1" ht="15" customHeight="1" x14ac:dyDescent="0.45">
      <c r="B10" s="23"/>
      <c r="C10" s="23"/>
      <c r="F10" s="27"/>
      <c r="G10" s="84"/>
      <c r="H10" s="84"/>
      <c r="I10" s="84"/>
      <c r="J10" s="84"/>
      <c r="K10" s="27"/>
    </row>
    <row r="11" spans="1:14" s="22" customFormat="1" ht="15" customHeight="1" x14ac:dyDescent="0.45">
      <c r="B11" s="19"/>
      <c r="C11" s="19"/>
      <c r="D11" s="20"/>
      <c r="F11" s="24"/>
      <c r="G11" s="24"/>
      <c r="H11" s="24"/>
      <c r="I11" s="24"/>
      <c r="J11" s="24"/>
      <c r="K11" s="24"/>
    </row>
    <row r="12" spans="1:14" s="22" customFormat="1" ht="15" customHeight="1" x14ac:dyDescent="0.45">
      <c r="A12" s="25"/>
      <c r="B12" s="19"/>
      <c r="C12" s="19"/>
      <c r="D12" s="28"/>
      <c r="F12" s="24"/>
      <c r="G12" s="80"/>
      <c r="H12" s="80"/>
      <c r="I12" s="80"/>
      <c r="J12" s="80"/>
      <c r="K12" s="24"/>
    </row>
    <row r="13" spans="1:14" s="22" customFormat="1" ht="15" customHeight="1" x14ac:dyDescent="0.45">
      <c r="A13" s="18"/>
      <c r="B13" s="19"/>
      <c r="C13" s="19"/>
      <c r="D13" s="29"/>
      <c r="F13" s="24"/>
      <c r="G13" s="80"/>
      <c r="H13" s="80"/>
      <c r="I13" s="80"/>
      <c r="J13" s="80"/>
      <c r="K13" s="24"/>
    </row>
    <row r="14" spans="1:14" s="22" customFormat="1" ht="15" customHeight="1" x14ac:dyDescent="0.45">
      <c r="A14" s="21"/>
      <c r="B14" s="19"/>
      <c r="C14" s="19"/>
      <c r="D14" s="29"/>
      <c r="F14" s="24"/>
      <c r="G14" s="80"/>
      <c r="H14" s="80"/>
      <c r="I14" s="80"/>
      <c r="J14" s="80"/>
      <c r="K14" s="24"/>
    </row>
    <row r="15" spans="1:14" s="22" customFormat="1" ht="15" customHeight="1" x14ac:dyDescent="0.45">
      <c r="A15" s="21"/>
      <c r="B15" s="19"/>
      <c r="C15" s="19"/>
      <c r="D15" s="29"/>
      <c r="F15" s="24"/>
      <c r="G15" s="24"/>
      <c r="H15" s="24"/>
      <c r="I15" s="24"/>
      <c r="J15" s="24"/>
      <c r="K15" s="24"/>
    </row>
    <row r="16" spans="1:14" s="22" customFormat="1" ht="15" customHeight="1" x14ac:dyDescent="0.45">
      <c r="A16" s="21"/>
      <c r="B16" s="19"/>
      <c r="C16" s="19"/>
      <c r="D16" s="30"/>
      <c r="F16" s="24"/>
      <c r="G16" s="80"/>
      <c r="H16" s="80"/>
      <c r="I16" s="80"/>
      <c r="J16" s="80"/>
      <c r="K16" s="24"/>
    </row>
    <row r="17" spans="1:11" s="22" customFormat="1" ht="15" customHeight="1" x14ac:dyDescent="0.45">
      <c r="A17" s="21"/>
      <c r="B17" s="31"/>
      <c r="C17" s="32"/>
      <c r="D17" s="30"/>
      <c r="F17" s="24"/>
      <c r="G17" s="24"/>
      <c r="H17" s="24"/>
      <c r="I17" s="24"/>
      <c r="J17" s="24"/>
      <c r="K17" s="24"/>
    </row>
    <row r="18" spans="1:11" ht="15" customHeight="1" x14ac:dyDescent="0.45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verticalDpi="12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20"/>
  <sheetViews>
    <sheetView showGridLines="0" zoomScale="130" zoomScaleNormal="130" workbookViewId="0">
      <selection activeCell="N10" sqref="N10:Q10"/>
    </sheetView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18" s="33" customFormat="1" ht="45" customHeight="1" x14ac:dyDescent="0.85">
      <c r="A1" s="13" t="str">
        <f>Welcome!A2</f>
        <v>Chemical Company Model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4" customFormat="1" ht="30" customHeight="1" x14ac:dyDescent="0.65">
      <c r="A2" s="14" t="s">
        <v>1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85" t="s">
        <v>2</v>
      </c>
      <c r="C4" s="85"/>
      <c r="D4" s="85"/>
      <c r="E4" s="85"/>
      <c r="F4" s="85"/>
      <c r="G4" s="85"/>
      <c r="H4" s="85"/>
      <c r="I4" s="85"/>
      <c r="K4" s="1"/>
      <c r="L4" s="85" t="s">
        <v>3</v>
      </c>
      <c r="M4" s="85"/>
      <c r="N4" s="85"/>
      <c r="O4" s="85"/>
      <c r="P4" s="85"/>
      <c r="Q4" s="39"/>
      <c r="R4" s="39"/>
    </row>
    <row r="5" spans="1:18" s="2" customFormat="1" ht="15" customHeight="1" x14ac:dyDescent="0.45">
      <c r="A5" s="16"/>
      <c r="B5" s="8" t="s">
        <v>4</v>
      </c>
      <c r="C5" s="54" t="s">
        <v>5</v>
      </c>
      <c r="D5" s="17"/>
      <c r="E5" s="17"/>
      <c r="F5" s="17"/>
      <c r="G5" s="17"/>
      <c r="H5" s="17"/>
      <c r="I5" s="17"/>
      <c r="K5" s="1"/>
      <c r="L5" s="9" t="s">
        <v>6</v>
      </c>
      <c r="M5" s="9"/>
      <c r="N5" s="88" t="s">
        <v>7</v>
      </c>
      <c r="O5" s="88"/>
      <c r="P5" s="88"/>
      <c r="Q5" s="88"/>
      <c r="R5" s="39"/>
    </row>
    <row r="6" spans="1:18" s="2" customFormat="1" ht="15" customHeight="1" x14ac:dyDescent="0.45">
      <c r="A6" s="3"/>
      <c r="B6" s="8" t="s">
        <v>4</v>
      </c>
      <c r="C6" s="17" t="s">
        <v>8</v>
      </c>
      <c r="D6" s="17"/>
      <c r="E6" s="17"/>
      <c r="F6" s="17"/>
      <c r="G6" s="17"/>
      <c r="H6" s="17"/>
      <c r="I6" s="17"/>
      <c r="K6" s="16"/>
      <c r="L6" s="9" t="s">
        <v>9</v>
      </c>
      <c r="M6" s="9"/>
      <c r="N6" s="89">
        <v>45291</v>
      </c>
      <c r="O6" s="89"/>
      <c r="P6" s="89"/>
      <c r="Q6" s="89"/>
      <c r="R6" s="39"/>
    </row>
    <row r="7" spans="1:18" s="2" customFormat="1" ht="15" customHeight="1" x14ac:dyDescent="0.45">
      <c r="A7" s="17"/>
      <c r="B7" s="8" t="s">
        <v>4</v>
      </c>
      <c r="C7" s="17" t="s">
        <v>10</v>
      </c>
      <c r="D7" s="17"/>
      <c r="E7" s="17"/>
      <c r="F7" s="17"/>
      <c r="G7" s="17"/>
      <c r="H7" s="17"/>
      <c r="I7" s="17"/>
      <c r="K7" s="3"/>
      <c r="L7" s="9" t="s">
        <v>11</v>
      </c>
      <c r="M7" s="9"/>
      <c r="N7" s="88" t="s">
        <v>12</v>
      </c>
      <c r="O7" s="88"/>
      <c r="P7" s="88"/>
      <c r="Q7" s="88"/>
      <c r="R7" s="39"/>
    </row>
    <row r="8" spans="1:18" s="2" customFormat="1" ht="15" customHeight="1" x14ac:dyDescent="0.45">
      <c r="A8" s="17"/>
      <c r="B8" s="8" t="s">
        <v>4</v>
      </c>
      <c r="C8" s="17" t="s">
        <v>13</v>
      </c>
      <c r="D8" s="17"/>
      <c r="E8" s="17"/>
      <c r="F8" s="17"/>
      <c r="G8" s="17"/>
      <c r="H8" s="17"/>
      <c r="I8" s="17"/>
      <c r="K8" s="17"/>
      <c r="L8" s="9" t="s">
        <v>14</v>
      </c>
      <c r="M8" s="9"/>
      <c r="N8" s="88" t="s">
        <v>15</v>
      </c>
      <c r="O8" s="88"/>
      <c r="P8" s="88"/>
      <c r="Q8" s="88"/>
      <c r="R8" s="39"/>
    </row>
    <row r="9" spans="1:18" s="2" customFormat="1" ht="15" customHeight="1" x14ac:dyDescent="0.45">
      <c r="A9" s="40"/>
      <c r="B9" s="8" t="s">
        <v>4</v>
      </c>
      <c r="C9" s="17" t="s">
        <v>196</v>
      </c>
      <c r="D9" s="40"/>
      <c r="E9" s="40"/>
      <c r="F9" s="40"/>
      <c r="G9" s="40"/>
      <c r="H9" s="40"/>
      <c r="I9" s="40"/>
      <c r="K9" s="17"/>
      <c r="L9" s="9" t="s">
        <v>16</v>
      </c>
      <c r="M9" s="9"/>
      <c r="N9" s="88" t="s">
        <v>17</v>
      </c>
      <c r="O9" s="88"/>
      <c r="P9" s="88"/>
      <c r="Q9" s="88"/>
      <c r="R9" s="39"/>
    </row>
    <row r="10" spans="1:18" s="2" customFormat="1" ht="15" customHeight="1" x14ac:dyDescent="0.45">
      <c r="A10" s="38"/>
      <c r="B10" s="8" t="s">
        <v>4</v>
      </c>
      <c r="C10" s="17" t="s">
        <v>197</v>
      </c>
      <c r="D10" s="38"/>
      <c r="E10" s="38"/>
      <c r="F10" s="38"/>
      <c r="G10" s="38"/>
      <c r="H10" s="38"/>
      <c r="I10" s="38"/>
      <c r="K10" s="17"/>
      <c r="L10" s="9" t="s">
        <v>18</v>
      </c>
      <c r="M10" s="9"/>
      <c r="N10" s="90">
        <v>0</v>
      </c>
      <c r="O10" s="90"/>
      <c r="P10" s="90"/>
      <c r="Q10" s="90"/>
      <c r="R10" s="46"/>
    </row>
    <row r="11" spans="1:18" s="2" customFormat="1" ht="15" customHeight="1" thickBot="1" x14ac:dyDescent="0.5">
      <c r="A11" s="43"/>
      <c r="B11" s="43" t="s">
        <v>4</v>
      </c>
      <c r="C11" s="43" t="s">
        <v>198</v>
      </c>
      <c r="D11" s="43"/>
      <c r="E11" s="43"/>
      <c r="F11" s="43"/>
      <c r="G11" s="43"/>
      <c r="H11" s="43"/>
      <c r="I11" s="43"/>
      <c r="K11" s="4"/>
      <c r="L11" s="58"/>
      <c r="M11" s="58"/>
      <c r="N11" s="47"/>
      <c r="O11" s="48"/>
      <c r="P11" s="48"/>
      <c r="Q11" s="49"/>
      <c r="R11" s="50"/>
    </row>
    <row r="12" spans="1:18" s="2" customFormat="1" ht="7.5" customHeight="1" x14ac:dyDescent="0.45">
      <c r="K12" s="24"/>
      <c r="L12" s="24"/>
      <c r="M12" s="24"/>
      <c r="N12" s="24"/>
      <c r="O12" s="24"/>
      <c r="P12" s="24"/>
      <c r="Q12" s="24"/>
      <c r="R12" s="24"/>
    </row>
    <row r="13" spans="1:18" s="2" customFormat="1" ht="22.5" customHeight="1" x14ac:dyDescent="0.45">
      <c r="A13" s="54"/>
      <c r="B13" s="86" t="s">
        <v>19</v>
      </c>
      <c r="C13" s="86"/>
      <c r="D13" s="86"/>
      <c r="E13" s="86"/>
      <c r="F13" s="86"/>
      <c r="G13" s="86"/>
      <c r="H13" s="86"/>
      <c r="I13" s="86"/>
      <c r="J13" s="86"/>
      <c r="K13" s="86"/>
      <c r="L13" s="86"/>
      <c r="N13" s="1"/>
      <c r="O13" s="85" t="s">
        <v>20</v>
      </c>
      <c r="P13" s="85"/>
      <c r="Q13" s="85"/>
      <c r="R13" s="57"/>
    </row>
    <row r="14" spans="1:18" s="2" customFormat="1" ht="15" customHeight="1" x14ac:dyDescent="0.45">
      <c r="A14" s="55"/>
      <c r="B14" s="87" t="s">
        <v>24</v>
      </c>
      <c r="C14" s="87"/>
      <c r="D14" s="87"/>
      <c r="E14" s="87"/>
      <c r="F14" s="87"/>
      <c r="G14" s="87"/>
      <c r="H14" s="87"/>
      <c r="I14" s="87"/>
      <c r="J14" s="87"/>
      <c r="K14" s="87"/>
      <c r="L14" s="87"/>
      <c r="N14" s="16"/>
      <c r="O14" s="26"/>
      <c r="P14" s="21"/>
      <c r="Q14" s="21"/>
      <c r="R14" s="55"/>
    </row>
    <row r="15" spans="1:18" s="2" customFormat="1" ht="15" customHeight="1" x14ac:dyDescent="0.45">
      <c r="A15" s="55"/>
      <c r="B15" s="87" t="s">
        <v>52</v>
      </c>
      <c r="C15" s="87"/>
      <c r="D15" s="87"/>
      <c r="E15" s="87"/>
      <c r="F15" s="87"/>
      <c r="G15" s="87"/>
      <c r="H15" s="87"/>
      <c r="I15" s="87"/>
      <c r="J15" s="87"/>
      <c r="K15" s="87"/>
      <c r="L15" s="87"/>
      <c r="N15" s="3"/>
      <c r="O15" s="26"/>
      <c r="P15" s="51" t="s">
        <v>21</v>
      </c>
      <c r="Q15" s="21"/>
      <c r="R15" s="55"/>
    </row>
    <row r="16" spans="1:18" s="2" customFormat="1" ht="15" customHeight="1" x14ac:dyDescent="0.45">
      <c r="A16" s="55"/>
      <c r="B16" s="87" t="s">
        <v>189</v>
      </c>
      <c r="C16" s="87"/>
      <c r="D16" s="87"/>
      <c r="E16" s="87"/>
      <c r="F16" s="87"/>
      <c r="G16" s="87"/>
      <c r="H16" s="87"/>
      <c r="I16" s="87"/>
      <c r="J16" s="87"/>
      <c r="K16" s="87"/>
      <c r="L16" s="87"/>
      <c r="N16" s="17"/>
      <c r="O16" s="26"/>
      <c r="P16" s="35" t="s">
        <v>22</v>
      </c>
      <c r="Q16" s="21"/>
      <c r="R16" s="55"/>
    </row>
    <row r="17" spans="1:18" s="2" customFormat="1" ht="15" customHeight="1" x14ac:dyDescent="0.45">
      <c r="A17" s="55"/>
      <c r="B17" s="87"/>
      <c r="C17" s="87"/>
      <c r="D17" s="87"/>
      <c r="E17" s="87"/>
      <c r="F17" s="87"/>
      <c r="G17" s="87"/>
      <c r="H17" s="87"/>
      <c r="I17" s="87"/>
      <c r="J17" s="87"/>
      <c r="K17" s="87"/>
      <c r="L17" s="87"/>
      <c r="N17" s="17"/>
      <c r="O17" s="26"/>
      <c r="P17" t="s">
        <v>23</v>
      </c>
      <c r="Q17" s="21"/>
      <c r="R17" s="55"/>
    </row>
    <row r="18" spans="1:18" s="2" customFormat="1" ht="15" customHeight="1" x14ac:dyDescent="0.45">
      <c r="A18" s="38"/>
      <c r="B18" s="87"/>
      <c r="C18" s="87"/>
      <c r="D18" s="87"/>
      <c r="E18" s="87"/>
      <c r="F18" s="87"/>
      <c r="G18" s="87"/>
      <c r="H18" s="87"/>
      <c r="I18" s="87"/>
      <c r="J18" s="87"/>
      <c r="K18" s="87"/>
      <c r="L18" s="87"/>
      <c r="N18" s="38"/>
      <c r="O18" s="52"/>
      <c r="P18" s="52"/>
      <c r="Q18" s="52"/>
      <c r="R18" s="38"/>
    </row>
    <row r="19" spans="1:18" ht="14.65" thickBot="1" x14ac:dyDescent="0.5">
      <c r="A19" s="43"/>
      <c r="B19" s="43"/>
      <c r="C19" s="43"/>
      <c r="D19" s="56"/>
      <c r="E19" s="56"/>
      <c r="F19" s="56"/>
      <c r="G19" s="56"/>
      <c r="H19" s="56"/>
      <c r="I19" s="56"/>
      <c r="J19" s="56"/>
      <c r="K19" s="56"/>
      <c r="L19" s="56"/>
      <c r="N19" s="43"/>
      <c r="O19" s="43"/>
      <c r="P19" s="43"/>
      <c r="Q19" s="43"/>
      <c r="R19" s="43"/>
    </row>
    <row r="20" spans="1:18" x14ac:dyDescent="0.45">
      <c r="Q20" s="53"/>
    </row>
  </sheetData>
  <mergeCells count="20"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verticalDpi="12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E0AC9A-4EBB-469D-B539-1F2A910B5344}">
  <sheetPr>
    <pageSetUpPr fitToPage="1"/>
  </sheetPr>
  <dimension ref="A1:N78"/>
  <sheetViews>
    <sheetView zoomScale="130" zoomScaleNormal="13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C3" sqref="C3"/>
    </sheetView>
  </sheetViews>
  <sheetFormatPr defaultColWidth="9.1328125" defaultRowHeight="15" customHeight="1" outlineLevelRow="1" x14ac:dyDescent="0.45"/>
  <cols>
    <col min="1" max="1" width="1.3984375" style="15" customWidth="1"/>
    <col min="2" max="2" width="23.73046875" customWidth="1"/>
    <col min="3" max="15" width="11" customWidth="1"/>
  </cols>
  <sheetData>
    <row r="1" spans="1:14" s="45" customFormat="1" ht="45" customHeight="1" x14ac:dyDescent="0.85">
      <c r="A1" s="5" t="s">
        <v>24</v>
      </c>
      <c r="B1" s="10"/>
      <c r="C1" s="12" t="s">
        <v>25</v>
      </c>
      <c r="D1" s="12" t="s">
        <v>25</v>
      </c>
      <c r="E1" s="12" t="s">
        <v>25</v>
      </c>
      <c r="F1" s="12" t="s">
        <v>26</v>
      </c>
      <c r="G1" s="12" t="s">
        <v>26</v>
      </c>
      <c r="H1" s="12" t="s">
        <v>26</v>
      </c>
      <c r="I1" s="12" t="s">
        <v>26</v>
      </c>
      <c r="J1" s="12" t="s">
        <v>26</v>
      </c>
      <c r="K1" s="12" t="s">
        <v>26</v>
      </c>
      <c r="L1"/>
      <c r="M1"/>
      <c r="N1"/>
    </row>
    <row r="2" spans="1:14" s="34" customFormat="1" ht="30" customHeight="1" x14ac:dyDescent="0.65">
      <c r="A2" s="14" t="s">
        <v>195</v>
      </c>
      <c r="B2" s="7"/>
      <c r="C2" s="11">
        <f>DATE(YEAR(D2)-1,MONTH(D2),DAY(D2))</f>
        <v>44561</v>
      </c>
      <c r="D2" s="11">
        <f>DATE(YEAR(E2)-1,MONTH(E2),DAY(E2))</f>
        <v>44926</v>
      </c>
      <c r="E2" s="11">
        <f>Info!N6</f>
        <v>45291</v>
      </c>
      <c r="F2" s="11">
        <f>DATE(YEAR(E2)+1,MONTH(E2),DAY(E2))</f>
        <v>45657</v>
      </c>
      <c r="G2" s="11">
        <f>DATE(YEAR(F2)+1,MONTH(F2),DAY(F2))</f>
        <v>46022</v>
      </c>
      <c r="H2" s="11">
        <f>DATE(YEAR(G2)+1,MONTH(G2),DAY(G2))</f>
        <v>46387</v>
      </c>
      <c r="I2" s="11">
        <f>DATE(YEAR(H2)+1,MONTH(H2),DAY(H2))</f>
        <v>46752</v>
      </c>
      <c r="J2" s="11">
        <f>DATE(YEAR(I2)+1,MONTH(I2),DAY(I2))</f>
        <v>47118</v>
      </c>
      <c r="K2" s="11">
        <f t="shared" ref="K2" si="0">DATE(YEAR(J2)+1,MONTH(J2),DAY(J2))</f>
        <v>47483</v>
      </c>
      <c r="L2"/>
      <c r="M2"/>
      <c r="N2"/>
    </row>
    <row r="3" spans="1:14" ht="15" customHeight="1" x14ac:dyDescent="0.45">
      <c r="F3" s="60"/>
      <c r="G3" s="60"/>
      <c r="H3" s="60"/>
      <c r="I3" s="60"/>
      <c r="J3" s="60"/>
      <c r="K3" s="60"/>
    </row>
    <row r="4" spans="1:14" ht="15" customHeight="1" x14ac:dyDescent="0.45">
      <c r="A4" s="15" t="s">
        <v>27</v>
      </c>
      <c r="F4" s="60"/>
      <c r="G4" s="60"/>
      <c r="H4" s="60"/>
      <c r="I4" s="60"/>
      <c r="J4" s="60"/>
      <c r="K4" s="60"/>
    </row>
    <row r="5" spans="1:14" ht="15" customHeight="1" outlineLevel="1" x14ac:dyDescent="0.45">
      <c r="B5" s="73" t="s">
        <v>28</v>
      </c>
      <c r="F5" s="60"/>
      <c r="G5" s="60"/>
      <c r="H5" s="60"/>
      <c r="I5" s="60"/>
      <c r="J5" s="60"/>
      <c r="K5" s="60"/>
    </row>
    <row r="6" spans="1:14" ht="15" customHeight="1" outlineLevel="1" x14ac:dyDescent="0.45">
      <c r="B6" t="s">
        <v>183</v>
      </c>
      <c r="C6" s="75">
        <v>0.06</v>
      </c>
      <c r="D6" s="75">
        <v>-0.08</v>
      </c>
      <c r="E6" s="75">
        <v>2E-3</v>
      </c>
      <c r="F6" s="61">
        <v>-3.0000000000000001E-3</v>
      </c>
      <c r="G6" s="61">
        <v>1.7000000000000001E-2</v>
      </c>
      <c r="H6" s="61">
        <v>0.02</v>
      </c>
      <c r="I6" s="61">
        <v>1.4999999999999999E-2</v>
      </c>
      <c r="J6" s="61">
        <v>1.4999999999999999E-2</v>
      </c>
      <c r="K6" s="61">
        <v>1.6E-2</v>
      </c>
    </row>
    <row r="7" spans="1:14" ht="15" customHeight="1" outlineLevel="1" x14ac:dyDescent="0.45">
      <c r="B7" t="s">
        <v>184</v>
      </c>
      <c r="C7" s="75">
        <v>0.05</v>
      </c>
      <c r="D7" s="75">
        <v>0.11</v>
      </c>
      <c r="E7" s="75">
        <v>3.7999999999999999E-2</v>
      </c>
      <c r="F7" s="61">
        <v>1.2999999999999999E-2</v>
      </c>
      <c r="G7" s="61">
        <v>-2E-3</v>
      </c>
      <c r="H7" s="61">
        <v>3.0000000000000001E-3</v>
      </c>
      <c r="I7" s="61">
        <v>3.0000000000000001E-3</v>
      </c>
      <c r="J7" s="61">
        <v>3.0000000000000001E-3</v>
      </c>
      <c r="K7" s="61">
        <v>3.0000000000000001E-3</v>
      </c>
    </row>
    <row r="8" spans="1:14" ht="15" customHeight="1" outlineLevel="1" x14ac:dyDescent="0.45">
      <c r="B8" t="s">
        <v>178</v>
      </c>
      <c r="C8" s="60">
        <f>SUM(C6:C7)</f>
        <v>0.11</v>
      </c>
      <c r="D8" s="60">
        <f t="shared" ref="D8:K8" si="1">SUM(D6:D7)</f>
        <v>0.03</v>
      </c>
      <c r="E8" s="60">
        <f t="shared" si="1"/>
        <v>0.04</v>
      </c>
      <c r="F8" s="60">
        <f t="shared" si="1"/>
        <v>9.9999999999999985E-3</v>
      </c>
      <c r="G8" s="60">
        <f t="shared" si="1"/>
        <v>1.5000000000000001E-2</v>
      </c>
      <c r="H8" s="60">
        <f t="shared" si="1"/>
        <v>2.3E-2</v>
      </c>
      <c r="I8" s="60">
        <f t="shared" si="1"/>
        <v>1.7999999999999999E-2</v>
      </c>
      <c r="J8" s="60">
        <f t="shared" si="1"/>
        <v>1.7999999999999999E-2</v>
      </c>
      <c r="K8" s="60">
        <f t="shared" si="1"/>
        <v>1.9E-2</v>
      </c>
      <c r="L8" s="60"/>
    </row>
    <row r="9" spans="1:14" ht="15" customHeight="1" outlineLevel="1" x14ac:dyDescent="0.45">
      <c r="B9" t="s">
        <v>179</v>
      </c>
      <c r="C9" s="75">
        <v>0.12000000000000001</v>
      </c>
      <c r="D9" s="75">
        <v>0.1</v>
      </c>
      <c r="E9" s="75">
        <v>-1.0000000000000005E-2</v>
      </c>
      <c r="F9" s="60">
        <f>SUM(F8)</f>
        <v>9.9999999999999985E-3</v>
      </c>
      <c r="G9" s="60">
        <f t="shared" ref="G9:K9" si="2">SUM(G8)</f>
        <v>1.5000000000000001E-2</v>
      </c>
      <c r="H9" s="60">
        <f t="shared" si="2"/>
        <v>2.3E-2</v>
      </c>
      <c r="I9" s="60">
        <f t="shared" si="2"/>
        <v>1.7999999999999999E-2</v>
      </c>
      <c r="J9" s="60">
        <f t="shared" si="2"/>
        <v>1.7999999999999999E-2</v>
      </c>
      <c r="K9" s="60">
        <f t="shared" si="2"/>
        <v>1.9E-2</v>
      </c>
      <c r="L9" s="60"/>
    </row>
    <row r="10" spans="1:14" ht="15" customHeight="1" x14ac:dyDescent="0.45">
      <c r="B10" t="s">
        <v>29</v>
      </c>
      <c r="C10" s="59">
        <v>3979</v>
      </c>
      <c r="D10" s="59">
        <v>4344</v>
      </c>
      <c r="E10" s="59">
        <v>4300</v>
      </c>
      <c r="F10">
        <f>(1+F9)*E10</f>
        <v>4343</v>
      </c>
      <c r="G10">
        <f t="shared" ref="G10:K10" si="3">(1+G9)*F10</f>
        <v>4408.1449999999995</v>
      </c>
      <c r="H10">
        <f t="shared" si="3"/>
        <v>4509.532334999999</v>
      </c>
      <c r="I10">
        <f t="shared" si="3"/>
        <v>4590.7039170299986</v>
      </c>
      <c r="J10">
        <f t="shared" si="3"/>
        <v>4673.3365875365389</v>
      </c>
      <c r="K10">
        <f t="shared" si="3"/>
        <v>4762.1299826997329</v>
      </c>
      <c r="L10" s="60"/>
    </row>
    <row r="11" spans="1:14" ht="15" customHeight="1" x14ac:dyDescent="0.45">
      <c r="C11" s="59"/>
      <c r="D11" s="59"/>
      <c r="E11" s="59"/>
    </row>
    <row r="12" spans="1:14" ht="15" customHeight="1" outlineLevel="1" x14ac:dyDescent="0.45">
      <c r="B12" s="73" t="s">
        <v>30</v>
      </c>
      <c r="C12" s="70"/>
      <c r="D12" s="70"/>
      <c r="E12" s="70"/>
      <c r="F12" s="70"/>
      <c r="G12" s="70"/>
      <c r="H12" s="70"/>
      <c r="I12" s="70"/>
      <c r="J12" s="70"/>
      <c r="K12" s="70"/>
    </row>
    <row r="13" spans="1:14" ht="15" customHeight="1" outlineLevel="1" x14ac:dyDescent="0.45">
      <c r="B13" t="s">
        <v>31</v>
      </c>
      <c r="C13" s="70">
        <v>1.024</v>
      </c>
      <c r="D13" s="70">
        <v>0.98</v>
      </c>
      <c r="E13" s="70">
        <v>0.99399999999999999</v>
      </c>
      <c r="F13" s="61">
        <v>0.99399999999999999</v>
      </c>
      <c r="G13" s="61">
        <v>0.99399999999999999</v>
      </c>
      <c r="H13" s="61">
        <v>0.99399999999999999</v>
      </c>
      <c r="I13" s="61">
        <v>0.99399999999999999</v>
      </c>
      <c r="J13" s="61">
        <v>0.99399999999999999</v>
      </c>
      <c r="K13" s="61">
        <v>0.99399999999999999</v>
      </c>
    </row>
    <row r="14" spans="1:14" ht="15" customHeight="1" outlineLevel="1" x14ac:dyDescent="0.45">
      <c r="B14" t="s">
        <v>32</v>
      </c>
      <c r="C14" s="60"/>
      <c r="D14" s="60"/>
      <c r="E14" s="60"/>
      <c r="F14" s="61">
        <v>-2.7E-2</v>
      </c>
      <c r="G14" s="61">
        <v>1.7100000000000001E-2</v>
      </c>
      <c r="H14" s="61">
        <v>2.3E-2</v>
      </c>
      <c r="I14" s="61">
        <v>1.8000000000000002E-2</v>
      </c>
      <c r="J14" s="61">
        <v>9.0000000000000011E-3</v>
      </c>
      <c r="K14" s="61">
        <v>9.0000000000000011E-3</v>
      </c>
    </row>
    <row r="15" spans="1:14" ht="15" customHeight="1" outlineLevel="1" x14ac:dyDescent="0.45">
      <c r="B15" t="s">
        <v>33</v>
      </c>
      <c r="C15" s="70">
        <v>0.53</v>
      </c>
      <c r="D15" s="70">
        <v>0.4</v>
      </c>
      <c r="E15" s="70">
        <v>0.5</v>
      </c>
      <c r="F15" s="61">
        <v>0.54</v>
      </c>
      <c r="G15" s="61">
        <v>0.54</v>
      </c>
      <c r="H15" s="61">
        <v>0.54</v>
      </c>
      <c r="I15" s="61">
        <v>0.54</v>
      </c>
      <c r="J15" s="61">
        <v>0.54</v>
      </c>
      <c r="K15" s="61">
        <v>0.54</v>
      </c>
    </row>
    <row r="16" spans="1:14" ht="15" customHeight="1" outlineLevel="1" x14ac:dyDescent="0.45"/>
    <row r="17" spans="1:12" ht="15" customHeight="1" outlineLevel="1" x14ac:dyDescent="0.45">
      <c r="B17" t="s">
        <v>181</v>
      </c>
      <c r="C17" s="59"/>
      <c r="D17" s="59">
        <f>C22</f>
        <v>580.4</v>
      </c>
      <c r="E17" s="59">
        <f>D22</f>
        <v>393</v>
      </c>
      <c r="F17">
        <f>E22</f>
        <v>500.3</v>
      </c>
      <c r="G17">
        <f t="shared" ref="G17:K17" si="4">F22</f>
        <v>494.99860000000001</v>
      </c>
      <c r="H17">
        <f t="shared" si="4"/>
        <v>491.96815600000002</v>
      </c>
      <c r="I17">
        <f t="shared" si="4"/>
        <v>464.33387539</v>
      </c>
      <c r="J17">
        <f t="shared" si="4"/>
        <v>468.13693069647002</v>
      </c>
      <c r="K17">
        <f t="shared" si="4"/>
        <v>477.69477625172647</v>
      </c>
    </row>
    <row r="18" spans="1:12" ht="15" customHeight="1" outlineLevel="1" x14ac:dyDescent="0.45">
      <c r="B18" t="s">
        <v>34</v>
      </c>
      <c r="C18" s="59">
        <v>177.2</v>
      </c>
      <c r="D18" s="59">
        <v>428.9</v>
      </c>
      <c r="E18" s="59">
        <v>164.1</v>
      </c>
      <c r="F18">
        <f>E10*F7*F13</f>
        <v>55.564599999999999</v>
      </c>
      <c r="G18">
        <f t="shared" ref="G18:K18" si="5">F10*G7*G13</f>
        <v>-8.6338840000000001</v>
      </c>
      <c r="H18">
        <f t="shared" si="5"/>
        <v>13.14508839</v>
      </c>
      <c r="I18">
        <f t="shared" si="5"/>
        <v>13.447425422969996</v>
      </c>
      <c r="J18">
        <f t="shared" si="5"/>
        <v>13.689479080583457</v>
      </c>
      <c r="K18">
        <f t="shared" si="5"/>
        <v>13.935889704033958</v>
      </c>
    </row>
    <row r="19" spans="1:12" ht="15" customHeight="1" outlineLevel="1" x14ac:dyDescent="0.45">
      <c r="B19" t="s">
        <v>35</v>
      </c>
      <c r="C19" s="59">
        <v>-286</v>
      </c>
      <c r="D19" s="59">
        <v>-411.8</v>
      </c>
      <c r="E19" s="59">
        <v>58.6</v>
      </c>
      <c r="F19">
        <f>E10*F14*-1</f>
        <v>116.1</v>
      </c>
      <c r="G19">
        <f t="shared" ref="G19:K19" si="6">F10*G14*-1</f>
        <v>-74.265299999999996</v>
      </c>
      <c r="H19">
        <f t="shared" si="6"/>
        <v>-101.38733499999999</v>
      </c>
      <c r="I19">
        <f t="shared" si="6"/>
        <v>-81.171582029999996</v>
      </c>
      <c r="J19">
        <f t="shared" si="6"/>
        <v>-41.31633525326999</v>
      </c>
      <c r="K19">
        <f t="shared" si="6"/>
        <v>-42.060029287828854</v>
      </c>
    </row>
    <row r="20" spans="1:12" ht="15" customHeight="1" outlineLevel="1" x14ac:dyDescent="0.45">
      <c r="B20" t="s">
        <v>33</v>
      </c>
      <c r="C20" s="59"/>
      <c r="D20" s="59">
        <v>-127.3</v>
      </c>
      <c r="E20" s="59">
        <v>4.34</v>
      </c>
      <c r="F20">
        <f>E10*F6*F15</f>
        <v>-6.9660000000000011</v>
      </c>
      <c r="G20">
        <f t="shared" ref="G20:K20" si="7">F10*G6*G15</f>
        <v>39.868740000000003</v>
      </c>
      <c r="H20">
        <f t="shared" si="7"/>
        <v>47.607965999999998</v>
      </c>
      <c r="I20">
        <f t="shared" si="7"/>
        <v>36.527211913499997</v>
      </c>
      <c r="J20">
        <f t="shared" si="7"/>
        <v>37.184701727942986</v>
      </c>
      <c r="K20">
        <f t="shared" si="7"/>
        <v>40.377628116315705</v>
      </c>
    </row>
    <row r="21" spans="1:12" ht="15" customHeight="1" outlineLevel="1" x14ac:dyDescent="0.45">
      <c r="B21" t="s">
        <v>36</v>
      </c>
      <c r="C21" s="59">
        <v>3</v>
      </c>
      <c r="D21" s="59">
        <f>-54-18</f>
        <v>-72</v>
      </c>
      <c r="E21" s="59">
        <f>-123</f>
        <v>-123</v>
      </c>
      <c r="F21" s="74">
        <v>-170</v>
      </c>
      <c r="G21" s="74">
        <v>40</v>
      </c>
      <c r="H21" s="74">
        <v>13</v>
      </c>
      <c r="I21" s="74">
        <v>35</v>
      </c>
      <c r="J21" s="74">
        <v>0</v>
      </c>
      <c r="K21" s="74">
        <v>0</v>
      </c>
    </row>
    <row r="22" spans="1:12" ht="15" customHeight="1" x14ac:dyDescent="0.45">
      <c r="B22" t="s">
        <v>45</v>
      </c>
      <c r="C22" s="59">
        <v>580.4</v>
      </c>
      <c r="D22" s="59">
        <v>393</v>
      </c>
      <c r="E22" s="59">
        <v>500.3</v>
      </c>
      <c r="F22">
        <f>SUM(F17:F21)</f>
        <v>494.99860000000001</v>
      </c>
      <c r="G22">
        <f t="shared" ref="G22:K22" si="8">SUM(G17:G21)</f>
        <v>491.96815600000002</v>
      </c>
      <c r="H22">
        <f t="shared" si="8"/>
        <v>464.33387539</v>
      </c>
      <c r="I22">
        <f t="shared" si="8"/>
        <v>468.13693069647002</v>
      </c>
      <c r="J22">
        <f t="shared" si="8"/>
        <v>477.69477625172647</v>
      </c>
      <c r="K22">
        <f t="shared" si="8"/>
        <v>489.94826478424727</v>
      </c>
      <c r="L22" s="60"/>
    </row>
    <row r="23" spans="1:12" ht="15" customHeight="1" x14ac:dyDescent="0.45">
      <c r="A23"/>
      <c r="B23" t="s">
        <v>37</v>
      </c>
      <c r="C23" s="60">
        <f>C22/C10</f>
        <v>0.14586579542598643</v>
      </c>
      <c r="D23" s="60">
        <f t="shared" ref="D23:F23" si="9">D22/D10</f>
        <v>9.0469613259668513E-2</v>
      </c>
      <c r="E23" s="60">
        <f t="shared" si="9"/>
        <v>0.11634883720930232</v>
      </c>
      <c r="F23" s="60">
        <f t="shared" si="9"/>
        <v>0.11397619157264564</v>
      </c>
      <c r="G23" s="60">
        <f t="shared" ref="G23" si="10">G22/G10</f>
        <v>0.11160434967543038</v>
      </c>
      <c r="H23" s="60">
        <f t="shared" ref="H23" si="11">H22/H10</f>
        <v>0.10296719058562868</v>
      </c>
      <c r="I23" s="60">
        <f t="shared" ref="I23" si="12">I22/I10</f>
        <v>0.10197497794615686</v>
      </c>
      <c r="J23" s="60">
        <f t="shared" ref="J23" si="13">J22/J10</f>
        <v>0.10221707067402441</v>
      </c>
      <c r="K23" s="60">
        <f t="shared" ref="K23" si="14">K22/K10</f>
        <v>0.10288426955252641</v>
      </c>
      <c r="L23" s="60"/>
    </row>
    <row r="24" spans="1:12" ht="15" customHeight="1" x14ac:dyDescent="0.45">
      <c r="A24"/>
      <c r="C24" s="60"/>
      <c r="D24" s="60"/>
      <c r="E24" s="60"/>
      <c r="F24" s="60"/>
      <c r="G24" s="60"/>
      <c r="H24" s="60"/>
      <c r="I24" s="60"/>
      <c r="J24" s="60"/>
      <c r="K24" s="60"/>
    </row>
    <row r="25" spans="1:12" ht="15" customHeight="1" outlineLevel="1" x14ac:dyDescent="0.45">
      <c r="A25"/>
      <c r="B25" t="s">
        <v>38</v>
      </c>
    </row>
    <row r="26" spans="1:12" ht="15" customHeight="1" outlineLevel="1" x14ac:dyDescent="0.45">
      <c r="A26"/>
      <c r="B26" t="s">
        <v>39</v>
      </c>
      <c r="C26" s="60"/>
      <c r="D26" s="60"/>
      <c r="E26" s="60"/>
      <c r="F26" s="61">
        <f>E26</f>
        <v>0</v>
      </c>
      <c r="G26" s="61">
        <f t="shared" ref="G26:K26" si="15">F26</f>
        <v>0</v>
      </c>
      <c r="H26" s="61">
        <f t="shared" si="15"/>
        <v>0</v>
      </c>
      <c r="I26" s="61">
        <f t="shared" si="15"/>
        <v>0</v>
      </c>
      <c r="J26" s="61">
        <f t="shared" si="15"/>
        <v>0</v>
      </c>
      <c r="K26" s="61">
        <f t="shared" si="15"/>
        <v>0</v>
      </c>
    </row>
    <row r="27" spans="1:12" ht="15" customHeight="1" outlineLevel="1" x14ac:dyDescent="0.45">
      <c r="A27"/>
      <c r="B27" t="s">
        <v>180</v>
      </c>
      <c r="C27" s="59">
        <v>-148</v>
      </c>
      <c r="D27" s="59">
        <v>-165</v>
      </c>
      <c r="E27" s="59">
        <v>-145</v>
      </c>
    </row>
    <row r="28" spans="1:12" ht="15" customHeight="1" outlineLevel="1" x14ac:dyDescent="0.45">
      <c r="A28"/>
    </row>
    <row r="29" spans="1:12" ht="15" customHeight="1" x14ac:dyDescent="0.45">
      <c r="B29" t="s">
        <v>41</v>
      </c>
      <c r="C29" s="59">
        <v>728</v>
      </c>
      <c r="D29" s="59">
        <v>552</v>
      </c>
      <c r="E29" s="59">
        <v>645</v>
      </c>
      <c r="L29" s="60"/>
    </row>
    <row r="30" spans="1:12" ht="15" customHeight="1" x14ac:dyDescent="0.45">
      <c r="B30" t="s">
        <v>42</v>
      </c>
      <c r="C30" s="60"/>
      <c r="D30" s="60"/>
      <c r="E30" s="60"/>
      <c r="F30" s="60"/>
      <c r="G30" s="60"/>
      <c r="H30" s="60"/>
      <c r="I30" s="60"/>
      <c r="J30" s="60"/>
      <c r="K30" s="60"/>
      <c r="L30" s="60"/>
    </row>
    <row r="31" spans="1:12" ht="15" customHeight="1" x14ac:dyDescent="0.45">
      <c r="C31" s="59"/>
      <c r="D31" s="59"/>
      <c r="E31" s="59"/>
    </row>
    <row r="32" spans="1:12" ht="15" customHeight="1" x14ac:dyDescent="0.45">
      <c r="A32" s="15" t="s">
        <v>43</v>
      </c>
    </row>
    <row r="33" spans="2:11" ht="15" customHeight="1" outlineLevel="1" x14ac:dyDescent="0.45">
      <c r="B33" s="73" t="s">
        <v>28</v>
      </c>
    </row>
    <row r="34" spans="2:11" ht="15" customHeight="1" outlineLevel="1" x14ac:dyDescent="0.45">
      <c r="B34" t="s">
        <v>183</v>
      </c>
      <c r="C34" s="75">
        <v>0.08</v>
      </c>
      <c r="D34" s="75">
        <v>-7.0000000000000007E-2</v>
      </c>
      <c r="E34" s="75">
        <v>0</v>
      </c>
      <c r="F34" s="61">
        <v>8.0000000000000002E-3</v>
      </c>
      <c r="G34" s="61">
        <v>1.7999999999999999E-2</v>
      </c>
      <c r="H34" s="61">
        <v>2.3E-2</v>
      </c>
      <c r="I34" s="61">
        <v>0.01</v>
      </c>
      <c r="J34" s="61">
        <v>5.0000000000000001E-3</v>
      </c>
      <c r="K34" s="61">
        <v>5.0000000000000001E-3</v>
      </c>
    </row>
    <row r="35" spans="2:11" ht="15" customHeight="1" outlineLevel="1" x14ac:dyDescent="0.45">
      <c r="B35" t="s">
        <v>184</v>
      </c>
      <c r="C35" s="75">
        <v>7.0000000000000007E-2</v>
      </c>
      <c r="D35" s="75">
        <v>0.17</v>
      </c>
      <c r="E35" s="75">
        <v>0.04</v>
      </c>
      <c r="F35" s="61">
        <v>1.0999999999999999E-2</v>
      </c>
      <c r="G35" s="61">
        <v>1E-3</v>
      </c>
      <c r="H35" s="61">
        <v>5.0000000000000001E-3</v>
      </c>
      <c r="I35" s="61">
        <v>5.0000000000000001E-3</v>
      </c>
      <c r="J35" s="61">
        <v>5.0000000000000001E-3</v>
      </c>
      <c r="K35" s="61">
        <v>5.0000000000000001E-3</v>
      </c>
    </row>
    <row r="36" spans="2:11" ht="15" customHeight="1" outlineLevel="1" x14ac:dyDescent="0.45">
      <c r="B36" t="s">
        <v>178</v>
      </c>
      <c r="C36" s="60">
        <f>SUM(C34:C35)</f>
        <v>0.15000000000000002</v>
      </c>
      <c r="D36" s="60">
        <f t="shared" ref="D36:K36" si="16">SUM(D34:D35)</f>
        <v>0.1</v>
      </c>
      <c r="E36" s="60">
        <f t="shared" si="16"/>
        <v>0.04</v>
      </c>
      <c r="F36" s="60">
        <f t="shared" si="16"/>
        <v>1.9E-2</v>
      </c>
      <c r="G36" s="60">
        <f t="shared" si="16"/>
        <v>1.9E-2</v>
      </c>
      <c r="H36" s="60">
        <f t="shared" si="16"/>
        <v>2.8000000000000001E-2</v>
      </c>
      <c r="I36" s="60">
        <f t="shared" si="16"/>
        <v>1.4999999999999999E-2</v>
      </c>
      <c r="J36" s="60">
        <f t="shared" si="16"/>
        <v>0.01</v>
      </c>
      <c r="K36" s="60">
        <f t="shared" si="16"/>
        <v>0.01</v>
      </c>
    </row>
    <row r="37" spans="2:11" ht="15" customHeight="1" outlineLevel="1" x14ac:dyDescent="0.45">
      <c r="B37" t="s">
        <v>179</v>
      </c>
      <c r="C37" s="75">
        <v>0.13000000000000003</v>
      </c>
      <c r="D37" s="75">
        <v>0.16</v>
      </c>
      <c r="E37" s="75">
        <v>-0.02</v>
      </c>
      <c r="F37" s="60">
        <f>SUM(F36)</f>
        <v>1.9E-2</v>
      </c>
      <c r="G37" s="60">
        <f t="shared" ref="G37:K37" si="17">SUM(G36)</f>
        <v>1.9E-2</v>
      </c>
      <c r="H37" s="60">
        <f t="shared" si="17"/>
        <v>2.8000000000000001E-2</v>
      </c>
      <c r="I37" s="60">
        <f t="shared" si="17"/>
        <v>1.4999999999999999E-2</v>
      </c>
      <c r="J37" s="60">
        <f t="shared" si="17"/>
        <v>0.01</v>
      </c>
      <c r="K37" s="60">
        <f t="shared" si="17"/>
        <v>0.01</v>
      </c>
    </row>
    <row r="38" spans="2:11" ht="15" customHeight="1" x14ac:dyDescent="0.45">
      <c r="B38" t="s">
        <v>29</v>
      </c>
      <c r="C38" s="59">
        <v>5603</v>
      </c>
      <c r="D38" s="59">
        <v>6499</v>
      </c>
      <c r="E38" s="59">
        <v>6368</v>
      </c>
      <c r="F38">
        <f>(1+F37)*E38</f>
        <v>6488.9919999999993</v>
      </c>
      <c r="G38">
        <f t="shared" ref="G38:K38" si="18">(1+G37)*F38</f>
        <v>6612.2828479999989</v>
      </c>
      <c r="H38">
        <f t="shared" si="18"/>
        <v>6797.4267677439993</v>
      </c>
      <c r="I38">
        <f t="shared" si="18"/>
        <v>6899.388169260159</v>
      </c>
      <c r="J38">
        <f t="shared" si="18"/>
        <v>6968.3820509527604</v>
      </c>
      <c r="K38">
        <f t="shared" si="18"/>
        <v>7038.0658714622878</v>
      </c>
    </row>
    <row r="39" spans="2:11" ht="15" customHeight="1" x14ac:dyDescent="0.45">
      <c r="C39" s="59"/>
      <c r="D39" s="59"/>
      <c r="E39" s="59"/>
    </row>
    <row r="40" spans="2:11" ht="15" customHeight="1" outlineLevel="1" x14ac:dyDescent="0.45">
      <c r="B40" s="73" t="s">
        <v>30</v>
      </c>
      <c r="C40" s="70"/>
      <c r="D40" s="70"/>
      <c r="E40" s="70"/>
      <c r="F40" s="70"/>
      <c r="G40" s="70"/>
      <c r="H40" s="70"/>
      <c r="I40" s="70"/>
      <c r="J40" s="70"/>
      <c r="K40" s="70"/>
    </row>
    <row r="41" spans="2:11" ht="15" customHeight="1" outlineLevel="1" x14ac:dyDescent="0.45">
      <c r="B41" t="s">
        <v>31</v>
      </c>
      <c r="C41" s="70">
        <v>1.024</v>
      </c>
      <c r="D41" s="70">
        <v>0.98</v>
      </c>
      <c r="E41" s="70">
        <v>0.99399999999999999</v>
      </c>
      <c r="F41" s="61">
        <v>0.99399999999999999</v>
      </c>
      <c r="G41" s="61">
        <v>0.99399999999999999</v>
      </c>
      <c r="H41" s="61">
        <v>0.99399999999999999</v>
      </c>
      <c r="I41" s="61">
        <v>0.99399999999999999</v>
      </c>
      <c r="J41" s="61">
        <v>0.99399999999999999</v>
      </c>
      <c r="K41" s="61">
        <v>0.99399999999999999</v>
      </c>
    </row>
    <row r="42" spans="2:11" ht="15" customHeight="1" outlineLevel="1" x14ac:dyDescent="0.45">
      <c r="B42" t="s">
        <v>32</v>
      </c>
      <c r="C42" s="60"/>
      <c r="D42" s="60"/>
      <c r="E42" s="60"/>
      <c r="F42" s="61">
        <v>-2.4E-2</v>
      </c>
      <c r="G42" s="61">
        <v>1.7000000000000001E-2</v>
      </c>
      <c r="H42" s="61">
        <v>1.7999999999999999E-2</v>
      </c>
      <c r="I42" s="61">
        <v>1.4E-2</v>
      </c>
      <c r="J42" s="61">
        <v>1.4E-2</v>
      </c>
      <c r="K42" s="61">
        <v>1.4E-2</v>
      </c>
    </row>
    <row r="43" spans="2:11" ht="15" customHeight="1" outlineLevel="1" x14ac:dyDescent="0.45">
      <c r="B43" t="s">
        <v>33</v>
      </c>
      <c r="C43" s="70">
        <v>0.53</v>
      </c>
      <c r="D43" s="70">
        <v>0.4</v>
      </c>
      <c r="E43" s="70">
        <v>0.5</v>
      </c>
      <c r="F43" s="61">
        <v>0.54</v>
      </c>
      <c r="G43" s="61">
        <v>0.54</v>
      </c>
      <c r="H43" s="61">
        <v>0.54</v>
      </c>
      <c r="I43" s="61">
        <v>0.54</v>
      </c>
      <c r="J43" s="61">
        <v>0.54</v>
      </c>
      <c r="K43" s="61">
        <v>0.54</v>
      </c>
    </row>
    <row r="44" spans="2:11" ht="15" customHeight="1" outlineLevel="1" x14ac:dyDescent="0.45"/>
    <row r="45" spans="2:11" ht="15" customHeight="1" outlineLevel="1" x14ac:dyDescent="0.45">
      <c r="B45" t="s">
        <v>181</v>
      </c>
      <c r="C45" s="59"/>
      <c r="D45" s="59">
        <f>C50</f>
        <v>614.31670000000008</v>
      </c>
      <c r="E45" s="59">
        <f>D50</f>
        <v>492.65449999999998</v>
      </c>
      <c r="F45">
        <f>E50</f>
        <v>684.72601240847007</v>
      </c>
      <c r="G45">
        <f t="shared" ref="G45:K45" si="19">F50</f>
        <v>779.69548440847007</v>
      </c>
      <c r="H45">
        <f t="shared" si="19"/>
        <v>773.90568069646997</v>
      </c>
      <c r="I45">
        <f t="shared" si="19"/>
        <v>772.87218815918993</v>
      </c>
      <c r="J45">
        <f t="shared" si="19"/>
        <v>748.19752899227933</v>
      </c>
      <c r="K45">
        <f t="shared" si="19"/>
        <v>704.52440188086257</v>
      </c>
    </row>
    <row r="46" spans="2:11" ht="15" customHeight="1" outlineLevel="1" x14ac:dyDescent="0.45">
      <c r="B46" t="s">
        <v>34</v>
      </c>
      <c r="C46" s="59">
        <v>177.2</v>
      </c>
      <c r="D46" s="59">
        <v>428.9</v>
      </c>
      <c r="E46" s="59">
        <v>164.1</v>
      </c>
      <c r="F46">
        <f>E38*F35*F41</f>
        <v>69.627712000000002</v>
      </c>
      <c r="G46">
        <f t="shared" ref="G46:K46" si="20">F38*G35*G41</f>
        <v>6.4500580479999998</v>
      </c>
      <c r="H46">
        <f t="shared" si="20"/>
        <v>32.863045754559998</v>
      </c>
      <c r="I46">
        <f t="shared" si="20"/>
        <v>33.783211035687678</v>
      </c>
      <c r="J46">
        <f t="shared" si="20"/>
        <v>34.289959201222992</v>
      </c>
      <c r="K46">
        <f t="shared" si="20"/>
        <v>34.632858793235222</v>
      </c>
    </row>
    <row r="47" spans="2:11" ht="15" customHeight="1" outlineLevel="1" x14ac:dyDescent="0.45">
      <c r="B47" t="s">
        <v>35</v>
      </c>
      <c r="C47" s="59">
        <v>-286</v>
      </c>
      <c r="D47" s="59">
        <v>-411.8</v>
      </c>
      <c r="E47" s="59">
        <v>58.6</v>
      </c>
      <c r="F47">
        <f>F42*E38*-1</f>
        <v>152.83199999999999</v>
      </c>
      <c r="G47">
        <f t="shared" ref="G47:K47" si="21">G42*F38*-1</f>
        <v>-110.31286399999999</v>
      </c>
      <c r="H47">
        <f t="shared" si="21"/>
        <v>-119.02109126399998</v>
      </c>
      <c r="I47">
        <f t="shared" si="21"/>
        <v>-95.163974748415995</v>
      </c>
      <c r="J47">
        <f t="shared" si="21"/>
        <v>-96.591434369642229</v>
      </c>
      <c r="K47">
        <f t="shared" si="21"/>
        <v>-97.557348713338655</v>
      </c>
    </row>
    <row r="48" spans="2:11" ht="15" customHeight="1" outlineLevel="1" x14ac:dyDescent="0.45">
      <c r="B48" t="s">
        <v>33</v>
      </c>
      <c r="C48" s="59"/>
      <c r="D48" s="59">
        <v>-127.3</v>
      </c>
      <c r="E48" s="59">
        <v>4.34</v>
      </c>
      <c r="F48">
        <f>E38*F34*F43</f>
        <v>27.509760000000004</v>
      </c>
      <c r="G48">
        <f t="shared" ref="G48:K48" si="22">F38*G34*G43</f>
        <v>63.073002239999987</v>
      </c>
      <c r="H48">
        <f t="shared" si="22"/>
        <v>82.124552972159989</v>
      </c>
      <c r="I48">
        <f t="shared" si="22"/>
        <v>36.706104545817603</v>
      </c>
      <c r="J48">
        <f t="shared" si="22"/>
        <v>18.62834805700243</v>
      </c>
      <c r="K48">
        <f t="shared" si="22"/>
        <v>18.814631537572456</v>
      </c>
    </row>
    <row r="49" spans="1:12" ht="15" customHeight="1" outlineLevel="1" x14ac:dyDescent="0.45">
      <c r="B49" t="s">
        <v>36</v>
      </c>
      <c r="C49" s="59">
        <v>-175</v>
      </c>
      <c r="D49" s="59">
        <v>-120</v>
      </c>
      <c r="E49" s="59">
        <v>-138</v>
      </c>
      <c r="F49" s="74">
        <v>-155</v>
      </c>
      <c r="G49" s="74">
        <v>35</v>
      </c>
      <c r="H49" s="74">
        <v>3</v>
      </c>
      <c r="I49" s="74">
        <v>0</v>
      </c>
      <c r="J49" s="74">
        <v>0</v>
      </c>
      <c r="K49" s="74">
        <v>0</v>
      </c>
      <c r="L49" s="71"/>
    </row>
    <row r="50" spans="1:12" ht="15" customHeight="1" x14ac:dyDescent="0.45">
      <c r="B50" t="s">
        <v>45</v>
      </c>
      <c r="C50" s="59">
        <v>614.31670000000008</v>
      </c>
      <c r="D50" s="59">
        <v>492.65449999999998</v>
      </c>
      <c r="E50" s="59">
        <v>684.72601240847007</v>
      </c>
      <c r="F50">
        <f>SUM(F45:F49)</f>
        <v>779.69548440847007</v>
      </c>
      <c r="G50">
        <f t="shared" ref="G50:K50" si="23">SUM(G45:G49)</f>
        <v>773.90568069646997</v>
      </c>
      <c r="H50">
        <f t="shared" si="23"/>
        <v>772.87218815918993</v>
      </c>
      <c r="I50">
        <f t="shared" si="23"/>
        <v>748.19752899227933</v>
      </c>
      <c r="J50">
        <f t="shared" si="23"/>
        <v>704.52440188086257</v>
      </c>
      <c r="K50">
        <f t="shared" si="23"/>
        <v>660.41454349833157</v>
      </c>
    </row>
    <row r="51" spans="1:12" ht="15" customHeight="1" x14ac:dyDescent="0.45">
      <c r="A51"/>
      <c r="B51" t="s">
        <v>37</v>
      </c>
      <c r="C51" s="60">
        <f>C50/C38</f>
        <v>0.10964067463858648</v>
      </c>
      <c r="D51" s="60">
        <f t="shared" ref="D51:K51" si="24">D50/D38</f>
        <v>7.5804662255731653E-2</v>
      </c>
      <c r="E51" s="60">
        <f t="shared" si="24"/>
        <v>0.10752606978776226</v>
      </c>
      <c r="F51" s="60">
        <f t="shared" si="24"/>
        <v>0.12015664134097717</v>
      </c>
      <c r="G51" s="60">
        <f t="shared" si="24"/>
        <v>0.11704061947842284</v>
      </c>
      <c r="H51" s="60">
        <f t="shared" si="24"/>
        <v>0.11370070095153063</v>
      </c>
      <c r="I51" s="60">
        <f t="shared" si="24"/>
        <v>0.10844404034633562</v>
      </c>
      <c r="J51" s="60">
        <f t="shared" si="24"/>
        <v>0.10110301024389666</v>
      </c>
      <c r="K51" s="60">
        <f t="shared" si="24"/>
        <v>9.3834663607818475E-2</v>
      </c>
    </row>
    <row r="52" spans="1:12" ht="15" customHeight="1" x14ac:dyDescent="0.45">
      <c r="A52"/>
      <c r="C52" s="60"/>
      <c r="D52" s="60"/>
      <c r="E52" s="60"/>
      <c r="F52" s="60"/>
      <c r="G52" s="60"/>
      <c r="H52" s="60"/>
      <c r="I52" s="60"/>
      <c r="J52" s="60"/>
      <c r="K52" s="60"/>
    </row>
    <row r="53" spans="1:12" ht="15" customHeight="1" outlineLevel="1" x14ac:dyDescent="0.45">
      <c r="A53"/>
      <c r="B53" t="s">
        <v>38</v>
      </c>
    </row>
    <row r="54" spans="1:12" ht="15" customHeight="1" outlineLevel="1" x14ac:dyDescent="0.45">
      <c r="A54"/>
      <c r="B54" t="s">
        <v>39</v>
      </c>
      <c r="C54" s="60"/>
      <c r="D54" s="60"/>
      <c r="E54" s="60"/>
      <c r="F54" s="61">
        <f>E54</f>
        <v>0</v>
      </c>
      <c r="G54" s="61">
        <f t="shared" ref="G54:K54" si="25">F54</f>
        <v>0</v>
      </c>
      <c r="H54" s="61">
        <f t="shared" si="25"/>
        <v>0</v>
      </c>
      <c r="I54" s="61">
        <f t="shared" si="25"/>
        <v>0</v>
      </c>
      <c r="J54" s="61">
        <f t="shared" si="25"/>
        <v>0</v>
      </c>
      <c r="K54" s="61">
        <f t="shared" si="25"/>
        <v>0</v>
      </c>
    </row>
    <row r="55" spans="1:12" ht="15" customHeight="1" outlineLevel="1" x14ac:dyDescent="0.45">
      <c r="A55"/>
      <c r="B55" t="s">
        <v>40</v>
      </c>
      <c r="C55" s="59">
        <v>-159</v>
      </c>
      <c r="D55" s="59">
        <v>-170</v>
      </c>
      <c r="E55" s="59">
        <v>-169</v>
      </c>
    </row>
    <row r="56" spans="1:12" ht="15" customHeight="1" outlineLevel="1" x14ac:dyDescent="0.45">
      <c r="A56"/>
    </row>
    <row r="57" spans="1:12" ht="15" customHeight="1" x14ac:dyDescent="0.45">
      <c r="B57" t="s">
        <v>41</v>
      </c>
      <c r="C57" s="59">
        <v>773</v>
      </c>
      <c r="D57" s="59">
        <v>668</v>
      </c>
      <c r="E57" s="59">
        <v>854</v>
      </c>
    </row>
    <row r="58" spans="1:12" ht="15" customHeight="1" x14ac:dyDescent="0.45">
      <c r="B58" t="s">
        <v>42</v>
      </c>
      <c r="C58" s="60"/>
      <c r="D58" s="60"/>
      <c r="E58" s="60"/>
      <c r="F58" s="60"/>
      <c r="G58" s="60"/>
      <c r="H58" s="60"/>
      <c r="I58" s="60"/>
      <c r="J58" s="60"/>
      <c r="K58" s="60"/>
    </row>
    <row r="59" spans="1:12" ht="15" customHeight="1" x14ac:dyDescent="0.45">
      <c r="C59" s="59"/>
      <c r="D59" s="59"/>
      <c r="E59" s="59"/>
    </row>
    <row r="60" spans="1:12" ht="15" customHeight="1" x14ac:dyDescent="0.45">
      <c r="A60" s="15" t="s">
        <v>44</v>
      </c>
    </row>
    <row r="61" spans="1:12" ht="15" customHeight="1" x14ac:dyDescent="0.45">
      <c r="B61" t="s">
        <v>29</v>
      </c>
      <c r="C61" s="59">
        <v>5</v>
      </c>
      <c r="D61" s="59">
        <v>3</v>
      </c>
      <c r="E61" s="59">
        <v>0</v>
      </c>
      <c r="F61" s="74">
        <v>0</v>
      </c>
      <c r="G61" s="74">
        <v>0</v>
      </c>
      <c r="H61" s="74">
        <v>0</v>
      </c>
      <c r="I61" s="74">
        <v>0</v>
      </c>
      <c r="J61" s="74">
        <v>0</v>
      </c>
      <c r="K61" s="74">
        <v>0</v>
      </c>
    </row>
    <row r="62" spans="1:12" ht="15" customHeight="1" x14ac:dyDescent="0.45">
      <c r="A62"/>
    </row>
    <row r="63" spans="1:12" ht="15" customHeight="1" x14ac:dyDescent="0.45">
      <c r="B63" t="s">
        <v>45</v>
      </c>
      <c r="C63" s="59">
        <v>-102</v>
      </c>
      <c r="D63" s="59">
        <v>-101</v>
      </c>
      <c r="E63" s="59">
        <v>-111</v>
      </c>
      <c r="F63" s="74">
        <f>E63</f>
        <v>-111</v>
      </c>
      <c r="G63" s="74">
        <v>-105</v>
      </c>
      <c r="H63" s="74">
        <v>-100</v>
      </c>
      <c r="I63" s="74">
        <v>-101.61964841193878</v>
      </c>
      <c r="J63" s="74">
        <v>-102.96065045166796</v>
      </c>
      <c r="K63" s="74">
        <v>-104.36224051874675</v>
      </c>
      <c r="L63" s="71"/>
    </row>
    <row r="65" spans="1:11" ht="15" customHeight="1" outlineLevel="1" x14ac:dyDescent="0.45">
      <c r="A65"/>
      <c r="B65" t="s">
        <v>38</v>
      </c>
    </row>
    <row r="66" spans="1:11" ht="15" customHeight="1" outlineLevel="1" x14ac:dyDescent="0.45">
      <c r="A66"/>
      <c r="B66" t="s">
        <v>39</v>
      </c>
      <c r="C66" s="60"/>
      <c r="D66" s="60"/>
      <c r="E66" s="60"/>
      <c r="F66" s="61">
        <f>1-F26-F54</f>
        <v>1</v>
      </c>
      <c r="G66" s="61">
        <f t="shared" ref="G66:K66" si="26">1-G26-G54</f>
        <v>1</v>
      </c>
      <c r="H66" s="61">
        <f t="shared" si="26"/>
        <v>1</v>
      </c>
      <c r="I66" s="61">
        <f t="shared" si="26"/>
        <v>1</v>
      </c>
      <c r="J66" s="61">
        <f t="shared" si="26"/>
        <v>1</v>
      </c>
      <c r="K66" s="61">
        <f t="shared" si="26"/>
        <v>1</v>
      </c>
    </row>
    <row r="67" spans="1:11" ht="15" customHeight="1" outlineLevel="1" x14ac:dyDescent="0.45">
      <c r="A67"/>
      <c r="B67" t="s">
        <v>40</v>
      </c>
      <c r="C67" s="59">
        <v>-35</v>
      </c>
      <c r="D67" s="59">
        <v>-42</v>
      </c>
      <c r="E67" s="59">
        <v>-41</v>
      </c>
    </row>
    <row r="68" spans="1:11" ht="15" customHeight="1" outlineLevel="1" x14ac:dyDescent="0.45">
      <c r="A68"/>
      <c r="F68" s="78"/>
    </row>
    <row r="69" spans="1:11" ht="15" customHeight="1" x14ac:dyDescent="0.45">
      <c r="B69" t="s">
        <v>41</v>
      </c>
    </row>
    <row r="70" spans="1:11" ht="15" customHeight="1" x14ac:dyDescent="0.45">
      <c r="C70" s="60"/>
      <c r="D70" s="60"/>
      <c r="E70" s="60"/>
    </row>
    <row r="71" spans="1:11" ht="15" customHeight="1" x14ac:dyDescent="0.45">
      <c r="A71" s="15" t="s">
        <v>46</v>
      </c>
    </row>
    <row r="72" spans="1:11" ht="15" customHeight="1" x14ac:dyDescent="0.45">
      <c r="B72" t="s">
        <v>47</v>
      </c>
      <c r="C72">
        <f>C10+C38+C61</f>
        <v>9587</v>
      </c>
      <c r="D72">
        <f>D10+D38+D61</f>
        <v>10846</v>
      </c>
      <c r="E72">
        <f t="shared" ref="E72:K72" si="27">E10+E38+E61</f>
        <v>10668</v>
      </c>
      <c r="F72">
        <f t="shared" si="27"/>
        <v>10831.991999999998</v>
      </c>
      <c r="G72">
        <f t="shared" si="27"/>
        <v>11020.427847999999</v>
      </c>
      <c r="H72">
        <f t="shared" si="27"/>
        <v>11306.959102743998</v>
      </c>
      <c r="I72">
        <f t="shared" si="27"/>
        <v>11490.092086290158</v>
      </c>
      <c r="J72">
        <f t="shared" si="27"/>
        <v>11641.718638489299</v>
      </c>
      <c r="K72">
        <f t="shared" si="27"/>
        <v>11800.195854162021</v>
      </c>
    </row>
    <row r="73" spans="1:11" ht="15" customHeight="1" x14ac:dyDescent="0.45">
      <c r="B73" t="s">
        <v>48</v>
      </c>
      <c r="D73" s="60">
        <f>D72/C72-1</f>
        <v>0.13132366746636071</v>
      </c>
      <c r="E73" s="60">
        <f t="shared" ref="E73:K73" si="28">E72/D72-1</f>
        <v>-1.6411580306103679E-2</v>
      </c>
      <c r="F73" s="60">
        <f t="shared" si="28"/>
        <v>1.537232845894243E-2</v>
      </c>
      <c r="G73" s="60">
        <f t="shared" si="28"/>
        <v>1.7396232198103601E-2</v>
      </c>
      <c r="H73" s="60">
        <f t="shared" si="28"/>
        <v>2.6000011859430572E-2</v>
      </c>
      <c r="I73" s="60">
        <f t="shared" si="28"/>
        <v>1.6196484119387788E-2</v>
      </c>
      <c r="J73" s="60">
        <f t="shared" si="28"/>
        <v>1.319628694534658E-2</v>
      </c>
      <c r="K73" s="60">
        <f t="shared" si="28"/>
        <v>1.3612871139899507E-2</v>
      </c>
    </row>
    <row r="75" spans="1:11" ht="15" customHeight="1" x14ac:dyDescent="0.45">
      <c r="B75" t="s">
        <v>49</v>
      </c>
    </row>
    <row r="76" spans="1:11" ht="15" customHeight="1" x14ac:dyDescent="0.45">
      <c r="B76" t="s">
        <v>50</v>
      </c>
      <c r="C76">
        <f>C22+C50+C63</f>
        <v>1092.7166999999999</v>
      </c>
      <c r="D76">
        <f>D22+D50+D63</f>
        <v>784.65449999999998</v>
      </c>
      <c r="E76">
        <f t="shared" ref="E76:K76" si="29">E22+E50+E63</f>
        <v>1074.02601240847</v>
      </c>
      <c r="F76">
        <f t="shared" si="29"/>
        <v>1163.6940844084702</v>
      </c>
      <c r="G76">
        <f t="shared" si="29"/>
        <v>1160.8738366964699</v>
      </c>
      <c r="H76">
        <f t="shared" si="29"/>
        <v>1137.2060635491898</v>
      </c>
      <c r="I76">
        <f t="shared" si="29"/>
        <v>1114.7148112768105</v>
      </c>
      <c r="J76">
        <f t="shared" si="29"/>
        <v>1079.2585276809211</v>
      </c>
      <c r="K76">
        <f t="shared" si="29"/>
        <v>1046.0005677638321</v>
      </c>
    </row>
    <row r="78" spans="1:11" ht="15" customHeight="1" x14ac:dyDescent="0.45">
      <c r="A78" s="15" t="s">
        <v>51</v>
      </c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56" fitToHeight="0" orientation="landscape" cellComments="asDisplayed" horizontalDpi="2400" verticalDpi="2400" r:id="rId1"/>
  <headerFooter>
    <oddHeader xml:space="preserve">&amp;R&amp;10&amp;F 
&amp;A
</oddHeader>
    <oddFooter>&amp;L&amp;10© 2018&amp;C&amp;10Page &amp;P of &amp;N&amp;R&amp;G</oddFooter>
  </headerFooter>
  <legacy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N155"/>
  <sheetViews>
    <sheetView tabSelected="1" zoomScale="130" zoomScaleNormal="130" workbookViewId="0">
      <pane xSplit="2" ySplit="2" topLeftCell="C38" activePane="bottomRight" state="frozen"/>
      <selection pane="topRight" activeCell="C1" sqref="C1"/>
      <selection pane="bottomLeft" activeCell="A3" sqref="A3"/>
      <selection pane="bottomRight" activeCell="A38" sqref="A38"/>
    </sheetView>
  </sheetViews>
  <sheetFormatPr defaultColWidth="9.1328125" defaultRowHeight="15" customHeight="1" x14ac:dyDescent="0.45"/>
  <cols>
    <col min="1" max="1" width="1.3984375" style="15" customWidth="1"/>
    <col min="2" max="2" width="31.3984375" customWidth="1"/>
    <col min="3" max="11" width="11" customWidth="1"/>
    <col min="13" max="15" width="11" customWidth="1"/>
  </cols>
  <sheetData>
    <row r="1" spans="1:14" s="45" customFormat="1" ht="45" customHeight="1" x14ac:dyDescent="0.85">
      <c r="A1" s="5" t="s">
        <v>52</v>
      </c>
      <c r="B1" s="10"/>
      <c r="C1" s="12" t="s">
        <v>25</v>
      </c>
      <c r="D1" s="12" t="s">
        <v>25</v>
      </c>
      <c r="E1" s="12" t="s">
        <v>25</v>
      </c>
      <c r="F1" s="12" t="s">
        <v>26</v>
      </c>
      <c r="G1" s="12" t="s">
        <v>26</v>
      </c>
      <c r="H1" s="12" t="s">
        <v>26</v>
      </c>
      <c r="I1" s="12" t="s">
        <v>26</v>
      </c>
      <c r="J1" s="12" t="s">
        <v>26</v>
      </c>
      <c r="K1" s="12" t="s">
        <v>26</v>
      </c>
      <c r="M1"/>
      <c r="N1"/>
    </row>
    <row r="2" spans="1:14" s="34" customFormat="1" ht="30" customHeight="1" x14ac:dyDescent="0.65">
      <c r="A2" s="14" t="s">
        <v>195</v>
      </c>
      <c r="B2" s="7"/>
      <c r="C2" s="11">
        <f>DATE(YEAR(D2)-1,MONTH(D2),DAY(D2))</f>
        <v>44561</v>
      </c>
      <c r="D2" s="11">
        <f>DATE(YEAR(E2)-1,MONTH(E2),DAY(E2))</f>
        <v>44926</v>
      </c>
      <c r="E2" s="11">
        <f>Info!N6</f>
        <v>45291</v>
      </c>
      <c r="F2" s="11">
        <f>DATE(YEAR(E2)+1,MONTH(E2),DAY(E2))</f>
        <v>45657</v>
      </c>
      <c r="G2" s="11">
        <f>DATE(YEAR(F2)+1,MONTH(F2),DAY(F2))</f>
        <v>46022</v>
      </c>
      <c r="H2" s="11">
        <f>DATE(YEAR(G2)+1,MONTH(G2),DAY(G2))</f>
        <v>46387</v>
      </c>
      <c r="I2" s="11">
        <f>DATE(YEAR(H2)+1,MONTH(H2),DAY(H2))</f>
        <v>46752</v>
      </c>
      <c r="J2" s="11">
        <f>DATE(YEAR(I2)+1,MONTH(I2),DAY(I2))</f>
        <v>47118</v>
      </c>
      <c r="K2" s="11">
        <f t="shared" ref="K2" si="0">DATE(YEAR(J2)+1,MONTH(J2),DAY(J2))</f>
        <v>47483</v>
      </c>
      <c r="M2"/>
      <c r="N2"/>
    </row>
    <row r="4" spans="1:14" ht="15" customHeight="1" x14ac:dyDescent="0.45">
      <c r="A4" s="15" t="s">
        <v>53</v>
      </c>
    </row>
    <row r="5" spans="1:14" ht="15" customHeight="1" x14ac:dyDescent="0.45">
      <c r="B5" t="s">
        <v>54</v>
      </c>
      <c r="C5">
        <f>C37</f>
        <v>0</v>
      </c>
      <c r="D5">
        <f t="shared" ref="D5:E5" si="1">D37</f>
        <v>-89</v>
      </c>
      <c r="E5">
        <f t="shared" si="1"/>
        <v>-104</v>
      </c>
      <c r="F5" s="63">
        <v>0</v>
      </c>
      <c r="G5" s="63">
        <v>0</v>
      </c>
      <c r="H5" s="63">
        <v>0</v>
      </c>
      <c r="I5" s="63">
        <v>0</v>
      </c>
      <c r="J5" s="63">
        <v>0</v>
      </c>
      <c r="K5" s="63">
        <v>0</v>
      </c>
    </row>
    <row r="6" spans="1:14" ht="15" customHeight="1" x14ac:dyDescent="0.45">
      <c r="B6" t="s">
        <v>55</v>
      </c>
      <c r="C6" s="60">
        <f>C39/C38</f>
        <v>-0.22262443438914026</v>
      </c>
      <c r="D6" s="60">
        <f>D39/D38</f>
        <v>-0.35548172757475083</v>
      </c>
      <c r="E6" s="60">
        <f>E39/E38</f>
        <v>-0.37755102040816324</v>
      </c>
      <c r="F6" s="61">
        <v>-0.24</v>
      </c>
      <c r="G6" s="61">
        <v>-0.27</v>
      </c>
      <c r="H6" s="61">
        <v>-0.28000000000000003</v>
      </c>
      <c r="I6" s="61">
        <v>-0.28999999999999998</v>
      </c>
      <c r="J6" s="61">
        <f>I6</f>
        <v>-0.28999999999999998</v>
      </c>
      <c r="K6" s="61">
        <f t="shared" ref="K6" si="2">J6</f>
        <v>-0.28999999999999998</v>
      </c>
    </row>
    <row r="7" spans="1:14" ht="15" customHeight="1" x14ac:dyDescent="0.45">
      <c r="B7" t="s">
        <v>56</v>
      </c>
      <c r="C7" s="70">
        <v>-0.25800000000000001</v>
      </c>
      <c r="D7" s="70">
        <f>C7</f>
        <v>-0.25800000000000001</v>
      </c>
      <c r="E7" s="70">
        <f>D7</f>
        <v>-0.25800000000000001</v>
      </c>
      <c r="F7" s="61">
        <f>E7</f>
        <v>-0.25800000000000001</v>
      </c>
      <c r="G7" s="61">
        <f t="shared" ref="G7:J7" si="3">F7</f>
        <v>-0.25800000000000001</v>
      </c>
      <c r="H7" s="61">
        <f t="shared" si="3"/>
        <v>-0.25800000000000001</v>
      </c>
      <c r="I7" s="61">
        <f t="shared" si="3"/>
        <v>-0.25800000000000001</v>
      </c>
      <c r="J7" s="61">
        <f t="shared" si="3"/>
        <v>-0.25800000000000001</v>
      </c>
      <c r="K7" s="61">
        <f t="shared" ref="K7" si="4">J7</f>
        <v>-0.25800000000000001</v>
      </c>
    </row>
    <row r="8" spans="1:14" ht="15" customHeight="1" x14ac:dyDescent="0.45">
      <c r="B8" t="s">
        <v>57</v>
      </c>
      <c r="C8">
        <f>C41</f>
        <v>6</v>
      </c>
      <c r="D8">
        <f t="shared" ref="D8:E8" si="5">D41</f>
        <v>-10</v>
      </c>
      <c r="E8">
        <f t="shared" si="5"/>
        <v>-5</v>
      </c>
      <c r="F8" s="63">
        <v>0</v>
      </c>
      <c r="G8" s="63">
        <v>0</v>
      </c>
      <c r="H8" s="63">
        <v>0</v>
      </c>
      <c r="I8" s="63">
        <v>0</v>
      </c>
      <c r="J8" s="63">
        <v>0</v>
      </c>
      <c r="K8" s="63">
        <v>0</v>
      </c>
    </row>
    <row r="9" spans="1:14" ht="15" customHeight="1" x14ac:dyDescent="0.45">
      <c r="B9" t="s">
        <v>58</v>
      </c>
      <c r="D9" s="60">
        <f>D45/C45-1</f>
        <v>0</v>
      </c>
      <c r="E9" s="60">
        <f>E45/D45-1</f>
        <v>0</v>
      </c>
      <c r="F9" s="68">
        <v>0</v>
      </c>
      <c r="G9" s="68">
        <v>0</v>
      </c>
      <c r="H9" s="68">
        <v>4.2999999999999997E-2</v>
      </c>
      <c r="I9" s="68">
        <v>1.7000000000000001E-2</v>
      </c>
      <c r="J9" s="68">
        <f>I9</f>
        <v>1.7000000000000001E-2</v>
      </c>
      <c r="K9" s="68">
        <f>J9</f>
        <v>1.7000000000000001E-2</v>
      </c>
    </row>
    <row r="10" spans="1:14" ht="15" customHeight="1" x14ac:dyDescent="0.45">
      <c r="B10" t="s">
        <v>59</v>
      </c>
      <c r="C10">
        <f>C46</f>
        <v>178.86529899999999</v>
      </c>
      <c r="D10">
        <f t="shared" ref="D10:E10" si="6">D46</f>
        <v>170.42833099999999</v>
      </c>
      <c r="E10">
        <f t="shared" si="6"/>
        <v>170.600675</v>
      </c>
      <c r="F10" s="63">
        <f>E10</f>
        <v>170.600675</v>
      </c>
      <c r="G10" s="63">
        <f t="shared" ref="G10:K10" si="7">F10</f>
        <v>170.600675</v>
      </c>
      <c r="H10" s="63">
        <f t="shared" si="7"/>
        <v>170.600675</v>
      </c>
      <c r="I10" s="63">
        <f t="shared" si="7"/>
        <v>170.600675</v>
      </c>
      <c r="J10" s="63">
        <f t="shared" si="7"/>
        <v>170.600675</v>
      </c>
      <c r="K10" s="63">
        <f t="shared" si="7"/>
        <v>170.600675</v>
      </c>
    </row>
    <row r="11" spans="1:14" ht="15" customHeight="1" x14ac:dyDescent="0.45">
      <c r="B11" t="s">
        <v>60</v>
      </c>
      <c r="C11">
        <f>C47</f>
        <v>185.874439</v>
      </c>
      <c r="D11">
        <f t="shared" ref="D11:E11" si="8">D47</f>
        <v>175.31349800000001</v>
      </c>
      <c r="E11">
        <f t="shared" si="8"/>
        <v>171.33875599999999</v>
      </c>
      <c r="F11">
        <f>E11/E10*F10</f>
        <v>171.33875599999996</v>
      </c>
      <c r="G11">
        <f t="shared" ref="G11:J11" si="9">F11/F10*G10</f>
        <v>171.33875599999996</v>
      </c>
      <c r="H11">
        <f t="shared" si="9"/>
        <v>171.33875599999996</v>
      </c>
      <c r="I11">
        <f t="shared" si="9"/>
        <v>171.33875599999996</v>
      </c>
      <c r="J11">
        <f t="shared" si="9"/>
        <v>171.33875599999996</v>
      </c>
      <c r="K11">
        <f t="shared" ref="K11" si="10">J11/J10*K10</f>
        <v>171.33875599999996</v>
      </c>
    </row>
    <row r="12" spans="1:14" ht="15" customHeight="1" x14ac:dyDescent="0.45">
      <c r="B12" t="s">
        <v>194</v>
      </c>
      <c r="C12" s="60">
        <f>C36/C31</f>
        <v>1.2099718368624179E-2</v>
      </c>
      <c r="D12" s="60">
        <f>D36/D31</f>
        <v>-3.2269961276046467E-3</v>
      </c>
      <c r="E12" s="60">
        <f>E36/E31</f>
        <v>-5.999250093738283E-3</v>
      </c>
      <c r="F12" s="68">
        <v>3.0000000000000001E-3</v>
      </c>
      <c r="G12" s="68">
        <f>F12</f>
        <v>3.0000000000000001E-3</v>
      </c>
      <c r="H12" s="68">
        <f t="shared" ref="H12:K12" si="11">G12</f>
        <v>3.0000000000000001E-3</v>
      </c>
      <c r="I12" s="68">
        <f t="shared" si="11"/>
        <v>3.0000000000000001E-3</v>
      </c>
      <c r="J12" s="68">
        <f t="shared" si="11"/>
        <v>3.0000000000000001E-3</v>
      </c>
      <c r="K12" s="68">
        <f t="shared" si="11"/>
        <v>3.0000000000000001E-3</v>
      </c>
    </row>
    <row r="14" spans="1:14" ht="15" customHeight="1" x14ac:dyDescent="0.45">
      <c r="A14" s="15" t="s">
        <v>61</v>
      </c>
    </row>
    <row r="15" spans="1:14" ht="15" customHeight="1" x14ac:dyDescent="0.45">
      <c r="B15" t="s">
        <v>127</v>
      </c>
      <c r="D15">
        <f>D79-C79</f>
        <v>23</v>
      </c>
      <c r="E15">
        <f>E79-D79</f>
        <v>-31</v>
      </c>
      <c r="F15" s="63">
        <v>0</v>
      </c>
      <c r="G15" s="63">
        <v>0</v>
      </c>
      <c r="H15" s="63">
        <v>0</v>
      </c>
      <c r="I15" s="63">
        <v>0</v>
      </c>
      <c r="J15" s="63">
        <v>0</v>
      </c>
      <c r="K15" s="63">
        <v>0</v>
      </c>
    </row>
    <row r="16" spans="1:14" ht="15" customHeight="1" x14ac:dyDescent="0.45">
      <c r="B16" t="s">
        <v>62</v>
      </c>
      <c r="C16">
        <f t="shared" ref="C16:E17" si="12">C73/C31*365</f>
        <v>91.297590487117986</v>
      </c>
      <c r="D16">
        <f t="shared" si="12"/>
        <v>86.050617739258712</v>
      </c>
      <c r="E16">
        <f t="shared" si="12"/>
        <v>88.204911886014258</v>
      </c>
      <c r="F16" s="74">
        <f>E16</f>
        <v>88.204911886014258</v>
      </c>
      <c r="G16" s="74">
        <f t="shared" ref="G16:K16" si="13">F16</f>
        <v>88.204911886014258</v>
      </c>
      <c r="H16" s="74">
        <f t="shared" si="13"/>
        <v>88.204911886014258</v>
      </c>
      <c r="I16" s="74">
        <f t="shared" si="13"/>
        <v>88.204911886014258</v>
      </c>
      <c r="J16" s="74">
        <f t="shared" si="13"/>
        <v>88.204911886014258</v>
      </c>
      <c r="K16" s="74">
        <f t="shared" si="13"/>
        <v>88.204911886014258</v>
      </c>
    </row>
    <row r="17" spans="1:11" ht="15" customHeight="1" x14ac:dyDescent="0.45">
      <c r="B17" t="s">
        <v>63</v>
      </c>
      <c r="C17">
        <f t="shared" si="12"/>
        <v>-70.55412371134021</v>
      </c>
      <c r="D17">
        <f t="shared" si="12"/>
        <v>-66.981479637558493</v>
      </c>
      <c r="E17">
        <f t="shared" si="12"/>
        <v>-62.742103617220891</v>
      </c>
      <c r="F17" s="74">
        <v>-64</v>
      </c>
      <c r="G17" s="74">
        <f t="shared" ref="G17:K18" si="14">F17</f>
        <v>-64</v>
      </c>
      <c r="H17" s="74">
        <v>-63</v>
      </c>
      <c r="I17" s="74">
        <f t="shared" si="14"/>
        <v>-63</v>
      </c>
      <c r="J17" s="74">
        <f t="shared" si="14"/>
        <v>-63</v>
      </c>
      <c r="K17" s="74">
        <f t="shared" si="14"/>
        <v>-63</v>
      </c>
    </row>
    <row r="18" spans="1:11" ht="15" customHeight="1" x14ac:dyDescent="0.45">
      <c r="B18" t="s">
        <v>64</v>
      </c>
      <c r="D18" s="60">
        <f>D55/C56*-1</f>
        <v>0.13070342205323193</v>
      </c>
      <c r="E18" s="60">
        <f>E55/D56*-1</f>
        <v>0.1217352810978309</v>
      </c>
      <c r="F18" s="68">
        <f>E18</f>
        <v>0.1217352810978309</v>
      </c>
      <c r="G18" s="68">
        <f t="shared" si="14"/>
        <v>0.1217352810978309</v>
      </c>
      <c r="H18" s="68">
        <f t="shared" si="14"/>
        <v>0.1217352810978309</v>
      </c>
      <c r="I18" s="68">
        <f t="shared" si="14"/>
        <v>0.1217352810978309</v>
      </c>
      <c r="J18" s="68">
        <f t="shared" si="14"/>
        <v>0.1217352810978309</v>
      </c>
      <c r="K18" s="68">
        <f t="shared" si="14"/>
        <v>0.1217352810978309</v>
      </c>
    </row>
    <row r="19" spans="1:11" ht="15" customHeight="1" x14ac:dyDescent="0.45">
      <c r="B19" t="s">
        <v>65</v>
      </c>
      <c r="C19" s="60">
        <f>C54/C31</f>
        <v>3.0040680087618649E-2</v>
      </c>
      <c r="D19" s="60">
        <f>D54/D31</f>
        <v>2.6922367693158769E-2</v>
      </c>
      <c r="E19" s="60">
        <f>E54/E31</f>
        <v>2.6809148856392951E-2</v>
      </c>
      <c r="F19" s="68">
        <v>2.9000000000000001E-2</v>
      </c>
      <c r="G19" s="68">
        <v>3.2000000000000001E-2</v>
      </c>
      <c r="H19" s="68">
        <v>3.1E-2</v>
      </c>
      <c r="I19" s="68">
        <v>2.1999999999999999E-2</v>
      </c>
      <c r="J19" s="68">
        <v>2.5999999999999999E-2</v>
      </c>
      <c r="K19" s="68">
        <v>2.5999999999999999E-2</v>
      </c>
    </row>
    <row r="20" spans="1:11" ht="15" customHeight="1" x14ac:dyDescent="0.45">
      <c r="B20" t="s">
        <v>66</v>
      </c>
      <c r="C20">
        <f>C59</f>
        <v>-70</v>
      </c>
      <c r="D20">
        <f t="shared" ref="D20:E20" si="15">D59</f>
        <v>-87</v>
      </c>
      <c r="E20">
        <f t="shared" si="15"/>
        <v>-80</v>
      </c>
      <c r="F20" s="74">
        <f>E20</f>
        <v>-80</v>
      </c>
      <c r="G20" s="74">
        <f>F20+5</f>
        <v>-75</v>
      </c>
      <c r="H20" s="74">
        <f t="shared" ref="H20:K20" si="16">G20+5</f>
        <v>-70</v>
      </c>
      <c r="I20" s="74">
        <f t="shared" si="16"/>
        <v>-65</v>
      </c>
      <c r="J20" s="74">
        <f t="shared" si="16"/>
        <v>-60</v>
      </c>
      <c r="K20" s="74">
        <f t="shared" si="16"/>
        <v>-55</v>
      </c>
    </row>
    <row r="21" spans="1:11" ht="15" customHeight="1" x14ac:dyDescent="0.45">
      <c r="B21" t="s">
        <v>185</v>
      </c>
      <c r="C21">
        <f>C75</f>
        <v>37</v>
      </c>
      <c r="D21">
        <f t="shared" ref="D21:E21" si="17">D75</f>
        <v>58</v>
      </c>
      <c r="E21">
        <f t="shared" si="17"/>
        <v>39</v>
      </c>
      <c r="F21" s="63">
        <f>E21</f>
        <v>39</v>
      </c>
      <c r="G21" s="63">
        <f t="shared" ref="G21:K21" si="18">F21</f>
        <v>39</v>
      </c>
      <c r="H21" s="63">
        <f t="shared" si="18"/>
        <v>39</v>
      </c>
      <c r="I21" s="63">
        <f t="shared" si="18"/>
        <v>39</v>
      </c>
      <c r="J21" s="63">
        <f t="shared" si="18"/>
        <v>39</v>
      </c>
      <c r="K21" s="63">
        <f t="shared" si="18"/>
        <v>39</v>
      </c>
    </row>
    <row r="22" spans="1:11" ht="15" customHeight="1" x14ac:dyDescent="0.45">
      <c r="B22" t="s">
        <v>67</v>
      </c>
      <c r="C22">
        <f>C82</f>
        <v>2531</v>
      </c>
      <c r="D22">
        <f>D82</f>
        <v>1872</v>
      </c>
      <c r="E22">
        <f>E82</f>
        <v>1875</v>
      </c>
      <c r="F22" s="63">
        <f>E22</f>
        <v>1875</v>
      </c>
      <c r="G22" s="63">
        <f t="shared" ref="G22:K22" si="19">F22</f>
        <v>1875</v>
      </c>
      <c r="H22" s="63">
        <f t="shared" si="19"/>
        <v>1875</v>
      </c>
      <c r="I22" s="63">
        <f t="shared" si="19"/>
        <v>1875</v>
      </c>
      <c r="J22" s="63">
        <f t="shared" si="19"/>
        <v>1875</v>
      </c>
      <c r="K22" s="63">
        <f t="shared" si="19"/>
        <v>1875</v>
      </c>
    </row>
    <row r="23" spans="1:11" ht="15" customHeight="1" x14ac:dyDescent="0.45">
      <c r="B23" t="s">
        <v>68</v>
      </c>
      <c r="C23" s="60">
        <f>C68/C32</f>
        <v>-0.38812089971883784</v>
      </c>
      <c r="D23" s="60">
        <f>D68/D32</f>
        <v>-0.31892860698994324</v>
      </c>
      <c r="E23" s="60">
        <f>E68/E32</f>
        <v>-0.34483477535703116</v>
      </c>
      <c r="F23" s="68">
        <f>E23</f>
        <v>-0.34483477535703116</v>
      </c>
      <c r="G23" s="68">
        <f t="shared" ref="G23:K23" si="20">F23</f>
        <v>-0.34483477535703116</v>
      </c>
      <c r="H23" s="68">
        <f t="shared" si="20"/>
        <v>-0.34483477535703116</v>
      </c>
      <c r="I23" s="68">
        <f t="shared" si="20"/>
        <v>-0.34483477535703116</v>
      </c>
      <c r="J23" s="68">
        <f t="shared" si="20"/>
        <v>-0.34483477535703116</v>
      </c>
      <c r="K23" s="68">
        <f t="shared" si="20"/>
        <v>-0.34483477535703116</v>
      </c>
    </row>
    <row r="24" spans="1:11" ht="15" customHeight="1" x14ac:dyDescent="0.45">
      <c r="B24" t="s">
        <v>69</v>
      </c>
      <c r="C24" s="60">
        <f>C90/C31</f>
        <v>0.18671117137790758</v>
      </c>
      <c r="D24" s="60">
        <f>D90/D31</f>
        <v>0.13461183846579383</v>
      </c>
      <c r="E24" s="60">
        <f>E90/E31</f>
        <v>0.13938882639670042</v>
      </c>
      <c r="F24" s="61">
        <f>E24</f>
        <v>0.13938882639670042</v>
      </c>
      <c r="G24" s="61">
        <f t="shared" ref="G24:K24" si="21">F24</f>
        <v>0.13938882639670042</v>
      </c>
      <c r="H24" s="61">
        <f t="shared" si="21"/>
        <v>0.13938882639670042</v>
      </c>
      <c r="I24" s="61">
        <f t="shared" si="21"/>
        <v>0.13938882639670042</v>
      </c>
      <c r="J24" s="61">
        <f t="shared" si="21"/>
        <v>0.13938882639670042</v>
      </c>
      <c r="K24" s="61">
        <f t="shared" si="21"/>
        <v>0.13938882639670042</v>
      </c>
    </row>
    <row r="25" spans="1:11" ht="15" customHeight="1" x14ac:dyDescent="0.45">
      <c r="B25" t="s">
        <v>70</v>
      </c>
      <c r="C25" s="60"/>
      <c r="D25">
        <f>D89-C89</f>
        <v>1338</v>
      </c>
      <c r="E25">
        <f>E89-D89</f>
        <v>-167</v>
      </c>
      <c r="F25" s="63">
        <v>506</v>
      </c>
      <c r="G25" s="63">
        <v>-200</v>
      </c>
      <c r="H25" s="63">
        <v>-30</v>
      </c>
      <c r="I25" s="63">
        <v>-100</v>
      </c>
      <c r="J25" s="63">
        <v>0</v>
      </c>
      <c r="K25" s="63">
        <v>0</v>
      </c>
    </row>
    <row r="26" spans="1:11" ht="15" customHeight="1" x14ac:dyDescent="0.45">
      <c r="B26" t="s">
        <v>71</v>
      </c>
      <c r="C26" s="60"/>
      <c r="D26" s="60"/>
      <c r="E26" s="60"/>
      <c r="F26" s="61">
        <v>1.7500000000000002E-2</v>
      </c>
      <c r="G26" s="61">
        <f>F26</f>
        <v>1.7500000000000002E-2</v>
      </c>
      <c r="H26" s="61">
        <f t="shared" ref="H26:K26" si="22">G26</f>
        <v>1.7500000000000002E-2</v>
      </c>
      <c r="I26" s="61">
        <f t="shared" si="22"/>
        <v>1.7500000000000002E-2</v>
      </c>
      <c r="J26" s="61">
        <f t="shared" si="22"/>
        <v>1.7500000000000002E-2</v>
      </c>
      <c r="K26" s="61">
        <f t="shared" si="22"/>
        <v>1.7500000000000002E-2</v>
      </c>
    </row>
    <row r="27" spans="1:11" ht="15" customHeight="1" x14ac:dyDescent="0.45">
      <c r="B27" t="s">
        <v>72</v>
      </c>
      <c r="C27" s="60"/>
      <c r="D27" s="60"/>
      <c r="E27" s="60"/>
      <c r="F27" s="61">
        <v>0.04</v>
      </c>
      <c r="G27" s="61">
        <f>F27</f>
        <v>0.04</v>
      </c>
      <c r="H27" s="61">
        <f t="shared" ref="H27:K27" si="23">G27</f>
        <v>0.04</v>
      </c>
      <c r="I27" s="61">
        <f t="shared" si="23"/>
        <v>0.04</v>
      </c>
      <c r="J27" s="61">
        <f t="shared" si="23"/>
        <v>0.04</v>
      </c>
      <c r="K27" s="61">
        <f t="shared" si="23"/>
        <v>0.04</v>
      </c>
    </row>
    <row r="28" spans="1:11" ht="15" customHeight="1" x14ac:dyDescent="0.45">
      <c r="B28" t="s">
        <v>73</v>
      </c>
      <c r="C28" s="60"/>
      <c r="D28" s="60"/>
      <c r="E28" s="60"/>
      <c r="F28" s="61">
        <v>0.03</v>
      </c>
      <c r="G28" s="61">
        <f>F28</f>
        <v>0.03</v>
      </c>
      <c r="H28" s="61">
        <f t="shared" ref="H28:K28" si="24">G28</f>
        <v>0.03</v>
      </c>
      <c r="I28" s="61">
        <f t="shared" si="24"/>
        <v>0.03</v>
      </c>
      <c r="J28" s="61">
        <f t="shared" si="24"/>
        <v>0.03</v>
      </c>
      <c r="K28" s="61">
        <f t="shared" si="24"/>
        <v>0.03</v>
      </c>
    </row>
    <row r="29" spans="1:11" ht="15" customHeight="1" x14ac:dyDescent="0.45">
      <c r="E29" s="60"/>
      <c r="F29" s="60"/>
      <c r="G29" s="60"/>
      <c r="H29" s="60"/>
      <c r="I29" s="60"/>
      <c r="J29" s="60"/>
      <c r="K29" s="60"/>
    </row>
    <row r="30" spans="1:11" ht="15" customHeight="1" x14ac:dyDescent="0.45">
      <c r="A30" s="15" t="s">
        <v>74</v>
      </c>
    </row>
    <row r="31" spans="1:11" ht="15" customHeight="1" x14ac:dyDescent="0.45">
      <c r="B31" t="s">
        <v>29</v>
      </c>
      <c r="C31" s="66">
        <v>9587</v>
      </c>
      <c r="D31" s="66">
        <v>10846</v>
      </c>
      <c r="E31" s="66">
        <v>10668</v>
      </c>
      <c r="F31">
        <f>Segments!F72</f>
        <v>10831.991999999998</v>
      </c>
      <c r="G31">
        <f>Segments!G72</f>
        <v>11020.427847999999</v>
      </c>
      <c r="H31">
        <f>Segments!H72</f>
        <v>11306.959102743998</v>
      </c>
      <c r="I31">
        <f>Segments!I72</f>
        <v>11490.092086290158</v>
      </c>
      <c r="J31">
        <f>Segments!J72</f>
        <v>11641.718638489299</v>
      </c>
      <c r="K31">
        <f>Segments!K72</f>
        <v>11800.195854162021</v>
      </c>
    </row>
    <row r="32" spans="1:11" ht="15" customHeight="1" x14ac:dyDescent="0.45">
      <c r="B32" t="s">
        <v>75</v>
      </c>
      <c r="C32">
        <f>C33-C31</f>
        <v>-8536</v>
      </c>
      <c r="D32">
        <f t="shared" ref="D32:F32" si="25">D33-D31</f>
        <v>-10043</v>
      </c>
      <c r="E32">
        <f t="shared" si="25"/>
        <v>-9593</v>
      </c>
      <c r="F32">
        <f t="shared" si="25"/>
        <v>-9668.2979155915273</v>
      </c>
      <c r="G32">
        <f t="shared" ref="G32" si="26">G33-G31</f>
        <v>-9859.5540113035295</v>
      </c>
      <c r="H32">
        <f t="shared" ref="H32" si="27">H33-H31</f>
        <v>-10169.753039194809</v>
      </c>
      <c r="I32">
        <f t="shared" ref="I32" si="28">I33-I31</f>
        <v>-10375.377275013348</v>
      </c>
      <c r="J32">
        <f t="shared" ref="J32" si="29">J33-J31</f>
        <v>-10562.460110808379</v>
      </c>
      <c r="K32">
        <f t="shared" ref="K32" si="30">K33-K31</f>
        <v>-10754.195286398188</v>
      </c>
    </row>
    <row r="33" spans="2:14" ht="15" customHeight="1" x14ac:dyDescent="0.45">
      <c r="B33" t="s">
        <v>45</v>
      </c>
      <c r="C33" s="59">
        <v>1051</v>
      </c>
      <c r="D33" s="59">
        <v>803</v>
      </c>
      <c r="E33" s="59">
        <v>1075</v>
      </c>
      <c r="F33">
        <f>Segments!F76</f>
        <v>1163.6940844084702</v>
      </c>
      <c r="G33">
        <f>Segments!G76</f>
        <v>1160.8738366964699</v>
      </c>
      <c r="H33">
        <f>Segments!H76</f>
        <v>1137.2060635491898</v>
      </c>
      <c r="I33">
        <f>Segments!I76</f>
        <v>1114.7148112768105</v>
      </c>
      <c r="J33">
        <f>Segments!J76</f>
        <v>1079.2585276809211</v>
      </c>
      <c r="K33">
        <f>Segments!K76</f>
        <v>1046.0005677638321</v>
      </c>
      <c r="N33" s="65"/>
    </row>
    <row r="34" spans="2:14" ht="15" customHeight="1" x14ac:dyDescent="0.45">
      <c r="B34" t="s">
        <v>76</v>
      </c>
      <c r="C34" s="66">
        <v>-74</v>
      </c>
      <c r="D34" s="66">
        <v>-106</v>
      </c>
      <c r="E34" s="66">
        <v>-192</v>
      </c>
    </row>
    <row r="35" spans="2:14" ht="15" customHeight="1" x14ac:dyDescent="0.45">
      <c r="B35" t="s">
        <v>77</v>
      </c>
      <c r="C35" s="66">
        <f>12</f>
        <v>12</v>
      </c>
      <c r="D35" s="66">
        <f>29</f>
        <v>29</v>
      </c>
      <c r="E35" s="66">
        <f>69</f>
        <v>69</v>
      </c>
    </row>
    <row r="36" spans="2:14" ht="15" customHeight="1" x14ac:dyDescent="0.45">
      <c r="B36" t="s">
        <v>193</v>
      </c>
      <c r="C36" s="66">
        <f>26+90</f>
        <v>116</v>
      </c>
      <c r="D36" s="66">
        <f>18-53</f>
        <v>-35</v>
      </c>
      <c r="E36" s="66">
        <f>27-91</f>
        <v>-64</v>
      </c>
      <c r="F36">
        <f>F12*F31</f>
        <v>32.495975999999999</v>
      </c>
      <c r="G36">
        <f t="shared" ref="G36:K36" si="31">G12*G31</f>
        <v>33.061283543999998</v>
      </c>
      <c r="H36">
        <f t="shared" si="31"/>
        <v>33.920877308231994</v>
      </c>
      <c r="I36">
        <f t="shared" si="31"/>
        <v>34.470276258870477</v>
      </c>
      <c r="J36">
        <f t="shared" si="31"/>
        <v>34.925155915467897</v>
      </c>
      <c r="K36">
        <f t="shared" si="31"/>
        <v>35.400587562486059</v>
      </c>
    </row>
    <row r="37" spans="2:14" ht="15" customHeight="1" x14ac:dyDescent="0.45">
      <c r="B37" t="s">
        <v>78</v>
      </c>
      <c r="C37" s="66">
        <v>0</v>
      </c>
      <c r="D37" s="66">
        <v>-89</v>
      </c>
      <c r="E37" s="66">
        <v>-104</v>
      </c>
      <c r="F37">
        <f>F5</f>
        <v>0</v>
      </c>
      <c r="G37">
        <f t="shared" ref="G37:K37" si="32">G5</f>
        <v>0</v>
      </c>
      <c r="H37">
        <f t="shared" si="32"/>
        <v>0</v>
      </c>
      <c r="I37">
        <f t="shared" si="32"/>
        <v>0</v>
      </c>
      <c r="J37">
        <f t="shared" si="32"/>
        <v>0</v>
      </c>
      <c r="K37">
        <f t="shared" si="32"/>
        <v>0</v>
      </c>
    </row>
    <row r="38" spans="2:14" ht="15" customHeight="1" x14ac:dyDescent="0.45">
      <c r="B38" t="s">
        <v>79</v>
      </c>
      <c r="C38" s="65">
        <f>SUM(C33:C37)</f>
        <v>1105</v>
      </c>
      <c r="D38" s="65">
        <f t="shared" ref="D38:F38" si="33">SUM(D33:D37)</f>
        <v>602</v>
      </c>
      <c r="E38" s="65">
        <f t="shared" si="33"/>
        <v>784</v>
      </c>
      <c r="F38" s="65">
        <f t="shared" si="33"/>
        <v>1196.1900604084701</v>
      </c>
      <c r="G38" s="65">
        <f t="shared" ref="G38" si="34">SUM(G33:G37)</f>
        <v>1193.9351202404698</v>
      </c>
      <c r="H38" s="65">
        <f t="shared" ref="H38" si="35">SUM(H33:H37)</f>
        <v>1171.1269408574219</v>
      </c>
      <c r="I38" s="65">
        <f t="shared" ref="I38" si="36">SUM(I33:I37)</f>
        <v>1149.1850875356809</v>
      </c>
      <c r="J38" s="65">
        <f t="shared" ref="J38" si="37">SUM(J33:J37)</f>
        <v>1114.1836835963891</v>
      </c>
      <c r="K38" s="65">
        <f t="shared" ref="K38" si="38">SUM(K33:K37)</f>
        <v>1081.4011553263181</v>
      </c>
      <c r="N38" s="65"/>
    </row>
    <row r="39" spans="2:14" ht="15" customHeight="1" x14ac:dyDescent="0.45">
      <c r="B39" t="s">
        <v>80</v>
      </c>
      <c r="C39" s="66">
        <v>-246</v>
      </c>
      <c r="D39" s="66">
        <v>-214</v>
      </c>
      <c r="E39" s="66">
        <v>-296</v>
      </c>
      <c r="F39">
        <f>F6*F38</f>
        <v>-287.08561449803284</v>
      </c>
      <c r="G39">
        <f t="shared" ref="G39:K39" si="39">G6*G38</f>
        <v>-322.36248246492687</v>
      </c>
      <c r="H39">
        <f t="shared" si="39"/>
        <v>-327.91554344007818</v>
      </c>
      <c r="I39">
        <f t="shared" si="39"/>
        <v>-333.26367538534743</v>
      </c>
      <c r="J39">
        <f t="shared" si="39"/>
        <v>-323.11326824295281</v>
      </c>
      <c r="K39">
        <f t="shared" si="39"/>
        <v>-313.6063350446322</v>
      </c>
    </row>
    <row r="40" spans="2:14" ht="15" customHeight="1" x14ac:dyDescent="0.45">
      <c r="B40" t="s">
        <v>81</v>
      </c>
      <c r="C40">
        <f>SUM(C38:C39)</f>
        <v>859</v>
      </c>
      <c r="D40">
        <f t="shared" ref="D40:F40" si="40">SUM(D38:D39)</f>
        <v>388</v>
      </c>
      <c r="E40">
        <f t="shared" si="40"/>
        <v>488</v>
      </c>
      <c r="F40">
        <f t="shared" si="40"/>
        <v>909.10444591043733</v>
      </c>
      <c r="G40">
        <f t="shared" ref="G40" si="41">SUM(G38:G39)</f>
        <v>871.57263777554294</v>
      </c>
      <c r="H40">
        <f t="shared" ref="H40" si="42">SUM(H38:H39)</f>
        <v>843.21139741734373</v>
      </c>
      <c r="I40">
        <f t="shared" ref="I40" si="43">SUM(I38:I39)</f>
        <v>815.92141215033348</v>
      </c>
      <c r="J40">
        <f t="shared" ref="J40" si="44">SUM(J38:J39)</f>
        <v>791.07041535343626</v>
      </c>
      <c r="K40">
        <f t="shared" ref="K40" si="45">SUM(K38:K39)</f>
        <v>767.79482028168582</v>
      </c>
    </row>
    <row r="41" spans="2:14" ht="15" customHeight="1" x14ac:dyDescent="0.45">
      <c r="B41" t="s">
        <v>82</v>
      </c>
      <c r="C41" s="66">
        <v>6</v>
      </c>
      <c r="D41" s="66">
        <v>-10</v>
      </c>
      <c r="E41" s="66">
        <v>-5</v>
      </c>
      <c r="F41">
        <f>F8</f>
        <v>0</v>
      </c>
      <c r="G41">
        <f t="shared" ref="G41:K41" si="46">G8</f>
        <v>0</v>
      </c>
      <c r="H41">
        <f t="shared" si="46"/>
        <v>0</v>
      </c>
      <c r="I41">
        <f t="shared" si="46"/>
        <v>0</v>
      </c>
      <c r="J41">
        <f t="shared" si="46"/>
        <v>0</v>
      </c>
      <c r="K41">
        <f t="shared" si="46"/>
        <v>0</v>
      </c>
    </row>
    <row r="42" spans="2:14" ht="15" customHeight="1" x14ac:dyDescent="0.45">
      <c r="B42" t="s">
        <v>83</v>
      </c>
      <c r="C42">
        <f>SUM(C40:C41)</f>
        <v>865</v>
      </c>
      <c r="D42">
        <f t="shared" ref="D42:F42" si="47">SUM(D40:D41)</f>
        <v>378</v>
      </c>
      <c r="E42">
        <f t="shared" si="47"/>
        <v>483</v>
      </c>
      <c r="F42">
        <f t="shared" si="47"/>
        <v>909.10444591043733</v>
      </c>
      <c r="G42">
        <f t="shared" ref="G42" si="48">SUM(G40:G41)</f>
        <v>871.57263777554294</v>
      </c>
      <c r="H42">
        <f t="shared" ref="H42" si="49">SUM(H40:H41)</f>
        <v>843.21139741734373</v>
      </c>
      <c r="I42">
        <f t="shared" ref="I42" si="50">SUM(I40:I41)</f>
        <v>815.92141215033348</v>
      </c>
      <c r="J42">
        <f t="shared" ref="J42" si="51">SUM(J40:J41)</f>
        <v>791.07041535343626</v>
      </c>
      <c r="K42">
        <f t="shared" ref="K42" si="52">SUM(K40:K41)</f>
        <v>767.79482028168582</v>
      </c>
    </row>
    <row r="43" spans="2:14" ht="15" customHeight="1" x14ac:dyDescent="0.45">
      <c r="B43" t="s">
        <v>84</v>
      </c>
      <c r="C43">
        <f>C42-C41-C37*(1+C7)</f>
        <v>859</v>
      </c>
      <c r="D43">
        <f t="shared" ref="D43:F43" si="53">D42-D41-D37*(1+D7)</f>
        <v>454.03800000000001</v>
      </c>
      <c r="E43">
        <f t="shared" si="53"/>
        <v>565.16800000000001</v>
      </c>
      <c r="F43">
        <f t="shared" si="53"/>
        <v>909.10444591043733</v>
      </c>
      <c r="G43">
        <f t="shared" ref="G43" si="54">G42-G41-G37*(1+G7)</f>
        <v>871.57263777554294</v>
      </c>
      <c r="H43">
        <f t="shared" ref="H43" si="55">H42-H41-H37*(1+H7)</f>
        <v>843.21139741734373</v>
      </c>
      <c r="I43">
        <f t="shared" ref="I43" si="56">I42-I41-I37*(1+I7)</f>
        <v>815.92141215033348</v>
      </c>
      <c r="J43">
        <f t="shared" ref="J43" si="57">J42-J41-J37*(1+J7)</f>
        <v>791.07041535343626</v>
      </c>
      <c r="K43">
        <f t="shared" ref="K43" si="58">K42-K41-K37*(1+K7)</f>
        <v>767.79482028168582</v>
      </c>
    </row>
    <row r="45" spans="2:14" ht="15" customHeight="1" x14ac:dyDescent="0.45">
      <c r="B45" t="s">
        <v>85</v>
      </c>
      <c r="C45" s="72">
        <v>1.98</v>
      </c>
      <c r="D45" s="72">
        <v>1.98</v>
      </c>
      <c r="E45" s="72">
        <v>1.98</v>
      </c>
      <c r="F45" s="67">
        <f>(1+F9)*E45</f>
        <v>1.98</v>
      </c>
      <c r="G45" s="67">
        <f t="shared" ref="G45:K45" si="59">(1+G9)*F45</f>
        <v>1.98</v>
      </c>
      <c r="H45" s="67">
        <f t="shared" si="59"/>
        <v>2.06514</v>
      </c>
      <c r="I45" s="67">
        <f t="shared" si="59"/>
        <v>2.1002473799999999</v>
      </c>
      <c r="J45" s="67">
        <f t="shared" si="59"/>
        <v>2.1359515854599995</v>
      </c>
      <c r="K45" s="67">
        <f t="shared" si="59"/>
        <v>2.1722627624128195</v>
      </c>
      <c r="N45" s="67"/>
    </row>
    <row r="46" spans="2:14" ht="15" customHeight="1" x14ac:dyDescent="0.45">
      <c r="B46" t="s">
        <v>59</v>
      </c>
      <c r="C46" s="66">
        <v>178.86529899999999</v>
      </c>
      <c r="D46" s="66">
        <v>170.42833099999999</v>
      </c>
      <c r="E46" s="66">
        <v>170.600675</v>
      </c>
      <c r="F46">
        <f>F10</f>
        <v>170.600675</v>
      </c>
      <c r="G46">
        <f t="shared" ref="G46:K46" si="60">G10</f>
        <v>170.600675</v>
      </c>
      <c r="H46">
        <f t="shared" si="60"/>
        <v>170.600675</v>
      </c>
      <c r="I46">
        <f t="shared" si="60"/>
        <v>170.600675</v>
      </c>
      <c r="J46">
        <f t="shared" si="60"/>
        <v>170.600675</v>
      </c>
      <c r="K46">
        <f t="shared" si="60"/>
        <v>170.600675</v>
      </c>
    </row>
    <row r="47" spans="2:14" ht="15" customHeight="1" x14ac:dyDescent="0.45">
      <c r="B47" t="s">
        <v>60</v>
      </c>
      <c r="C47" s="66">
        <v>185.874439</v>
      </c>
      <c r="D47" s="66">
        <v>175.31349800000001</v>
      </c>
      <c r="E47" s="66">
        <v>171.33875599999999</v>
      </c>
      <c r="F47">
        <f>F11</f>
        <v>171.33875599999996</v>
      </c>
      <c r="G47">
        <f t="shared" ref="G47:K47" si="61">G11</f>
        <v>171.33875599999996</v>
      </c>
      <c r="H47">
        <f t="shared" si="61"/>
        <v>171.33875599999996</v>
      </c>
      <c r="I47">
        <f t="shared" si="61"/>
        <v>171.33875599999996</v>
      </c>
      <c r="J47">
        <f t="shared" si="61"/>
        <v>171.33875599999996</v>
      </c>
      <c r="K47">
        <f t="shared" si="61"/>
        <v>171.33875599999996</v>
      </c>
    </row>
    <row r="48" spans="2:14" ht="15" customHeight="1" x14ac:dyDescent="0.45">
      <c r="B48" t="s">
        <v>86</v>
      </c>
      <c r="C48" s="64">
        <f>C43/C47</f>
        <v>4.6213992877202443</v>
      </c>
      <c r="D48" s="64">
        <f t="shared" ref="D48:F48" si="62">D43/D47</f>
        <v>2.58986333157302</v>
      </c>
      <c r="E48" s="64">
        <f t="shared" si="62"/>
        <v>3.2985415161996392</v>
      </c>
      <c r="F48" s="64">
        <f t="shared" si="62"/>
        <v>5.3058891469390472</v>
      </c>
      <c r="G48" s="64">
        <f t="shared" ref="G48" si="63">G43/G47</f>
        <v>5.086838833915329</v>
      </c>
      <c r="H48" s="64">
        <f t="shared" ref="H48" si="64">H43/H47</f>
        <v>4.921311541548393</v>
      </c>
      <c r="I48" s="64">
        <f t="shared" ref="I48" si="65">I43/I47</f>
        <v>4.7620365129202504</v>
      </c>
      <c r="J48" s="64">
        <f t="shared" ref="J48" si="66">J43/J47</f>
        <v>4.6169963750258374</v>
      </c>
      <c r="K48" s="64">
        <f t="shared" ref="K48" si="67">K43/K47</f>
        <v>4.4811508978253931</v>
      </c>
      <c r="N48" s="67"/>
    </row>
    <row r="50" spans="1:14" ht="15" customHeight="1" x14ac:dyDescent="0.45">
      <c r="B50" t="s">
        <v>41</v>
      </c>
      <c r="C50" s="59">
        <v>1402</v>
      </c>
      <c r="D50" s="59">
        <v>1165</v>
      </c>
      <c r="E50" s="59">
        <v>1430</v>
      </c>
      <c r="F50" s="65"/>
      <c r="G50" s="65"/>
      <c r="H50" s="65"/>
      <c r="I50" s="65"/>
      <c r="J50" s="65"/>
      <c r="K50" s="65"/>
      <c r="N50" s="65"/>
    </row>
    <row r="52" spans="1:14" ht="15" customHeight="1" x14ac:dyDescent="0.45">
      <c r="A52" s="15" t="s">
        <v>87</v>
      </c>
    </row>
    <row r="53" spans="1:14" ht="15" customHeight="1" x14ac:dyDescent="0.45">
      <c r="B53" t="s">
        <v>88</v>
      </c>
      <c r="C53" s="59"/>
      <c r="D53" s="59"/>
      <c r="E53" s="59"/>
      <c r="F53">
        <f>E56</f>
        <v>2296</v>
      </c>
      <c r="G53">
        <f t="shared" ref="G53:K53" si="68">F56</f>
        <v>2330.62356259938</v>
      </c>
      <c r="H53">
        <f t="shared" si="68"/>
        <v>2399.5581392091162</v>
      </c>
      <c r="I53">
        <f t="shared" si="68"/>
        <v>2457.9629868069701</v>
      </c>
      <c r="J53">
        <f t="shared" si="68"/>
        <v>2411.5241975783429</v>
      </c>
      <c r="K53">
        <f t="shared" si="68"/>
        <v>2420.6413061126441</v>
      </c>
    </row>
    <row r="54" spans="1:14" ht="15" customHeight="1" x14ac:dyDescent="0.45">
      <c r="B54" t="s">
        <v>89</v>
      </c>
      <c r="C54" s="59">
        <v>288</v>
      </c>
      <c r="D54" s="59">
        <v>292</v>
      </c>
      <c r="E54" s="59">
        <v>286</v>
      </c>
      <c r="F54">
        <f>F19*F31</f>
        <v>314.12776799999995</v>
      </c>
      <c r="G54">
        <f t="shared" ref="G54:K54" si="69">G19*G31</f>
        <v>352.65369113599996</v>
      </c>
      <c r="H54">
        <f t="shared" si="69"/>
        <v>350.51573218506394</v>
      </c>
      <c r="I54">
        <f t="shared" si="69"/>
        <v>252.78202589838347</v>
      </c>
      <c r="J54">
        <f t="shared" si="69"/>
        <v>302.68468460072177</v>
      </c>
      <c r="K54">
        <f t="shared" si="69"/>
        <v>306.8050922082125</v>
      </c>
    </row>
    <row r="55" spans="1:14" ht="15" customHeight="1" x14ac:dyDescent="0.45">
      <c r="B55" t="s">
        <v>90</v>
      </c>
      <c r="C55" s="66">
        <v>-281</v>
      </c>
      <c r="D55" s="66">
        <v>-275</v>
      </c>
      <c r="E55" s="66">
        <v>-275</v>
      </c>
      <c r="F55">
        <f>F18*F53*-1</f>
        <v>-279.50420540061975</v>
      </c>
      <c r="G55">
        <f t="shared" ref="G55:K55" si="70">G18*G53*-1</f>
        <v>-283.71911452626358</v>
      </c>
      <c r="H55">
        <f t="shared" si="70"/>
        <v>-292.1108845872098</v>
      </c>
      <c r="I55">
        <f t="shared" si="70"/>
        <v>-299.2208151270105</v>
      </c>
      <c r="J55">
        <f t="shared" si="70"/>
        <v>-293.56757606642066</v>
      </c>
      <c r="K55">
        <f t="shared" si="70"/>
        <v>-294.67744983664323</v>
      </c>
    </row>
    <row r="56" spans="1:14" ht="15" customHeight="1" x14ac:dyDescent="0.45">
      <c r="B56" t="s">
        <v>91</v>
      </c>
      <c r="C56" s="59">
        <v>2104</v>
      </c>
      <c r="D56" s="59">
        <v>2259</v>
      </c>
      <c r="E56" s="59">
        <v>2296</v>
      </c>
      <c r="F56">
        <f>SUM(F53:F55)</f>
        <v>2330.62356259938</v>
      </c>
      <c r="G56">
        <f t="shared" ref="G56:K56" si="71">SUM(G53:G55)</f>
        <v>2399.5581392091162</v>
      </c>
      <c r="H56">
        <f t="shared" si="71"/>
        <v>2457.9629868069701</v>
      </c>
      <c r="I56">
        <f t="shared" si="71"/>
        <v>2411.5241975783429</v>
      </c>
      <c r="J56">
        <f t="shared" si="71"/>
        <v>2420.6413061126441</v>
      </c>
      <c r="K56">
        <f t="shared" si="71"/>
        <v>2432.7689484842135</v>
      </c>
    </row>
    <row r="58" spans="1:14" ht="15" customHeight="1" x14ac:dyDescent="0.45">
      <c r="B58" t="s">
        <v>92</v>
      </c>
      <c r="C58" s="59"/>
      <c r="D58" s="59"/>
      <c r="E58" s="59"/>
      <c r="F58">
        <f>E60</f>
        <v>2651</v>
      </c>
      <c r="G58">
        <f t="shared" ref="G58:K58" si="72">F60</f>
        <v>2571</v>
      </c>
      <c r="H58">
        <f t="shared" si="72"/>
        <v>2496</v>
      </c>
      <c r="I58">
        <f t="shared" si="72"/>
        <v>2426</v>
      </c>
      <c r="J58">
        <f t="shared" si="72"/>
        <v>2361</v>
      </c>
      <c r="K58">
        <f t="shared" si="72"/>
        <v>2301</v>
      </c>
    </row>
    <row r="59" spans="1:14" ht="15" customHeight="1" x14ac:dyDescent="0.45">
      <c r="B59" t="s">
        <v>93</v>
      </c>
      <c r="C59" s="66">
        <v>-70</v>
      </c>
      <c r="D59" s="66">
        <v>-87</v>
      </c>
      <c r="E59" s="66">
        <v>-80</v>
      </c>
      <c r="F59">
        <f>F20</f>
        <v>-80</v>
      </c>
      <c r="G59">
        <f t="shared" ref="G59:K59" si="73">G20</f>
        <v>-75</v>
      </c>
      <c r="H59">
        <f t="shared" si="73"/>
        <v>-70</v>
      </c>
      <c r="I59">
        <f t="shared" si="73"/>
        <v>-65</v>
      </c>
      <c r="J59">
        <f t="shared" si="73"/>
        <v>-60</v>
      </c>
      <c r="K59">
        <f t="shared" si="73"/>
        <v>-55</v>
      </c>
    </row>
    <row r="60" spans="1:14" ht="15" customHeight="1" x14ac:dyDescent="0.45">
      <c r="B60" t="s">
        <v>94</v>
      </c>
      <c r="C60" s="59">
        <v>2535</v>
      </c>
      <c r="D60" s="59">
        <v>2695</v>
      </c>
      <c r="E60" s="59">
        <v>2651</v>
      </c>
      <c r="F60">
        <f>SUM(F58:F59)</f>
        <v>2571</v>
      </c>
      <c r="G60">
        <f t="shared" ref="G60:K60" si="74">SUM(G58:G59)</f>
        <v>2496</v>
      </c>
      <c r="H60">
        <f t="shared" si="74"/>
        <v>2426</v>
      </c>
      <c r="I60">
        <f t="shared" si="74"/>
        <v>2361</v>
      </c>
      <c r="J60">
        <f t="shared" si="74"/>
        <v>2301</v>
      </c>
      <c r="K60">
        <f t="shared" si="74"/>
        <v>2246</v>
      </c>
    </row>
    <row r="62" spans="1:14" ht="15" customHeight="1" x14ac:dyDescent="0.45">
      <c r="B62" t="s">
        <v>95</v>
      </c>
      <c r="F62">
        <f>E65</f>
        <v>4546</v>
      </c>
      <c r="G62">
        <f t="shared" ref="G62:K62" si="75">F65</f>
        <v>5117.3151094104378</v>
      </c>
      <c r="H62">
        <f t="shared" si="75"/>
        <v>5651.0984106859805</v>
      </c>
      <c r="I62">
        <f t="shared" si="75"/>
        <v>6141.9955301338241</v>
      </c>
      <c r="J62">
        <f t="shared" si="75"/>
        <v>6599.6133215891759</v>
      </c>
      <c r="K62">
        <f t="shared" si="75"/>
        <v>7026.2889546958158</v>
      </c>
    </row>
    <row r="63" spans="1:14" ht="15" customHeight="1" x14ac:dyDescent="0.45">
      <c r="B63" t="s">
        <v>83</v>
      </c>
      <c r="F63">
        <f>F42</f>
        <v>909.10444591043733</v>
      </c>
      <c r="G63">
        <f t="shared" ref="G63:K63" si="76">G42</f>
        <v>871.57263777554294</v>
      </c>
      <c r="H63">
        <f t="shared" si="76"/>
        <v>843.21139741734373</v>
      </c>
      <c r="I63">
        <f t="shared" si="76"/>
        <v>815.92141215033348</v>
      </c>
      <c r="J63">
        <f t="shared" si="76"/>
        <v>791.07041535343626</v>
      </c>
      <c r="K63">
        <f t="shared" si="76"/>
        <v>767.79482028168582</v>
      </c>
    </row>
    <row r="64" spans="1:14" ht="15" customHeight="1" x14ac:dyDescent="0.45">
      <c r="B64" t="s">
        <v>96</v>
      </c>
      <c r="F64">
        <f>F45*F46*-1</f>
        <v>-337.78933649999999</v>
      </c>
      <c r="G64">
        <f t="shared" ref="G64:K64" si="77">G45*G46*-1</f>
        <v>-337.78933649999999</v>
      </c>
      <c r="H64">
        <f t="shared" si="77"/>
        <v>-352.31427796949998</v>
      </c>
      <c r="I64">
        <f t="shared" si="77"/>
        <v>-358.30362069498148</v>
      </c>
      <c r="J64">
        <f t="shared" si="77"/>
        <v>-364.39478224679607</v>
      </c>
      <c r="K64">
        <f t="shared" si="77"/>
        <v>-370.58949354499163</v>
      </c>
    </row>
    <row r="65" spans="1:11" ht="15" customHeight="1" x14ac:dyDescent="0.45">
      <c r="B65" t="s">
        <v>97</v>
      </c>
      <c r="E65">
        <f>E93</f>
        <v>4546</v>
      </c>
      <c r="F65">
        <f>SUM(F62:F64)</f>
        <v>5117.3151094104378</v>
      </c>
      <c r="G65">
        <f t="shared" ref="G65:K65" si="78">SUM(G62:G64)</f>
        <v>5651.0984106859805</v>
      </c>
      <c r="H65">
        <f t="shared" si="78"/>
        <v>6141.9955301338241</v>
      </c>
      <c r="I65">
        <f t="shared" si="78"/>
        <v>6599.6133215891759</v>
      </c>
      <c r="J65">
        <f t="shared" si="78"/>
        <v>7026.2889546958158</v>
      </c>
      <c r="K65">
        <f t="shared" si="78"/>
        <v>7423.4942814325104</v>
      </c>
    </row>
    <row r="67" spans="1:11" ht="15" customHeight="1" x14ac:dyDescent="0.45">
      <c r="B67" t="s">
        <v>98</v>
      </c>
      <c r="C67">
        <f>C73+C74+C75</f>
        <v>4085</v>
      </c>
      <c r="D67">
        <f t="shared" ref="D67:F67" si="79">D73+D74+D75</f>
        <v>4458</v>
      </c>
      <c r="E67">
        <f t="shared" si="79"/>
        <v>4266</v>
      </c>
      <c r="F67">
        <f t="shared" si="79"/>
        <v>4351.8930589256688</v>
      </c>
      <c r="G67">
        <f t="shared" ref="G67:K67" si="80">G73+G74+G75</f>
        <v>4430.9652712395709</v>
      </c>
      <c r="H67">
        <f t="shared" si="80"/>
        <v>4526.736363905683</v>
      </c>
      <c r="I67">
        <f t="shared" si="80"/>
        <v>4606.4830913952173</v>
      </c>
      <c r="J67">
        <f t="shared" si="80"/>
        <v>4675.4157635360179</v>
      </c>
      <c r="K67">
        <f t="shared" si="80"/>
        <v>4746.8069550607061</v>
      </c>
    </row>
    <row r="68" spans="1:11" ht="15" customHeight="1" x14ac:dyDescent="0.45">
      <c r="B68" t="s">
        <v>99</v>
      </c>
      <c r="C68">
        <f>C86</f>
        <v>3313</v>
      </c>
      <c r="D68">
        <f t="shared" ref="D68:F68" si="81">D86</f>
        <v>3203</v>
      </c>
      <c r="E68">
        <f t="shared" si="81"/>
        <v>3308</v>
      </c>
      <c r="F68">
        <f t="shared" si="81"/>
        <v>3333.9653398078572</v>
      </c>
      <c r="G68">
        <f t="shared" ref="G68:K68" si="82">G86</f>
        <v>3399.917092608368</v>
      </c>
      <c r="H68">
        <f t="shared" si="82"/>
        <v>3506.8845047072268</v>
      </c>
      <c r="I68">
        <f t="shared" si="82"/>
        <v>3577.7908918736744</v>
      </c>
      <c r="J68">
        <f t="shared" si="82"/>
        <v>3642.3035595282099</v>
      </c>
      <c r="K68">
        <f t="shared" si="82"/>
        <v>3708.4205157307624</v>
      </c>
    </row>
    <row r="69" spans="1:11" ht="15" customHeight="1" x14ac:dyDescent="0.45">
      <c r="B69" t="s">
        <v>100</v>
      </c>
      <c r="C69">
        <f>C67-C68</f>
        <v>772</v>
      </c>
      <c r="D69">
        <f t="shared" ref="D69:F69" si="83">D67-D68</f>
        <v>1255</v>
      </c>
      <c r="E69">
        <f t="shared" si="83"/>
        <v>958</v>
      </c>
      <c r="F69">
        <f t="shared" si="83"/>
        <v>1017.9277191178116</v>
      </c>
      <c r="G69">
        <f t="shared" ref="G69" si="84">G67-G68</f>
        <v>1031.048178631203</v>
      </c>
      <c r="H69">
        <f t="shared" ref="H69" si="85">H67-H68</f>
        <v>1019.8518591984562</v>
      </c>
      <c r="I69">
        <f t="shared" ref="I69" si="86">I67-I68</f>
        <v>1028.692199521543</v>
      </c>
      <c r="J69">
        <f t="shared" ref="J69" si="87">J67-J68</f>
        <v>1033.112204007808</v>
      </c>
      <c r="K69">
        <f t="shared" ref="K69" si="88">K67-K68</f>
        <v>1038.3864393299436</v>
      </c>
    </row>
    <row r="71" spans="1:11" ht="15" customHeight="1" x14ac:dyDescent="0.45">
      <c r="A71" s="15" t="s">
        <v>101</v>
      </c>
    </row>
    <row r="72" spans="1:11" ht="15" customHeight="1" x14ac:dyDescent="0.45">
      <c r="B72" t="s">
        <v>102</v>
      </c>
      <c r="C72" s="66">
        <v>1263</v>
      </c>
      <c r="D72" s="66">
        <v>1786</v>
      </c>
      <c r="E72" s="66">
        <v>1778</v>
      </c>
    </row>
    <row r="73" spans="1:11" ht="15" customHeight="1" x14ac:dyDescent="0.45">
      <c r="B73" t="s">
        <v>103</v>
      </c>
      <c r="C73" s="66">
        <v>2398</v>
      </c>
      <c r="D73" s="66">
        <v>2557</v>
      </c>
      <c r="E73" s="66">
        <v>2578</v>
      </c>
      <c r="F73">
        <f>F16/365*F31</f>
        <v>2617.629862767154</v>
      </c>
      <c r="G73">
        <f t="shared" ref="G73:K73" si="89">G16/365*G31</f>
        <v>2663.1667596685415</v>
      </c>
      <c r="H73">
        <f t="shared" si="89"/>
        <v>2732.4091270035651</v>
      </c>
      <c r="I73">
        <f t="shared" si="89"/>
        <v>2776.6645480367483</v>
      </c>
      <c r="J73">
        <f t="shared" si="89"/>
        <v>2813.3062101636124</v>
      </c>
      <c r="K73">
        <f t="shared" si="89"/>
        <v>2851.6033850796489</v>
      </c>
    </row>
    <row r="74" spans="1:11" ht="15" customHeight="1" x14ac:dyDescent="0.45">
      <c r="B74" t="s">
        <v>104</v>
      </c>
      <c r="C74" s="66">
        <v>1650</v>
      </c>
      <c r="D74" s="66">
        <v>1843</v>
      </c>
      <c r="E74" s="66">
        <v>1649</v>
      </c>
      <c r="F74">
        <f>F17/365*F32</f>
        <v>1695.2631961585143</v>
      </c>
      <c r="G74">
        <f t="shared" ref="G74:K74" si="90">G17/365*G32</f>
        <v>1728.7985115710298</v>
      </c>
      <c r="H74">
        <f t="shared" si="90"/>
        <v>1755.3272369021179</v>
      </c>
      <c r="I74">
        <f t="shared" si="90"/>
        <v>1790.8185433584686</v>
      </c>
      <c r="J74">
        <f t="shared" si="90"/>
        <v>1823.1095533724053</v>
      </c>
      <c r="K74">
        <f t="shared" si="90"/>
        <v>1856.2035699810572</v>
      </c>
    </row>
    <row r="75" spans="1:11" ht="15" customHeight="1" x14ac:dyDescent="0.45">
      <c r="B75" t="s">
        <v>105</v>
      </c>
      <c r="C75" s="66">
        <v>37</v>
      </c>
      <c r="D75" s="66">
        <v>58</v>
      </c>
      <c r="E75" s="66">
        <v>39</v>
      </c>
      <c r="F75">
        <f>F21</f>
        <v>39</v>
      </c>
      <c r="G75">
        <f t="shared" ref="G75:K75" si="91">G21</f>
        <v>39</v>
      </c>
      <c r="H75">
        <f t="shared" si="91"/>
        <v>39</v>
      </c>
      <c r="I75">
        <f t="shared" si="91"/>
        <v>39</v>
      </c>
      <c r="J75">
        <f t="shared" si="91"/>
        <v>39</v>
      </c>
      <c r="K75">
        <f t="shared" si="91"/>
        <v>39</v>
      </c>
    </row>
    <row r="76" spans="1:11" ht="15" customHeight="1" x14ac:dyDescent="0.45">
      <c r="B76" t="s">
        <v>106</v>
      </c>
      <c r="C76" s="65">
        <f>SUM(C72:C75)</f>
        <v>5348</v>
      </c>
      <c r="D76" s="65">
        <f t="shared" ref="D76:F76" si="92">SUM(D72:D75)</f>
        <v>6244</v>
      </c>
      <c r="E76" s="65">
        <f t="shared" si="92"/>
        <v>6044</v>
      </c>
      <c r="F76" s="65">
        <f t="shared" si="92"/>
        <v>4351.8930589256688</v>
      </c>
      <c r="G76" s="65">
        <f t="shared" ref="G76" si="93">SUM(G72:G75)</f>
        <v>4430.9652712395709</v>
      </c>
      <c r="H76" s="65">
        <f t="shared" ref="H76" si="94">SUM(H72:H75)</f>
        <v>4526.736363905683</v>
      </c>
      <c r="I76" s="65">
        <f t="shared" ref="I76" si="95">SUM(I72:I75)</f>
        <v>4606.4830913952173</v>
      </c>
      <c r="J76" s="65">
        <f t="shared" ref="J76" si="96">SUM(J72:J75)</f>
        <v>4675.4157635360179</v>
      </c>
      <c r="K76" s="65">
        <f t="shared" ref="K76" si="97">SUM(K72:K75)</f>
        <v>4746.8069550607061</v>
      </c>
    </row>
    <row r="78" spans="1:11" ht="15" customHeight="1" x14ac:dyDescent="0.45">
      <c r="B78" t="s">
        <v>107</v>
      </c>
      <c r="C78" s="66">
        <f>C56</f>
        <v>2104</v>
      </c>
      <c r="D78" s="66">
        <f t="shared" ref="D78:E78" si="98">D56</f>
        <v>2259</v>
      </c>
      <c r="E78" s="66">
        <f t="shared" si="98"/>
        <v>2296</v>
      </c>
      <c r="F78">
        <f>F56</f>
        <v>2330.62356259938</v>
      </c>
      <c r="G78">
        <f t="shared" ref="G78:K78" si="99">G56</f>
        <v>2399.5581392091162</v>
      </c>
      <c r="H78">
        <f t="shared" si="99"/>
        <v>2457.9629868069701</v>
      </c>
      <c r="I78">
        <f t="shared" si="99"/>
        <v>2411.5241975783429</v>
      </c>
      <c r="J78">
        <f t="shared" si="99"/>
        <v>2420.6413061126441</v>
      </c>
      <c r="K78">
        <f t="shared" si="99"/>
        <v>2432.7689484842135</v>
      </c>
    </row>
    <row r="79" spans="1:11" ht="15" customHeight="1" x14ac:dyDescent="0.45">
      <c r="B79" t="s">
        <v>108</v>
      </c>
      <c r="C79" s="66">
        <v>616</v>
      </c>
      <c r="D79" s="66">
        <v>639</v>
      </c>
      <c r="E79" s="66">
        <v>608</v>
      </c>
      <c r="F79">
        <f>F15+E79</f>
        <v>608</v>
      </c>
      <c r="G79">
        <f t="shared" ref="G79:K79" si="100">G15+F79</f>
        <v>608</v>
      </c>
      <c r="H79">
        <f t="shared" si="100"/>
        <v>608</v>
      </c>
      <c r="I79">
        <f t="shared" si="100"/>
        <v>608</v>
      </c>
      <c r="J79">
        <f t="shared" si="100"/>
        <v>608</v>
      </c>
      <c r="K79">
        <f t="shared" si="100"/>
        <v>608</v>
      </c>
    </row>
    <row r="80" spans="1:11" ht="15" customHeight="1" x14ac:dyDescent="0.45">
      <c r="B80" t="s">
        <v>109</v>
      </c>
      <c r="C80" s="66">
        <v>1155</v>
      </c>
      <c r="D80" s="66">
        <v>1377</v>
      </c>
      <c r="E80" s="66">
        <v>1430</v>
      </c>
      <c r="F80">
        <f>E80</f>
        <v>1430</v>
      </c>
      <c r="G80">
        <f t="shared" ref="G80:K80" si="101">F80</f>
        <v>1430</v>
      </c>
      <c r="H80">
        <f t="shared" si="101"/>
        <v>1430</v>
      </c>
      <c r="I80">
        <f t="shared" si="101"/>
        <v>1430</v>
      </c>
      <c r="J80">
        <f t="shared" si="101"/>
        <v>1430</v>
      </c>
      <c r="K80">
        <f t="shared" si="101"/>
        <v>1430</v>
      </c>
    </row>
    <row r="81" spans="2:11" ht="15" customHeight="1" x14ac:dyDescent="0.45">
      <c r="B81" t="s">
        <v>110</v>
      </c>
      <c r="C81" s="66">
        <f>C60</f>
        <v>2535</v>
      </c>
      <c r="D81" s="66">
        <f t="shared" ref="D81:E81" si="102">D60</f>
        <v>2695</v>
      </c>
      <c r="E81" s="66">
        <f t="shared" si="102"/>
        <v>2651</v>
      </c>
      <c r="F81">
        <f>F60</f>
        <v>2571</v>
      </c>
      <c r="G81">
        <f t="shared" ref="G81:K81" si="103">G60</f>
        <v>2496</v>
      </c>
      <c r="H81">
        <f t="shared" si="103"/>
        <v>2426</v>
      </c>
      <c r="I81">
        <f t="shared" si="103"/>
        <v>2361</v>
      </c>
      <c r="J81">
        <f t="shared" si="103"/>
        <v>2301</v>
      </c>
      <c r="K81">
        <f t="shared" si="103"/>
        <v>2246</v>
      </c>
    </row>
    <row r="82" spans="2:11" ht="15" customHeight="1" x14ac:dyDescent="0.45">
      <c r="B82" t="s">
        <v>111</v>
      </c>
      <c r="C82" s="66">
        <v>2531</v>
      </c>
      <c r="D82" s="66">
        <v>1872</v>
      </c>
      <c r="E82" s="66">
        <v>1875</v>
      </c>
      <c r="F82">
        <f>F22</f>
        <v>1875</v>
      </c>
      <c r="G82">
        <f t="shared" ref="G82:K82" si="104">G22</f>
        <v>1875</v>
      </c>
      <c r="H82">
        <f t="shared" si="104"/>
        <v>1875</v>
      </c>
      <c r="I82">
        <f t="shared" si="104"/>
        <v>1875</v>
      </c>
      <c r="J82">
        <f t="shared" si="104"/>
        <v>1875</v>
      </c>
      <c r="K82">
        <f t="shared" si="104"/>
        <v>1875</v>
      </c>
    </row>
    <row r="83" spans="2:11" ht="15" customHeight="1" x14ac:dyDescent="0.45">
      <c r="B83" t="s">
        <v>112</v>
      </c>
      <c r="C83" s="65">
        <f>C76+SUM(C78:C82)</f>
        <v>14289</v>
      </c>
      <c r="D83" s="65">
        <f t="shared" ref="D83:F83" si="105">D76+SUM(D78:D82)</f>
        <v>15086</v>
      </c>
      <c r="E83" s="65">
        <f t="shared" si="105"/>
        <v>14904</v>
      </c>
      <c r="F83" s="65">
        <f t="shared" si="105"/>
        <v>13166.516621525048</v>
      </c>
      <c r="G83" s="65">
        <f t="shared" ref="G83" si="106">G76+SUM(G78:G82)</f>
        <v>13239.523410448686</v>
      </c>
      <c r="H83" s="65">
        <f t="shared" ref="H83" si="107">H76+SUM(H78:H82)</f>
        <v>13323.699350712654</v>
      </c>
      <c r="I83" s="65">
        <f t="shared" ref="I83" si="108">I76+SUM(I78:I82)</f>
        <v>13292.00728897356</v>
      </c>
      <c r="J83" s="65">
        <f t="shared" ref="J83" si="109">J76+SUM(J78:J82)</f>
        <v>13310.057069648661</v>
      </c>
      <c r="K83" s="65">
        <f t="shared" ref="K83" si="110">K76+SUM(K78:K82)</f>
        <v>13338.575903544919</v>
      </c>
    </row>
    <row r="85" spans="2:11" ht="15" customHeight="1" x14ac:dyDescent="0.45">
      <c r="B85" t="s">
        <v>113</v>
      </c>
      <c r="C85" s="66">
        <v>1556</v>
      </c>
      <c r="D85" s="66">
        <v>2543</v>
      </c>
      <c r="E85" s="66">
        <v>2398</v>
      </c>
    </row>
    <row r="86" spans="2:11" ht="15" customHeight="1" x14ac:dyDescent="0.45">
      <c r="B86" t="s">
        <v>99</v>
      </c>
      <c r="C86" s="66">
        <v>3313</v>
      </c>
      <c r="D86" s="66">
        <v>3203</v>
      </c>
      <c r="E86" s="66">
        <v>3308</v>
      </c>
      <c r="F86">
        <f>F23*F32</f>
        <v>3333.9653398078572</v>
      </c>
      <c r="G86">
        <f t="shared" ref="G86:K86" si="111">G23*G32</f>
        <v>3399.917092608368</v>
      </c>
      <c r="H86">
        <f t="shared" si="111"/>
        <v>3506.8845047072268</v>
      </c>
      <c r="I86">
        <f t="shared" si="111"/>
        <v>3577.7908918736744</v>
      </c>
      <c r="J86">
        <f t="shared" si="111"/>
        <v>3642.3035595282099</v>
      </c>
      <c r="K86">
        <f t="shared" si="111"/>
        <v>3708.4205157307624</v>
      </c>
    </row>
    <row r="87" spans="2:11" ht="15" customHeight="1" x14ac:dyDescent="0.45">
      <c r="B87" t="s">
        <v>114</v>
      </c>
      <c r="C87" s="65">
        <f>SUM(C85:C86)</f>
        <v>4869</v>
      </c>
      <c r="D87" s="65">
        <f t="shared" ref="D87:F87" si="112">SUM(D85:D86)</f>
        <v>5746</v>
      </c>
      <c r="E87" s="65">
        <f t="shared" si="112"/>
        <v>5706</v>
      </c>
      <c r="F87" s="65">
        <f t="shared" si="112"/>
        <v>3333.9653398078572</v>
      </c>
      <c r="G87" s="65">
        <f t="shared" ref="G87" si="113">SUM(G85:G86)</f>
        <v>3399.917092608368</v>
      </c>
      <c r="H87" s="65">
        <f t="shared" ref="H87" si="114">SUM(H85:H86)</f>
        <v>3506.8845047072268</v>
      </c>
      <c r="I87" s="65">
        <f t="shared" ref="I87" si="115">SUM(I85:I86)</f>
        <v>3577.7908918736744</v>
      </c>
      <c r="J87" s="65">
        <f t="shared" ref="J87" si="116">SUM(J85:J86)</f>
        <v>3642.3035595282099</v>
      </c>
      <c r="K87" s="65">
        <f t="shared" ref="K87" si="117">SUM(K85:K86)</f>
        <v>3708.4205157307624</v>
      </c>
    </row>
    <row r="89" spans="2:11" ht="15" customHeight="1" x14ac:dyDescent="0.45">
      <c r="B89" t="s">
        <v>115</v>
      </c>
      <c r="C89" s="66">
        <v>1994</v>
      </c>
      <c r="D89" s="66">
        <v>3332</v>
      </c>
      <c r="E89" s="66">
        <v>3165</v>
      </c>
      <c r="F89">
        <f>F25+E89</f>
        <v>3671</v>
      </c>
      <c r="G89">
        <f t="shared" ref="G89:K89" si="118">G25+F89</f>
        <v>3471</v>
      </c>
      <c r="H89">
        <f t="shared" si="118"/>
        <v>3441</v>
      </c>
      <c r="I89">
        <f t="shared" si="118"/>
        <v>3341</v>
      </c>
      <c r="J89">
        <f t="shared" si="118"/>
        <v>3341</v>
      </c>
      <c r="K89">
        <f t="shared" si="118"/>
        <v>3341</v>
      </c>
    </row>
    <row r="90" spans="2:11" ht="15" customHeight="1" x14ac:dyDescent="0.45">
      <c r="B90" t="s">
        <v>116</v>
      </c>
      <c r="C90" s="66">
        <v>1790</v>
      </c>
      <c r="D90" s="66">
        <v>1460</v>
      </c>
      <c r="E90" s="66">
        <v>1487</v>
      </c>
      <c r="F90">
        <f>F24*F31</f>
        <v>1509.8586524184475</v>
      </c>
      <c r="G90">
        <f t="shared" ref="G90:K90" si="119">G24*G31</f>
        <v>1536.1245041222346</v>
      </c>
      <c r="H90">
        <f t="shared" si="119"/>
        <v>1576.0637594469747</v>
      </c>
      <c r="I90">
        <f t="shared" si="119"/>
        <v>1601.5904510980001</v>
      </c>
      <c r="J90">
        <f t="shared" si="119"/>
        <v>1622.7254982596164</v>
      </c>
      <c r="K90">
        <f t="shared" si="119"/>
        <v>1644.8154513628538</v>
      </c>
    </row>
    <row r="91" spans="2:11" ht="15" customHeight="1" x14ac:dyDescent="0.45">
      <c r="B91" t="s">
        <v>117</v>
      </c>
      <c r="C91" s="65">
        <f>C87+SUM(C89:C90)</f>
        <v>8653</v>
      </c>
      <c r="D91" s="65">
        <f t="shared" ref="D91:F91" si="120">D87+SUM(D89:D90)</f>
        <v>10538</v>
      </c>
      <c r="E91" s="65">
        <f t="shared" si="120"/>
        <v>10358</v>
      </c>
      <c r="F91" s="65">
        <f t="shared" si="120"/>
        <v>8514.8239922263056</v>
      </c>
      <c r="G91" s="65">
        <f t="shared" ref="G91" si="121">G87+SUM(G89:G90)</f>
        <v>8407.0415967306035</v>
      </c>
      <c r="H91" s="65">
        <f t="shared" ref="H91" si="122">H87+SUM(H89:H90)</f>
        <v>8523.9482641542018</v>
      </c>
      <c r="I91" s="65">
        <f t="shared" ref="I91" si="123">I87+SUM(I89:I90)</f>
        <v>8520.3813429716738</v>
      </c>
      <c r="J91" s="65">
        <f t="shared" ref="J91" si="124">J87+SUM(J89:J90)</f>
        <v>8606.0290577878259</v>
      </c>
      <c r="K91" s="65">
        <f t="shared" ref="K91" si="125">K87+SUM(K89:K90)</f>
        <v>8694.2359670936166</v>
      </c>
    </row>
    <row r="93" spans="2:11" ht="15" customHeight="1" x14ac:dyDescent="0.45">
      <c r="B93" t="s">
        <v>118</v>
      </c>
      <c r="C93" s="66">
        <v>5636</v>
      </c>
      <c r="D93" s="66">
        <v>4548</v>
      </c>
      <c r="E93" s="66">
        <v>4546</v>
      </c>
      <c r="F93">
        <f>F65</f>
        <v>5117.3151094104378</v>
      </c>
      <c r="G93">
        <f t="shared" ref="G93:K93" si="126">G65</f>
        <v>5651.0984106859805</v>
      </c>
      <c r="H93">
        <f t="shared" si="126"/>
        <v>6141.9955301338241</v>
      </c>
      <c r="I93">
        <f t="shared" si="126"/>
        <v>6599.6133215891759</v>
      </c>
      <c r="J93">
        <f t="shared" si="126"/>
        <v>7026.2889546958158</v>
      </c>
      <c r="K93">
        <f t="shared" si="126"/>
        <v>7423.4942814325104</v>
      </c>
    </row>
    <row r="94" spans="2:11" ht="15" customHeight="1" x14ac:dyDescent="0.45">
      <c r="B94" t="s">
        <v>119</v>
      </c>
      <c r="C94" s="65">
        <f>C91+C93</f>
        <v>14289</v>
      </c>
      <c r="D94" s="65">
        <f t="shared" ref="D94:F94" si="127">D91+D93</f>
        <v>15086</v>
      </c>
      <c r="E94" s="65">
        <f t="shared" si="127"/>
        <v>14904</v>
      </c>
      <c r="F94" s="65">
        <f t="shared" si="127"/>
        <v>13632.139101636743</v>
      </c>
      <c r="G94" s="65">
        <f t="shared" ref="G94" si="128">G91+G93</f>
        <v>14058.140007416583</v>
      </c>
      <c r="H94" s="65">
        <f t="shared" ref="H94" si="129">H91+H93</f>
        <v>14665.943794288025</v>
      </c>
      <c r="I94" s="65">
        <f t="shared" ref="I94" si="130">I91+I93</f>
        <v>15119.994664560851</v>
      </c>
      <c r="J94" s="65">
        <f t="shared" ref="J94" si="131">J91+J93</f>
        <v>15632.318012483642</v>
      </c>
      <c r="K94" s="65">
        <f t="shared" ref="K94" si="132">K91+K93</f>
        <v>16117.730248526128</v>
      </c>
    </row>
    <row r="96" spans="2:11" ht="15" customHeight="1" x14ac:dyDescent="0.45">
      <c r="B96" t="s">
        <v>120</v>
      </c>
      <c r="C96">
        <f>C94-C83</f>
        <v>0</v>
      </c>
      <c r="D96">
        <f t="shared" ref="D96:F96" si="133">D94-D83</f>
        <v>0</v>
      </c>
      <c r="E96">
        <f t="shared" si="133"/>
        <v>0</v>
      </c>
      <c r="F96">
        <f t="shared" si="133"/>
        <v>465.62248011169504</v>
      </c>
      <c r="G96">
        <f t="shared" ref="G96:K96" si="134">G94-G83</f>
        <v>818.61659696789684</v>
      </c>
      <c r="H96">
        <f t="shared" si="134"/>
        <v>1342.2444435753714</v>
      </c>
      <c r="I96">
        <f t="shared" si="134"/>
        <v>1827.9873755872904</v>
      </c>
      <c r="J96">
        <f t="shared" si="134"/>
        <v>2322.2609428349806</v>
      </c>
      <c r="K96">
        <f t="shared" si="134"/>
        <v>2779.1543449812089</v>
      </c>
    </row>
    <row r="98" spans="1:2" ht="15" customHeight="1" x14ac:dyDescent="0.45">
      <c r="A98" s="15" t="s">
        <v>121</v>
      </c>
    </row>
    <row r="99" spans="1:2" ht="15" customHeight="1" x14ac:dyDescent="0.45">
      <c r="B99" t="s">
        <v>83</v>
      </c>
    </row>
    <row r="100" spans="1:2" ht="15" customHeight="1" x14ac:dyDescent="0.45">
      <c r="B100" t="s">
        <v>122</v>
      </c>
    </row>
    <row r="101" spans="1:2" ht="15" customHeight="1" x14ac:dyDescent="0.45">
      <c r="B101" t="s">
        <v>123</v>
      </c>
    </row>
    <row r="102" spans="1:2" ht="15" customHeight="1" x14ac:dyDescent="0.45">
      <c r="B102" t="s">
        <v>124</v>
      </c>
    </row>
    <row r="103" spans="1:2" ht="15" customHeight="1" x14ac:dyDescent="0.45">
      <c r="B103" t="s">
        <v>125</v>
      </c>
    </row>
    <row r="104" spans="1:2" ht="15" customHeight="1" x14ac:dyDescent="0.45">
      <c r="B104" t="s">
        <v>126</v>
      </c>
    </row>
    <row r="106" spans="1:2" ht="15" customHeight="1" x14ac:dyDescent="0.45">
      <c r="B106" t="s">
        <v>89</v>
      </c>
    </row>
    <row r="107" spans="1:2" ht="15" customHeight="1" x14ac:dyDescent="0.45">
      <c r="B107" t="s">
        <v>127</v>
      </c>
    </row>
    <row r="108" spans="1:2" ht="15" customHeight="1" x14ac:dyDescent="0.45">
      <c r="B108" t="s">
        <v>128</v>
      </c>
    </row>
    <row r="110" spans="1:2" ht="15" customHeight="1" x14ac:dyDescent="0.45">
      <c r="B110" t="s">
        <v>129</v>
      </c>
    </row>
    <row r="111" spans="1:2" ht="15" customHeight="1" x14ac:dyDescent="0.45">
      <c r="B111" t="s">
        <v>130</v>
      </c>
    </row>
    <row r="112" spans="1:2" ht="15" customHeight="1" x14ac:dyDescent="0.45">
      <c r="B112" t="s">
        <v>131</v>
      </c>
    </row>
    <row r="114" spans="1:11" ht="15" customHeight="1" x14ac:dyDescent="0.45">
      <c r="B114" t="s">
        <v>132</v>
      </c>
    </row>
    <row r="115" spans="1:11" ht="15" customHeight="1" x14ac:dyDescent="0.45">
      <c r="B115" t="s">
        <v>133</v>
      </c>
    </row>
    <row r="116" spans="1:11" ht="15" customHeight="1" x14ac:dyDescent="0.45">
      <c r="B116" t="s">
        <v>134</v>
      </c>
    </row>
    <row r="118" spans="1:11" ht="15" customHeight="1" x14ac:dyDescent="0.45">
      <c r="A118" s="15" t="s">
        <v>135</v>
      </c>
    </row>
    <row r="119" spans="1:11" ht="15" customHeight="1" x14ac:dyDescent="0.45">
      <c r="B119" t="s">
        <v>136</v>
      </c>
    </row>
    <row r="120" spans="1:11" ht="15" customHeight="1" x14ac:dyDescent="0.45">
      <c r="B120" t="s">
        <v>137</v>
      </c>
    </row>
    <row r="121" spans="1:11" ht="15" customHeight="1" x14ac:dyDescent="0.45">
      <c r="B121" t="s">
        <v>138</v>
      </c>
    </row>
    <row r="122" spans="1:11" ht="15" customHeight="1" x14ac:dyDescent="0.45">
      <c r="G122" t="str">
        <f t="shared" ref="G122:G123" ca="1" si="135">IF(ISBLANK(F122),"",_xlfn.FORMULATEXT(F122))</f>
        <v/>
      </c>
    </row>
    <row r="123" spans="1:11" ht="15" customHeight="1" x14ac:dyDescent="0.45">
      <c r="A123" s="15" t="s">
        <v>139</v>
      </c>
      <c r="G123" t="str">
        <f t="shared" ca="1" si="135"/>
        <v/>
      </c>
    </row>
    <row r="124" spans="1:11" ht="15" customHeight="1" x14ac:dyDescent="0.45">
      <c r="B124" t="s">
        <v>140</v>
      </c>
      <c r="D124" s="60"/>
      <c r="E124" s="60"/>
      <c r="F124" s="60"/>
      <c r="G124" s="60"/>
      <c r="H124" s="60"/>
      <c r="I124" s="60"/>
      <c r="J124" s="60"/>
      <c r="K124" s="60"/>
    </row>
    <row r="125" spans="1:11" ht="15" customHeight="1" x14ac:dyDescent="0.45">
      <c r="B125" t="s">
        <v>37</v>
      </c>
      <c r="C125" s="60"/>
      <c r="D125" s="60"/>
      <c r="E125" s="60"/>
      <c r="F125" s="60"/>
      <c r="G125" s="60"/>
      <c r="H125" s="60"/>
      <c r="I125" s="60"/>
      <c r="J125" s="60"/>
      <c r="K125" s="60"/>
    </row>
    <row r="126" spans="1:11" ht="15" customHeight="1" x14ac:dyDescent="0.45">
      <c r="B126" t="s">
        <v>42</v>
      </c>
      <c r="C126" s="60"/>
      <c r="D126" s="60"/>
      <c r="E126" s="60"/>
      <c r="F126" s="60"/>
      <c r="G126" s="60"/>
      <c r="H126" s="60"/>
      <c r="I126" s="60"/>
      <c r="J126" s="60"/>
      <c r="K126" s="60"/>
    </row>
    <row r="127" spans="1:11" ht="15" customHeight="1" x14ac:dyDescent="0.45">
      <c r="B127" t="s">
        <v>141</v>
      </c>
      <c r="C127" s="60"/>
      <c r="D127" s="60"/>
      <c r="E127" s="60"/>
      <c r="F127" s="60"/>
      <c r="G127" s="60"/>
      <c r="H127" s="60"/>
      <c r="I127" s="60"/>
      <c r="J127" s="60"/>
      <c r="K127" s="60"/>
    </row>
    <row r="129" spans="1:11" ht="15" customHeight="1" x14ac:dyDescent="0.45">
      <c r="A129" s="15" t="s">
        <v>142</v>
      </c>
    </row>
    <row r="130" spans="1:11" ht="15" customHeight="1" x14ac:dyDescent="0.45">
      <c r="B130" t="s">
        <v>143</v>
      </c>
    </row>
    <row r="131" spans="1:11" ht="15" customHeight="1" x14ac:dyDescent="0.45">
      <c r="B131" t="s">
        <v>144</v>
      </c>
      <c r="C131" s="60"/>
      <c r="D131" s="60"/>
      <c r="E131" s="60"/>
      <c r="F131" s="60"/>
      <c r="G131" s="60"/>
      <c r="H131" s="60"/>
      <c r="I131" s="60"/>
      <c r="J131" s="60"/>
      <c r="K131" s="60"/>
    </row>
    <row r="132" spans="1:11" ht="15" customHeight="1" x14ac:dyDescent="0.45">
      <c r="B132" t="s">
        <v>145</v>
      </c>
      <c r="C132" s="60"/>
      <c r="D132" s="60"/>
      <c r="E132" s="60"/>
      <c r="F132" s="60"/>
      <c r="G132" s="60"/>
      <c r="H132" s="60"/>
      <c r="I132" s="60"/>
      <c r="J132" s="60"/>
      <c r="K132" s="60"/>
    </row>
    <row r="134" spans="1:11" ht="15" customHeight="1" x14ac:dyDescent="0.45">
      <c r="A134" s="15" t="s">
        <v>146</v>
      </c>
    </row>
    <row r="135" spans="1:11" ht="15" customHeight="1" x14ac:dyDescent="0.45">
      <c r="B135" t="s">
        <v>147</v>
      </c>
    </row>
    <row r="136" spans="1:11" ht="15" customHeight="1" x14ac:dyDescent="0.45">
      <c r="B136" t="s">
        <v>148</v>
      </c>
    </row>
    <row r="137" spans="1:11" ht="15" customHeight="1" x14ac:dyDescent="0.45">
      <c r="B137" t="s">
        <v>149</v>
      </c>
    </row>
    <row r="138" spans="1:11" ht="15" customHeight="1" x14ac:dyDescent="0.45">
      <c r="B138" t="s">
        <v>150</v>
      </c>
    </row>
    <row r="139" spans="1:11" ht="15" customHeight="1" x14ac:dyDescent="0.45">
      <c r="B139" t="s">
        <v>151</v>
      </c>
      <c r="C139" s="62"/>
      <c r="D139" s="62"/>
      <c r="E139" s="62"/>
      <c r="F139" s="62"/>
      <c r="G139" s="62"/>
      <c r="H139" s="62"/>
      <c r="I139" s="62"/>
      <c r="J139" s="62"/>
      <c r="K139" s="62"/>
    </row>
    <row r="140" spans="1:11" ht="15" customHeight="1" x14ac:dyDescent="0.45">
      <c r="B140" t="s">
        <v>152</v>
      </c>
      <c r="C140" s="62"/>
      <c r="D140" s="62"/>
      <c r="E140" s="62"/>
      <c r="F140" s="62"/>
      <c r="G140" s="62"/>
      <c r="H140" s="62"/>
      <c r="I140" s="62"/>
      <c r="J140" s="62"/>
      <c r="K140" s="62"/>
    </row>
    <row r="141" spans="1:11" ht="15" customHeight="1" x14ac:dyDescent="0.45">
      <c r="B141" t="s">
        <v>153</v>
      </c>
    </row>
    <row r="142" spans="1:11" ht="15" customHeight="1" x14ac:dyDescent="0.45">
      <c r="B142" t="s">
        <v>154</v>
      </c>
      <c r="C142" s="62"/>
      <c r="D142" s="62"/>
      <c r="E142" s="62"/>
      <c r="F142" s="62"/>
      <c r="G142" s="62"/>
      <c r="H142" s="62"/>
      <c r="I142" s="62"/>
      <c r="J142" s="62"/>
      <c r="K142" s="62"/>
    </row>
    <row r="143" spans="1:11" ht="15" customHeight="1" x14ac:dyDescent="0.45">
      <c r="B143" t="s">
        <v>155</v>
      </c>
      <c r="C143" s="60"/>
      <c r="D143" s="60"/>
      <c r="E143" s="60"/>
      <c r="F143" s="60"/>
      <c r="G143" s="60"/>
      <c r="H143" s="60"/>
      <c r="I143" s="60"/>
      <c r="J143" s="60"/>
      <c r="K143" s="60"/>
    </row>
    <row r="144" spans="1:11" ht="15" customHeight="1" x14ac:dyDescent="0.45">
      <c r="G144" t="str">
        <f t="shared" ref="G144:G155" ca="1" si="136">IF(ISBLANK(F144),"",_xlfn.FORMULATEXT(F144))</f>
        <v/>
      </c>
    </row>
    <row r="145" spans="1:7" ht="15" customHeight="1" x14ac:dyDescent="0.45">
      <c r="A145" s="15" t="s">
        <v>51</v>
      </c>
      <c r="G145" t="str">
        <f t="shared" ca="1" si="136"/>
        <v/>
      </c>
    </row>
    <row r="146" spans="1:7" ht="15" customHeight="1" x14ac:dyDescent="0.45">
      <c r="G146" t="str">
        <f t="shared" ca="1" si="136"/>
        <v/>
      </c>
    </row>
    <row r="147" spans="1:7" ht="15" customHeight="1" x14ac:dyDescent="0.45">
      <c r="G147" t="str">
        <f t="shared" ca="1" si="136"/>
        <v/>
      </c>
    </row>
    <row r="148" spans="1:7" ht="15" customHeight="1" x14ac:dyDescent="0.45">
      <c r="G148" t="str">
        <f t="shared" ca="1" si="136"/>
        <v/>
      </c>
    </row>
    <row r="149" spans="1:7" ht="15" customHeight="1" x14ac:dyDescent="0.45">
      <c r="G149" t="str">
        <f t="shared" ca="1" si="136"/>
        <v/>
      </c>
    </row>
    <row r="150" spans="1:7" ht="15" customHeight="1" x14ac:dyDescent="0.45">
      <c r="G150" t="str">
        <f t="shared" ca="1" si="136"/>
        <v/>
      </c>
    </row>
    <row r="151" spans="1:7" ht="15" customHeight="1" x14ac:dyDescent="0.45">
      <c r="G151" t="str">
        <f t="shared" ca="1" si="136"/>
        <v/>
      </c>
    </row>
    <row r="152" spans="1:7" ht="15" customHeight="1" x14ac:dyDescent="0.45">
      <c r="G152" t="str">
        <f t="shared" ca="1" si="136"/>
        <v/>
      </c>
    </row>
    <row r="153" spans="1:7" ht="15" customHeight="1" x14ac:dyDescent="0.45">
      <c r="G153" t="str">
        <f t="shared" ca="1" si="136"/>
        <v/>
      </c>
    </row>
    <row r="154" spans="1:7" ht="15" customHeight="1" x14ac:dyDescent="0.45">
      <c r="G154" t="str">
        <f t="shared" ca="1" si="136"/>
        <v/>
      </c>
    </row>
    <row r="155" spans="1:7" ht="15" customHeight="1" x14ac:dyDescent="0.45">
      <c r="G155" t="str">
        <f t="shared" ca="1" si="136"/>
        <v/>
      </c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56" fitToHeight="0" orientation="landscape" cellComments="asDisplayed" horizontalDpi="2400" verticalDpi="2400" r:id="rId1"/>
  <headerFooter>
    <oddHeader xml:space="preserve">&amp;R&amp;10&amp;F 
&amp;A
</oddHeader>
    <oddFooter>&amp;L&amp;10© 2018&amp;C&amp;10Page &amp;P of &amp;N&amp;R&amp;G</oddFooter>
  </headerFooter>
  <rowBreaks count="3" manualBreakCount="3">
    <brk id="51" max="16383" man="1"/>
    <brk id="97" max="16383" man="1"/>
    <brk id="122" max="16383" man="1"/>
  </rowBreaks>
  <legacyDrawing r:id="rId2"/>
  <legacyDrawingHF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0EA6FE-BF2E-4B43-BF5C-C06FE6ED2AAC}">
  <sheetPr>
    <pageSetUpPr fitToPage="1"/>
  </sheetPr>
  <dimension ref="A1:P60"/>
  <sheetViews>
    <sheetView zoomScale="130" zoomScaleNormal="130" workbookViewId="0">
      <pane xSplit="2" ySplit="2" topLeftCell="C3" activePane="bottomRight" state="frozen"/>
      <selection pane="topRight" activeCell="C15" sqref="C15"/>
      <selection pane="bottomLeft" activeCell="C15" sqref="C15"/>
      <selection pane="bottomRight" activeCell="C7" sqref="C7"/>
    </sheetView>
  </sheetViews>
  <sheetFormatPr defaultColWidth="9.1328125" defaultRowHeight="15" customHeight="1" x14ac:dyDescent="0.45"/>
  <cols>
    <col min="1" max="1" width="1.3984375" style="15" customWidth="1"/>
    <col min="2" max="2" width="41.73046875" customWidth="1"/>
    <col min="3" max="15" width="11" customWidth="1"/>
  </cols>
  <sheetData>
    <row r="1" spans="1:14" s="45" customFormat="1" ht="45" customHeight="1" x14ac:dyDescent="0.85">
      <c r="A1" s="5" t="s">
        <v>52</v>
      </c>
      <c r="B1" s="10"/>
      <c r="C1" s="12" t="s">
        <v>25</v>
      </c>
      <c r="D1" s="12" t="s">
        <v>25</v>
      </c>
      <c r="E1" s="12" t="s">
        <v>25</v>
      </c>
      <c r="F1" s="12" t="s">
        <v>26</v>
      </c>
      <c r="G1" s="12" t="s">
        <v>26</v>
      </c>
      <c r="H1" s="12" t="s">
        <v>26</v>
      </c>
      <c r="I1" s="12" t="s">
        <v>26</v>
      </c>
      <c r="J1" s="12" t="s">
        <v>26</v>
      </c>
      <c r="K1" s="12" t="s">
        <v>26</v>
      </c>
      <c r="L1"/>
      <c r="M1"/>
      <c r="N1"/>
    </row>
    <row r="2" spans="1:14" s="34" customFormat="1" ht="30" customHeight="1" x14ac:dyDescent="0.65">
      <c r="A2" s="14" t="s">
        <v>195</v>
      </c>
      <c r="B2" s="7"/>
      <c r="C2" s="11">
        <f>DATE(YEAR(D2)-1,MONTH(D2),DAY(D2))</f>
        <v>44561</v>
      </c>
      <c r="D2" s="11">
        <f>DATE(YEAR(E2)-1,MONTH(E2),DAY(E2))</f>
        <v>44926</v>
      </c>
      <c r="E2" s="11">
        <f>Info!N6</f>
        <v>45291</v>
      </c>
      <c r="F2" s="11">
        <f>DATE(YEAR(E2)+1,MONTH(E2),DAY(E2))</f>
        <v>45657</v>
      </c>
      <c r="G2" s="11">
        <f>DATE(YEAR(F2)+1,MONTH(F2),DAY(F2))</f>
        <v>46022</v>
      </c>
      <c r="H2" s="11">
        <f>DATE(YEAR(G2)+1,MONTH(G2),DAY(G2))</f>
        <v>46387</v>
      </c>
      <c r="I2" s="11">
        <f>DATE(YEAR(H2)+1,MONTH(H2),DAY(H2))</f>
        <v>46752</v>
      </c>
      <c r="J2" s="11">
        <f>DATE(YEAR(I2)+1,MONTH(I2),DAY(I2))</f>
        <v>47118</v>
      </c>
      <c r="K2" s="11">
        <f t="shared" ref="K2" si="0">DATE(YEAR(J2)+1,MONTH(J2),DAY(J2))</f>
        <v>47483</v>
      </c>
      <c r="L2"/>
      <c r="M2"/>
      <c r="N2"/>
    </row>
    <row r="4" spans="1:14" ht="15" customHeight="1" x14ac:dyDescent="0.45">
      <c r="A4" s="15" t="s">
        <v>156</v>
      </c>
    </row>
    <row r="5" spans="1:14" ht="15" customHeight="1" x14ac:dyDescent="0.45">
      <c r="B5" s="12"/>
      <c r="C5" s="12" t="s">
        <v>157</v>
      </c>
      <c r="D5" s="12" t="s">
        <v>186</v>
      </c>
      <c r="E5" s="12" t="s">
        <v>157</v>
      </c>
      <c r="F5" s="12" t="s">
        <v>158</v>
      </c>
      <c r="G5" s="12"/>
    </row>
    <row r="6" spans="1:14" ht="15" customHeight="1" x14ac:dyDescent="0.45">
      <c r="B6" s="77" t="s">
        <v>159</v>
      </c>
      <c r="C6" s="12" t="s">
        <v>41</v>
      </c>
      <c r="D6" s="12" t="s">
        <v>187</v>
      </c>
      <c r="E6" s="12" t="s">
        <v>41</v>
      </c>
      <c r="F6" s="12" t="s">
        <v>160</v>
      </c>
      <c r="G6" s="12" t="s">
        <v>161</v>
      </c>
    </row>
    <row r="7" spans="1:14" ht="15" customHeight="1" x14ac:dyDescent="0.45">
      <c r="B7" s="69" t="s">
        <v>27</v>
      </c>
      <c r="F7" s="76">
        <v>8</v>
      </c>
    </row>
    <row r="8" spans="1:14" ht="15" customHeight="1" x14ac:dyDescent="0.45">
      <c r="B8" s="69" t="s">
        <v>43</v>
      </c>
      <c r="F8" s="76">
        <v>10</v>
      </c>
    </row>
    <row r="9" spans="1:14" ht="15" customHeight="1" x14ac:dyDescent="0.45">
      <c r="B9" s="69" t="s">
        <v>162</v>
      </c>
    </row>
    <row r="10" spans="1:14" ht="15" customHeight="1" x14ac:dyDescent="0.45">
      <c r="B10" s="69"/>
    </row>
    <row r="11" spans="1:14" ht="15" customHeight="1" x14ac:dyDescent="0.45">
      <c r="A11" s="15" t="s">
        <v>188</v>
      </c>
      <c r="B11" s="69"/>
    </row>
    <row r="12" spans="1:14" ht="15" customHeight="1" x14ac:dyDescent="0.45">
      <c r="B12" s="69" t="s">
        <v>190</v>
      </c>
      <c r="C12" s="60"/>
    </row>
    <row r="13" spans="1:14" ht="15" customHeight="1" x14ac:dyDescent="0.45">
      <c r="B13" s="69"/>
    </row>
    <row r="14" spans="1:14" ht="15" customHeight="1" x14ac:dyDescent="0.45">
      <c r="B14" s="77" t="s">
        <v>163</v>
      </c>
      <c r="C14" s="77" t="s">
        <v>192</v>
      </c>
      <c r="D14" s="77" t="s">
        <v>164</v>
      </c>
      <c r="E14" s="77" t="s">
        <v>165</v>
      </c>
      <c r="F14" s="77" t="s">
        <v>166</v>
      </c>
      <c r="G14" s="77" t="s">
        <v>162</v>
      </c>
    </row>
    <row r="15" spans="1:14" ht="15" customHeight="1" x14ac:dyDescent="0.45">
      <c r="B15" s="69" t="s">
        <v>167</v>
      </c>
      <c r="C15" s="59">
        <v>-5875</v>
      </c>
      <c r="D15" s="59">
        <v>-2362</v>
      </c>
      <c r="E15" s="59">
        <v>-1238</v>
      </c>
      <c r="F15" s="59">
        <v>-107</v>
      </c>
      <c r="G15" s="59">
        <v>-9582</v>
      </c>
    </row>
    <row r="16" spans="1:14" ht="15" customHeight="1" x14ac:dyDescent="0.45">
      <c r="B16" s="69" t="s">
        <v>168</v>
      </c>
      <c r="C16" s="59">
        <v>6293</v>
      </c>
      <c r="D16" s="59">
        <v>2895</v>
      </c>
      <c r="E16" s="59">
        <v>1005</v>
      </c>
      <c r="F16" s="59" t="s">
        <v>169</v>
      </c>
      <c r="G16" s="59">
        <v>10193</v>
      </c>
    </row>
    <row r="17" spans="1:16" ht="15" customHeight="1" x14ac:dyDescent="0.45">
      <c r="B17" s="69" t="s">
        <v>170</v>
      </c>
      <c r="C17" s="59">
        <v>418</v>
      </c>
      <c r="D17" s="59">
        <v>533</v>
      </c>
      <c r="E17" s="59">
        <v>-233</v>
      </c>
      <c r="F17" s="59">
        <v>-107</v>
      </c>
      <c r="G17" s="59">
        <v>611</v>
      </c>
    </row>
    <row r="18" spans="1:16" ht="15" customHeight="1" x14ac:dyDescent="0.45">
      <c r="B18" s="69" t="s">
        <v>171</v>
      </c>
    </row>
    <row r="19" spans="1:16" ht="15" customHeight="1" x14ac:dyDescent="0.45">
      <c r="B19" s="69"/>
      <c r="G19" s="59"/>
    </row>
    <row r="20" spans="1:16" ht="15" customHeight="1" x14ac:dyDescent="0.45">
      <c r="A20" s="15" t="s">
        <v>189</v>
      </c>
      <c r="B20" s="69"/>
    </row>
    <row r="21" spans="1:16" ht="15" customHeight="1" x14ac:dyDescent="0.45">
      <c r="B21" s="69" t="s">
        <v>150</v>
      </c>
    </row>
    <row r="22" spans="1:16" ht="15" customHeight="1" x14ac:dyDescent="0.45">
      <c r="B22" s="69" t="s">
        <v>172</v>
      </c>
    </row>
    <row r="23" spans="1:16" ht="15" customHeight="1" x14ac:dyDescent="0.45">
      <c r="B23" s="69" t="s">
        <v>173</v>
      </c>
    </row>
    <row r="24" spans="1:16" ht="15" customHeight="1" x14ac:dyDescent="0.45">
      <c r="B24" s="69" t="s">
        <v>174</v>
      </c>
      <c r="C24" s="59">
        <v>171.61</v>
      </c>
    </row>
    <row r="25" spans="1:16" ht="15" customHeight="1" x14ac:dyDescent="0.45">
      <c r="B25" s="69" t="s">
        <v>175</v>
      </c>
    </row>
    <row r="26" spans="1:16" ht="15" customHeight="1" x14ac:dyDescent="0.45">
      <c r="B26" s="69" t="s">
        <v>176</v>
      </c>
      <c r="C26" s="59">
        <v>62.56</v>
      </c>
    </row>
    <row r="27" spans="1:16" ht="15" customHeight="1" x14ac:dyDescent="0.45">
      <c r="B27" s="69" t="s">
        <v>177</v>
      </c>
      <c r="C27" s="60"/>
    </row>
    <row r="29" spans="1:16" ht="15" customHeight="1" x14ac:dyDescent="0.45">
      <c r="B29" s="69" t="s">
        <v>191</v>
      </c>
      <c r="C29" s="62"/>
    </row>
    <row r="30" spans="1:16" ht="15" customHeight="1" x14ac:dyDescent="0.45">
      <c r="D30" t="str">
        <f t="shared" ref="D30" ca="1" si="1">IF(ISBLANK(C30),"",_xlfn.FORMULATEXT(C30))</f>
        <v/>
      </c>
      <c r="P30" s="60"/>
    </row>
    <row r="40" spans="13:14" ht="15" customHeight="1" x14ac:dyDescent="0.45">
      <c r="M40" s="65"/>
      <c r="N40" s="65"/>
    </row>
    <row r="44" spans="13:14" ht="15" customHeight="1" x14ac:dyDescent="0.45">
      <c r="M44" s="65"/>
      <c r="N44" s="65"/>
    </row>
    <row r="50" spans="13:14" ht="15" customHeight="1" x14ac:dyDescent="0.45">
      <c r="M50" s="65"/>
      <c r="N50" s="65"/>
    </row>
    <row r="54" spans="13:14" ht="15" customHeight="1" x14ac:dyDescent="0.45">
      <c r="M54" s="67"/>
      <c r="N54" s="67"/>
    </row>
    <row r="57" spans="13:14" ht="15" customHeight="1" x14ac:dyDescent="0.45">
      <c r="M57" s="67"/>
      <c r="N57" s="67"/>
    </row>
    <row r="60" spans="13:14" ht="15" customHeight="1" x14ac:dyDescent="0.45">
      <c r="M60" s="65"/>
      <c r="N60" s="65"/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56" fitToHeight="0" orientation="landscape" cellComments="asDisplayed" horizontalDpi="2400" verticalDpi="2400" r:id="rId1"/>
  <headerFooter>
    <oddHeader xml:space="preserve">&amp;R&amp;10&amp;F 
&amp;A
</oddHeader>
    <oddFooter>&amp;L&amp;10© 2018&amp;C&amp;10Page &amp;P of &amp;N&amp;R&amp;G</oddFooter>
  </headerFooter>
  <rowBreaks count="3" manualBreakCount="3">
    <brk id="61" max="16383" man="1"/>
    <brk id="109" max="16383" man="1"/>
    <brk id="136" max="16383" man="1"/>
  </rowBreaks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93A9214-ED90-41D3-8610-6862103BFD02}">
  <ds:schemaRefs>
    <ds:schemaRef ds:uri="http://schemas.microsoft.com/office/2006/metadata/properties"/>
    <ds:schemaRef ds:uri="6ea4884f-dd23-4a9e-9674-e0962577458b"/>
    <ds:schemaRef ds:uri="http://www.w3.org/XML/1998/namespace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69eded41-6c5d-4718-b7b7-dbfd1652bccf"/>
    <ds:schemaRef ds:uri="http://purl.org/dc/terms/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993D1AD6-5C90-4382-828C-E3604FF39C6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3CCAEC3-8246-457D-9EA3-15880CA7141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9eded41-6c5d-4718-b7b7-dbfd1652bccf"/>
    <ds:schemaRef ds:uri="6ea4884f-dd23-4a9e-9674-e096257745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7</vt:i4>
      </vt:variant>
    </vt:vector>
  </HeadingPairs>
  <TitlesOfParts>
    <vt:vector size="12" baseType="lpstr">
      <vt:lpstr>Welcome</vt:lpstr>
      <vt:lpstr>Info</vt:lpstr>
      <vt:lpstr>Segments</vt:lpstr>
      <vt:lpstr>Model</vt:lpstr>
      <vt:lpstr>Valuation</vt:lpstr>
      <vt:lpstr>Model!Print_Area</vt:lpstr>
      <vt:lpstr>Segments!Print_Area</vt:lpstr>
      <vt:lpstr>Valuation!Print_Area</vt:lpstr>
      <vt:lpstr>Model!Print_Titles</vt:lpstr>
      <vt:lpstr>Segments!Print_Titles</vt:lpstr>
      <vt:lpstr>Valuation!Print_Titles</vt:lpstr>
      <vt:lpstr>switch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FE</dc:creator>
  <cp:keywords/>
  <dc:description/>
  <cp:lastModifiedBy>Sophie Harrup</cp:lastModifiedBy>
  <cp:revision/>
  <dcterms:created xsi:type="dcterms:W3CDTF">2016-02-03T14:06:14Z</dcterms:created>
  <dcterms:modified xsi:type="dcterms:W3CDTF">2025-05-30T09:20:23Z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