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9010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juan_cabrera_fe_training/Documents/FE/MatDev/Felix Recordings/2025 Felix Challenges/Felix M&amp;A Challenge/Video 6 - EPS Accretion/"/>
    </mc:Choice>
  </mc:AlternateContent>
  <xr:revisionPtr revIDLastSave="0" documentId="8_{30DA1810-012F-42AC-B700-A358C0601C79}" xr6:coauthVersionLast="47" xr6:coauthVersionMax="47" xr10:uidLastSave="{00000000-0000-0000-0000-000000000000}"/>
  <bookViews>
    <workbookView xWindow="-120" yWindow="-120" windowWidth="29040" windowHeight="16440" firstSheet="2" activeTab="2" xr2:uid="{00000000-000D-0000-FFFF-FFFF00000000}"/>
  </bookViews>
  <sheets>
    <sheet name="Welcome" sheetId="1" r:id="rId1"/>
    <sheet name="Info" sheetId="6" r:id="rId2"/>
    <sheet name="Activity" sheetId="2" r:id="rId3"/>
    <sheet name="Sheet1" sheetId="7" r:id="rId4"/>
  </sheets>
  <definedNames>
    <definedName name="_xlnm.Print_Area" localSheetId="2">Activity!$A$1:$O$32</definedName>
  </definedNames>
  <calcPr calcId="191028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96" i="2" l="1"/>
  <c r="C95" i="2"/>
  <c r="C93" i="2"/>
  <c r="C92" i="2"/>
  <c r="C91" i="2"/>
  <c r="C90" i="2"/>
  <c r="C89" i="2"/>
  <c r="C88" i="2"/>
  <c r="C87" i="2"/>
  <c r="C85" i="2"/>
  <c r="C84" i="2"/>
  <c r="C83" i="2"/>
  <c r="C82" i="2"/>
  <c r="C80" i="2"/>
  <c r="C78" i="2"/>
  <c r="C76" i="2"/>
  <c r="C64" i="2"/>
  <c r="C63" i="2"/>
  <c r="C74" i="2"/>
  <c r="C73" i="2"/>
  <c r="C71" i="2"/>
  <c r="C69" i="2"/>
  <c r="C68" i="2"/>
  <c r="C67" i="2"/>
  <c r="C66" i="2"/>
  <c r="C62" i="2"/>
  <c r="C59" i="2"/>
  <c r="C58" i="2"/>
  <c r="C57" i="2"/>
  <c r="C56" i="2"/>
  <c r="D60" i="2"/>
  <c r="D61" i="2"/>
  <c r="D65" i="2"/>
  <c r="D70" i="2"/>
  <c r="D75" i="2"/>
  <c r="D81" i="2"/>
  <c r="D94" i="2"/>
  <c r="C47" i="2"/>
  <c r="C37" i="2"/>
  <c r="G29" i="2"/>
  <c r="G28" i="2"/>
  <c r="G27" i="2"/>
  <c r="C30" i="2" s="1"/>
  <c r="C31" i="2" s="1"/>
  <c r="C32" i="2" s="1"/>
  <c r="C28" i="2"/>
  <c r="D15" i="2"/>
  <c r="C15" i="2"/>
  <c r="E7" i="2"/>
  <c r="E15" i="2" s="1"/>
  <c r="D96" i="2"/>
  <c r="D95" i="2"/>
  <c r="D93" i="2"/>
  <c r="D92" i="2"/>
  <c r="D91" i="2"/>
  <c r="D90" i="2"/>
  <c r="D89" i="2"/>
  <c r="D88" i="2"/>
  <c r="D87" i="2"/>
  <c r="D85" i="2"/>
  <c r="D84" i="2"/>
  <c r="D83" i="2"/>
  <c r="D82" i="2"/>
  <c r="D80" i="2"/>
  <c r="D78" i="2"/>
  <c r="D76" i="2"/>
  <c r="D64" i="2"/>
  <c r="D63" i="2"/>
  <c r="D74" i="2"/>
  <c r="D73" i="2"/>
  <c r="D71" i="2"/>
  <c r="D69" i="2"/>
  <c r="D68" i="2"/>
  <c r="D67" i="2"/>
  <c r="D66" i="2"/>
  <c r="D62" i="2"/>
  <c r="D59" i="2"/>
  <c r="D58" i="2"/>
  <c r="D57" i="2"/>
  <c r="D56" i="2"/>
  <c r="D47" i="2"/>
  <c r="D37" i="2"/>
  <c r="D32" i="2"/>
  <c r="D31" i="2"/>
  <c r="D30" i="2"/>
  <c r="H27" i="2"/>
  <c r="D28" i="2"/>
  <c r="F7" i="2" l="1"/>
  <c r="A1" i="2"/>
  <c r="G7" i="2" l="1"/>
  <c r="G15" i="2" s="1"/>
  <c r="F15" i="2"/>
  <c r="A7" i="1" l="1"/>
  <c r="A1" i="6" l="1"/>
</calcChain>
</file>

<file path=xl/sharedStrings.xml><?xml version="1.0" encoding="utf-8"?>
<sst xmlns="http://schemas.openxmlformats.org/spreadsheetml/2006/main" count="132" uniqueCount="105">
  <si>
    <t>Felix M&amp;A Challenge</t>
  </si>
  <si>
    <t>This document is for training purposes only. Financial Edge accepts no responsibility or liability for any other purpose or usage.</t>
  </si>
  <si>
    <t>Tryout Information</t>
  </si>
  <si>
    <t>Features</t>
  </si>
  <si>
    <t>Model Details</t>
  </si>
  <si>
    <t>◦</t>
  </si>
  <si>
    <t>Deal structuring</t>
  </si>
  <si>
    <t>Company name</t>
  </si>
  <si>
    <t>General Dynamics</t>
  </si>
  <si>
    <t>M&amp;A analysis</t>
  </si>
  <si>
    <t>Date</t>
  </si>
  <si>
    <t>Qualitative considerations</t>
  </si>
  <si>
    <t>Currency</t>
  </si>
  <si>
    <t>USD</t>
  </si>
  <si>
    <t>Units</t>
  </si>
  <si>
    <t>Millions</t>
  </si>
  <si>
    <t>Analyst Name</t>
  </si>
  <si>
    <t>Firstname Lastname</t>
  </si>
  <si>
    <t>Circular Switch</t>
  </si>
  <si>
    <t>Tab Structure</t>
  </si>
  <si>
    <t>Formatting</t>
  </si>
  <si>
    <t>Input</t>
  </si>
  <si>
    <t>Hard coded</t>
  </si>
  <si>
    <t>Formulas</t>
  </si>
  <si>
    <t>Consensus forecasts for General Dynamics and L3Harris Technologies</t>
  </si>
  <si>
    <t>General Dynamics Corp</t>
  </si>
  <si>
    <t>LTM</t>
  </si>
  <si>
    <t>Revenue</t>
  </si>
  <si>
    <t>Growth</t>
  </si>
  <si>
    <t>EBITDA</t>
  </si>
  <si>
    <t>Margin</t>
  </si>
  <si>
    <t>EPS</t>
  </si>
  <si>
    <t>L3Harris Technologies Inc</t>
  </si>
  <si>
    <t>Acquisition equity value and target net debt</t>
  </si>
  <si>
    <t xml:space="preserve">Acquisition equity value (M) </t>
  </si>
  <si>
    <t xml:space="preserve">Stock options and RSUs </t>
  </si>
  <si>
    <t>VWAP</t>
  </si>
  <si>
    <t>Amount</t>
  </si>
  <si>
    <t>Strike Price</t>
  </si>
  <si>
    <t>Dilution</t>
  </si>
  <si>
    <t>Acquisition Premium</t>
  </si>
  <si>
    <t>Acquisition Price</t>
  </si>
  <si>
    <t>Basic shares * (M)</t>
  </si>
  <si>
    <t>Dilution adjustment (M)</t>
  </si>
  <si>
    <t>Fully diluted shares out. (M)</t>
  </si>
  <si>
    <t xml:space="preserve">Net debt at acquisition (M) </t>
  </si>
  <si>
    <t>Debt financing (M)</t>
  </si>
  <si>
    <t>Short term financial assets and cash (M)</t>
  </si>
  <si>
    <t>Net debt (M)</t>
  </si>
  <si>
    <t xml:space="preserve">M&amp;A Assumptions </t>
  </si>
  <si>
    <t>Acquisition assumptions</t>
  </si>
  <si>
    <t>Fees % acquisition equity value</t>
  </si>
  <si>
    <t>Run rate synergies % LTM revenue</t>
  </si>
  <si>
    <t>Max net debt/ EBITDA</t>
  </si>
  <si>
    <t>Acquirer cash in balance sheet</t>
  </si>
  <si>
    <t>Minimum cash % LTM revenues</t>
  </si>
  <si>
    <t>Acquirer cash used for deal finance</t>
  </si>
  <si>
    <t>Acquirer cost of debt</t>
  </si>
  <si>
    <t>Target cost of debt</t>
  </si>
  <si>
    <t>Return on cash</t>
  </si>
  <si>
    <t>Tax rate</t>
  </si>
  <si>
    <t>M&amp;A Analysis</t>
  </si>
  <si>
    <t>Uses of funds</t>
  </si>
  <si>
    <t>Acquisition equity value</t>
  </si>
  <si>
    <t>Refinancing of target net debt</t>
  </si>
  <si>
    <t>Fees</t>
  </si>
  <si>
    <t>Total</t>
  </si>
  <si>
    <t>Sources of funds</t>
  </si>
  <si>
    <t>Acquirer cash</t>
  </si>
  <si>
    <t>Debt finance</t>
  </si>
  <si>
    <t>Equity finance</t>
  </si>
  <si>
    <t>Acquirer EBITDA (LTM)</t>
  </si>
  <si>
    <t>Target EBITDA (LTM)</t>
  </si>
  <si>
    <t>Run rate synergies</t>
  </si>
  <si>
    <t>Combined EBITDA</t>
  </si>
  <si>
    <t>Max combo net debt</t>
  </si>
  <si>
    <t>Existing acquirer debt</t>
  </si>
  <si>
    <t>Existing acquirer cash (excluding amounts used for acquisition)</t>
  </si>
  <si>
    <t>Additional debt financing</t>
  </si>
  <si>
    <t>Equity financing</t>
  </si>
  <si>
    <t>Acquirer share price</t>
  </si>
  <si>
    <t>New shares issued</t>
  </si>
  <si>
    <t>Existing diluted share count</t>
  </si>
  <si>
    <t>Pro forma share count</t>
  </si>
  <si>
    <t>Acquirer FY27 EPS</t>
  </si>
  <si>
    <t>Acquirer diluted share count</t>
  </si>
  <si>
    <t>Acquirer FY27 net income</t>
  </si>
  <si>
    <t>Target FY27 EPS</t>
  </si>
  <si>
    <t>Target diluted share count</t>
  </si>
  <si>
    <t>Target FY27 net income</t>
  </si>
  <si>
    <t>Combined net income</t>
  </si>
  <si>
    <t>Post-tax synergies</t>
  </si>
  <si>
    <t>Post-tax interest cost from acquisition debt finance</t>
  </si>
  <si>
    <t>Post-tax interest saving from target debt refinancing</t>
  </si>
  <si>
    <t>Post-tax interest lost on acquirer and target cash</t>
  </si>
  <si>
    <t>Consolidated net income</t>
  </si>
  <si>
    <t>Pro forma FY27 EPS</t>
  </si>
  <si>
    <t>EPS accretion/(dilution)</t>
  </si>
  <si>
    <t>End</t>
  </si>
  <si>
    <t>Earnings</t>
  </si>
  <si>
    <t>Dec'24a</t>
  </si>
  <si>
    <t>Mar LTM</t>
  </si>
  <si>
    <t>Dec'25e</t>
  </si>
  <si>
    <t>Dec'26e</t>
  </si>
  <si>
    <t>Dec'27e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</si>
</sst>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1" formatCode="_(* #,##0_);_(* \(#,##0\);_(* &quot;-&quot;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0.0"/>
    <numFmt numFmtId="168" formatCode="#,##0.0_);\(#,##0.0\)\,0.0_);@_)"/>
    <numFmt numFmtId="169" formatCode="#,##0.0\ \x_);\(#,##0.0\ \x\);"/>
    <numFmt numFmtId="170" formatCode="0.0%_);\(0.0%\)"/>
    <numFmt numFmtId="171" formatCode=";;;"/>
    <numFmt numFmtId="172" formatCode="#,##0.0_);\(#,##0.0\);0.0_);@_)"/>
    <numFmt numFmtId="173" formatCode="mmm\'yy&quot;a&quot;"/>
    <numFmt numFmtId="174" formatCode="mmm\'yy&quot;e&quot;"/>
    <numFmt numFmtId="175" formatCode="#,##0.0\x_);\(#,##0.0\x\)"/>
  </numFmts>
  <fonts count="34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1"/>
      <color rgb="FFFF0000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rgb="FFBBDEFB"/>
      </left>
      <right/>
      <top style="thin">
        <color rgb="FFBBDEFB"/>
      </top>
      <bottom style="thin">
        <color rgb="FFBBDEFB"/>
      </bottom>
      <diagonal/>
    </border>
    <border>
      <left/>
      <right/>
      <top style="thin">
        <color rgb="FFBBDEFB"/>
      </top>
      <bottom style="thin">
        <color rgb="FFBBDEFB"/>
      </bottom>
      <diagonal/>
    </border>
    <border>
      <left/>
      <right style="thin">
        <color rgb="FFBBDEFB"/>
      </right>
      <top style="thin">
        <color rgb="FFBBDEFB"/>
      </top>
      <bottom style="thin">
        <color rgb="FFBBDEFB"/>
      </bottom>
      <diagonal/>
    </border>
  </borders>
  <cellStyleXfs count="65">
    <xf numFmtId="172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6" fontId="28" fillId="3" borderId="0">
      <alignment horizontal="center"/>
    </xf>
    <xf numFmtId="168" fontId="27" fillId="2" borderId="0">
      <alignment horizontal="center"/>
    </xf>
    <xf numFmtId="168" fontId="3" fillId="0" borderId="0">
      <alignment vertical="top"/>
    </xf>
    <xf numFmtId="166" fontId="29" fillId="0" borderId="0" applyFont="0" applyFill="0" applyBorder="0" applyAlignment="0" applyProtection="0"/>
    <xf numFmtId="169" fontId="9" fillId="0" borderId="0" applyFont="0" applyFill="0" applyBorder="0" applyAlignment="0" applyProtection="0"/>
    <xf numFmtId="170" fontId="29" fillId="2" borderId="0" applyFont="0" applyFill="0" applyBorder="0" applyAlignment="0" applyProtection="0"/>
    <xf numFmtId="168" fontId="30" fillId="2" borderId="0" applyNumberFormat="0" applyFill="0" applyBorder="0" applyAlignment="0" applyProtection="0"/>
    <xf numFmtId="168" fontId="31" fillId="0" borderId="0" applyNumberFormat="0" applyFill="0" applyBorder="0" applyAlignment="0">
      <alignment vertical="top"/>
    </xf>
    <xf numFmtId="171" fontId="29" fillId="2" borderId="0" applyFont="0" applyFill="0" applyBorder="0" applyAlignment="0" applyProtection="0"/>
    <xf numFmtId="169" fontId="30" fillId="37" borderId="11" applyNumberFormat="0">
      <protection locked="0"/>
    </xf>
    <xf numFmtId="0" fontId="2" fillId="5" borderId="12" applyFont="0" applyAlignment="0" applyProtection="0">
      <alignment vertical="top"/>
    </xf>
    <xf numFmtId="168" fontId="32" fillId="3" borderId="0" applyNumberFormat="0" applyBorder="0">
      <alignment horizontal="center" vertical="top"/>
    </xf>
    <xf numFmtId="168" fontId="3" fillId="38" borderId="0" applyNumberFormat="0" applyFont="0" applyBorder="0" applyAlignment="0" applyProtection="0">
      <alignment vertical="top"/>
    </xf>
  </cellStyleXfs>
  <cellXfs count="90">
    <xf numFmtId="172" fontId="0" fillId="0" borderId="0" xfId="0"/>
    <xf numFmtId="172" fontId="2" fillId="5" borderId="0" xfId="0" applyFont="1" applyFill="1"/>
    <xf numFmtId="172" fontId="2" fillId="4" borderId="0" xfId="0" applyFont="1" applyFill="1"/>
    <xf numFmtId="172" fontId="2" fillId="5" borderId="0" xfId="0" applyFont="1" applyFill="1" applyAlignment="1">
      <alignment vertical="top" wrapText="1"/>
    </xf>
    <xf numFmtId="172" fontId="2" fillId="5" borderId="1" xfId="0" applyFont="1" applyFill="1" applyBorder="1" applyAlignment="1">
      <alignment vertical="top"/>
    </xf>
    <xf numFmtId="168" fontId="32" fillId="2" borderId="0" xfId="48" applyNumberFormat="1">
      <alignment horizontal="left"/>
    </xf>
    <xf numFmtId="172" fontId="25" fillId="2" borderId="0" xfId="0" applyFont="1" applyFill="1"/>
    <xf numFmtId="172" fontId="26" fillId="3" borderId="0" xfId="0" applyFont="1" applyFill="1"/>
    <xf numFmtId="172" fontId="3" fillId="5" borderId="0" xfId="0" applyFont="1" applyFill="1" applyAlignment="1">
      <alignment horizontal="center" vertical="top"/>
    </xf>
    <xf numFmtId="172" fontId="3" fillId="5" borderId="0" xfId="0" applyFont="1" applyFill="1" applyAlignment="1">
      <alignment vertical="top"/>
    </xf>
    <xf numFmtId="172" fontId="25" fillId="2" borderId="0" xfId="0" applyFont="1" applyFill="1" applyAlignment="1">
      <alignment vertical="center"/>
    </xf>
    <xf numFmtId="166" fontId="28" fillId="3" borderId="0" xfId="52">
      <alignment horizontal="center"/>
    </xf>
    <xf numFmtId="168" fontId="27" fillId="2" borderId="0" xfId="53">
      <alignment horizontal="center"/>
    </xf>
    <xf numFmtId="168" fontId="32" fillId="2" borderId="0" xfId="48" applyNumberFormat="1" applyAlignment="1"/>
    <xf numFmtId="168" fontId="8" fillId="3" borderId="0" xfId="49" applyNumberFormat="1" applyAlignment="1"/>
    <xf numFmtId="168" fontId="4" fillId="0" borderId="0" xfId="50" applyNumberFormat="1">
      <alignment horizontal="left" vertical="center"/>
    </xf>
    <xf numFmtId="168" fontId="3" fillId="0" borderId="0" xfId="54">
      <alignment vertical="top"/>
    </xf>
    <xf numFmtId="172" fontId="2" fillId="5" borderId="0" xfId="0" applyFont="1" applyFill="1" applyAlignment="1">
      <alignment horizontal="left" vertical="top"/>
    </xf>
    <xf numFmtId="172" fontId="2" fillId="5" borderId="0" xfId="0" applyFont="1" applyFill="1" applyAlignment="1">
      <alignment vertical="top"/>
    </xf>
    <xf numFmtId="172" fontId="2" fillId="0" borderId="0" xfId="0" applyFont="1" applyAlignment="1">
      <alignment vertical="top" wrapText="1"/>
    </xf>
    <xf numFmtId="172" fontId="3" fillId="0" borderId="0" xfId="0" applyFont="1" applyAlignment="1">
      <alignment vertical="top"/>
    </xf>
    <xf numFmtId="172" fontId="2" fillId="0" borderId="0" xfId="0" applyFont="1" applyAlignment="1">
      <alignment horizontal="left" wrapText="1"/>
    </xf>
    <xf numFmtId="172" fontId="2" fillId="0" borderId="0" xfId="0" applyFont="1" applyAlignment="1">
      <alignment vertical="top"/>
    </xf>
    <xf numFmtId="172" fontId="2" fillId="0" borderId="0" xfId="0" applyFont="1"/>
    <xf numFmtId="172" fontId="4" fillId="0" borderId="0" xfId="0" applyFont="1" applyAlignment="1">
      <alignment vertical="center"/>
    </xf>
    <xf numFmtId="172" fontId="5" fillId="0" borderId="0" xfId="0" applyFont="1" applyAlignment="1">
      <alignment vertical="center" wrapText="1"/>
    </xf>
    <xf numFmtId="172" fontId="2" fillId="0" borderId="0" xfId="0" applyFont="1" applyAlignment="1">
      <alignment horizontal="left" vertical="top"/>
    </xf>
    <xf numFmtId="172" fontId="3" fillId="0" borderId="0" xfId="0" applyFont="1" applyAlignment="1">
      <alignment horizontal="center" vertical="top"/>
    </xf>
    <xf numFmtId="172" fontId="7" fillId="0" borderId="0" xfId="0" applyFont="1" applyAlignment="1">
      <alignment vertical="center" wrapText="1"/>
    </xf>
    <xf numFmtId="166" fontId="2" fillId="0" borderId="0" xfId="0" applyNumberFormat="1" applyFont="1" applyAlignment="1">
      <alignment horizontal="left"/>
    </xf>
    <xf numFmtId="172" fontId="2" fillId="0" borderId="0" xfId="0" applyFont="1" applyAlignment="1">
      <alignment horizontal="left"/>
    </xf>
    <xf numFmtId="167" fontId="2" fillId="0" borderId="0" xfId="0" applyNumberFormat="1" applyFont="1" applyAlignment="1">
      <alignment horizontal="left"/>
    </xf>
    <xf numFmtId="172" fontId="3" fillId="0" borderId="0" xfId="0" applyFont="1" applyAlignment="1">
      <alignment horizontal="left" vertical="top"/>
    </xf>
    <xf numFmtId="172" fontId="3" fillId="0" borderId="0" xfId="0" applyFont="1"/>
    <xf numFmtId="172" fontId="25" fillId="0" borderId="0" xfId="0" applyFont="1"/>
    <xf numFmtId="172" fontId="26" fillId="0" borderId="0" xfId="0" applyFont="1"/>
    <xf numFmtId="168" fontId="30" fillId="0" borderId="0" xfId="58" applyFill="1" applyBorder="1" applyAlignment="1">
      <alignment vertical="top"/>
    </xf>
    <xf numFmtId="168" fontId="2" fillId="5" borderId="0" xfId="51" applyNumberFormat="1" applyFont="1" applyAlignment="1">
      <alignment horizontal="left" vertical="top"/>
    </xf>
    <xf numFmtId="168" fontId="3" fillId="5" borderId="0" xfId="51" applyNumberFormat="1" applyFont="1" applyAlignment="1">
      <alignment horizontal="center" vertical="top"/>
    </xf>
    <xf numFmtId="168" fontId="2" fillId="5" borderId="0" xfId="51" applyNumberFormat="1" applyFont="1" applyAlignment="1"/>
    <xf numFmtId="168" fontId="5" fillId="5" borderId="0" xfId="51" applyNumberFormat="1" applyFont="1" applyAlignment="1">
      <alignment vertical="center" wrapText="1"/>
    </xf>
    <xf numFmtId="168" fontId="2" fillId="5" borderId="0" xfId="51" applyNumberFormat="1" applyFont="1" applyAlignment="1">
      <alignment vertical="top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2" fontId="25" fillId="0" borderId="0" xfId="0" applyFont="1" applyAlignment="1">
      <alignment vertical="center"/>
    </xf>
    <xf numFmtId="168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68" fontId="30" fillId="37" borderId="11" xfId="61" applyNumberFormat="1">
      <protection locked="0"/>
    </xf>
    <xf numFmtId="168" fontId="2" fillId="0" borderId="0" xfId="51" applyNumberFormat="1" applyFont="1" applyFill="1" applyAlignment="1"/>
    <xf numFmtId="0" fontId="2" fillId="0" borderId="0" xfId="62" applyFont="1" applyFill="1" applyBorder="1" applyAlignment="1"/>
    <xf numFmtId="172" fontId="0" fillId="5" borderId="0" xfId="51" applyNumberFormat="1" applyFont="1" applyAlignment="1"/>
    <xf numFmtId="172" fontId="2" fillId="5" borderId="0" xfId="51" applyNumberFormat="1" applyFont="1" applyAlignment="1">
      <alignment vertical="top"/>
    </xf>
    <xf numFmtId="0" fontId="0" fillId="5" borderId="12" xfId="62" applyFont="1" applyAlignment="1"/>
    <xf numFmtId="172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0" fontId="0" fillId="0" borderId="0" xfId="57" applyFont="1" applyFill="1"/>
    <xf numFmtId="168" fontId="33" fillId="0" borderId="0" xfId="54" applyFont="1">
      <alignment vertical="top"/>
    </xf>
    <xf numFmtId="168" fontId="27" fillId="2" borderId="0" xfId="53" applyAlignment="1">
      <alignment horizontal="left"/>
    </xf>
    <xf numFmtId="172" fontId="33" fillId="0" borderId="0" xfId="0" applyFont="1"/>
    <xf numFmtId="49" fontId="30" fillId="37" borderId="13" xfId="61" applyNumberFormat="1" applyBorder="1" applyAlignment="1">
      <alignment horizontal="left"/>
      <protection locked="0"/>
    </xf>
    <xf numFmtId="49" fontId="30" fillId="37" borderId="14" xfId="61" applyNumberFormat="1" applyBorder="1" applyAlignment="1">
      <alignment horizontal="left"/>
      <protection locked="0"/>
    </xf>
    <xf numFmtId="49" fontId="30" fillId="37" borderId="15" xfId="61" applyNumberFormat="1" applyBorder="1" applyAlignment="1">
      <alignment horizontal="left"/>
      <protection locked="0"/>
    </xf>
    <xf numFmtId="172" fontId="30" fillId="39" borderId="11" xfId="61" applyNumberFormat="1" applyFill="1">
      <protection locked="0"/>
    </xf>
    <xf numFmtId="170" fontId="30" fillId="39" borderId="11" xfId="61" applyNumberFormat="1" applyFill="1">
      <protection locked="0"/>
    </xf>
    <xf numFmtId="170" fontId="30" fillId="39" borderId="11" xfId="57" applyFont="1" applyFill="1" applyBorder="1" applyProtection="1">
      <protection locked="0"/>
    </xf>
    <xf numFmtId="168" fontId="30" fillId="39" borderId="11" xfId="61" applyNumberFormat="1" applyFill="1">
      <protection locked="0"/>
    </xf>
    <xf numFmtId="170" fontId="30" fillId="37" borderId="11" xfId="61" applyNumberFormat="1">
      <protection locked="0"/>
    </xf>
    <xf numFmtId="173" fontId="27" fillId="2" borderId="0" xfId="53" applyNumberFormat="1">
      <alignment horizontal="center"/>
    </xf>
    <xf numFmtId="174" fontId="27" fillId="2" borderId="0" xfId="53" applyNumberFormat="1">
      <alignment horizontal="center"/>
    </xf>
    <xf numFmtId="175" fontId="30" fillId="37" borderId="11" xfId="61" applyNumberFormat="1">
      <protection locked="0"/>
    </xf>
    <xf numFmtId="168" fontId="32" fillId="2" borderId="0" xfId="48" applyNumberFormat="1" applyAlignment="1">
      <alignment horizontal="center"/>
    </xf>
    <xf numFmtId="172" fontId="5" fillId="0" borderId="0" xfId="0" applyFont="1" applyAlignment="1">
      <alignment horizontal="center" vertical="center" wrapText="1"/>
    </xf>
    <xf numFmtId="168" fontId="2" fillId="5" borderId="0" xfId="51" applyNumberFormat="1" applyFont="1" applyAlignment="1">
      <alignment horizontal="left" vertical="top"/>
    </xf>
    <xf numFmtId="168" fontId="32" fillId="3" borderId="0" xfId="49" applyNumberFormat="1" applyFont="1" applyAlignment="1">
      <alignment horizontal="center" vertical="center"/>
    </xf>
    <xf numFmtId="168" fontId="31" fillId="5" borderId="0" xfId="59" applyNumberFormat="1" applyFill="1" applyBorder="1" applyAlignment="1">
      <alignment horizontal="center" vertical="center" wrapText="1"/>
    </xf>
    <xf numFmtId="172" fontId="7" fillId="0" borderId="0" xfId="0" applyFont="1" applyAlignment="1">
      <alignment horizontal="center" vertical="center" wrapText="1"/>
    </xf>
    <xf numFmtId="172" fontId="0" fillId="5" borderId="0" xfId="51" applyNumberFormat="1" applyFont="1" applyAlignment="1">
      <alignment horizontal="left"/>
    </xf>
    <xf numFmtId="172" fontId="4" fillId="5" borderId="0" xfId="0" applyFont="1" applyFill="1" applyAlignment="1">
      <alignment horizontal="left" vertical="center"/>
    </xf>
    <xf numFmtId="168" fontId="2" fillId="5" borderId="0" xfId="51" applyNumberFormat="1" applyFont="1" applyAlignment="1">
      <alignment horizontal="left"/>
    </xf>
    <xf numFmtId="166" fontId="2" fillId="5" borderId="0" xfId="51" applyNumberFormat="1" applyFont="1" applyAlignment="1">
      <alignment horizontal="left"/>
    </xf>
    <xf numFmtId="167" fontId="2" fillId="5" borderId="0" xfId="51" applyNumberFormat="1" applyFont="1" applyAlignment="1">
      <alignment horizontal="left"/>
    </xf>
    <xf numFmtId="49" fontId="30" fillId="37" borderId="13" xfId="61" applyNumberFormat="1" applyBorder="1" applyAlignment="1">
      <alignment horizontal="left"/>
      <protection locked="0"/>
    </xf>
    <xf numFmtId="49" fontId="30" fillId="37" borderId="14" xfId="61" applyNumberFormat="1" applyBorder="1" applyAlignment="1">
      <alignment horizontal="left"/>
      <protection locked="0"/>
    </xf>
    <xf numFmtId="49" fontId="30" fillId="37" borderId="15" xfId="61" applyNumberFormat="1" applyBorder="1" applyAlignment="1">
      <alignment horizontal="left"/>
      <protection locked="0"/>
    </xf>
    <xf numFmtId="172" fontId="4" fillId="5" borderId="0" xfId="50" applyNumberFormat="1" applyFill="1" applyAlignment="1">
      <alignment horizontal="left" vertical="center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160488</xdr:colOff>
      <xdr:row>0</xdr:row>
      <xdr:rowOff>465365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8"/>
  <sheetViews>
    <sheetView showGridLines="0" zoomScaleNormal="100" workbookViewId="0">
      <selection sqref="A1:N1"/>
    </sheetView>
  </sheetViews>
  <sheetFormatPr defaultColWidth="9" defaultRowHeight="15"/>
  <cols>
    <col min="1" max="1" width="9.7109375" customWidth="1"/>
    <col min="2" max="13" width="9.140625" customWidth="1"/>
    <col min="14" max="14" width="9.7109375" customWidth="1"/>
    <col min="15" max="26" width="9" customWidth="1"/>
  </cols>
  <sheetData>
    <row r="1" spans="1:14" s="34" customFormat="1" ht="189.75" customHeight="1">
      <c r="A1" s="75"/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</row>
    <row r="2" spans="1:14" s="22" customFormat="1" ht="75" customHeight="1">
      <c r="A2" s="78" t="s">
        <v>0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</row>
    <row r="3" spans="1:14" s="23" customFormat="1" ht="7.5" customHeight="1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>
      <c r="A4" s="37"/>
      <c r="B4" s="38"/>
      <c r="C4" s="77"/>
      <c r="D4" s="77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>
      <c r="A5" s="79" t="s">
        <v>1</v>
      </c>
      <c r="B5" s="79"/>
      <c r="C5" s="79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</row>
    <row r="6" spans="1:14" s="23" customFormat="1" ht="15" customHeight="1">
      <c r="A6" s="79"/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</row>
    <row r="7" spans="1:14" s="23" customFormat="1" ht="15" customHeight="1">
      <c r="A7" s="79" t="str">
        <f ca="1">"© "&amp;YEAR(TODAY())&amp;" Financial Edge Training "</f>
        <v xml:space="preserve">© 2025 Financial Edge Training </v>
      </c>
      <c r="B7" s="79"/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</row>
    <row r="8" spans="1:14" s="23" customFormat="1" ht="15" customHeight="1" thickBot="1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>
      <c r="F9" s="28"/>
      <c r="G9" s="80"/>
      <c r="H9" s="80"/>
      <c r="I9" s="80"/>
      <c r="J9" s="80"/>
      <c r="K9" s="28"/>
    </row>
    <row r="10" spans="1:14" s="23" customFormat="1" ht="15" customHeight="1">
      <c r="B10" s="24"/>
      <c r="C10" s="24"/>
      <c r="F10" s="28"/>
      <c r="G10" s="80"/>
      <c r="H10" s="80"/>
      <c r="I10" s="80"/>
      <c r="J10" s="80"/>
      <c r="K10" s="28"/>
    </row>
    <row r="11" spans="1:14" s="23" customFormat="1" ht="15" customHeight="1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>
      <c r="A12" s="26"/>
      <c r="B12" s="20"/>
      <c r="C12" s="20"/>
      <c r="D12" s="29"/>
      <c r="F12" s="25"/>
      <c r="G12" s="76"/>
      <c r="H12" s="76"/>
      <c r="I12" s="76"/>
      <c r="J12" s="76"/>
      <c r="K12" s="25"/>
    </row>
    <row r="13" spans="1:14" s="23" customFormat="1" ht="15" customHeight="1">
      <c r="A13" s="19"/>
      <c r="B13" s="20"/>
      <c r="C13" s="20"/>
      <c r="D13" s="30"/>
      <c r="F13" s="25"/>
      <c r="G13" s="76"/>
      <c r="H13" s="76"/>
      <c r="I13" s="76"/>
      <c r="J13" s="76"/>
      <c r="K13" s="25"/>
    </row>
    <row r="14" spans="1:14" s="23" customFormat="1" ht="15" customHeight="1">
      <c r="A14" s="22"/>
      <c r="B14" s="20"/>
      <c r="C14" s="20"/>
      <c r="D14" s="30"/>
      <c r="F14" s="25"/>
      <c r="G14" s="76"/>
      <c r="H14" s="76"/>
      <c r="I14" s="76"/>
      <c r="J14" s="76"/>
      <c r="K14" s="25"/>
    </row>
    <row r="15" spans="1:14" s="23" customFormat="1" ht="15" customHeight="1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>
      <c r="A16" s="22"/>
      <c r="B16" s="20"/>
      <c r="C16" s="20"/>
      <c r="D16" s="31"/>
      <c r="F16" s="25"/>
      <c r="G16" s="76"/>
      <c r="H16" s="76"/>
      <c r="I16" s="76"/>
      <c r="J16" s="76"/>
      <c r="K16" s="25"/>
    </row>
    <row r="17" spans="1:11" s="23" customFormat="1" ht="15" customHeight="1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20"/>
  <sheetViews>
    <sheetView showGridLines="0" zoomScaleNormal="100" workbookViewId="0"/>
  </sheetViews>
  <sheetFormatPr defaultColWidth="9" defaultRowHeight="15"/>
  <cols>
    <col min="1" max="1" width="1.28515625" customWidth="1"/>
    <col min="2" max="2" width="2.7109375" customWidth="1"/>
    <col min="3" max="3" width="13.140625" customWidth="1"/>
    <col min="4" max="4" width="2.7109375" customWidth="1"/>
    <col min="5" max="7" width="1.28515625" customWidth="1"/>
    <col min="8" max="8" width="2.7109375" customWidth="1"/>
    <col min="9" max="9" width="42.7109375" customWidth="1"/>
    <col min="10" max="11" width="1.28515625" customWidth="1"/>
    <col min="12" max="12" width="15.5703125" bestFit="1" customWidth="1"/>
    <col min="13" max="14" width="1.28515625" customWidth="1"/>
    <col min="15" max="15" width="2.7109375" customWidth="1"/>
    <col min="16" max="16" width="32.5703125" customWidth="1"/>
    <col min="17" max="17" width="2.7109375" customWidth="1"/>
    <col min="18" max="18" width="1.28515625" customWidth="1"/>
    <col min="23" max="23" width="17.7109375" bestFit="1" customWidth="1"/>
  </cols>
  <sheetData>
    <row r="1" spans="1:18" s="34" customFormat="1" ht="45" customHeight="1">
      <c r="A1" s="13" t="str">
        <f>Welcome!A2</f>
        <v>Felix M&amp;A Challenge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5" customFormat="1" ht="30" customHeight="1">
      <c r="A2" s="14" t="s">
        <v>2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/>
    <row r="4" spans="1:18" s="2" customFormat="1" ht="22.5" customHeight="1">
      <c r="A4" s="1"/>
      <c r="B4" s="82" t="s">
        <v>3</v>
      </c>
      <c r="C4" s="82"/>
      <c r="D4" s="82"/>
      <c r="E4" s="82"/>
      <c r="F4" s="82"/>
      <c r="G4" s="82"/>
      <c r="H4" s="82"/>
      <c r="I4" s="82"/>
      <c r="K4" s="1"/>
      <c r="L4" s="82" t="s">
        <v>4</v>
      </c>
      <c r="M4" s="82"/>
      <c r="N4" s="82"/>
      <c r="O4" s="82"/>
      <c r="P4" s="82"/>
      <c r="Q4" s="40"/>
      <c r="R4" s="40"/>
    </row>
    <row r="5" spans="1:18" s="2" customFormat="1" ht="15" customHeight="1">
      <c r="A5" s="17"/>
      <c r="B5" s="8" t="s">
        <v>5</v>
      </c>
      <c r="C5" s="18" t="s">
        <v>6</v>
      </c>
      <c r="D5" s="18"/>
      <c r="E5" s="18"/>
      <c r="F5" s="18"/>
      <c r="G5" s="18"/>
      <c r="H5" s="18"/>
      <c r="I5" s="18"/>
      <c r="K5" s="1"/>
      <c r="L5" s="9" t="s">
        <v>7</v>
      </c>
      <c r="M5" s="9"/>
      <c r="N5" s="83" t="s">
        <v>8</v>
      </c>
      <c r="O5" s="83"/>
      <c r="P5" s="83"/>
      <c r="Q5" s="83"/>
      <c r="R5" s="40"/>
    </row>
    <row r="6" spans="1:18" s="2" customFormat="1" ht="15" customHeight="1">
      <c r="A6" s="3"/>
      <c r="B6" s="8" t="s">
        <v>5</v>
      </c>
      <c r="C6" s="39" t="s">
        <v>9</v>
      </c>
      <c r="D6" s="18"/>
      <c r="E6" s="18"/>
      <c r="F6" s="18"/>
      <c r="G6" s="18"/>
      <c r="H6" s="18"/>
      <c r="I6" s="18"/>
      <c r="K6" s="17"/>
      <c r="L6" s="9" t="s">
        <v>10</v>
      </c>
      <c r="M6" s="9"/>
      <c r="N6" s="84">
        <v>45382</v>
      </c>
      <c r="O6" s="84"/>
      <c r="P6" s="84"/>
      <c r="Q6" s="84"/>
      <c r="R6" s="40"/>
    </row>
    <row r="7" spans="1:18" s="2" customFormat="1" ht="15" customHeight="1">
      <c r="A7" s="18"/>
      <c r="B7" s="8" t="s">
        <v>5</v>
      </c>
      <c r="C7" s="39" t="s">
        <v>11</v>
      </c>
      <c r="D7" s="18"/>
      <c r="E7" s="18"/>
      <c r="F7" s="18"/>
      <c r="G7" s="18"/>
      <c r="H7" s="18"/>
      <c r="I7" s="18"/>
      <c r="K7" s="3"/>
      <c r="L7" s="9" t="s">
        <v>12</v>
      </c>
      <c r="M7" s="9"/>
      <c r="N7" s="83" t="s">
        <v>13</v>
      </c>
      <c r="O7" s="83"/>
      <c r="P7" s="83"/>
      <c r="Q7" s="83"/>
      <c r="R7" s="40"/>
    </row>
    <row r="8" spans="1:18" s="2" customFormat="1" ht="15" customHeight="1">
      <c r="A8" s="18"/>
      <c r="B8" s="8"/>
      <c r="C8" s="39"/>
      <c r="D8" s="18"/>
      <c r="E8" s="18"/>
      <c r="F8" s="18"/>
      <c r="G8" s="18"/>
      <c r="H8" s="18"/>
      <c r="I8" s="18"/>
      <c r="K8" s="18"/>
      <c r="L8" s="9" t="s">
        <v>14</v>
      </c>
      <c r="M8" s="9"/>
      <c r="N8" s="83" t="s">
        <v>15</v>
      </c>
      <c r="O8" s="83"/>
      <c r="P8" s="83"/>
      <c r="Q8" s="83"/>
      <c r="R8" s="40"/>
    </row>
    <row r="9" spans="1:18" s="2" customFormat="1" ht="15" customHeight="1">
      <c r="A9" s="41"/>
      <c r="B9" s="8"/>
      <c r="C9" s="39"/>
      <c r="D9" s="41"/>
      <c r="E9" s="41"/>
      <c r="F9" s="41"/>
      <c r="G9" s="41"/>
      <c r="H9" s="41"/>
      <c r="I9" s="41"/>
      <c r="K9" s="18"/>
      <c r="L9" s="9" t="s">
        <v>16</v>
      </c>
      <c r="M9" s="9"/>
      <c r="N9" s="83" t="s">
        <v>17</v>
      </c>
      <c r="O9" s="83"/>
      <c r="P9" s="83"/>
      <c r="Q9" s="83"/>
      <c r="R9" s="40"/>
    </row>
    <row r="10" spans="1:18" s="2" customFormat="1" ht="15" customHeight="1">
      <c r="A10" s="39"/>
      <c r="B10" s="8"/>
      <c r="C10" s="39"/>
      <c r="D10" s="39"/>
      <c r="E10" s="39"/>
      <c r="F10" s="39"/>
      <c r="G10" s="39"/>
      <c r="H10" s="39"/>
      <c r="I10" s="39"/>
      <c r="K10" s="18"/>
      <c r="L10" s="9" t="s">
        <v>18</v>
      </c>
      <c r="M10" s="9"/>
      <c r="N10" s="85">
        <v>0</v>
      </c>
      <c r="O10" s="85"/>
      <c r="P10" s="85"/>
      <c r="Q10" s="85"/>
      <c r="R10" s="47"/>
    </row>
    <row r="11" spans="1:18" s="2" customFormat="1" ht="15" customHeight="1" thickBot="1">
      <c r="A11" s="44"/>
      <c r="B11" s="44"/>
      <c r="C11" s="44"/>
      <c r="D11" s="44"/>
      <c r="E11" s="44"/>
      <c r="F11" s="44"/>
      <c r="G11" s="44"/>
      <c r="H11" s="44"/>
      <c r="I11" s="44"/>
      <c r="K11" s="4"/>
      <c r="L11" s="59"/>
      <c r="M11" s="59"/>
      <c r="N11" s="48"/>
      <c r="O11" s="49"/>
      <c r="P11" s="49"/>
      <c r="Q11" s="50"/>
      <c r="R11" s="51"/>
    </row>
    <row r="12" spans="1:18" s="2" customFormat="1" ht="7.5" customHeight="1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>
      <c r="A13" s="55"/>
      <c r="B13" s="89" t="s">
        <v>19</v>
      </c>
      <c r="C13" s="89"/>
      <c r="D13" s="89"/>
      <c r="E13" s="89"/>
      <c r="F13" s="89"/>
      <c r="G13" s="89"/>
      <c r="H13" s="89"/>
      <c r="I13" s="89"/>
      <c r="J13" s="89"/>
      <c r="K13" s="89"/>
      <c r="L13" s="89"/>
      <c r="N13" s="1"/>
      <c r="O13" s="82" t="s">
        <v>20</v>
      </c>
      <c r="P13" s="82"/>
      <c r="Q13" s="82"/>
      <c r="R13" s="58"/>
    </row>
    <row r="14" spans="1:18" s="2" customFormat="1" ht="15" customHeight="1">
      <c r="A14" s="56"/>
      <c r="B14" s="81"/>
      <c r="C14" s="81"/>
      <c r="D14" s="81"/>
      <c r="E14" s="81"/>
      <c r="F14" s="81"/>
      <c r="G14" s="81"/>
      <c r="H14" s="81"/>
      <c r="I14" s="81"/>
      <c r="J14" s="81"/>
      <c r="K14" s="81"/>
      <c r="L14" s="81"/>
      <c r="N14" s="17"/>
      <c r="O14" s="27"/>
      <c r="P14" s="22"/>
      <c r="Q14" s="22"/>
      <c r="R14" s="56"/>
    </row>
    <row r="15" spans="1:18" s="2" customFormat="1" ht="15" customHeight="1">
      <c r="A15" s="56"/>
      <c r="B15" s="81"/>
      <c r="C15" s="81"/>
      <c r="D15" s="81"/>
      <c r="E15" s="81"/>
      <c r="F15" s="81"/>
      <c r="G15" s="81"/>
      <c r="H15" s="81"/>
      <c r="I15" s="81"/>
      <c r="J15" s="81"/>
      <c r="K15" s="81"/>
      <c r="L15" s="81"/>
      <c r="N15" s="3"/>
      <c r="O15" s="27"/>
      <c r="P15" s="52" t="s">
        <v>21</v>
      </c>
      <c r="Q15" s="22"/>
      <c r="R15" s="56"/>
    </row>
    <row r="16" spans="1:18" s="2" customFormat="1" ht="15" customHeight="1">
      <c r="A16" s="56"/>
      <c r="B16" s="81"/>
      <c r="C16" s="81"/>
      <c r="D16" s="81"/>
      <c r="E16" s="81"/>
      <c r="F16" s="81"/>
      <c r="G16" s="81"/>
      <c r="H16" s="81"/>
      <c r="I16" s="81"/>
      <c r="J16" s="81"/>
      <c r="K16" s="81"/>
      <c r="L16" s="81"/>
      <c r="N16" s="18"/>
      <c r="O16" s="27"/>
      <c r="P16" s="36" t="s">
        <v>22</v>
      </c>
      <c r="Q16" s="22"/>
      <c r="R16" s="56"/>
    </row>
    <row r="17" spans="1:18" s="2" customFormat="1" ht="15" customHeight="1">
      <c r="A17" s="56"/>
      <c r="B17" s="81"/>
      <c r="C17" s="81"/>
      <c r="D17" s="81"/>
      <c r="E17" s="81"/>
      <c r="F17" s="81"/>
      <c r="G17" s="81"/>
      <c r="H17" s="81"/>
      <c r="I17" s="81"/>
      <c r="J17" s="81"/>
      <c r="K17" s="81"/>
      <c r="L17" s="81"/>
      <c r="N17" s="18"/>
      <c r="O17" s="27"/>
      <c r="P17" t="s">
        <v>23</v>
      </c>
      <c r="Q17" s="22"/>
      <c r="R17" s="56"/>
    </row>
    <row r="18" spans="1:18" s="2" customFormat="1" ht="15" customHeight="1">
      <c r="A18" s="39"/>
      <c r="B18" s="81"/>
      <c r="C18" s="81"/>
      <c r="D18" s="81"/>
      <c r="E18" s="81"/>
      <c r="F18" s="81"/>
      <c r="G18" s="81"/>
      <c r="H18" s="81"/>
      <c r="I18" s="81"/>
      <c r="J18" s="81"/>
      <c r="K18" s="81"/>
      <c r="L18" s="81"/>
      <c r="N18" s="39"/>
      <c r="O18" s="53"/>
      <c r="P18" s="53"/>
      <c r="Q18" s="53"/>
      <c r="R18" s="39"/>
    </row>
    <row r="19" spans="1:18" ht="15.75" thickBot="1">
      <c r="A19" s="44"/>
      <c r="B19" s="44"/>
      <c r="C19" s="44"/>
      <c r="D19" s="57"/>
      <c r="E19" s="57"/>
      <c r="F19" s="57"/>
      <c r="G19" s="57"/>
      <c r="H19" s="57"/>
      <c r="I19" s="57"/>
      <c r="J19" s="57"/>
      <c r="K19" s="57"/>
      <c r="L19" s="57"/>
      <c r="N19" s="44"/>
      <c r="O19" s="44"/>
      <c r="P19" s="44"/>
      <c r="Q19" s="44"/>
      <c r="R19" s="44"/>
    </row>
    <row r="20" spans="1:18">
      <c r="Q20" s="54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P109"/>
  <sheetViews>
    <sheetView tabSelected="1" topLeftCell="A69" zoomScale="130" zoomScaleNormal="130" workbookViewId="0">
      <selection activeCell="C96" sqref="C96"/>
    </sheetView>
  </sheetViews>
  <sheetFormatPr defaultColWidth="9" defaultRowHeight="15" customHeight="1"/>
  <cols>
    <col min="1" max="1" width="1.28515625" style="15" customWidth="1"/>
    <col min="2" max="2" width="57.140625" style="16" customWidth="1"/>
    <col min="3" max="5" width="18.140625" customWidth="1"/>
    <col min="6" max="7" width="20.28515625" customWidth="1"/>
    <col min="8" max="8" width="11.7109375" customWidth="1"/>
    <col min="9" max="10" width="11" customWidth="1"/>
    <col min="11" max="12" width="9.140625" customWidth="1"/>
    <col min="13" max="21" width="9.7109375" bestFit="1" customWidth="1"/>
    <col min="22" max="23" width="9" customWidth="1"/>
    <col min="24" max="105" width="9.7109375" bestFit="1" customWidth="1"/>
  </cols>
  <sheetData>
    <row r="1" spans="1:16" s="46" customFormat="1" ht="45" customHeight="1">
      <c r="A1" s="5" t="str">
        <f>Info!A1</f>
        <v>Felix M&amp;A Challenge</v>
      </c>
      <c r="B1" s="10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</row>
    <row r="2" spans="1:16" s="35" customFormat="1" ht="30" customHeight="1">
      <c r="A2" s="14"/>
      <c r="B2" s="7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</row>
    <row r="3" spans="1:16" ht="15" customHeight="1">
      <c r="A3"/>
      <c r="B3"/>
    </row>
    <row r="4" spans="1:16" ht="15" customHeight="1">
      <c r="A4" s="15" t="s">
        <v>24</v>
      </c>
      <c r="B4"/>
    </row>
    <row r="5" spans="1:16" ht="15" customHeight="1">
      <c r="A5"/>
    </row>
    <row r="6" spans="1:16" ht="15" customHeight="1">
      <c r="A6"/>
      <c r="B6" s="61"/>
    </row>
    <row r="7" spans="1:16" ht="15" customHeight="1">
      <c r="A7"/>
      <c r="B7" s="12" t="s">
        <v>25</v>
      </c>
      <c r="C7" s="72">
        <v>45657</v>
      </c>
      <c r="D7" s="12" t="s">
        <v>26</v>
      </c>
      <c r="E7" s="73">
        <f>EOMONTH(C7,12)</f>
        <v>46022</v>
      </c>
      <c r="F7" s="73">
        <f>EOMONTH(E7,12)</f>
        <v>46387</v>
      </c>
      <c r="G7" s="73">
        <f>EOMONTH(F7,12)</f>
        <v>46752</v>
      </c>
    </row>
    <row r="8" spans="1:16" ht="15" customHeight="1">
      <c r="A8"/>
      <c r="B8" s="16" t="s">
        <v>27</v>
      </c>
      <c r="C8" s="67">
        <v>47716</v>
      </c>
      <c r="D8" s="67">
        <v>49208</v>
      </c>
      <c r="E8" s="67">
        <v>50440.2</v>
      </c>
      <c r="F8" s="67">
        <v>52616.9</v>
      </c>
      <c r="G8" s="67">
        <v>53931</v>
      </c>
    </row>
    <row r="9" spans="1:16" ht="15" customHeight="1">
      <c r="A9"/>
      <c r="B9" s="16" t="s">
        <v>28</v>
      </c>
      <c r="C9" s="69">
        <v>0.129</v>
      </c>
      <c r="D9" s="67"/>
      <c r="E9" s="68">
        <v>5.7000000000000002E-2</v>
      </c>
      <c r="F9" s="68">
        <v>4.2999999999999997E-2</v>
      </c>
      <c r="G9" s="68">
        <v>2.5000000000000001E-2</v>
      </c>
    </row>
    <row r="10" spans="1:16" ht="15" customHeight="1">
      <c r="A10"/>
      <c r="B10" s="16" t="s">
        <v>29</v>
      </c>
      <c r="C10" s="67">
        <v>5690.5</v>
      </c>
      <c r="D10" s="67">
        <v>5942.9</v>
      </c>
      <c r="E10" s="67">
        <v>6143.7</v>
      </c>
      <c r="F10" s="67">
        <v>6624.9</v>
      </c>
      <c r="G10" s="67">
        <v>6950.6</v>
      </c>
    </row>
    <row r="11" spans="1:16" ht="15" customHeight="1">
      <c r="A11"/>
      <c r="B11" s="16" t="s">
        <v>30</v>
      </c>
      <c r="C11" s="69">
        <v>0.11899999999999999</v>
      </c>
      <c r="D11" s="69">
        <v>0.121</v>
      </c>
      <c r="E11" s="68">
        <v>0.122</v>
      </c>
      <c r="F11" s="68">
        <v>0.126</v>
      </c>
      <c r="G11" s="68">
        <v>0.129</v>
      </c>
    </row>
    <row r="12" spans="1:16" ht="15" customHeight="1">
      <c r="A12"/>
      <c r="B12" s="16" t="s">
        <v>31</v>
      </c>
      <c r="C12" s="67"/>
      <c r="D12" s="67"/>
      <c r="E12" s="67">
        <v>14.94</v>
      </c>
      <c r="F12" s="67">
        <v>16.71</v>
      </c>
      <c r="G12" s="67">
        <v>18.079999999999998</v>
      </c>
    </row>
    <row r="13" spans="1:16" ht="15" customHeight="1">
      <c r="A13"/>
      <c r="C13" s="60"/>
    </row>
    <row r="14" spans="1:16" ht="15" customHeight="1">
      <c r="A14"/>
      <c r="B14" s="61"/>
    </row>
    <row r="15" spans="1:16" ht="15" customHeight="1">
      <c r="A15"/>
      <c r="B15" s="12" t="s">
        <v>32</v>
      </c>
      <c r="C15" s="72">
        <f>C7</f>
        <v>45657</v>
      </c>
      <c r="D15" s="12" t="str">
        <f>D7</f>
        <v>LTM</v>
      </c>
      <c r="E15" s="73">
        <f t="shared" ref="E15:G15" si="0">E7</f>
        <v>46022</v>
      </c>
      <c r="F15" s="73">
        <f t="shared" si="0"/>
        <v>46387</v>
      </c>
      <c r="G15" s="73">
        <f t="shared" si="0"/>
        <v>46752</v>
      </c>
    </row>
    <row r="16" spans="1:16" ht="15" customHeight="1">
      <c r="A16"/>
      <c r="B16" s="16" t="s">
        <v>27</v>
      </c>
      <c r="C16" s="67">
        <v>21325</v>
      </c>
      <c r="D16" s="67">
        <v>21246</v>
      </c>
      <c r="E16" s="67">
        <v>21615.200000000001</v>
      </c>
      <c r="F16" s="67">
        <v>22768.3</v>
      </c>
      <c r="G16" s="67">
        <v>23824.3</v>
      </c>
    </row>
    <row r="17" spans="1:10" ht="15" customHeight="1">
      <c r="A17"/>
      <c r="B17" s="16" t="s">
        <v>28</v>
      </c>
      <c r="C17" s="69">
        <v>9.8000000000000004E-2</v>
      </c>
      <c r="D17" s="67"/>
      <c r="E17" s="68">
        <v>1.4E-2</v>
      </c>
      <c r="F17" s="68">
        <v>5.2999999999999999E-2</v>
      </c>
      <c r="G17" s="68">
        <v>4.5999999999999999E-2</v>
      </c>
    </row>
    <row r="18" spans="1:10" ht="15" customHeight="1">
      <c r="A18"/>
      <c r="B18" s="16" t="s">
        <v>29</v>
      </c>
      <c r="C18" s="67">
        <v>3973.7</v>
      </c>
      <c r="D18" s="67">
        <v>3980.9</v>
      </c>
      <c r="E18" s="67">
        <v>3921.4</v>
      </c>
      <c r="F18" s="67">
        <v>4202.3</v>
      </c>
      <c r="G18" s="67">
        <v>4357.8</v>
      </c>
    </row>
    <row r="19" spans="1:10" ht="15" customHeight="1">
      <c r="A19"/>
      <c r="B19" s="16" t="s">
        <v>30</v>
      </c>
      <c r="C19" s="69">
        <v>0.186</v>
      </c>
      <c r="D19" s="69">
        <v>0.187</v>
      </c>
      <c r="E19" s="68">
        <v>0.18099999999999999</v>
      </c>
      <c r="F19" s="68">
        <v>0.185</v>
      </c>
      <c r="G19" s="68">
        <v>0.183</v>
      </c>
    </row>
    <row r="20" spans="1:10" ht="15" customHeight="1">
      <c r="A20"/>
      <c r="B20" s="16" t="s">
        <v>31</v>
      </c>
      <c r="C20" s="67"/>
      <c r="D20" s="67"/>
      <c r="E20" s="67">
        <v>10.49</v>
      </c>
      <c r="F20" s="67">
        <v>12.17</v>
      </c>
      <c r="G20" s="67">
        <v>13.61</v>
      </c>
    </row>
    <row r="21" spans="1:10" ht="15" customHeight="1">
      <c r="A21"/>
    </row>
    <row r="22" spans="1:10" ht="15" customHeight="1">
      <c r="A22"/>
    </row>
    <row r="23" spans="1:10" ht="15" customHeight="1">
      <c r="A23" s="15" t="s">
        <v>33</v>
      </c>
    </row>
    <row r="24" spans="1:10" ht="15" customHeight="1">
      <c r="B24" s="61"/>
      <c r="E24" s="61"/>
    </row>
    <row r="25" spans="1:10" ht="15" customHeight="1">
      <c r="B25" s="12" t="s">
        <v>34</v>
      </c>
      <c r="C25" s="12"/>
      <c r="E25" s="62" t="s">
        <v>35</v>
      </c>
      <c r="F25" s="12"/>
      <c r="G25" s="12"/>
    </row>
    <row r="26" spans="1:10" ht="15" customHeight="1">
      <c r="B26" s="16" t="s">
        <v>36</v>
      </c>
      <c r="C26" s="67">
        <v>218.42</v>
      </c>
      <c r="E26" s="16" t="s">
        <v>37</v>
      </c>
      <c r="F26" s="16" t="s">
        <v>38</v>
      </c>
      <c r="G26" s="16" t="s">
        <v>39</v>
      </c>
    </row>
    <row r="27" spans="1:10" ht="15" customHeight="1">
      <c r="B27" s="16" t="s">
        <v>40</v>
      </c>
      <c r="C27" s="71">
        <v>0.3</v>
      </c>
      <c r="D27" s="63"/>
      <c r="E27" s="67">
        <v>2.5</v>
      </c>
      <c r="F27" s="70">
        <v>191.06</v>
      </c>
      <c r="G27">
        <f>($C$28-F27)/$C$28*E27</f>
        <v>0.81781395053989125</v>
      </c>
      <c r="H27" t="str">
        <f ca="1">IF(ISBLANK(G27),"",_xlfn.FORMULATEXT(G27))</f>
        <v>=($C$28-F27)/$C$28*E27</v>
      </c>
    </row>
    <row r="28" spans="1:10" ht="15" customHeight="1">
      <c r="B28" s="16" t="s">
        <v>41</v>
      </c>
      <c r="C28">
        <f>C26*(1+C27)</f>
        <v>283.94599999999997</v>
      </c>
      <c r="D28" t="str">
        <f ca="1">IF(ISBLANK(C28),"",_xlfn.FORMULATEXT(C28))</f>
        <v>=C26*(1+C27)</v>
      </c>
      <c r="E28" s="67">
        <v>0.6</v>
      </c>
      <c r="F28" s="70"/>
      <c r="G28">
        <f>E28</f>
        <v>0.6</v>
      </c>
    </row>
    <row r="29" spans="1:10" ht="15" customHeight="1">
      <c r="B29" s="16" t="s">
        <v>42</v>
      </c>
      <c r="C29" s="67">
        <v>186.9</v>
      </c>
      <c r="E29" s="67">
        <v>0.4</v>
      </c>
      <c r="F29" s="70"/>
      <c r="G29">
        <f>E29</f>
        <v>0.4</v>
      </c>
      <c r="J29" s="63"/>
    </row>
    <row r="30" spans="1:10" ht="15" customHeight="1">
      <c r="B30" s="16" t="s">
        <v>43</v>
      </c>
      <c r="C30">
        <f>SUM(G27:G29)</f>
        <v>1.8178139505398914</v>
      </c>
      <c r="D30" t="str">
        <f ca="1">IF(ISBLANK(C30),"",_xlfn.FORMULATEXT(C30))</f>
        <v>=SUM(G27:G29)</v>
      </c>
    </row>
    <row r="31" spans="1:10" ht="15" customHeight="1">
      <c r="B31" s="16" t="s">
        <v>44</v>
      </c>
      <c r="C31">
        <f>C29+C30</f>
        <v>188.71781395053989</v>
      </c>
      <c r="D31" t="str">
        <f ca="1">IF(ISBLANK(C31),"",_xlfn.FORMULATEXT(C31))</f>
        <v>=C29+C30</v>
      </c>
    </row>
    <row r="32" spans="1:10" ht="15" customHeight="1">
      <c r="B32" s="16" t="s">
        <v>34</v>
      </c>
      <c r="C32">
        <f>C31*C28</f>
        <v>53585.668399999995</v>
      </c>
      <c r="D32" t="str">
        <f ca="1">IF(ISBLANK(C32),"",_xlfn.FORMULATEXT(C32))</f>
        <v>=C31*C28</v>
      </c>
    </row>
    <row r="33" spans="1:4" ht="15" customHeight="1">
      <c r="B33" s="61"/>
    </row>
    <row r="34" spans="1:4" ht="15" customHeight="1">
      <c r="B34" s="12" t="s">
        <v>45</v>
      </c>
      <c r="C34" s="12"/>
    </row>
    <row r="35" spans="1:4" ht="15" customHeight="1">
      <c r="B35" s="16" t="s">
        <v>46</v>
      </c>
      <c r="C35" s="67">
        <v>12252</v>
      </c>
    </row>
    <row r="36" spans="1:4" ht="15" customHeight="1">
      <c r="B36" s="16" t="s">
        <v>47</v>
      </c>
      <c r="C36" s="67">
        <v>517</v>
      </c>
    </row>
    <row r="37" spans="1:4" ht="15" customHeight="1">
      <c r="A37"/>
      <c r="B37" s="16" t="s">
        <v>48</v>
      </c>
      <c r="C37">
        <f>C35-C36</f>
        <v>11735</v>
      </c>
      <c r="D37" t="str">
        <f ca="1">IF(ISBLANK(C37),"",_xlfn.FORMULATEXT(C37))</f>
        <v>=C35-C36</v>
      </c>
    </row>
    <row r="38" spans="1:4" ht="15" customHeight="1">
      <c r="A38"/>
    </row>
    <row r="39" spans="1:4" ht="15" customHeight="1">
      <c r="A39" s="15" t="s">
        <v>49</v>
      </c>
    </row>
    <row r="40" spans="1:4" ht="15" customHeight="1">
      <c r="B40" s="61"/>
    </row>
    <row r="41" spans="1:4" ht="15" customHeight="1">
      <c r="B41" s="12" t="s">
        <v>50</v>
      </c>
      <c r="C41" s="12"/>
    </row>
    <row r="42" spans="1:4" ht="15" customHeight="1">
      <c r="B42" s="16" t="s">
        <v>51</v>
      </c>
      <c r="C42" s="71">
        <v>0.01</v>
      </c>
      <c r="D42" s="63"/>
    </row>
    <row r="43" spans="1:4" ht="15" customHeight="1">
      <c r="B43" s="16" t="s">
        <v>52</v>
      </c>
      <c r="C43" s="71">
        <v>0.05</v>
      </c>
      <c r="D43" s="63"/>
    </row>
    <row r="44" spans="1:4" ht="15" customHeight="1">
      <c r="B44" s="16" t="s">
        <v>53</v>
      </c>
      <c r="C44" s="74">
        <v>3</v>
      </c>
      <c r="D44" s="63"/>
    </row>
    <row r="45" spans="1:4" ht="15" customHeight="1">
      <c r="B45" s="16" t="s">
        <v>54</v>
      </c>
      <c r="C45" s="67">
        <v>1451</v>
      </c>
      <c r="D45" s="63"/>
    </row>
    <row r="46" spans="1:4" ht="15" customHeight="1">
      <c r="B46" s="16" t="s">
        <v>55</v>
      </c>
      <c r="C46" s="71">
        <v>0.01</v>
      </c>
      <c r="D46" s="63"/>
    </row>
    <row r="47" spans="1:4" ht="15" customHeight="1">
      <c r="B47" s="16" t="s">
        <v>56</v>
      </c>
      <c r="C47">
        <f>C45-C46*(D8+D16)</f>
        <v>746.46</v>
      </c>
      <c r="D47" t="str">
        <f ca="1">IF(ISBLANK(C47),"",_xlfn.FORMULATEXT(C47))</f>
        <v>=C45-C46*(D8+D16)</v>
      </c>
    </row>
    <row r="48" spans="1:4" ht="15" customHeight="1">
      <c r="B48" s="16" t="s">
        <v>57</v>
      </c>
      <c r="C48" s="68">
        <v>5.0500000000000003E-2</v>
      </c>
      <c r="D48" s="63"/>
    </row>
    <row r="49" spans="1:4" ht="15" customHeight="1">
      <c r="B49" s="16" t="s">
        <v>58</v>
      </c>
      <c r="C49" s="71">
        <v>0.05</v>
      </c>
      <c r="D49" s="63"/>
    </row>
    <row r="50" spans="1:4" ht="15" customHeight="1">
      <c r="B50" s="16" t="s">
        <v>59</v>
      </c>
      <c r="C50" s="71">
        <v>0.03</v>
      </c>
      <c r="D50" s="63"/>
    </row>
    <row r="51" spans="1:4" ht="15" customHeight="1">
      <c r="B51" s="16" t="s">
        <v>60</v>
      </c>
      <c r="C51" s="71">
        <v>0.21</v>
      </c>
      <c r="D51" s="63"/>
    </row>
    <row r="53" spans="1:4" ht="15" customHeight="1">
      <c r="A53" s="15" t="s">
        <v>61</v>
      </c>
    </row>
    <row r="55" spans="1:4" ht="15" customHeight="1">
      <c r="B55" s="16" t="s">
        <v>62</v>
      </c>
    </row>
    <row r="56" spans="1:4" ht="15" customHeight="1">
      <c r="B56" s="16" t="s">
        <v>63</v>
      </c>
      <c r="C56">
        <f>C32</f>
        <v>53585.668399999995</v>
      </c>
      <c r="D56" t="str">
        <f t="shared" ref="D56:D96" ca="1" si="1">IF(ISBLANK(C56),"",_xlfn.FORMULATEXT(C56))</f>
        <v>=C32</v>
      </c>
    </row>
    <row r="57" spans="1:4" ht="15" customHeight="1">
      <c r="B57" s="16" t="s">
        <v>64</v>
      </c>
      <c r="C57">
        <f>C37</f>
        <v>11735</v>
      </c>
      <c r="D57" t="str">
        <f t="shared" ca="1" si="1"/>
        <v>=C37</v>
      </c>
    </row>
    <row r="58" spans="1:4" ht="15" customHeight="1">
      <c r="B58" s="16" t="s">
        <v>65</v>
      </c>
      <c r="C58">
        <f>C42*C56</f>
        <v>535.85668399999997</v>
      </c>
      <c r="D58" t="str">
        <f t="shared" ca="1" si="1"/>
        <v>=C42*C56</v>
      </c>
    </row>
    <row r="59" spans="1:4" ht="15" customHeight="1">
      <c r="B59" s="16" t="s">
        <v>66</v>
      </c>
      <c r="C59">
        <f>SUM(C56:C58)</f>
        <v>65856.525083999994</v>
      </c>
      <c r="D59" t="str">
        <f t="shared" ca="1" si="1"/>
        <v>=SUM(C56:C58)</v>
      </c>
    </row>
    <row r="60" spans="1:4" ht="15" customHeight="1">
      <c r="D60" t="str">
        <f t="shared" ca="1" si="1"/>
        <v/>
      </c>
    </row>
    <row r="61" spans="1:4" ht="15" customHeight="1">
      <c r="B61" s="16" t="s">
        <v>67</v>
      </c>
      <c r="D61" t="str">
        <f t="shared" ca="1" si="1"/>
        <v/>
      </c>
    </row>
    <row r="62" spans="1:4" ht="15" customHeight="1">
      <c r="B62" s="16" t="s">
        <v>68</v>
      </c>
      <c r="C62">
        <f>C47</f>
        <v>746.46</v>
      </c>
      <c r="D62" t="str">
        <f t="shared" ca="1" si="1"/>
        <v>=C47</v>
      </c>
    </row>
    <row r="63" spans="1:4" ht="15" customHeight="1">
      <c r="B63" s="16" t="s">
        <v>69</v>
      </c>
      <c r="C63">
        <f>C74</f>
        <v>24053.839999999997</v>
      </c>
      <c r="D63" t="str">
        <f t="shared" ca="1" si="1"/>
        <v>=C74</v>
      </c>
    </row>
    <row r="64" spans="1:4" ht="15" customHeight="1">
      <c r="B64" s="16" t="s">
        <v>70</v>
      </c>
      <c r="C64">
        <f>C59-C62-C63</f>
        <v>41056.225083999998</v>
      </c>
      <c r="D64" t="str">
        <f t="shared" ca="1" si="1"/>
        <v>=C59-C62-C63</v>
      </c>
    </row>
    <row r="65" spans="2:4" ht="15" customHeight="1">
      <c r="D65" t="str">
        <f t="shared" ca="1" si="1"/>
        <v/>
      </c>
    </row>
    <row r="66" spans="2:4" ht="15" customHeight="1">
      <c r="B66" s="16" t="s">
        <v>71</v>
      </c>
      <c r="C66">
        <f>D10</f>
        <v>5942.9</v>
      </c>
      <c r="D66" t="str">
        <f t="shared" ca="1" si="1"/>
        <v>=D10</v>
      </c>
    </row>
    <row r="67" spans="2:4" ht="15" customHeight="1">
      <c r="B67" s="16" t="s">
        <v>72</v>
      </c>
      <c r="C67">
        <f>D18</f>
        <v>3980.9</v>
      </c>
      <c r="D67" t="str">
        <f t="shared" ca="1" si="1"/>
        <v>=D18</v>
      </c>
    </row>
    <row r="68" spans="2:4" ht="15" customHeight="1">
      <c r="B68" s="16" t="s">
        <v>73</v>
      </c>
      <c r="C68">
        <f>C43*D16</f>
        <v>1062.3</v>
      </c>
      <c r="D68" t="str">
        <f t="shared" ca="1" si="1"/>
        <v>=C43*D16</v>
      </c>
    </row>
    <row r="69" spans="2:4" ht="15" customHeight="1">
      <c r="B69" s="16" t="s">
        <v>74</v>
      </c>
      <c r="C69">
        <f>SUM(C66:C68)</f>
        <v>10986.099999999999</v>
      </c>
      <c r="D69" t="str">
        <f t="shared" ca="1" si="1"/>
        <v>=SUM(C66:C68)</v>
      </c>
    </row>
    <row r="70" spans="2:4" ht="15" customHeight="1">
      <c r="D70" t="str">
        <f t="shared" ca="1" si="1"/>
        <v/>
      </c>
    </row>
    <row r="71" spans="2:4" ht="15" customHeight="1">
      <c r="B71" s="16" t="s">
        <v>75</v>
      </c>
      <c r="C71">
        <f>C44*C69</f>
        <v>32958.299999999996</v>
      </c>
      <c r="D71" t="str">
        <f t="shared" ca="1" si="1"/>
        <v>=C44*C69</v>
      </c>
    </row>
    <row r="72" spans="2:4" ht="15" customHeight="1">
      <c r="B72" s="16" t="s">
        <v>76</v>
      </c>
      <c r="C72" s="67">
        <v>9609</v>
      </c>
      <c r="D72" s="63"/>
    </row>
    <row r="73" spans="2:4" ht="15" customHeight="1">
      <c r="B73" s="16" t="s">
        <v>77</v>
      </c>
      <c r="C73">
        <f>C45-C47</f>
        <v>704.54</v>
      </c>
      <c r="D73" t="str">
        <f t="shared" ca="1" si="1"/>
        <v>=C45-C47</v>
      </c>
    </row>
    <row r="74" spans="2:4" ht="15" customHeight="1">
      <c r="B74" s="16" t="s">
        <v>78</v>
      </c>
      <c r="C74">
        <f>C71-C72+C73</f>
        <v>24053.839999999997</v>
      </c>
      <c r="D74" t="str">
        <f t="shared" ca="1" si="1"/>
        <v>=C71-C72+C73</v>
      </c>
    </row>
    <row r="75" spans="2:4" ht="15" customHeight="1">
      <c r="D75" t="str">
        <f t="shared" ca="1" si="1"/>
        <v/>
      </c>
    </row>
    <row r="76" spans="2:4" ht="15" customHeight="1">
      <c r="B76" s="16" t="s">
        <v>79</v>
      </c>
      <c r="C76">
        <f>C64</f>
        <v>41056.225083999998</v>
      </c>
      <c r="D76" t="str">
        <f t="shared" ca="1" si="1"/>
        <v>=C64</v>
      </c>
    </row>
    <row r="77" spans="2:4" ht="15" customHeight="1">
      <c r="B77" s="16" t="s">
        <v>80</v>
      </c>
      <c r="C77" s="67">
        <v>278.51</v>
      </c>
      <c r="D77" s="63"/>
    </row>
    <row r="78" spans="2:4" ht="15" customHeight="1">
      <c r="B78" s="16" t="s">
        <v>81</v>
      </c>
      <c r="C78">
        <f>C76/C77</f>
        <v>147.41382745323327</v>
      </c>
      <c r="D78" t="str">
        <f t="shared" ca="1" si="1"/>
        <v>=C76/C77</v>
      </c>
    </row>
    <row r="79" spans="2:4" ht="15" customHeight="1">
      <c r="B79" s="16" t="s">
        <v>82</v>
      </c>
      <c r="C79" s="67">
        <v>272.3</v>
      </c>
      <c r="D79" s="63"/>
    </row>
    <row r="80" spans="2:4" ht="15" customHeight="1">
      <c r="B80" s="16" t="s">
        <v>83</v>
      </c>
      <c r="C80">
        <f>C79+C78</f>
        <v>419.71382745323331</v>
      </c>
      <c r="D80" t="str">
        <f t="shared" ca="1" si="1"/>
        <v>=C79+C78</v>
      </c>
    </row>
    <row r="81" spans="2:5" ht="15" customHeight="1">
      <c r="D81" t="str">
        <f t="shared" ca="1" si="1"/>
        <v/>
      </c>
    </row>
    <row r="82" spans="2:5" ht="15" customHeight="1">
      <c r="B82" s="16" t="s">
        <v>84</v>
      </c>
      <c r="C82">
        <f>G12</f>
        <v>18.079999999999998</v>
      </c>
      <c r="D82" t="str">
        <f t="shared" ca="1" si="1"/>
        <v>=G12</v>
      </c>
    </row>
    <row r="83" spans="2:5" ht="15" customHeight="1">
      <c r="B83" s="16" t="s">
        <v>85</v>
      </c>
      <c r="C83">
        <f>C79</f>
        <v>272.3</v>
      </c>
      <c r="D83" t="str">
        <f t="shared" ca="1" si="1"/>
        <v>=C79</v>
      </c>
    </row>
    <row r="84" spans="2:5" ht="15" customHeight="1">
      <c r="B84" s="16" t="s">
        <v>86</v>
      </c>
      <c r="C84">
        <f>C82*C83</f>
        <v>4923.1839999999993</v>
      </c>
      <c r="D84" t="str">
        <f t="shared" ca="1" si="1"/>
        <v>=C82*C83</v>
      </c>
    </row>
    <row r="85" spans="2:5" ht="15" customHeight="1">
      <c r="B85" s="16" t="s">
        <v>87</v>
      </c>
      <c r="C85">
        <f>G20</f>
        <v>13.61</v>
      </c>
      <c r="D85" t="str">
        <f t="shared" ca="1" si="1"/>
        <v>=G20</v>
      </c>
    </row>
    <row r="86" spans="2:5" ht="15" customHeight="1">
      <c r="B86" s="16" t="s">
        <v>88</v>
      </c>
      <c r="C86" s="67">
        <v>188.4</v>
      </c>
      <c r="D86" s="63"/>
    </row>
    <row r="87" spans="2:5" ht="15" customHeight="1">
      <c r="B87" s="16" t="s">
        <v>89</v>
      </c>
      <c r="C87">
        <f>C85*C86</f>
        <v>2564.1239999999998</v>
      </c>
      <c r="D87" t="str">
        <f t="shared" ca="1" si="1"/>
        <v>=C85*C86</v>
      </c>
    </row>
    <row r="88" spans="2:5" ht="15" customHeight="1">
      <c r="B88" s="16" t="s">
        <v>90</v>
      </c>
      <c r="C88">
        <f>C84+C87</f>
        <v>7487.3079999999991</v>
      </c>
      <c r="D88" t="str">
        <f t="shared" ca="1" si="1"/>
        <v>=C84+C87</v>
      </c>
    </row>
    <row r="89" spans="2:5" ht="15" customHeight="1">
      <c r="B89" s="16" t="s">
        <v>91</v>
      </c>
      <c r="C89">
        <f>C68*(1-C51)</f>
        <v>839.21699999999998</v>
      </c>
      <c r="D89" t="str">
        <f t="shared" ca="1" si="1"/>
        <v>=C68*(1-C51)</v>
      </c>
    </row>
    <row r="90" spans="2:5" ht="15" customHeight="1">
      <c r="B90" s="16" t="s">
        <v>92</v>
      </c>
      <c r="C90">
        <f>C63*C48*(1-C51)*-1</f>
        <v>-959.6279467999999</v>
      </c>
      <c r="D90" t="str">
        <f t="shared" ca="1" si="1"/>
        <v>=C63*C48*(1-C51)*-1</v>
      </c>
    </row>
    <row r="91" spans="2:5" ht="15" customHeight="1">
      <c r="B91" s="16" t="s">
        <v>93</v>
      </c>
      <c r="C91">
        <f>C35*C49*(1-C51)</f>
        <v>483.95400000000006</v>
      </c>
      <c r="D91" t="str">
        <f t="shared" ca="1" si="1"/>
        <v>=C35*C49*(1-C51)</v>
      </c>
    </row>
    <row r="92" spans="2:5" ht="15" customHeight="1">
      <c r="B92" s="16" t="s">
        <v>94</v>
      </c>
      <c r="C92">
        <f>(C62+C36)*C50*(1-C51)*-1</f>
        <v>-29.944001999999998</v>
      </c>
      <c r="D92" t="str">
        <f t="shared" ca="1" si="1"/>
        <v>=(C62+C36)*C50*(1-C51)*-1</v>
      </c>
    </row>
    <row r="93" spans="2:5" ht="15" customHeight="1">
      <c r="B93" s="16" t="s">
        <v>95</v>
      </c>
      <c r="C93">
        <f>SUM(C88:C92)</f>
        <v>7820.9070511999989</v>
      </c>
      <c r="D93" t="str">
        <f t="shared" ca="1" si="1"/>
        <v>=SUM(C88:C92)</v>
      </c>
    </row>
    <row r="94" spans="2:5" ht="15" customHeight="1">
      <c r="D94" t="str">
        <f t="shared" ca="1" si="1"/>
        <v/>
      </c>
    </row>
    <row r="95" spans="2:5" ht="15" customHeight="1">
      <c r="B95" s="16" t="s">
        <v>96</v>
      </c>
      <c r="C95">
        <f>C93/C80</f>
        <v>18.633903721152588</v>
      </c>
      <c r="D95" t="str">
        <f t="shared" ca="1" si="1"/>
        <v>=C93/C80</v>
      </c>
    </row>
    <row r="96" spans="2:5" ht="15" customHeight="1">
      <c r="B96" s="16" t="s">
        <v>97</v>
      </c>
      <c r="C96" s="60">
        <f>C95/C82-1</f>
        <v>3.0636267762864433E-2</v>
      </c>
      <c r="D96" t="str">
        <f t="shared" ca="1" si="1"/>
        <v>=C95/C82-1</v>
      </c>
      <c r="E96" s="63"/>
    </row>
    <row r="97" spans="1:7" ht="15" customHeight="1">
      <c r="C97" s="60"/>
    </row>
    <row r="98" spans="1:7" ht="15" customHeight="1">
      <c r="A98" s="15" t="s">
        <v>11</v>
      </c>
    </row>
    <row r="99" spans="1:7" ht="15" customHeight="1">
      <c r="B99" s="86"/>
      <c r="C99" s="87"/>
      <c r="D99" s="87"/>
      <c r="E99" s="87"/>
      <c r="F99" s="87"/>
      <c r="G99" s="88"/>
    </row>
    <row r="100" spans="1:7" ht="15" customHeight="1">
      <c r="B100" s="86"/>
      <c r="C100" s="87"/>
      <c r="D100" s="87"/>
      <c r="E100" s="87"/>
      <c r="F100" s="87"/>
      <c r="G100" s="88"/>
    </row>
    <row r="101" spans="1:7" ht="15.75">
      <c r="B101" s="86"/>
      <c r="C101" s="87"/>
      <c r="D101" s="87"/>
      <c r="E101" s="87"/>
      <c r="F101" s="87"/>
      <c r="G101" s="88"/>
    </row>
    <row r="102" spans="1:7" ht="15" customHeight="1">
      <c r="B102" s="64"/>
      <c r="C102" s="65"/>
      <c r="D102" s="65"/>
      <c r="E102" s="65"/>
      <c r="F102" s="65"/>
      <c r="G102" s="66"/>
    </row>
    <row r="103" spans="1:7" ht="15" customHeight="1">
      <c r="B103" s="86"/>
      <c r="C103" s="87"/>
      <c r="D103" s="87"/>
      <c r="E103" s="87"/>
      <c r="F103" s="87"/>
      <c r="G103" s="88"/>
    </row>
    <row r="104" spans="1:7" ht="15" customHeight="1">
      <c r="B104" s="86"/>
      <c r="C104" s="87"/>
      <c r="D104" s="87"/>
      <c r="E104" s="87"/>
      <c r="F104" s="87"/>
      <c r="G104" s="88"/>
    </row>
    <row r="105" spans="1:7" ht="15" customHeight="1">
      <c r="B105" s="86"/>
      <c r="C105" s="87"/>
      <c r="D105" s="87"/>
      <c r="E105" s="87"/>
      <c r="F105" s="87"/>
      <c r="G105" s="88"/>
    </row>
    <row r="106" spans="1:7" ht="15" customHeight="1">
      <c r="B106" s="86"/>
      <c r="C106" s="87"/>
      <c r="D106" s="87"/>
      <c r="E106" s="87"/>
      <c r="F106" s="87"/>
      <c r="G106" s="88"/>
    </row>
    <row r="107" spans="1:7" ht="15" customHeight="1">
      <c r="B107" s="86"/>
      <c r="C107" s="87"/>
      <c r="D107" s="87"/>
      <c r="E107" s="87"/>
      <c r="F107" s="87"/>
      <c r="G107" s="88"/>
    </row>
    <row r="108" spans="1:7" ht="15" customHeight="1">
      <c r="B108" s="61"/>
    </row>
    <row r="109" spans="1:7" ht="15" customHeight="1">
      <c r="A109" s="15" t="s">
        <v>98</v>
      </c>
    </row>
  </sheetData>
  <mergeCells count="8">
    <mergeCell ref="B107:G107"/>
    <mergeCell ref="B103:G103"/>
    <mergeCell ref="B99:G99"/>
    <mergeCell ref="B100:G100"/>
    <mergeCell ref="B101:G101"/>
    <mergeCell ref="B104:G104"/>
    <mergeCell ref="B105:G105"/>
    <mergeCell ref="B106:G106"/>
  </mergeCells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76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rowBreaks count="1" manualBreakCount="1">
    <brk id="3" max="16383" man="1"/>
  </rowBreaks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96434D-DB6E-47CB-A84B-7F5F639E67E9}">
  <dimension ref="B2:G17"/>
  <sheetViews>
    <sheetView zoomScale="110" zoomScaleNormal="110" workbookViewId="0">
      <selection activeCell="C13" sqref="C13:G17"/>
    </sheetView>
  </sheetViews>
  <sheetFormatPr defaultRowHeight="15"/>
  <sheetData>
    <row r="2" spans="2:7">
      <c r="B2" t="s">
        <v>99</v>
      </c>
    </row>
    <row r="3" spans="2:7">
      <c r="B3" t="s">
        <v>10</v>
      </c>
      <c r="C3" t="s">
        <v>100</v>
      </c>
      <c r="D3" t="s">
        <v>101</v>
      </c>
      <c r="E3" t="s">
        <v>102</v>
      </c>
      <c r="F3" t="s">
        <v>103</v>
      </c>
      <c r="G3" t="s">
        <v>104</v>
      </c>
    </row>
    <row r="4" spans="2:7">
      <c r="B4" t="s">
        <v>27</v>
      </c>
      <c r="C4">
        <v>47716</v>
      </c>
      <c r="D4">
        <v>49208</v>
      </c>
      <c r="E4">
        <v>50440.2</v>
      </c>
      <c r="F4">
        <v>52616.9</v>
      </c>
      <c r="G4">
        <v>53931</v>
      </c>
    </row>
    <row r="5" spans="2:7">
      <c r="B5" t="s">
        <v>28</v>
      </c>
      <c r="C5">
        <v>0.129</v>
      </c>
      <c r="E5">
        <v>5.7000000000000002E-2</v>
      </c>
      <c r="F5">
        <v>4.2999999999999997E-2</v>
      </c>
      <c r="G5">
        <v>2.5000000000000001E-2</v>
      </c>
    </row>
    <row r="6" spans="2:7">
      <c r="B6" t="s">
        <v>29</v>
      </c>
      <c r="C6">
        <v>5690.5</v>
      </c>
      <c r="D6">
        <v>5942.9</v>
      </c>
      <c r="E6">
        <v>6143.7</v>
      </c>
      <c r="F6">
        <v>6624.9</v>
      </c>
      <c r="G6">
        <v>6950.6</v>
      </c>
    </row>
    <row r="7" spans="2:7">
      <c r="B7" t="s">
        <v>30</v>
      </c>
      <c r="C7">
        <v>0.11899999999999999</v>
      </c>
      <c r="D7">
        <v>0.121</v>
      </c>
      <c r="E7">
        <v>0.122</v>
      </c>
      <c r="F7">
        <v>0.126</v>
      </c>
      <c r="G7">
        <v>0.129</v>
      </c>
    </row>
    <row r="8" spans="2:7">
      <c r="B8" t="s">
        <v>31</v>
      </c>
      <c r="E8">
        <v>14.94</v>
      </c>
      <c r="F8">
        <v>16.71</v>
      </c>
      <c r="G8">
        <v>18.079999999999998</v>
      </c>
    </row>
    <row r="11" spans="2:7">
      <c r="B11" t="s">
        <v>99</v>
      </c>
    </row>
    <row r="12" spans="2:7">
      <c r="B12" t="s">
        <v>10</v>
      </c>
      <c r="C12" t="s">
        <v>100</v>
      </c>
      <c r="D12" t="s">
        <v>101</v>
      </c>
      <c r="E12" t="s">
        <v>102</v>
      </c>
      <c r="F12" t="s">
        <v>103</v>
      </c>
      <c r="G12" t="s">
        <v>104</v>
      </c>
    </row>
    <row r="13" spans="2:7">
      <c r="B13" t="s">
        <v>27</v>
      </c>
      <c r="C13">
        <v>21325</v>
      </c>
      <c r="D13">
        <v>21246</v>
      </c>
      <c r="E13">
        <v>21615.200000000001</v>
      </c>
      <c r="F13">
        <v>22768.3</v>
      </c>
      <c r="G13">
        <v>23824.3</v>
      </c>
    </row>
    <row r="14" spans="2:7">
      <c r="B14" t="s">
        <v>28</v>
      </c>
      <c r="C14">
        <v>9.8000000000000004E-2</v>
      </c>
      <c r="E14">
        <v>1.4E-2</v>
      </c>
      <c r="F14">
        <v>5.2999999999999999E-2</v>
      </c>
      <c r="G14">
        <v>4.5999999999999999E-2</v>
      </c>
    </row>
    <row r="15" spans="2:7">
      <c r="B15" t="s">
        <v>29</v>
      </c>
      <c r="C15">
        <v>3973.7</v>
      </c>
      <c r="D15">
        <v>3980.9</v>
      </c>
      <c r="E15">
        <v>3921.4</v>
      </c>
      <c r="F15">
        <v>4202.3</v>
      </c>
      <c r="G15">
        <v>4357.8</v>
      </c>
    </row>
    <row r="16" spans="2:7">
      <c r="B16" t="s">
        <v>30</v>
      </c>
      <c r="C16">
        <v>0.186</v>
      </c>
      <c r="D16">
        <v>0.187</v>
      </c>
      <c r="E16">
        <v>0.18099999999999999</v>
      </c>
      <c r="F16">
        <v>0.185</v>
      </c>
      <c r="G16">
        <v>0.183</v>
      </c>
    </row>
    <row r="17" spans="2:7">
      <c r="B17" t="s">
        <v>31</v>
      </c>
      <c r="E17">
        <v>10.49</v>
      </c>
      <c r="F17">
        <v>12.17</v>
      </c>
      <c r="G17">
        <v>13.61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DC60379-B9D0-4E48-B712-68C04AA0EEE5}"/>
</file>

<file path=customXml/itemProps2.xml><?xml version="1.0" encoding="utf-8"?>
<ds:datastoreItem xmlns:ds="http://schemas.openxmlformats.org/officeDocument/2006/customXml" ds:itemID="{E24980C0-EE3D-403E-9842-C83B70D771A0}"/>
</file>

<file path=customXml/itemProps3.xml><?xml version="1.0" encoding="utf-8"?>
<ds:datastoreItem xmlns:ds="http://schemas.openxmlformats.org/officeDocument/2006/customXml" ds:itemID="{4701A035-032E-45B2-81FC-92910EF2F05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FE</dc:creator>
  <cp:keywords/>
  <dc:description/>
  <cp:lastModifiedBy>Juan F. Cabrera</cp:lastModifiedBy>
  <cp:revision/>
  <dcterms:created xsi:type="dcterms:W3CDTF">2016-02-03T14:06:14Z</dcterms:created>
  <dcterms:modified xsi:type="dcterms:W3CDTF">2025-06-13T12:47:48Z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