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Create/2025 Felix Challenge Updates/5720 Felix DCF Challenge/3 Forecast Assumptions/"/>
    </mc:Choice>
  </mc:AlternateContent>
  <xr:revisionPtr revIDLastSave="39" documentId="8_{1390817E-DE31-4D5E-8F5D-C0F6DDCBD9AA}" xr6:coauthVersionLast="47" xr6:coauthVersionMax="47" xr10:uidLastSave="{459220F8-6B7A-471E-8DB8-19F56C5856B6}"/>
  <bookViews>
    <workbookView xWindow="-108" yWindow="-108" windowWidth="23256" windowHeight="12456" xr2:uid="{00000000-000D-0000-FFFF-FFFF00000000}"/>
  </bookViews>
  <sheets>
    <sheet name="Welcome" sheetId="1" r:id="rId1"/>
    <sheet name="Info" sheetId="6" r:id="rId2"/>
    <sheet name="Activity" sheetId="2" r:id="rId3"/>
    <sheet name="Assumptions" sheetId="8" r:id="rId4"/>
  </sheets>
  <definedNames>
    <definedName name="_xlnm.Print_Area" localSheetId="2">Activity!$A$1:$S$70</definedName>
    <definedName name="_xlnm.Print_Area" localSheetId="3">Assumptions!$A$1:$U$13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E6" i="8"/>
  <c r="E7" i="8"/>
  <c r="E10" i="8"/>
  <c r="D10" i="8"/>
  <c r="E11" i="8"/>
  <c r="E13" i="2"/>
  <c r="E8" i="8"/>
  <c r="D13" i="2" l="1"/>
  <c r="D7" i="8"/>
  <c r="D6" i="8"/>
  <c r="D8" i="8"/>
  <c r="D9" i="8"/>
  <c r="C13" i="2"/>
  <c r="C11" i="8" s="1"/>
  <c r="C10" i="8"/>
  <c r="C8" i="8"/>
  <c r="C9" i="8"/>
  <c r="A1" i="8"/>
  <c r="G49" i="2" l="1"/>
  <c r="H49" i="2" s="1"/>
  <c r="I49" i="2" s="1"/>
  <c r="J49" i="2" s="1"/>
  <c r="C11" i="2"/>
  <c r="C12" i="2" s="1"/>
  <c r="K49" i="2" l="1"/>
  <c r="D11" i="2"/>
  <c r="D12" i="2" s="1"/>
  <c r="F7" i="2"/>
  <c r="L49" i="2" l="1"/>
  <c r="F9" i="2"/>
  <c r="F13" i="2"/>
  <c r="F18" i="2" s="1"/>
  <c r="G7" i="2"/>
  <c r="F8" i="2"/>
  <c r="A7" i="1"/>
  <c r="M49" i="2" l="1"/>
  <c r="F10" i="2"/>
  <c r="F17" i="2" s="1"/>
  <c r="E11" i="2"/>
  <c r="E12" i="2" s="1"/>
  <c r="E14" i="2" s="1"/>
  <c r="G9" i="2"/>
  <c r="G13" i="2"/>
  <c r="G18" i="2" s="1"/>
  <c r="H7" i="2"/>
  <c r="G8" i="2"/>
  <c r="A1" i="6"/>
  <c r="A1" i="2" s="1"/>
  <c r="E23" i="2" l="1"/>
  <c r="F11" i="2"/>
  <c r="F12" i="2" s="1"/>
  <c r="I7" i="2"/>
  <c r="G10" i="2"/>
  <c r="G11" i="2" s="1"/>
  <c r="H9" i="2"/>
  <c r="H13" i="2"/>
  <c r="H18" i="2" s="1"/>
  <c r="H8" i="2"/>
  <c r="J7" i="2" l="1"/>
  <c r="J9" i="2" s="1"/>
  <c r="F14" i="2"/>
  <c r="F23" i="2"/>
  <c r="G17" i="2"/>
  <c r="I8" i="2"/>
  <c r="I9" i="2"/>
  <c r="I13" i="2"/>
  <c r="H10" i="2"/>
  <c r="G12" i="2"/>
  <c r="J13" i="2" l="1"/>
  <c r="J18" i="2" s="1"/>
  <c r="K7" i="2"/>
  <c r="K8" i="2" s="1"/>
  <c r="J8" i="2"/>
  <c r="G14" i="2"/>
  <c r="G23" i="2"/>
  <c r="I18" i="2"/>
  <c r="H11" i="2"/>
  <c r="H12" i="2" s="1"/>
  <c r="H17" i="2"/>
  <c r="J10" i="2"/>
  <c r="I10" i="2"/>
  <c r="I17" i="2" s="1"/>
  <c r="K13" i="2" l="1"/>
  <c r="K18" i="2" s="1"/>
  <c r="K9" i="2"/>
  <c r="K10" i="2" s="1"/>
  <c r="K17" i="2" s="1"/>
  <c r="L7" i="2"/>
  <c r="M7" i="2" s="1"/>
  <c r="I11" i="2"/>
  <c r="I12" i="2" s="1"/>
  <c r="I14" i="2" s="1"/>
  <c r="H14" i="2"/>
  <c r="H23" i="2"/>
  <c r="J11" i="2"/>
  <c r="J12" i="2" s="1"/>
  <c r="J17" i="2"/>
  <c r="M13" i="2" l="1"/>
  <c r="M8" i="2"/>
  <c r="M9" i="2"/>
  <c r="K11" i="2"/>
  <c r="K12" i="2" s="1"/>
  <c r="K14" i="2" s="1"/>
  <c r="L13" i="2"/>
  <c r="L18" i="2" s="1"/>
  <c r="L8" i="2"/>
  <c r="L9" i="2"/>
  <c r="L10" i="2" s="1"/>
  <c r="I23" i="2"/>
  <c r="J14" i="2"/>
  <c r="J23" i="2"/>
  <c r="D11" i="8"/>
  <c r="M10" i="2" l="1"/>
  <c r="M17" i="2" s="1"/>
  <c r="M18" i="2"/>
  <c r="L11" i="2"/>
  <c r="L12" i="2" s="1"/>
  <c r="L23" i="2" s="1"/>
  <c r="K23" i="2"/>
  <c r="L17" i="2"/>
  <c r="M11" i="2" l="1"/>
  <c r="M12" i="2" s="1"/>
  <c r="M14" i="2" s="1"/>
  <c r="L14" i="2"/>
  <c r="F16" i="2"/>
  <c r="F19" i="2" s="1"/>
  <c r="F22" i="2"/>
  <c r="F24" i="2"/>
  <c r="M23" i="2" l="1"/>
  <c r="G16" i="2"/>
  <c r="G19" i="2" s="1"/>
  <c r="G22" i="2"/>
  <c r="F20" i="2"/>
  <c r="G24" i="2"/>
  <c r="G20" i="2" l="1"/>
  <c r="H22" i="2"/>
  <c r="H16" i="2"/>
  <c r="H19" i="2" s="1"/>
  <c r="H24" i="2"/>
  <c r="I22" i="2" l="1"/>
  <c r="I24" i="2"/>
  <c r="H20" i="2"/>
  <c r="I16" i="2"/>
  <c r="I19" i="2" s="1"/>
  <c r="I20" i="2" l="1"/>
  <c r="J22" i="2"/>
  <c r="J24" i="2"/>
  <c r="J16" i="2"/>
  <c r="J19" i="2" s="1"/>
  <c r="J20" i="2" l="1"/>
  <c r="K22" i="2"/>
  <c r="K24" i="2"/>
  <c r="K16" i="2"/>
  <c r="K19" i="2" s="1"/>
  <c r="K20" i="2" l="1"/>
  <c r="L22" i="2"/>
  <c r="L24" i="2"/>
  <c r="L16" i="2"/>
  <c r="L19" i="2" s="1"/>
  <c r="L20" i="2" l="1"/>
  <c r="M16" i="2"/>
  <c r="M19" i="2" s="1"/>
  <c r="M20" i="2" s="1"/>
  <c r="M24" i="2"/>
  <c r="M22" i="2"/>
</calcChain>
</file>

<file path=xl/sharedStrings.xml><?xml version="1.0" encoding="utf-8"?>
<sst xmlns="http://schemas.openxmlformats.org/spreadsheetml/2006/main" count="119" uniqueCount="95">
  <si>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</si>
  <si>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</si>
  <si>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</si>
  <si>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</si>
  <si>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</si>
  <si>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</si>
  <si>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</si>
  <si>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</si>
  <si>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</si>
  <si>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</si>
  <si>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</si>
  <si>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</si>
  <si>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</si>
  <si>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</si>
  <si>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</si>
  <si>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</si>
  <si>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End</t>
  </si>
  <si>
    <t>Felix DCF Challenge</t>
  </si>
  <si>
    <t>Revenue</t>
  </si>
  <si>
    <t>EBITDA</t>
  </si>
  <si>
    <t>Calculating WACC</t>
  </si>
  <si>
    <t>Govt. bond yield</t>
  </si>
  <si>
    <t>Eq. risk premium</t>
  </si>
  <si>
    <t>Adj. beta</t>
  </si>
  <si>
    <t>Est. cost of equity</t>
  </si>
  <si>
    <t>Unlevered beta</t>
  </si>
  <si>
    <t>Credit spread</t>
  </si>
  <si>
    <t>Cost of debt</t>
  </si>
  <si>
    <t>Credit rating(Moodys/S&amp;P)</t>
  </si>
  <si>
    <t>Total debt / capitalization</t>
  </si>
  <si>
    <t>WACC</t>
  </si>
  <si>
    <t>Capex</t>
  </si>
  <si>
    <t>D&amp;A</t>
  </si>
  <si>
    <t>EBIT</t>
  </si>
  <si>
    <t>NOPAT</t>
  </si>
  <si>
    <t>FCF</t>
  </si>
  <si>
    <t>Effective Tax Rate</t>
  </si>
  <si>
    <t>Discount factor</t>
  </si>
  <si>
    <t>Terminal growth rate</t>
  </si>
  <si>
    <t>PV of FCF</t>
  </si>
  <si>
    <t>PV of Terminal Value</t>
  </si>
  <si>
    <t>Capex % sales</t>
  </si>
  <si>
    <t>OWC % Sales</t>
  </si>
  <si>
    <t xml:space="preserve">OWC  </t>
  </si>
  <si>
    <t>Implied Enterprise Value</t>
  </si>
  <si>
    <t>Terminal value using growth perpetuity</t>
  </si>
  <si>
    <t>Sense checking a DCF</t>
  </si>
  <si>
    <t>Debt</t>
  </si>
  <si>
    <t>Equity value</t>
  </si>
  <si>
    <t>Implied share price</t>
  </si>
  <si>
    <t>Closing share price</t>
  </si>
  <si>
    <t>Year count</t>
  </si>
  <si>
    <t>WACC calculation and terminal growth rate</t>
  </si>
  <si>
    <t xml:space="preserve">DCF calculation </t>
  </si>
  <si>
    <t>Premium/(discount) to closing price</t>
  </si>
  <si>
    <t>Revenue growth</t>
  </si>
  <si>
    <t>EBITDA margin</t>
  </si>
  <si>
    <t>Assumptions</t>
  </si>
  <si>
    <t>Invested capital growth</t>
  </si>
  <si>
    <t>Dec'22a</t>
  </si>
  <si>
    <t>Dec'23e</t>
  </si>
  <si>
    <t>Dec'24e</t>
  </si>
  <si>
    <t>Dec'25e</t>
  </si>
  <si>
    <t>Dec'26e</t>
  </si>
  <si>
    <t>Dec'27e</t>
  </si>
  <si>
    <t>Dec'28e</t>
  </si>
  <si>
    <t xml:space="preserve">D&amp;A/Capex </t>
  </si>
  <si>
    <t>Calculating terminal value</t>
  </si>
  <si>
    <t>Building FCF forecasts</t>
  </si>
  <si>
    <t>Activity</t>
  </si>
  <si>
    <t>Forecast earnings and free cash flows for ATI Inc</t>
  </si>
  <si>
    <t>NCI</t>
  </si>
  <si>
    <t>Implied EV/FY1 EBITDA multiple for ATI Inc</t>
  </si>
  <si>
    <t>ATI Inc</t>
  </si>
  <si>
    <t>Capital turnover</t>
  </si>
  <si>
    <t>Net reinvestment in PP&amp;E</t>
  </si>
  <si>
    <t>Net reinvestment in OWC</t>
  </si>
  <si>
    <t xml:space="preserve">Return on opening invested capital </t>
  </si>
  <si>
    <t>NOPAT margin</t>
  </si>
  <si>
    <t>Dec'29e</t>
  </si>
  <si>
    <t>Dec'30e</t>
  </si>
  <si>
    <t>Dec'23a</t>
  </si>
  <si>
    <t>Dec'31e</t>
  </si>
  <si>
    <t>* Updated 30 Apr 2024</t>
  </si>
  <si>
    <t>USD</t>
  </si>
  <si>
    <t>Millions</t>
  </si>
  <si>
    <t>Dec'24a</t>
  </si>
  <si>
    <t>Dec'32e</t>
  </si>
  <si>
    <t>Beginning invested capital</t>
  </si>
  <si>
    <t>Ending invested capital</t>
  </si>
  <si>
    <t>Total debt/ mkt cap</t>
  </si>
  <si>
    <t>Short-term financial assets and cash</t>
  </si>
  <si>
    <t>After-tax pension liability</t>
  </si>
  <si>
    <t>JV investments</t>
  </si>
  <si>
    <t>Diluted shares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</si>
</sst>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0.00%_);\(0.00%\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6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2" fontId="30" fillId="37" borderId="11" xfId="56" applyFont="1" applyFill="1" applyBorder="1" applyProtection="1">
      <protection locked="0"/>
    </xf>
    <xf numFmtId="172" fontId="30" fillId="37" borderId="11" xfId="60" applyNumberFormat="1">
      <protection locked="0"/>
    </xf>
    <xf numFmtId="174" fontId="4" fillId="0" borderId="0" xfId="50" applyNumberFormat="1">
      <alignment horizontal="left" vertical="center"/>
    </xf>
    <xf numFmtId="172" fontId="0" fillId="0" borderId="0" xfId="56" applyFont="1" applyFill="1"/>
    <xf numFmtId="174" fontId="33" fillId="0" borderId="0" xfId="0" applyFont="1"/>
    <xf numFmtId="174" fontId="30" fillId="39" borderId="11" xfId="60" applyNumberFormat="1" applyFill="1">
      <protection locked="0"/>
    </xf>
    <xf numFmtId="172" fontId="30" fillId="39" borderId="11" xfId="60" applyNumberFormat="1" applyFill="1">
      <protection locked="0"/>
    </xf>
    <xf numFmtId="175" fontId="30" fillId="39" borderId="11" xfId="60" applyNumberFormat="1" applyFill="1">
      <protection locked="0"/>
    </xf>
    <xf numFmtId="174" fontId="30" fillId="39" borderId="11" xfId="60" applyNumberFormat="1" applyFill="1" applyAlignment="1">
      <alignment horizontal="center"/>
      <protection locked="0"/>
    </xf>
    <xf numFmtId="174" fontId="30" fillId="0" borderId="0" xfId="57" applyNumberFormat="1" applyFill="1"/>
    <xf numFmtId="174" fontId="30" fillId="0" borderId="11" xfId="60" applyNumberFormat="1" applyFill="1">
      <protection locked="0"/>
    </xf>
    <xf numFmtId="171" fontId="0" fillId="0" borderId="0" xfId="55" applyFont="1"/>
    <xf numFmtId="172" fontId="30" fillId="0" borderId="0" xfId="57" applyNumberFormat="1" applyFill="1"/>
    <xf numFmtId="172" fontId="7" fillId="0" borderId="0" xfId="56" applyFont="1" applyFill="1" applyAlignment="1">
      <alignment vertical="center" wrapText="1"/>
    </xf>
    <xf numFmtId="176" fontId="30" fillId="39" borderId="11" xfId="60" applyNumberFormat="1" applyFill="1">
      <protection locked="0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1502287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159641</xdr:colOff>
      <xdr:row>0</xdr:row>
      <xdr:rowOff>464518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171875" defaultRowHeight="14.35" x14ac:dyDescent="0.5"/>
  <cols>
    <col min="1" max="1" width="9.87890625" customWidth="1"/>
    <col min="2" max="13" width="9.17578125" customWidth="1"/>
    <col min="14" max="14" width="9.87890625" customWidth="1"/>
    <col min="15" max="26" width="9.1171875" customWidth="1"/>
  </cols>
  <sheetData>
    <row r="1" spans="1:14" s="33" customFormat="1" ht="189.75" customHeight="1" x14ac:dyDescent="0.9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21" customFormat="1" ht="75" customHeight="1" x14ac:dyDescent="0.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22" customFormat="1" ht="7.5" customHeight="1" x14ac:dyDescent="0.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5">
      <c r="A4" s="36"/>
      <c r="B4" s="37"/>
      <c r="C4" s="76"/>
      <c r="D4" s="76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5">
      <c r="A5" s="78" t="s">
        <v>10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s="22" customFormat="1" ht="15" customHeight="1" x14ac:dyDescent="0.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4" s="22" customFormat="1" ht="15" customHeight="1" x14ac:dyDescent="0.5">
      <c r="A7" s="78" t="str">
        <f ca="1">"© "&amp;YEAR(TODAY())&amp;" Financial Edge Training "</f>
        <v xml:space="preserve">© 2025 Financial Edge Training 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4" s="22" customFormat="1" ht="15" customHeight="1" thickBot="1" x14ac:dyDescent="0.55000000000000004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5">
      <c r="F9" s="27"/>
      <c r="G9" s="79"/>
      <c r="H9" s="79"/>
      <c r="I9" s="79"/>
      <c r="J9" s="79"/>
      <c r="K9" s="27"/>
    </row>
    <row r="10" spans="1:14" s="22" customFormat="1" ht="15" customHeight="1" x14ac:dyDescent="0.5">
      <c r="B10" s="23"/>
      <c r="C10" s="23"/>
      <c r="F10" s="72"/>
      <c r="G10" s="79"/>
      <c r="H10" s="79"/>
      <c r="I10" s="79"/>
      <c r="J10" s="79"/>
      <c r="K10" s="27"/>
    </row>
    <row r="11" spans="1:14" s="22" customFormat="1" ht="15" customHeight="1" x14ac:dyDescent="0.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5">
      <c r="A12" s="25"/>
      <c r="B12" s="19"/>
      <c r="C12" s="19"/>
      <c r="D12" s="28"/>
      <c r="F12" s="24"/>
      <c r="G12" s="75"/>
      <c r="H12" s="75"/>
      <c r="I12" s="75"/>
      <c r="J12" s="75"/>
      <c r="K12" s="24"/>
    </row>
    <row r="13" spans="1:14" s="22" customFormat="1" ht="15" customHeight="1" x14ac:dyDescent="0.5">
      <c r="A13" s="18"/>
      <c r="B13" s="19"/>
      <c r="C13" s="19"/>
      <c r="D13" s="29"/>
      <c r="F13" s="24"/>
      <c r="G13" s="75"/>
      <c r="H13" s="75"/>
      <c r="I13" s="75"/>
      <c r="J13" s="75"/>
      <c r="K13" s="24"/>
    </row>
    <row r="14" spans="1:14" s="22" customFormat="1" ht="15" customHeight="1" x14ac:dyDescent="0.5">
      <c r="A14" s="21"/>
      <c r="B14" s="19"/>
      <c r="C14" s="19"/>
      <c r="D14" s="29"/>
      <c r="F14" s="24"/>
      <c r="G14" s="75"/>
      <c r="H14" s="75"/>
      <c r="I14" s="75"/>
      <c r="J14" s="75"/>
      <c r="K14" s="24"/>
    </row>
    <row r="15" spans="1:14" s="22" customFormat="1" ht="15" customHeight="1" x14ac:dyDescent="0.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5">
      <c r="A16" s="21"/>
      <c r="B16" s="19"/>
      <c r="C16" s="19"/>
      <c r="D16" s="30"/>
      <c r="F16" s="24"/>
      <c r="G16" s="75"/>
      <c r="H16" s="75"/>
      <c r="I16" s="75"/>
      <c r="J16" s="75"/>
      <c r="K16" s="24"/>
    </row>
    <row r="17" spans="1:11" s="22" customFormat="1" ht="15" customHeight="1" x14ac:dyDescent="0.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171875" defaultRowHeight="14.35" x14ac:dyDescent="0.5"/>
  <cols>
    <col min="1" max="1" width="1.41015625" customWidth="1"/>
    <col min="2" max="2" width="2.87890625" customWidth="1"/>
    <col min="3" max="3" width="13.17578125" customWidth="1"/>
    <col min="4" max="4" width="2.87890625" customWidth="1"/>
    <col min="5" max="7" width="1.41015625" customWidth="1"/>
    <col min="8" max="8" width="2.87890625" customWidth="1"/>
    <col min="9" max="9" width="42.64453125" customWidth="1"/>
    <col min="10" max="11" width="1.41015625" customWidth="1"/>
    <col min="12" max="12" width="15.5859375" bestFit="1" customWidth="1"/>
    <col min="13" max="14" width="1.41015625" customWidth="1"/>
    <col min="15" max="15" width="2.87890625" customWidth="1"/>
    <col min="16" max="16" width="32.5859375" customWidth="1"/>
    <col min="17" max="17" width="2.87890625" customWidth="1"/>
    <col min="18" max="18" width="1.41015625" customWidth="1"/>
    <col min="23" max="23" width="17.64453125" bestFit="1" customWidth="1"/>
  </cols>
  <sheetData>
    <row r="1" spans="1:18" s="33" customFormat="1" ht="45" customHeight="1" x14ac:dyDescent="0.95">
      <c r="A1" s="13" t="str">
        <f>Welcome!A2</f>
        <v>Felix DCF Challenge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7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5"/>
    <row r="4" spans="1:18" s="2" customFormat="1" ht="22.5" customHeight="1" x14ac:dyDescent="0.5">
      <c r="A4" s="1"/>
      <c r="B4" s="81" t="s">
        <v>0</v>
      </c>
      <c r="C4" s="81"/>
      <c r="D4" s="81"/>
      <c r="E4" s="81"/>
      <c r="F4" s="81"/>
      <c r="G4" s="81"/>
      <c r="H4" s="81"/>
      <c r="I4" s="81"/>
      <c r="K4" s="1"/>
      <c r="L4" s="81" t="s">
        <v>2</v>
      </c>
      <c r="M4" s="81"/>
      <c r="N4" s="81"/>
      <c r="O4" s="81"/>
      <c r="P4" s="81"/>
      <c r="Q4" s="39"/>
      <c r="R4" s="39"/>
    </row>
    <row r="5" spans="1:18" s="2" customFormat="1" ht="15" customHeight="1" x14ac:dyDescent="0.5">
      <c r="A5" s="16"/>
      <c r="B5" s="8" t="s">
        <v>1</v>
      </c>
      <c r="C5" s="17" t="s">
        <v>68</v>
      </c>
      <c r="D5" s="17"/>
      <c r="E5" s="17"/>
      <c r="F5" s="17"/>
      <c r="G5" s="17"/>
      <c r="H5" s="17"/>
      <c r="I5" s="17"/>
      <c r="K5" s="1"/>
      <c r="L5" s="9" t="s">
        <v>3</v>
      </c>
      <c r="M5" s="9"/>
      <c r="N5" s="83" t="s">
        <v>73</v>
      </c>
      <c r="O5" s="83"/>
      <c r="P5" s="83"/>
      <c r="Q5" s="83"/>
      <c r="R5" s="39"/>
    </row>
    <row r="6" spans="1:18" s="2" customFormat="1" ht="15" customHeight="1" x14ac:dyDescent="0.5">
      <c r="A6" s="3"/>
      <c r="B6" s="8" t="s">
        <v>1</v>
      </c>
      <c r="C6" s="38" t="s">
        <v>67</v>
      </c>
      <c r="D6" s="17"/>
      <c r="E6" s="17"/>
      <c r="F6" s="17"/>
      <c r="G6" s="17"/>
      <c r="H6" s="17"/>
      <c r="I6" s="17"/>
      <c r="K6" s="16"/>
      <c r="L6" s="9" t="s">
        <v>4</v>
      </c>
      <c r="M6" s="9"/>
      <c r="N6" s="84">
        <v>45747</v>
      </c>
      <c r="O6" s="84"/>
      <c r="P6" s="84"/>
      <c r="Q6" s="84"/>
      <c r="R6" s="39"/>
    </row>
    <row r="7" spans="1:18" s="2" customFormat="1" ht="15" customHeight="1" x14ac:dyDescent="0.5">
      <c r="A7" s="17"/>
      <c r="B7" s="8" t="s">
        <v>1</v>
      </c>
      <c r="C7" s="38" t="s">
        <v>46</v>
      </c>
      <c r="D7" s="17"/>
      <c r="E7" s="17"/>
      <c r="F7" s="17"/>
      <c r="G7" s="17"/>
      <c r="H7" s="17"/>
      <c r="I7" s="17"/>
      <c r="K7" s="3"/>
      <c r="L7" s="9" t="s">
        <v>5</v>
      </c>
      <c r="M7" s="9"/>
      <c r="N7" s="83" t="s">
        <v>84</v>
      </c>
      <c r="O7" s="83"/>
      <c r="P7" s="83"/>
      <c r="Q7" s="83"/>
      <c r="R7" s="39"/>
    </row>
    <row r="8" spans="1:18" s="2" customFormat="1" ht="15" customHeight="1" x14ac:dyDescent="0.5">
      <c r="A8" s="17"/>
      <c r="B8" s="8"/>
      <c r="C8" s="38"/>
      <c r="D8" s="17"/>
      <c r="E8" s="17"/>
      <c r="F8" s="17"/>
      <c r="G8" s="17"/>
      <c r="H8" s="17"/>
      <c r="I8" s="17"/>
      <c r="K8" s="17"/>
      <c r="L8" s="9" t="s">
        <v>6</v>
      </c>
      <c r="M8" s="9"/>
      <c r="N8" s="83" t="s">
        <v>85</v>
      </c>
      <c r="O8" s="83"/>
      <c r="P8" s="83"/>
      <c r="Q8" s="83"/>
      <c r="R8" s="39"/>
    </row>
    <row r="9" spans="1:18" s="2" customFormat="1" ht="15" customHeight="1" x14ac:dyDescent="0.5">
      <c r="A9" s="40"/>
      <c r="B9" s="8"/>
      <c r="C9" s="38"/>
      <c r="D9" s="40"/>
      <c r="E9" s="40"/>
      <c r="F9" s="40"/>
      <c r="G9" s="40"/>
      <c r="H9" s="40"/>
      <c r="I9" s="40"/>
      <c r="K9" s="17"/>
      <c r="L9" s="9" t="s">
        <v>7</v>
      </c>
      <c r="M9" s="9"/>
      <c r="N9" s="83" t="s">
        <v>9</v>
      </c>
      <c r="O9" s="83"/>
      <c r="P9" s="83"/>
      <c r="Q9" s="83"/>
      <c r="R9" s="39"/>
    </row>
    <row r="10" spans="1:18" s="2" customFormat="1" ht="15" customHeight="1" x14ac:dyDescent="0.5">
      <c r="A10" s="38"/>
      <c r="B10" s="8"/>
      <c r="C10" s="38"/>
      <c r="D10" s="38"/>
      <c r="E10" s="38"/>
      <c r="F10" s="38"/>
      <c r="G10" s="38"/>
      <c r="H10" s="38"/>
      <c r="I10" s="38"/>
      <c r="K10" s="17"/>
      <c r="L10" s="9" t="s">
        <v>8</v>
      </c>
      <c r="M10" s="9"/>
      <c r="N10" s="85">
        <v>0</v>
      </c>
      <c r="O10" s="85"/>
      <c r="P10" s="85"/>
      <c r="Q10" s="85"/>
      <c r="R10" s="46"/>
    </row>
    <row r="11" spans="1:18" s="2" customFormat="1" ht="15" customHeight="1" thickBot="1" x14ac:dyDescent="0.55000000000000004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5">
      <c r="A13" s="54"/>
      <c r="B13" s="82" t="s">
        <v>15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N13" s="1"/>
      <c r="O13" s="81" t="s">
        <v>11</v>
      </c>
      <c r="P13" s="81"/>
      <c r="Q13" s="81"/>
      <c r="R13" s="57"/>
    </row>
    <row r="14" spans="1:18" s="2" customFormat="1" ht="15" customHeight="1" x14ac:dyDescent="0.5">
      <c r="A14" s="55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N14" s="16"/>
      <c r="O14" s="26"/>
      <c r="P14" s="21"/>
      <c r="Q14" s="21"/>
      <c r="R14" s="55"/>
    </row>
    <row r="15" spans="1:18" s="2" customFormat="1" ht="15" customHeight="1" x14ac:dyDescent="0.5">
      <c r="A15" s="5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N15" s="3"/>
      <c r="O15" s="26"/>
      <c r="P15" s="51" t="s">
        <v>12</v>
      </c>
      <c r="Q15" s="21"/>
      <c r="R15" s="55"/>
    </row>
    <row r="16" spans="1:18" s="2" customFormat="1" ht="15" customHeight="1" x14ac:dyDescent="0.5">
      <c r="A16" s="5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N16" s="17"/>
      <c r="O16" s="26"/>
      <c r="P16" s="35" t="s">
        <v>13</v>
      </c>
      <c r="Q16" s="21"/>
      <c r="R16" s="55"/>
    </row>
    <row r="17" spans="1:18" s="2" customFormat="1" ht="15" customHeight="1" x14ac:dyDescent="0.5">
      <c r="A17" s="55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N17" s="17"/>
      <c r="O17" s="26"/>
      <c r="P17" t="s">
        <v>14</v>
      </c>
      <c r="Q17" s="21"/>
      <c r="R17" s="55"/>
    </row>
    <row r="18" spans="1:18" s="2" customFormat="1" ht="15" customHeight="1" x14ac:dyDescent="0.5">
      <c r="A18" s="38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38"/>
      <c r="O18" s="52"/>
      <c r="P18" s="52"/>
      <c r="Q18" s="52"/>
      <c r="R18" s="38"/>
    </row>
    <row r="19" spans="1:18" ht="14.7" thickBot="1" x14ac:dyDescent="0.55000000000000004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5">
      <c r="Q20" s="53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0"/>
  <sheetViews>
    <sheetView zoomScaleNormal="100" workbookViewId="0"/>
  </sheetViews>
  <sheetFormatPr defaultColWidth="9.1171875" defaultRowHeight="15" customHeight="1" x14ac:dyDescent="0.5"/>
  <cols>
    <col min="1" max="1" width="1.41015625" style="15" customWidth="1"/>
    <col min="2" max="2" width="35.05859375" bestFit="1" customWidth="1"/>
    <col min="3" max="13" width="11.64453125" customWidth="1"/>
    <col min="14" max="21" width="9.87890625" bestFit="1" customWidth="1"/>
    <col min="22" max="23" width="9.1171875" customWidth="1"/>
    <col min="24" max="105" width="9.87890625" bestFit="1" customWidth="1"/>
  </cols>
  <sheetData>
    <row r="1" spans="1:16" s="45" customFormat="1" ht="45" customHeight="1" x14ac:dyDescent="0.95">
      <c r="A1" s="5" t="str">
        <f>Info!A1</f>
        <v>Felix DCF Challenge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4" customFormat="1" ht="30" customHeight="1" x14ac:dyDescent="0.7">
      <c r="A2" s="14" t="s">
        <v>69</v>
      </c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5">
      <c r="A3"/>
    </row>
    <row r="4" spans="1:16" ht="15" customHeight="1" x14ac:dyDescent="0.5">
      <c r="A4" s="15" t="s">
        <v>70</v>
      </c>
    </row>
    <row r="5" spans="1:16" ht="15" customHeight="1" x14ac:dyDescent="0.5">
      <c r="A5"/>
      <c r="C5" s="63"/>
      <c r="J5" s="62"/>
    </row>
    <row r="6" spans="1:16" ht="15" customHeight="1" x14ac:dyDescent="0.5">
      <c r="A6"/>
      <c r="B6" s="12"/>
      <c r="C6" s="12" t="s">
        <v>59</v>
      </c>
      <c r="D6" s="12" t="s">
        <v>81</v>
      </c>
      <c r="E6" s="12" t="s">
        <v>86</v>
      </c>
      <c r="F6" s="12" t="s">
        <v>62</v>
      </c>
      <c r="G6" s="12" t="s">
        <v>63</v>
      </c>
      <c r="H6" s="12" t="s">
        <v>64</v>
      </c>
      <c r="I6" s="12" t="s">
        <v>65</v>
      </c>
      <c r="J6" s="12" t="s">
        <v>79</v>
      </c>
      <c r="K6" s="12" t="s">
        <v>80</v>
      </c>
      <c r="L6" s="12" t="s">
        <v>82</v>
      </c>
      <c r="M6" s="12" t="s">
        <v>87</v>
      </c>
    </row>
    <row r="7" spans="1:16" ht="15" customHeight="1" x14ac:dyDescent="0.5">
      <c r="A7"/>
      <c r="B7" t="s">
        <v>18</v>
      </c>
      <c r="C7" s="68">
        <v>3836</v>
      </c>
      <c r="D7" s="68">
        <v>4173.7</v>
      </c>
      <c r="E7" s="64">
        <v>4362.1000000000004</v>
      </c>
      <c r="F7">
        <f>(1+Assumptions!F6)*E7</f>
        <v>4362.1000000000004</v>
      </c>
      <c r="G7">
        <f>(1+Assumptions!G6)*F7</f>
        <v>4362.1000000000004</v>
      </c>
      <c r="H7">
        <f>(1+Assumptions!H6)*G7</f>
        <v>4362.1000000000004</v>
      </c>
      <c r="I7">
        <f>(1+Assumptions!I6)*H7</f>
        <v>4362.1000000000004</v>
      </c>
      <c r="J7">
        <f>(1+Assumptions!J6)*I7</f>
        <v>4362.1000000000004</v>
      </c>
      <c r="K7">
        <f>(1+Assumptions!K6)*J7</f>
        <v>4362.1000000000004</v>
      </c>
      <c r="L7">
        <f>(1+Assumptions!L6)*K7</f>
        <v>4362.1000000000004</v>
      </c>
      <c r="M7">
        <f>(1+Assumptions!M6)*L7</f>
        <v>4362.1000000000004</v>
      </c>
    </row>
    <row r="8" spans="1:16" ht="15" customHeight="1" x14ac:dyDescent="0.5">
      <c r="A8"/>
      <c r="B8" t="s">
        <v>19</v>
      </c>
      <c r="C8" s="68">
        <v>543.1</v>
      </c>
      <c r="D8" s="68">
        <v>623.6</v>
      </c>
      <c r="E8" s="64">
        <v>729.1</v>
      </c>
      <c r="F8">
        <f>Assumptions!F7*Activity!F7</f>
        <v>0</v>
      </c>
      <c r="G8">
        <f>Assumptions!G7*Activity!G7</f>
        <v>0</v>
      </c>
      <c r="H8">
        <f>Assumptions!H7*Activity!H7</f>
        <v>0</v>
      </c>
      <c r="I8">
        <f>Assumptions!I7*Activity!I7</f>
        <v>0</v>
      </c>
      <c r="J8">
        <f>Assumptions!J7*Activity!J7</f>
        <v>0</v>
      </c>
      <c r="K8">
        <f>Assumptions!K7*Activity!K7</f>
        <v>0</v>
      </c>
      <c r="L8">
        <f>Assumptions!L7*Activity!L7</f>
        <v>0</v>
      </c>
      <c r="M8">
        <f>Assumptions!M7*Activity!M7</f>
        <v>0</v>
      </c>
    </row>
    <row r="9" spans="1:16" ht="15" customHeight="1" x14ac:dyDescent="0.5">
      <c r="A9"/>
      <c r="B9" t="s">
        <v>31</v>
      </c>
      <c r="C9" s="68">
        <v>130.9</v>
      </c>
      <c r="D9" s="68">
        <v>200.7</v>
      </c>
      <c r="E9" s="64">
        <v>239.1</v>
      </c>
      <c r="F9">
        <f>Assumptions!F8*Activity!F7</f>
        <v>0</v>
      </c>
      <c r="G9">
        <f>Assumptions!G8*Activity!G7</f>
        <v>0</v>
      </c>
      <c r="H9">
        <f>Assumptions!H8*Activity!H7</f>
        <v>0</v>
      </c>
      <c r="I9">
        <f>Assumptions!I8*Activity!I7</f>
        <v>0</v>
      </c>
      <c r="J9">
        <f>Assumptions!J8*Activity!J7</f>
        <v>0</v>
      </c>
      <c r="K9">
        <f>Assumptions!K8*Activity!K7</f>
        <v>0</v>
      </c>
      <c r="L9">
        <f>Assumptions!L8*Activity!L7</f>
        <v>0</v>
      </c>
      <c r="M9">
        <f>Assumptions!M8*Activity!M7</f>
        <v>0</v>
      </c>
    </row>
    <row r="10" spans="1:16" ht="15" customHeight="1" x14ac:dyDescent="0.5">
      <c r="A10"/>
      <c r="B10" t="s">
        <v>32</v>
      </c>
      <c r="C10" s="68">
        <v>142.9</v>
      </c>
      <c r="D10" s="68">
        <v>146.1</v>
      </c>
      <c r="E10" s="64">
        <v>151.5</v>
      </c>
      <c r="F10">
        <f>Assumptions!F9*Activity!F9</f>
        <v>0</v>
      </c>
      <c r="G10">
        <f>Assumptions!G9*Activity!G9</f>
        <v>0</v>
      </c>
      <c r="H10">
        <f>Assumptions!H9*Activity!H9</f>
        <v>0</v>
      </c>
      <c r="I10">
        <f>Assumptions!I9*Activity!I9</f>
        <v>0</v>
      </c>
      <c r="J10">
        <f>Assumptions!J9*Activity!J9</f>
        <v>0</v>
      </c>
      <c r="K10">
        <f>Assumptions!K9*Activity!K9</f>
        <v>0</v>
      </c>
      <c r="L10">
        <f>Assumptions!L9*Activity!L9</f>
        <v>0</v>
      </c>
      <c r="M10">
        <f>Assumptions!M9*Activity!M9</f>
        <v>0</v>
      </c>
    </row>
    <row r="11" spans="1:16" ht="15" customHeight="1" x14ac:dyDescent="0.5">
      <c r="A11"/>
      <c r="B11" t="s">
        <v>33</v>
      </c>
      <c r="C11">
        <f t="shared" ref="C11:I11" si="0">C8-C10</f>
        <v>400.20000000000005</v>
      </c>
      <c r="D11">
        <f t="shared" si="0"/>
        <v>477.5</v>
      </c>
      <c r="E11">
        <f t="shared" si="0"/>
        <v>577.6</v>
      </c>
      <c r="F11">
        <f t="shared" si="0"/>
        <v>0</v>
      </c>
      <c r="G11">
        <f t="shared" si="0"/>
        <v>0</v>
      </c>
      <c r="H11">
        <f t="shared" si="0"/>
        <v>0</v>
      </c>
      <c r="I11">
        <f t="shared" si="0"/>
        <v>0</v>
      </c>
      <c r="J11">
        <f t="shared" ref="J11:K11" si="1">J8-J10</f>
        <v>0</v>
      </c>
      <c r="K11">
        <f t="shared" si="1"/>
        <v>0</v>
      </c>
      <c r="L11">
        <f t="shared" ref="L11:M11" si="2">L8-L10</f>
        <v>0</v>
      </c>
      <c r="M11">
        <f t="shared" si="2"/>
        <v>0</v>
      </c>
    </row>
    <row r="12" spans="1:16" ht="15" customHeight="1" x14ac:dyDescent="0.5">
      <c r="A12"/>
      <c r="B12" t="s">
        <v>34</v>
      </c>
      <c r="C12">
        <f>C11*(1-Assumptions!C10)</f>
        <v>361.90925925925933</v>
      </c>
      <c r="D12">
        <f>D11*(1-Assumptions!D10)</f>
        <v>270.13042005420056</v>
      </c>
      <c r="E12">
        <f>E11*(1-Assumptions!E10)</f>
        <v>454.73672083933349</v>
      </c>
      <c r="F12">
        <f>F11*(1-Assumptions!F10)</f>
        <v>0</v>
      </c>
      <c r="G12">
        <f>G11*(1-Assumptions!G10)</f>
        <v>0</v>
      </c>
      <c r="H12">
        <f>H11*(1-Assumptions!H10)</f>
        <v>0</v>
      </c>
      <c r="I12">
        <f>I11*(1-Assumptions!I10)</f>
        <v>0</v>
      </c>
      <c r="J12">
        <f>J11*(1-Assumptions!J10)</f>
        <v>0</v>
      </c>
      <c r="K12">
        <f>K11*(1-Assumptions!K10)</f>
        <v>0</v>
      </c>
      <c r="L12">
        <f>L11*(1-Assumptions!L10)</f>
        <v>0</v>
      </c>
      <c r="M12">
        <f>M11*(1-Assumptions!M10)</f>
        <v>0</v>
      </c>
    </row>
    <row r="13" spans="1:16" ht="15" customHeight="1" x14ac:dyDescent="0.5">
      <c r="A13"/>
      <c r="B13" t="s">
        <v>43</v>
      </c>
      <c r="C13" s="68">
        <f>579.2+64.1+1195.7+53.4-553.3-149.1-219.8</f>
        <v>970.20000000000027</v>
      </c>
      <c r="D13" s="68">
        <f>625+59.1+1247.5+62.2-163.6-524.8-256.8</f>
        <v>1048.6000000000001</v>
      </c>
      <c r="E13" s="64">
        <f>709.2+75.6+1353+86-609.1-169.4-249.6</f>
        <v>1195.7000000000003</v>
      </c>
      <c r="F13">
        <f>Assumptions!F11*Activity!F7</f>
        <v>0</v>
      </c>
      <c r="G13">
        <f>Assumptions!G11*Activity!G7</f>
        <v>0</v>
      </c>
      <c r="H13">
        <f>Assumptions!H11*Activity!H7</f>
        <v>0</v>
      </c>
      <c r="I13">
        <f>Assumptions!I11*Activity!I7</f>
        <v>0</v>
      </c>
      <c r="J13">
        <f>Assumptions!J11*Activity!J7</f>
        <v>0</v>
      </c>
      <c r="K13">
        <f>Assumptions!K11*Activity!K7</f>
        <v>0</v>
      </c>
      <c r="L13">
        <f>Assumptions!L11*Activity!L7</f>
        <v>0</v>
      </c>
      <c r="M13">
        <f>Assumptions!M11*Activity!M7</f>
        <v>0</v>
      </c>
    </row>
    <row r="14" spans="1:16" ht="15" customHeight="1" x14ac:dyDescent="0.5">
      <c r="A14"/>
      <c r="B14" t="s">
        <v>35</v>
      </c>
      <c r="E14">
        <f t="shared" ref="E14:I14" si="3">E12+E10-E9+(D13-E13)</f>
        <v>220.03672083933327</v>
      </c>
      <c r="F14">
        <f t="shared" si="3"/>
        <v>1195.7000000000003</v>
      </c>
      <c r="G14">
        <f t="shared" si="3"/>
        <v>0</v>
      </c>
      <c r="H14">
        <f t="shared" si="3"/>
        <v>0</v>
      </c>
      <c r="I14">
        <f t="shared" si="3"/>
        <v>0</v>
      </c>
      <c r="J14">
        <f t="shared" ref="J14" si="4">J12+J10-J9+(I13-J13)</f>
        <v>0</v>
      </c>
      <c r="K14">
        <f t="shared" ref="K14:M14" si="5">K12+K10-K9+(J13-K13)</f>
        <v>0</v>
      </c>
      <c r="L14">
        <f t="shared" si="5"/>
        <v>0</v>
      </c>
      <c r="M14">
        <f t="shared" si="5"/>
        <v>0</v>
      </c>
    </row>
    <row r="15" spans="1:16" ht="15" customHeight="1" x14ac:dyDescent="0.5">
      <c r="A15"/>
      <c r="E15" s="62"/>
      <c r="F15" s="62"/>
      <c r="G15" s="62"/>
      <c r="H15" s="62"/>
      <c r="I15" s="62"/>
      <c r="J15" s="62"/>
      <c r="K15" s="62"/>
      <c r="L15" s="62"/>
      <c r="M15" s="62"/>
    </row>
    <row r="16" spans="1:16" ht="15" customHeight="1" x14ac:dyDescent="0.5">
      <c r="A16"/>
      <c r="B16" t="s">
        <v>88</v>
      </c>
      <c r="F16">
        <f t="shared" ref="F16:M16" si="6">E19</f>
        <v>3129.3</v>
      </c>
      <c r="G16">
        <f t="shared" si="6"/>
        <v>1933.6</v>
      </c>
      <c r="H16">
        <f t="shared" si="6"/>
        <v>1933.6</v>
      </c>
      <c r="I16">
        <f t="shared" si="6"/>
        <v>1933.6</v>
      </c>
      <c r="J16">
        <f t="shared" si="6"/>
        <v>1933.6</v>
      </c>
      <c r="K16">
        <f t="shared" si="6"/>
        <v>1933.6</v>
      </c>
      <c r="L16">
        <f t="shared" si="6"/>
        <v>1933.6</v>
      </c>
      <c r="M16">
        <f t="shared" si="6"/>
        <v>1933.6</v>
      </c>
    </row>
    <row r="17" spans="1:13" ht="15" customHeight="1" x14ac:dyDescent="0.5">
      <c r="A17"/>
      <c r="B17" t="s">
        <v>75</v>
      </c>
      <c r="F17">
        <f t="shared" ref="F17:K17" si="7">F9-F10</f>
        <v>0</v>
      </c>
      <c r="G17">
        <f t="shared" si="7"/>
        <v>0</v>
      </c>
      <c r="H17">
        <f t="shared" si="7"/>
        <v>0</v>
      </c>
      <c r="I17">
        <f t="shared" si="7"/>
        <v>0</v>
      </c>
      <c r="J17">
        <f t="shared" si="7"/>
        <v>0</v>
      </c>
      <c r="K17">
        <f t="shared" si="7"/>
        <v>0</v>
      </c>
      <c r="L17">
        <f t="shared" ref="L17:M17" si="8">L9-L10</f>
        <v>0</v>
      </c>
      <c r="M17">
        <f t="shared" si="8"/>
        <v>0</v>
      </c>
    </row>
    <row r="18" spans="1:13" ht="15" customHeight="1" x14ac:dyDescent="0.5">
      <c r="A18"/>
      <c r="B18" t="s">
        <v>76</v>
      </c>
      <c r="F18">
        <f t="shared" ref="F18:M18" si="9">-(E13-F13)</f>
        <v>-1195.7000000000003</v>
      </c>
      <c r="G18">
        <f t="shared" si="9"/>
        <v>0</v>
      </c>
      <c r="H18">
        <f t="shared" si="9"/>
        <v>0</v>
      </c>
      <c r="I18">
        <f t="shared" si="9"/>
        <v>0</v>
      </c>
      <c r="J18">
        <f t="shared" si="9"/>
        <v>0</v>
      </c>
      <c r="K18">
        <f t="shared" si="9"/>
        <v>0</v>
      </c>
      <c r="L18">
        <f t="shared" si="9"/>
        <v>0</v>
      </c>
      <c r="M18">
        <f t="shared" si="9"/>
        <v>0</v>
      </c>
    </row>
    <row r="19" spans="1:13" ht="15" customHeight="1" x14ac:dyDescent="0.5">
      <c r="A19"/>
      <c r="B19" t="s">
        <v>89</v>
      </c>
      <c r="C19" s="68"/>
      <c r="D19" s="68"/>
      <c r="E19" s="68">
        <f>1850.4+104.8+1714.9+180.4-721.2</f>
        <v>3129.3</v>
      </c>
      <c r="F19">
        <f t="shared" ref="F19:K19" si="10">SUM(F16:F18)</f>
        <v>1933.6</v>
      </c>
      <c r="G19">
        <f t="shared" si="10"/>
        <v>1933.6</v>
      </c>
      <c r="H19">
        <f t="shared" si="10"/>
        <v>1933.6</v>
      </c>
      <c r="I19">
        <f t="shared" si="10"/>
        <v>1933.6</v>
      </c>
      <c r="J19">
        <f t="shared" si="10"/>
        <v>1933.6</v>
      </c>
      <c r="K19">
        <f t="shared" si="10"/>
        <v>1933.6</v>
      </c>
      <c r="L19">
        <f t="shared" ref="L19:M19" si="11">SUM(L16:L18)</f>
        <v>1933.6</v>
      </c>
      <c r="M19">
        <f t="shared" si="11"/>
        <v>1933.6</v>
      </c>
    </row>
    <row r="20" spans="1:13" ht="15" customHeight="1" x14ac:dyDescent="0.5">
      <c r="A20"/>
      <c r="B20" t="s">
        <v>58</v>
      </c>
      <c r="D20" s="62"/>
      <c r="E20" s="62"/>
      <c r="F20" s="62">
        <f t="shared" ref="F20:I20" si="12">F19/E19-1</f>
        <v>-0.3820982328316237</v>
      </c>
      <c r="G20" s="62">
        <f t="shared" si="12"/>
        <v>0</v>
      </c>
      <c r="H20" s="62">
        <f t="shared" si="12"/>
        <v>0</v>
      </c>
      <c r="I20" s="62">
        <f t="shared" si="12"/>
        <v>0</v>
      </c>
      <c r="J20" s="62">
        <f>J19/I19-1</f>
        <v>0</v>
      </c>
      <c r="K20" s="62">
        <f>K19/J19-1</f>
        <v>0</v>
      </c>
      <c r="L20" s="62">
        <f>L19/K19-1</f>
        <v>0</v>
      </c>
      <c r="M20" s="62">
        <f>M19/L19-1</f>
        <v>0</v>
      </c>
    </row>
    <row r="21" spans="1:13" ht="15" customHeight="1" x14ac:dyDescent="0.5">
      <c r="A21"/>
      <c r="D21" s="62"/>
      <c r="G21" s="62"/>
      <c r="H21" s="62"/>
      <c r="I21" s="62"/>
      <c r="J21" s="62"/>
      <c r="K21" s="62"/>
      <c r="L21" s="62"/>
      <c r="M21" s="62"/>
    </row>
    <row r="22" spans="1:13" ht="15" customHeight="1" x14ac:dyDescent="0.5">
      <c r="A22"/>
      <c r="B22" t="s">
        <v>77</v>
      </c>
      <c r="D22" s="62"/>
      <c r="E22" s="62"/>
      <c r="F22" s="62">
        <f t="shared" ref="F22:M22" si="13">F12/E19</f>
        <v>0</v>
      </c>
      <c r="G22" s="62">
        <f t="shared" si="13"/>
        <v>0</v>
      </c>
      <c r="H22" s="62">
        <f t="shared" si="13"/>
        <v>0</v>
      </c>
      <c r="I22" s="62">
        <f t="shared" si="13"/>
        <v>0</v>
      </c>
      <c r="J22" s="62">
        <f t="shared" si="13"/>
        <v>0</v>
      </c>
      <c r="K22" s="62">
        <f t="shared" si="13"/>
        <v>0</v>
      </c>
      <c r="L22" s="62">
        <f t="shared" si="13"/>
        <v>0</v>
      </c>
      <c r="M22" s="62">
        <f t="shared" si="13"/>
        <v>0</v>
      </c>
    </row>
    <row r="23" spans="1:13" ht="15" customHeight="1" x14ac:dyDescent="0.5">
      <c r="A23"/>
      <c r="B23" t="s">
        <v>78</v>
      </c>
      <c r="D23" s="62"/>
      <c r="E23" s="62">
        <f t="shared" ref="E23:K23" si="14">E12/E7</f>
        <v>0.10424720222813173</v>
      </c>
      <c r="F23" s="62">
        <f t="shared" si="14"/>
        <v>0</v>
      </c>
      <c r="G23" s="62">
        <f t="shared" si="14"/>
        <v>0</v>
      </c>
      <c r="H23" s="62">
        <f t="shared" si="14"/>
        <v>0</v>
      </c>
      <c r="I23" s="62">
        <f t="shared" si="14"/>
        <v>0</v>
      </c>
      <c r="J23" s="62">
        <f t="shared" si="14"/>
        <v>0</v>
      </c>
      <c r="K23" s="62">
        <f t="shared" si="14"/>
        <v>0</v>
      </c>
      <c r="L23" s="62">
        <f t="shared" ref="L23:M23" si="15">L12/L7</f>
        <v>0</v>
      </c>
      <c r="M23" s="62">
        <f t="shared" si="15"/>
        <v>0</v>
      </c>
    </row>
    <row r="24" spans="1:13" ht="15" customHeight="1" x14ac:dyDescent="0.5">
      <c r="A24"/>
      <c r="B24" t="s">
        <v>74</v>
      </c>
      <c r="D24" s="62"/>
      <c r="E24" s="62"/>
      <c r="F24" s="62">
        <f>F7/E19</f>
        <v>1.3939539194068962</v>
      </c>
      <c r="G24" s="62">
        <f t="shared" ref="G24:M24" si="16">G7/F19</f>
        <v>2.2559474555233763</v>
      </c>
      <c r="H24" s="62">
        <f t="shared" si="16"/>
        <v>2.2559474555233763</v>
      </c>
      <c r="I24" s="62">
        <f t="shared" si="16"/>
        <v>2.2559474555233763</v>
      </c>
      <c r="J24" s="62">
        <f t="shared" si="16"/>
        <v>2.2559474555233763</v>
      </c>
      <c r="K24" s="62">
        <f t="shared" si="16"/>
        <v>2.2559474555233763</v>
      </c>
      <c r="L24" s="62">
        <f t="shared" si="16"/>
        <v>2.2559474555233763</v>
      </c>
      <c r="M24" s="62">
        <f t="shared" si="16"/>
        <v>2.2559474555233763</v>
      </c>
    </row>
    <row r="25" spans="1:13" ht="15" customHeight="1" x14ac:dyDescent="0.5">
      <c r="A25"/>
    </row>
    <row r="26" spans="1:13" ht="15" customHeight="1" x14ac:dyDescent="0.5">
      <c r="A26"/>
    </row>
    <row r="27" spans="1:13" ht="15" customHeight="1" x14ac:dyDescent="0.5">
      <c r="A27"/>
      <c r="E27" s="63"/>
    </row>
    <row r="28" spans="1:13" ht="15" customHeight="1" x14ac:dyDescent="0.5">
      <c r="A28" s="15" t="s">
        <v>52</v>
      </c>
      <c r="C28" s="62"/>
      <c r="G28" s="62"/>
      <c r="H28" s="62"/>
      <c r="I28" s="62"/>
      <c r="J28" s="62"/>
    </row>
    <row r="29" spans="1:13" ht="15" customHeight="1" x14ac:dyDescent="0.5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  <row r="30" spans="1:13" ht="15" customHeight="1" x14ac:dyDescent="0.5">
      <c r="A30"/>
      <c r="B30" t="s">
        <v>20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3" ht="15" customHeight="1" x14ac:dyDescent="0.5">
      <c r="A31"/>
      <c r="B31" t="s">
        <v>21</v>
      </c>
      <c r="E31" s="65"/>
      <c r="G31" s="62"/>
      <c r="H31" s="62"/>
      <c r="I31" s="62"/>
      <c r="J31" s="62"/>
      <c r="K31" s="62"/>
      <c r="L31" s="62"/>
      <c r="M31" s="62"/>
    </row>
    <row r="32" spans="1:13" ht="15" customHeight="1" x14ac:dyDescent="0.5">
      <c r="A32"/>
      <c r="B32" t="s">
        <v>22</v>
      </c>
      <c r="E32" s="65"/>
    </row>
    <row r="33" spans="1:13" ht="15" customHeight="1" x14ac:dyDescent="0.5">
      <c r="A33"/>
      <c r="B33" t="s">
        <v>23</v>
      </c>
      <c r="E33" s="66"/>
    </row>
    <row r="34" spans="1:13" ht="15" customHeight="1" x14ac:dyDescent="0.5">
      <c r="A34"/>
      <c r="B34" t="s">
        <v>24</v>
      </c>
      <c r="E34" s="65"/>
    </row>
    <row r="35" spans="1:13" ht="15" customHeight="1" x14ac:dyDescent="0.5">
      <c r="A35"/>
      <c r="B35" t="s">
        <v>25</v>
      </c>
      <c r="E35" s="66"/>
    </row>
    <row r="36" spans="1:13" ht="15" customHeight="1" x14ac:dyDescent="0.5">
      <c r="A36"/>
    </row>
    <row r="37" spans="1:13" ht="15" customHeight="1" x14ac:dyDescent="0.5">
      <c r="A37"/>
      <c r="B37" t="s">
        <v>26</v>
      </c>
      <c r="E37" s="65"/>
    </row>
    <row r="38" spans="1:13" ht="15" customHeight="1" x14ac:dyDescent="0.5">
      <c r="A38"/>
      <c r="B38" t="s">
        <v>27</v>
      </c>
      <c r="E38" s="65"/>
    </row>
    <row r="39" spans="1:13" ht="15" customHeight="1" x14ac:dyDescent="0.5">
      <c r="A39"/>
      <c r="B39" t="s">
        <v>28</v>
      </c>
      <c r="E39" s="67"/>
    </row>
    <row r="40" spans="1:13" ht="15" customHeight="1" x14ac:dyDescent="0.5">
      <c r="A40"/>
      <c r="B40" t="s">
        <v>29</v>
      </c>
      <c r="E40" s="65"/>
    </row>
    <row r="41" spans="1:13" ht="15" customHeight="1" x14ac:dyDescent="0.5">
      <c r="A41"/>
      <c r="B41" t="s">
        <v>90</v>
      </c>
      <c r="E41" s="65"/>
    </row>
    <row r="42" spans="1:13" ht="15" customHeight="1" x14ac:dyDescent="0.5">
      <c r="A42"/>
      <c r="B42" t="s">
        <v>30</v>
      </c>
      <c r="E42" s="73"/>
    </row>
    <row r="43" spans="1:13" ht="15" customHeight="1" x14ac:dyDescent="0.5">
      <c r="A43"/>
      <c r="B43" t="s">
        <v>83</v>
      </c>
    </row>
    <row r="44" spans="1:13" ht="15" customHeight="1" x14ac:dyDescent="0.5">
      <c r="A44"/>
      <c r="B44" t="s">
        <v>38</v>
      </c>
      <c r="E44" s="59"/>
    </row>
    <row r="45" spans="1:13" ht="15" customHeight="1" x14ac:dyDescent="0.5">
      <c r="A45"/>
    </row>
    <row r="46" spans="1:13" ht="15" customHeight="1" x14ac:dyDescent="0.5">
      <c r="A46" s="15" t="s">
        <v>53</v>
      </c>
    </row>
    <row r="47" spans="1:13" ht="15" customHeight="1" x14ac:dyDescent="0.5">
      <c r="A47" s="61"/>
    </row>
    <row r="48" spans="1:13" ht="15" customHeight="1" x14ac:dyDescent="0.5">
      <c r="A48"/>
      <c r="B48" s="12"/>
      <c r="C48" s="12" t="s">
        <v>59</v>
      </c>
      <c r="D48" s="12" t="s">
        <v>60</v>
      </c>
      <c r="E48" s="12" t="s">
        <v>61</v>
      </c>
      <c r="F48" s="12" t="s">
        <v>62</v>
      </c>
      <c r="G48" s="12" t="s">
        <v>63</v>
      </c>
      <c r="H48" s="12" t="s">
        <v>64</v>
      </c>
      <c r="I48" s="12" t="s">
        <v>65</v>
      </c>
      <c r="J48" s="12" t="s">
        <v>79</v>
      </c>
      <c r="K48" s="12" t="s">
        <v>80</v>
      </c>
      <c r="L48" s="12" t="s">
        <v>82</v>
      </c>
      <c r="M48" s="12" t="s">
        <v>82</v>
      </c>
    </row>
    <row r="49" spans="1:13" ht="15" customHeight="1" x14ac:dyDescent="0.5">
      <c r="A49"/>
      <c r="B49" t="s">
        <v>51</v>
      </c>
      <c r="E49" s="68"/>
      <c r="F49" s="68">
        <v>0.5</v>
      </c>
      <c r="G49">
        <f>F49+1</f>
        <v>1.5</v>
      </c>
      <c r="H49">
        <f t="shared" ref="H49" si="17">G49+1</f>
        <v>2.5</v>
      </c>
      <c r="I49">
        <f t="shared" ref="I49:M49" si="18">H49+1</f>
        <v>3.5</v>
      </c>
      <c r="J49">
        <f t="shared" si="18"/>
        <v>4.5</v>
      </c>
      <c r="K49">
        <f t="shared" si="18"/>
        <v>5.5</v>
      </c>
      <c r="L49">
        <f t="shared" si="18"/>
        <v>6.5</v>
      </c>
      <c r="M49">
        <f t="shared" si="18"/>
        <v>7.5</v>
      </c>
    </row>
    <row r="50" spans="1:13" ht="15" customHeight="1" x14ac:dyDescent="0.5">
      <c r="B50" t="s">
        <v>37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</row>
    <row r="51" spans="1:13" ht="15" customHeight="1" x14ac:dyDescent="0.5">
      <c r="B51" t="s">
        <v>35</v>
      </c>
    </row>
    <row r="52" spans="1:13" ht="15" customHeight="1" x14ac:dyDescent="0.5">
      <c r="A52"/>
      <c r="B52" t="s">
        <v>45</v>
      </c>
    </row>
    <row r="53" spans="1:13" ht="15" customHeight="1" x14ac:dyDescent="0.5">
      <c r="A53"/>
    </row>
    <row r="54" spans="1:13" ht="15" customHeight="1" x14ac:dyDescent="0.5">
      <c r="A54"/>
      <c r="B54" t="s">
        <v>39</v>
      </c>
    </row>
    <row r="55" spans="1:13" ht="15" customHeight="1" x14ac:dyDescent="0.5">
      <c r="A55"/>
      <c r="B55" t="s">
        <v>40</v>
      </c>
    </row>
    <row r="56" spans="1:13" ht="15" customHeight="1" x14ac:dyDescent="0.5">
      <c r="B56" t="s">
        <v>44</v>
      </c>
    </row>
    <row r="57" spans="1:13" ht="15" customHeight="1" x14ac:dyDescent="0.5">
      <c r="B57" t="s">
        <v>71</v>
      </c>
      <c r="E57" s="64"/>
    </row>
    <row r="58" spans="1:13" ht="15" customHeight="1" x14ac:dyDescent="0.5">
      <c r="B58" t="s">
        <v>47</v>
      </c>
      <c r="E58" s="64"/>
    </row>
    <row r="59" spans="1:13" ht="15" customHeight="1" x14ac:dyDescent="0.5">
      <c r="B59" t="s">
        <v>92</v>
      </c>
      <c r="E59" s="64"/>
    </row>
    <row r="60" spans="1:13" ht="15" customHeight="1" x14ac:dyDescent="0.5">
      <c r="B60" t="s">
        <v>91</v>
      </c>
      <c r="E60" s="64"/>
    </row>
    <row r="61" spans="1:13" ht="15" customHeight="1" x14ac:dyDescent="0.5">
      <c r="B61" t="s">
        <v>93</v>
      </c>
      <c r="E61" s="69"/>
    </row>
    <row r="62" spans="1:13" ht="15" customHeight="1" x14ac:dyDescent="0.5">
      <c r="B62" t="s">
        <v>48</v>
      </c>
    </row>
    <row r="63" spans="1:13" ht="15" customHeight="1" x14ac:dyDescent="0.5">
      <c r="B63" t="s">
        <v>94</v>
      </c>
      <c r="E63" s="64"/>
    </row>
    <row r="64" spans="1:13" ht="15" customHeight="1" x14ac:dyDescent="0.5">
      <c r="B64" t="s">
        <v>49</v>
      </c>
    </row>
    <row r="65" spans="1:10" ht="15" customHeight="1" x14ac:dyDescent="0.5">
      <c r="B65" t="s">
        <v>50</v>
      </c>
      <c r="E65" s="64"/>
      <c r="J65" s="62"/>
    </row>
    <row r="66" spans="1:10" ht="15" customHeight="1" x14ac:dyDescent="0.5">
      <c r="B66" t="s">
        <v>54</v>
      </c>
      <c r="E66" s="62"/>
    </row>
    <row r="67" spans="1:10" ht="15" customHeight="1" x14ac:dyDescent="0.5">
      <c r="A67"/>
    </row>
    <row r="68" spans="1:10" ht="15" customHeight="1" x14ac:dyDescent="0.5">
      <c r="A68"/>
      <c r="B68" t="s">
        <v>72</v>
      </c>
      <c r="E68" s="70"/>
    </row>
    <row r="70" spans="1:10" ht="15" customHeight="1" x14ac:dyDescent="0.5">
      <c r="A70" s="15" t="s">
        <v>16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45" max="17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4619-B87C-4A0B-9777-E38099EF6669}">
  <sheetPr>
    <pageSetUpPr fitToPage="1"/>
  </sheetPr>
  <dimension ref="A1:R22"/>
  <sheetViews>
    <sheetView zoomScaleNormal="100" workbookViewId="0"/>
  </sheetViews>
  <sheetFormatPr defaultColWidth="9.1171875" defaultRowHeight="15" customHeight="1" x14ac:dyDescent="0.5"/>
  <cols>
    <col min="1" max="1" width="1.41015625" style="15" customWidth="1"/>
    <col min="2" max="2" width="23.1171875" customWidth="1"/>
    <col min="3" max="13" width="11.64453125" customWidth="1"/>
    <col min="14" max="14" width="9.17578125" customWidth="1"/>
    <col min="15" max="23" width="9.87890625" bestFit="1" customWidth="1"/>
    <col min="24" max="25" width="9.1171875" customWidth="1"/>
    <col min="26" max="107" width="9.87890625" bestFit="1" customWidth="1"/>
  </cols>
  <sheetData>
    <row r="1" spans="1:18" s="45" customFormat="1" ht="45" customHeight="1" x14ac:dyDescent="0.95">
      <c r="A1" s="5" t="str">
        <f>Info!A1</f>
        <v>Felix DCF Challenge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s="34" customFormat="1" ht="30" customHeight="1" x14ac:dyDescent="0.7">
      <c r="A2" s="14" t="s">
        <v>57</v>
      </c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customHeight="1" x14ac:dyDescent="0.5">
      <c r="A3"/>
    </row>
    <row r="4" spans="1:18" ht="15" customHeight="1" x14ac:dyDescent="0.5">
      <c r="A4"/>
      <c r="C4" s="63"/>
    </row>
    <row r="5" spans="1:18" ht="15" customHeight="1" x14ac:dyDescent="0.5">
      <c r="A5"/>
      <c r="B5" s="12"/>
      <c r="C5" s="12" t="s">
        <v>59</v>
      </c>
      <c r="D5" s="12" t="s">
        <v>81</v>
      </c>
      <c r="E5" s="12" t="s">
        <v>86</v>
      </c>
      <c r="F5" s="12" t="s">
        <v>62</v>
      </c>
      <c r="G5" s="12" t="s">
        <v>63</v>
      </c>
      <c r="H5" s="12" t="s">
        <v>64</v>
      </c>
      <c r="I5" s="12" t="s">
        <v>65</v>
      </c>
      <c r="J5" s="12" t="s">
        <v>79</v>
      </c>
      <c r="K5" s="12" t="s">
        <v>80</v>
      </c>
      <c r="L5" s="12" t="s">
        <v>82</v>
      </c>
      <c r="M5" s="12" t="s">
        <v>87</v>
      </c>
    </row>
    <row r="6" spans="1:18" ht="15" customHeight="1" x14ac:dyDescent="0.5">
      <c r="A6"/>
      <c r="B6" t="s">
        <v>55</v>
      </c>
      <c r="C6" s="71">
        <v>0.37</v>
      </c>
      <c r="D6" s="62">
        <f>Activity!D7/Activity!C7-1</f>
        <v>8.8034410844629818E-2</v>
      </c>
      <c r="E6" s="62">
        <f>Activity!E7/Activity!D7-1</f>
        <v>4.5139804010829954E-2</v>
      </c>
      <c r="F6" s="60"/>
      <c r="G6" s="60"/>
      <c r="H6" s="60"/>
      <c r="I6" s="60"/>
      <c r="J6" s="60"/>
      <c r="K6" s="60"/>
      <c r="L6" s="60"/>
      <c r="M6" s="60"/>
    </row>
    <row r="7" spans="1:18" ht="15" customHeight="1" x14ac:dyDescent="0.5">
      <c r="A7"/>
      <c r="B7" t="s">
        <v>56</v>
      </c>
      <c r="C7" s="71">
        <v>0.14199999999999999</v>
      </c>
      <c r="D7" s="62">
        <f>Activity!D8/Activity!D7</f>
        <v>0.14941179289359563</v>
      </c>
      <c r="E7" s="62">
        <f>Activity!E8/Activity!E7</f>
        <v>0.16714426537676808</v>
      </c>
      <c r="F7" s="60"/>
      <c r="G7" s="60"/>
      <c r="H7" s="60"/>
      <c r="I7" s="60"/>
      <c r="J7" s="60"/>
      <c r="K7" s="60"/>
      <c r="L7" s="60"/>
      <c r="M7" s="60"/>
    </row>
    <row r="8" spans="1:18" ht="15" customHeight="1" x14ac:dyDescent="0.5">
      <c r="A8"/>
      <c r="B8" t="s">
        <v>41</v>
      </c>
      <c r="C8" s="62">
        <f>Activity!C9/Activity!C7</f>
        <v>3.412408759124088E-2</v>
      </c>
      <c r="D8" s="62">
        <f>Activity!D9/Activity!D7</f>
        <v>4.8086829431918922E-2</v>
      </c>
      <c r="E8" s="62">
        <f>Activity!E9/Activity!E7</f>
        <v>5.4813048760917901E-2</v>
      </c>
      <c r="F8" s="59"/>
      <c r="G8" s="59"/>
      <c r="H8" s="59"/>
      <c r="I8" s="59"/>
      <c r="J8" s="59"/>
      <c r="K8" s="59"/>
      <c r="L8" s="59"/>
      <c r="M8" s="59"/>
    </row>
    <row r="9" spans="1:18" ht="15" customHeight="1" x14ac:dyDescent="0.5">
      <c r="A9"/>
      <c r="B9" t="s">
        <v>66</v>
      </c>
      <c r="C9" s="62">
        <f>Activity!C10/Activity!C9</f>
        <v>1.0916730328495035</v>
      </c>
      <c r="D9" s="62">
        <f>Activity!D10/Activity!D9</f>
        <v>0.72795216741405089</v>
      </c>
      <c r="E9" s="62">
        <v>0.73</v>
      </c>
      <c r="F9" s="60"/>
      <c r="G9" s="60"/>
      <c r="H9" s="60"/>
      <c r="I9" s="60"/>
      <c r="J9" s="60"/>
      <c r="K9" s="60"/>
      <c r="L9" s="60"/>
      <c r="M9" s="60"/>
    </row>
    <row r="10" spans="1:18" ht="15" customHeight="1" x14ac:dyDescent="0.5">
      <c r="A10"/>
      <c r="B10" t="s">
        <v>36</v>
      </c>
      <c r="C10" s="71">
        <f>15.5/162</f>
        <v>9.5679012345679007E-2</v>
      </c>
      <c r="D10" s="71">
        <f>128.2/295.2</f>
        <v>0.43428184281842819</v>
      </c>
      <c r="E10" s="71">
        <f>103.4/486.1</f>
        <v>0.21271343344990742</v>
      </c>
      <c r="F10" s="59"/>
      <c r="G10" s="59"/>
      <c r="H10" s="59"/>
      <c r="I10" s="59"/>
      <c r="J10" s="59"/>
      <c r="K10" s="59"/>
      <c r="L10" s="59"/>
      <c r="M10" s="59"/>
    </row>
    <row r="11" spans="1:18" ht="15" customHeight="1" x14ac:dyDescent="0.5">
      <c r="A11"/>
      <c r="B11" t="s">
        <v>42</v>
      </c>
      <c r="C11" s="62">
        <f>Activity!C13/Activity!C7</f>
        <v>0.25291970802919717</v>
      </c>
      <c r="D11" s="62">
        <f>Activity!D13/Activity!D7</f>
        <v>0.25123990703692173</v>
      </c>
      <c r="E11" s="62">
        <f>Activity!E13/Activity!E7</f>
        <v>0.27411109328075933</v>
      </c>
      <c r="F11" s="59"/>
      <c r="G11" s="59"/>
      <c r="H11" s="59"/>
      <c r="I11" s="59"/>
      <c r="J11" s="59"/>
      <c r="K11" s="59"/>
      <c r="L11" s="59"/>
      <c r="M11" s="59"/>
    </row>
    <row r="13" spans="1:18" ht="15" customHeight="1" x14ac:dyDescent="0.5">
      <c r="A13" s="15" t="s">
        <v>16</v>
      </c>
    </row>
    <row r="18" spans="5:13" ht="15" customHeight="1" x14ac:dyDescent="0.5">
      <c r="E18" s="62"/>
      <c r="F18" s="62"/>
      <c r="G18" s="62"/>
      <c r="H18" s="62"/>
      <c r="I18" s="62"/>
      <c r="J18" s="62"/>
      <c r="K18" s="62"/>
      <c r="L18" s="62"/>
      <c r="M18" s="62"/>
    </row>
    <row r="22" spans="5:13" ht="15" customHeight="1" x14ac:dyDescent="0.5">
      <c r="E22" s="62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50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3EBFE-2490-4F26-BCD9-D6BE20D8154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865BAFBA-20BC-4140-8504-D94FE91EB7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A1AC6-F0EF-4E94-A180-29869C7B1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Welcome</vt:lpstr>
      <vt:lpstr>Info</vt:lpstr>
      <vt:lpstr>Activity</vt:lpstr>
      <vt:lpstr>Assumptions</vt:lpstr>
      <vt:lpstr>Activity!Print_Area</vt:lpstr>
      <vt:lpstr>Assumptions!Print_Area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2017-03-03T09:51:24Z</cp:lastPrinted>
  <dcterms:created xsi:type="dcterms:W3CDTF">2016-02-03T14:06:14Z</dcterms:created>
  <dcterms:modified xsi:type="dcterms:W3CDTF">2025-05-14T13:54:30Z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