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6710 Felix Debt Capacity Challenge - Intermediate - done/Elearning/2. Income Statement Adjustments/"/>
    </mc:Choice>
  </mc:AlternateContent>
  <xr:revisionPtr revIDLastSave="0" documentId="8_{83D7BE7A-60B7-4F3C-8707-EE25618FB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Activity" sheetId="2" r:id="rId3"/>
    <sheet name="Model" sheetId="9" r:id="rId4"/>
  </sheets>
  <definedNames>
    <definedName name="_xlnm.Print_Area" localSheetId="2">Activity!$A$1:$N$35</definedName>
    <definedName name="_xlnm.Print_Area" localSheetId="3">Model!$A$1:$Q$109</definedName>
    <definedName name="switch">Info!$N$10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9" l="1"/>
  <c r="F87" i="9"/>
  <c r="G87" i="9"/>
  <c r="H87" i="9"/>
  <c r="I87" i="9"/>
  <c r="D87" i="9"/>
  <c r="E91" i="9"/>
  <c r="F91" i="9"/>
  <c r="G91" i="9"/>
  <c r="H91" i="9"/>
  <c r="I91" i="9"/>
  <c r="D91" i="9"/>
  <c r="E81" i="9"/>
  <c r="F81" i="9"/>
  <c r="G81" i="9"/>
  <c r="H81" i="9"/>
  <c r="I81" i="9"/>
  <c r="D81" i="9"/>
  <c r="C31" i="9"/>
  <c r="C71" i="9"/>
  <c r="C63" i="9"/>
  <c r="C70" i="9"/>
  <c r="C61" i="9"/>
  <c r="C58" i="9"/>
  <c r="C6" i="9"/>
  <c r="C34" i="9"/>
  <c r="C20" i="9" s="1"/>
  <c r="C103" i="9"/>
  <c r="D69" i="9"/>
  <c r="E69" i="9" s="1"/>
  <c r="F69" i="9" s="1"/>
  <c r="G69" i="9" s="1"/>
  <c r="H69" i="9" s="1"/>
  <c r="I69" i="9" s="1"/>
  <c r="D28" i="9"/>
  <c r="E28" i="9" l="1"/>
  <c r="F28" i="9" s="1"/>
  <c r="F29" i="9" s="1"/>
  <c r="D29" i="9"/>
  <c r="D71" i="9"/>
  <c r="E71" i="9" s="1"/>
  <c r="F71" i="9" s="1"/>
  <c r="G71" i="9" s="1"/>
  <c r="H71" i="9" s="1"/>
  <c r="I71" i="9" s="1"/>
  <c r="E88" i="9"/>
  <c r="F88" i="9"/>
  <c r="G88" i="9"/>
  <c r="H88" i="9"/>
  <c r="I88" i="9"/>
  <c r="D88" i="9"/>
  <c r="E35" i="9"/>
  <c r="F35" i="9"/>
  <c r="G35" i="9"/>
  <c r="H35" i="9"/>
  <c r="I35" i="9"/>
  <c r="D35" i="9"/>
  <c r="G28" i="9" l="1"/>
  <c r="G29" i="9" s="1"/>
  <c r="E29" i="9"/>
  <c r="C59" i="9"/>
  <c r="H28" i="9" l="1"/>
  <c r="I28" i="9" s="1"/>
  <c r="H29" i="9" l="1"/>
  <c r="I29" i="9"/>
  <c r="E32" i="9"/>
  <c r="F32" i="9"/>
  <c r="G32" i="9"/>
  <c r="H32" i="9"/>
  <c r="I32" i="9"/>
  <c r="D32" i="9"/>
  <c r="C14" i="9"/>
  <c r="D42" i="9"/>
  <c r="D89" i="9" s="1"/>
  <c r="C100" i="9"/>
  <c r="C17" i="9"/>
  <c r="C44" i="9"/>
  <c r="D41" i="9" s="1"/>
  <c r="D62" i="9"/>
  <c r="E62" i="9" s="1"/>
  <c r="F62" i="9" s="1"/>
  <c r="G62" i="9" s="1"/>
  <c r="H62" i="9" s="1"/>
  <c r="I62" i="9" s="1"/>
  <c r="C67" i="9"/>
  <c r="C72" i="9" s="1"/>
  <c r="C54" i="9"/>
  <c r="D51" i="9" s="1"/>
  <c r="C43" i="9"/>
  <c r="C9" i="9" s="1"/>
  <c r="C33" i="9"/>
  <c r="C36" i="9" s="1"/>
  <c r="C8" i="9"/>
  <c r="C7" i="9"/>
  <c r="C38" i="9" l="1"/>
  <c r="C12" i="9"/>
  <c r="D63" i="9"/>
  <c r="D83" i="9" s="1"/>
  <c r="D58" i="9"/>
  <c r="D82" i="9" s="1"/>
  <c r="D70" i="9"/>
  <c r="D84" i="9" s="1"/>
  <c r="C18" i="9"/>
  <c r="C64" i="9"/>
  <c r="C75" i="9"/>
  <c r="D43" i="9"/>
  <c r="D30" i="9" s="1"/>
  <c r="D31" i="9" s="1"/>
  <c r="C97" i="9"/>
  <c r="D96" i="9" s="1"/>
  <c r="D33" i="9" l="1"/>
  <c r="C13" i="9"/>
  <c r="E58" i="9"/>
  <c r="E82" i="9" s="1"/>
  <c r="E42" i="9"/>
  <c r="E89" i="9" s="1"/>
  <c r="E70" i="9"/>
  <c r="E84" i="9" s="1"/>
  <c r="E63" i="9"/>
  <c r="E83" i="9" s="1"/>
  <c r="C77" i="9"/>
  <c r="D44" i="9"/>
  <c r="D61" i="9" s="1"/>
  <c r="E41" i="9" l="1"/>
  <c r="E43" i="9" s="1"/>
  <c r="E30" i="9" s="1"/>
  <c r="E31" i="9" s="1"/>
  <c r="F58" i="9"/>
  <c r="F82" i="9" s="1"/>
  <c r="F42" i="9"/>
  <c r="F89" i="9" s="1"/>
  <c r="F70" i="9"/>
  <c r="F84" i="9" s="1"/>
  <c r="F63" i="9"/>
  <c r="F83" i="9" s="1"/>
  <c r="A7" i="1"/>
  <c r="E44" i="9" l="1"/>
  <c r="E61" i="9" s="1"/>
  <c r="G58" i="9"/>
  <c r="G82" i="9" s="1"/>
  <c r="G42" i="9"/>
  <c r="G89" i="9" s="1"/>
  <c r="G63" i="9"/>
  <c r="G83" i="9" s="1"/>
  <c r="G70" i="9"/>
  <c r="G84" i="9" s="1"/>
  <c r="A1" i="6"/>
  <c r="F41" i="9" l="1"/>
  <c r="F43" i="9" s="1"/>
  <c r="F30" i="9" s="1"/>
  <c r="F31" i="9" s="1"/>
  <c r="E33" i="9"/>
  <c r="H58" i="9"/>
  <c r="H82" i="9" s="1"/>
  <c r="H42" i="9"/>
  <c r="H89" i="9" s="1"/>
  <c r="A1" i="2"/>
  <c r="A1" i="9"/>
  <c r="H70" i="9"/>
  <c r="H84" i="9" s="1"/>
  <c r="H63" i="9"/>
  <c r="H83" i="9" s="1"/>
  <c r="F44" i="9" l="1"/>
  <c r="F61" i="9" s="1"/>
  <c r="I58" i="9"/>
  <c r="I82" i="9" s="1"/>
  <c r="I42" i="9"/>
  <c r="I89" i="9" s="1"/>
  <c r="I70" i="9"/>
  <c r="I84" i="9" s="1"/>
  <c r="I63" i="9"/>
  <c r="I83" i="9" s="1"/>
  <c r="G41" i="9" l="1"/>
  <c r="G43" i="9" s="1"/>
  <c r="G30" i="9" s="1"/>
  <c r="G31" i="9" s="1"/>
  <c r="F33" i="9"/>
  <c r="G44" i="9" l="1"/>
  <c r="G61" i="9" s="1"/>
  <c r="G33" i="9" l="1"/>
  <c r="H41" i="9"/>
  <c r="H43" i="9" l="1"/>
  <c r="H30" i="9" s="1"/>
  <c r="H31" i="9" s="1"/>
  <c r="H44" i="9" l="1"/>
  <c r="H61" i="9" s="1"/>
  <c r="I41" i="9" l="1"/>
  <c r="I43" i="9" s="1"/>
  <c r="I30" i="9" s="1"/>
  <c r="I31" i="9" s="1"/>
  <c r="H33" i="9"/>
  <c r="I44" i="9" l="1"/>
  <c r="I61" i="9" s="1"/>
  <c r="I33" i="9" l="1"/>
  <c r="I34" i="9" l="1"/>
  <c r="I36" i="9"/>
  <c r="I37" i="9"/>
  <c r="I38" i="9" s="1"/>
  <c r="F37" i="9"/>
  <c r="F38" i="9" s="1"/>
  <c r="D34" i="9"/>
  <c r="D36" i="9" s="1"/>
  <c r="E34" i="9"/>
  <c r="E36" i="9" s="1"/>
  <c r="F34" i="9"/>
  <c r="F36" i="9"/>
  <c r="G34" i="9"/>
  <c r="G36" i="9"/>
  <c r="G37" i="9" s="1"/>
  <c r="G38" i="9" s="1"/>
  <c r="H34" i="9"/>
  <c r="H36" i="9"/>
  <c r="H37" i="9" s="1"/>
  <c r="H38" i="9" s="1"/>
  <c r="F53" i="9" l="1"/>
  <c r="F92" i="9" s="1"/>
  <c r="F93" i="9" s="1"/>
  <c r="F52" i="9"/>
  <c r="F80" i="9"/>
  <c r="F85" i="9" s="1"/>
  <c r="F95" i="9" s="1"/>
  <c r="I80" i="9"/>
  <c r="I85" i="9" s="1"/>
  <c r="I53" i="9"/>
  <c r="I92" i="9" s="1"/>
  <c r="I93" i="9" s="1"/>
  <c r="I52" i="9"/>
  <c r="H52" i="9"/>
  <c r="H53" i="9"/>
  <c r="H92" i="9" s="1"/>
  <c r="H93" i="9" s="1"/>
  <c r="H80" i="9"/>
  <c r="H85" i="9" s="1"/>
  <c r="H95" i="9" s="1"/>
  <c r="G52" i="9"/>
  <c r="G53" i="9"/>
  <c r="G92" i="9" s="1"/>
  <c r="G93" i="9" s="1"/>
  <c r="G80" i="9"/>
  <c r="G85" i="9" s="1"/>
  <c r="G95" i="9" s="1"/>
  <c r="E37" i="9"/>
  <c r="E38" i="9"/>
  <c r="D37" i="9"/>
  <c r="D38" i="9"/>
  <c r="E80" i="9" l="1"/>
  <c r="E85" i="9" s="1"/>
  <c r="E53" i="9"/>
  <c r="E92" i="9" s="1"/>
  <c r="E93" i="9" s="1"/>
  <c r="E52" i="9"/>
  <c r="I95" i="9"/>
  <c r="D53" i="9"/>
  <c r="D92" i="9" s="1"/>
  <c r="D93" i="9" s="1"/>
  <c r="D52" i="9"/>
  <c r="D54" i="9" s="1"/>
  <c r="D80" i="9"/>
  <c r="D85" i="9" s="1"/>
  <c r="D95" i="9" s="1"/>
  <c r="D97" i="9" s="1"/>
  <c r="D57" i="9" l="1"/>
  <c r="D66" i="9"/>
  <c r="E96" i="9"/>
  <c r="E51" i="9"/>
  <c r="E54" i="9" s="1"/>
  <c r="D74" i="9"/>
  <c r="E95" i="9"/>
  <c r="D67" i="9" l="1"/>
  <c r="D72" i="9" s="1"/>
  <c r="D75" i="9" s="1"/>
  <c r="D103" i="9"/>
  <c r="E97" i="9"/>
  <c r="F51" i="9"/>
  <c r="F54" i="9" s="1"/>
  <c r="E74" i="9"/>
  <c r="D59" i="9"/>
  <c r="D64" i="9" s="1"/>
  <c r="D100" i="9"/>
  <c r="F74" i="9" l="1"/>
  <c r="G51" i="9"/>
  <c r="G54" i="9" s="1"/>
  <c r="E57" i="9"/>
  <c r="F96" i="9"/>
  <c r="F97" i="9" s="1"/>
  <c r="E66" i="9"/>
  <c r="D104" i="9"/>
  <c r="D101" i="9"/>
  <c r="D77" i="9"/>
  <c r="D109" i="9" l="1"/>
  <c r="E103" i="9"/>
  <c r="E67" i="9"/>
  <c r="E72" i="9" s="1"/>
  <c r="E75" i="9" s="1"/>
  <c r="H51" i="9"/>
  <c r="H54" i="9" s="1"/>
  <c r="G74" i="9"/>
  <c r="G96" i="9"/>
  <c r="G97" i="9" s="1"/>
  <c r="F66" i="9"/>
  <c r="F57" i="9"/>
  <c r="E59" i="9"/>
  <c r="E64" i="9" s="1"/>
  <c r="E100" i="9"/>
  <c r="F59" i="9" l="1"/>
  <c r="F64" i="9" s="1"/>
  <c r="F100" i="9"/>
  <c r="F103" i="9"/>
  <c r="F67" i="9"/>
  <c r="F72" i="9" s="1"/>
  <c r="F75" i="9" s="1"/>
  <c r="F77" i="9" s="1"/>
  <c r="G66" i="9"/>
  <c r="G57" i="9"/>
  <c r="H96" i="9"/>
  <c r="H97" i="9" s="1"/>
  <c r="E77" i="9"/>
  <c r="E104" i="9"/>
  <c r="E101" i="9"/>
  <c r="I51" i="9"/>
  <c r="I54" i="9" s="1"/>
  <c r="I74" i="9" s="1"/>
  <c r="H74" i="9"/>
  <c r="F101" i="9" l="1"/>
  <c r="E109" i="9"/>
  <c r="F104" i="9"/>
  <c r="F109" i="9" s="1"/>
  <c r="H66" i="9"/>
  <c r="H57" i="9"/>
  <c r="I96" i="9"/>
  <c r="I97" i="9" s="1"/>
  <c r="G100" i="9"/>
  <c r="G59" i="9"/>
  <c r="G64" i="9" s="1"/>
  <c r="G103" i="9"/>
  <c r="G67" i="9"/>
  <c r="G72" i="9" s="1"/>
  <c r="G75" i="9" s="1"/>
  <c r="G77" i="9" s="1"/>
  <c r="H100" i="9" l="1"/>
  <c r="H59" i="9"/>
  <c r="H64" i="9" s="1"/>
  <c r="H104" i="9"/>
  <c r="G101" i="9"/>
  <c r="I66" i="9"/>
  <c r="I57" i="9"/>
  <c r="H103" i="9"/>
  <c r="H67" i="9"/>
  <c r="H72" i="9" s="1"/>
  <c r="H75" i="9" s="1"/>
  <c r="G104" i="9"/>
  <c r="G109" i="9" s="1"/>
  <c r="H109" i="9" l="1"/>
  <c r="H77" i="9"/>
  <c r="I104" i="9"/>
  <c r="I59" i="9"/>
  <c r="I64" i="9" s="1"/>
  <c r="I100" i="9"/>
  <c r="I101" i="9" s="1"/>
  <c r="I103" i="9"/>
  <c r="I67" i="9"/>
  <c r="I72" i="9" s="1"/>
  <c r="I75" i="9" s="1"/>
  <c r="H101" i="9"/>
  <c r="I77" i="9" l="1"/>
  <c r="I10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Debs Taylor</author>
  </authors>
  <commentList>
    <comment ref="C7" authorId="0" shapeId="0" xr:uid="{B19B7FD6-D053-4926-ACCE-F33F3EBEDD79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stock based comp at c1.7% of sales</t>
        </r>
      </text>
    </comment>
    <comment ref="D7" authorId="0" shapeId="0" xr:uid="{2C1DD569-7639-443C-8D21-C6A0B1E3200E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Forecasts include stock based comp at 1.6% of sales</t>
        </r>
      </text>
    </comment>
    <comment ref="C32" authorId="0" shapeId="0" xr:uid="{CAEF2D1F-A877-407F-A4C7-11DD7E76842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$215m goodwill impairment, $54m restructuring costs, $53m site consolidation costs and $50m legal costs</t>
        </r>
      </text>
    </comment>
    <comment ref="C53" authorId="0" shapeId="0" xr:uid="{0A0F1190-1F99-4977-9885-4C2D1C1FA44F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Share repurchases</t>
        </r>
      </text>
    </comment>
  </commentList>
</comments>
</file>

<file path=xl/sharedStrings.xml><?xml version="1.0" encoding="utf-8"?>
<sst xmlns="http://schemas.openxmlformats.org/spreadsheetml/2006/main" count="146" uniqueCount="129">
  <si>
    <t>Felix Debt Capacity Challenge</t>
  </si>
  <si>
    <t>This document is for training purposes only. Financial Edge accepts no responsibility or liability for any other purpose or usage.</t>
  </si>
  <si>
    <t>Challenge Information</t>
  </si>
  <si>
    <t>Features</t>
  </si>
  <si>
    <t>Model Details</t>
  </si>
  <si>
    <t>◦</t>
  </si>
  <si>
    <t>Editing a model</t>
  </si>
  <si>
    <t>Company name</t>
  </si>
  <si>
    <t>Charles River Laboratories</t>
  </si>
  <si>
    <t>Calculating debt capacity</t>
  </si>
  <si>
    <t>Date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</si>
  <si>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</si>
  <si>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</si>
  <si>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</si>
  <si>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</si>
  <si>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</si>
  <si>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</si>
  <si>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</si>
  <si>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</si>
  <si>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</si>
  <si>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</si>
  <si>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</si>
  <si>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</si>
  <si>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All numbers in USDm</t>
  </si>
  <si>
    <t>Instructions</t>
  </si>
  <si>
    <t>Charles River Laboratories has experienced challenging market conditions in the last couple of years and has undergone a significant business restructuring to streamline its operations.</t>
  </si>
  <si>
    <t>It is now considering plans to invest in new laboratory facilities during 2025 and has approached your team for advice on financing this project.</t>
  </si>
  <si>
    <t>Your MD suggests that to maintain their credit rating, they should not exceed debt/ book equity of 75%, net debt/EBITDA of 2.5x and require minimum EBITDA/interest expense of 6.0x</t>
  </si>
  <si>
    <t xml:space="preserve">Management believe the new facilities will have a useful economic life of 20 years and will generate additional revenues of $300.0m p.a. for the company from 2027 onwards. </t>
  </si>
  <si>
    <t xml:space="preserve">Margins from the new facilities will be generated at the same level as underlying sales but there will be additional set up costs of $180.0m p.a. in 2026 and 2027, to be expensed within EBITDA. </t>
  </si>
  <si>
    <t xml:space="preserve">Capital expenditure associated with this project is estimated at $500.0m, and this will be incurred during 2025 and 2026. </t>
  </si>
  <si>
    <t>You are provided with a research model for Charles River Laboratories. Use this model to advise the company whether it can finance the acquisition using a bond issuance.</t>
  </si>
  <si>
    <t xml:space="preserve">Highlight any simplifications in your analysis and the bond issuance and any alternative actions that the company could take. </t>
  </si>
  <si>
    <t xml:space="preserve">Industry Leverage </t>
  </si>
  <si>
    <t>Max debt/ book equity</t>
  </si>
  <si>
    <t>Max net debt /EBITDA</t>
  </si>
  <si>
    <t>Min interest cover</t>
  </si>
  <si>
    <t>Charles River Laboratories Credit Metrics</t>
  </si>
  <si>
    <t>Dec'24a</t>
  </si>
  <si>
    <t>Dec'25e</t>
  </si>
  <si>
    <t>Dec'26e</t>
  </si>
  <si>
    <t>Dec'27e</t>
  </si>
  <si>
    <t>Dec'28e</t>
  </si>
  <si>
    <t>Dec'29e</t>
  </si>
  <si>
    <t>Dec'30e</t>
  </si>
  <si>
    <t>Net debt/EBITDA</t>
  </si>
  <si>
    <t>EBITDA/interest expense</t>
  </si>
  <si>
    <t>Debt/book equity</t>
  </si>
  <si>
    <t>Comments on simplifications in analysis:</t>
  </si>
  <si>
    <t>Comments on bond issuance and alternative actions</t>
  </si>
  <si>
    <t>End</t>
  </si>
  <si>
    <t>Assumptions</t>
  </si>
  <si>
    <t>Revenue growth</t>
  </si>
  <si>
    <t>EBITDA margin</t>
  </si>
  <si>
    <t>Capex % sales</t>
  </si>
  <si>
    <t>Depreciation and amortization % beginning PP&amp;E and intangible assets</t>
  </si>
  <si>
    <t>Other operating income/(expense)</t>
  </si>
  <si>
    <t>Other income/(expense)</t>
  </si>
  <si>
    <t>Income taxes % profit before tax</t>
  </si>
  <si>
    <t>Payout ratio to shareholders</t>
  </si>
  <si>
    <t>Net OWC % Sales</t>
  </si>
  <si>
    <t>Payments for business acquisitions</t>
  </si>
  <si>
    <t>Repayments of long term debt, net of issuance</t>
  </si>
  <si>
    <t>Non-current operating assets % revenue</t>
  </si>
  <si>
    <t>Non-current operating liabilities % revenue</t>
  </si>
  <si>
    <t>Interest rate on cash</t>
  </si>
  <si>
    <t>Interest rate on existing borrowings</t>
  </si>
  <si>
    <t>Income Statement</t>
  </si>
  <si>
    <t>Revenue</t>
  </si>
  <si>
    <t>EBITDA</t>
  </si>
  <si>
    <t>Depreciation and amortization</t>
  </si>
  <si>
    <t>EBIT</t>
  </si>
  <si>
    <t>Operating profit</t>
  </si>
  <si>
    <t>Net interest income/(expense)</t>
  </si>
  <si>
    <t>Other income</t>
  </si>
  <si>
    <t>Profit before tax</t>
  </si>
  <si>
    <t>Income taxes</t>
  </si>
  <si>
    <t>Net income</t>
  </si>
  <si>
    <t>Balance Sheet Calculations</t>
  </si>
  <si>
    <t>Beginning PP&amp;E and intangible assets</t>
  </si>
  <si>
    <t>Capex</t>
  </si>
  <si>
    <t>Ending PP&amp;E and intangible assets</t>
  </si>
  <si>
    <t>Beginning equity</t>
  </si>
  <si>
    <t>Shareholder payout</t>
  </si>
  <si>
    <t>Ending equity</t>
  </si>
  <si>
    <t>Balance Sheet</t>
  </si>
  <si>
    <t>Cash and cash equivalents</t>
  </si>
  <si>
    <t>Net operating working capital</t>
  </si>
  <si>
    <t>Total current assets</t>
  </si>
  <si>
    <t>PP&amp;E and intangible assets</t>
  </si>
  <si>
    <t>Goodwill</t>
  </si>
  <si>
    <t>Other non-current operating assets</t>
  </si>
  <si>
    <t>Total assets</t>
  </si>
  <si>
    <t>Short term debt</t>
  </si>
  <si>
    <t>Current liabilities</t>
  </si>
  <si>
    <t>Long term debt</t>
  </si>
  <si>
    <t>Non-current operating liabilities</t>
  </si>
  <si>
    <t>Other liabilities</t>
  </si>
  <si>
    <t>Total liabilities</t>
  </si>
  <si>
    <t>Equity</t>
  </si>
  <si>
    <t>Total liabilities and equity</t>
  </si>
  <si>
    <t>Balance sheet check</t>
  </si>
  <si>
    <t>Cash Flow Statement</t>
  </si>
  <si>
    <t>Change in net operating working capital</t>
  </si>
  <si>
    <t>Change in non-current operating assets</t>
  </si>
  <si>
    <t>Change in non-current operating liabilities</t>
  </si>
  <si>
    <t>Operating cash flows</t>
  </si>
  <si>
    <t>Capital expenditure</t>
  </si>
  <si>
    <t>Investing cash flows</t>
  </si>
  <si>
    <t>Debt issuance/(repayments)</t>
  </si>
  <si>
    <t>Dividends and repurchases of treasury stock</t>
  </si>
  <si>
    <t>Financing cash flows</t>
  </si>
  <si>
    <t>Net cash flow</t>
  </si>
  <si>
    <t>Beginning cash net of short term debt</t>
  </si>
  <si>
    <t>Ending cash net of short term debt</t>
  </si>
  <si>
    <t>Interest Calculations</t>
  </si>
  <si>
    <t>Cash</t>
  </si>
  <si>
    <t>Interest income</t>
  </si>
  <si>
    <t xml:space="preserve">Total debt </t>
  </si>
  <si>
    <t>Interest expense</t>
  </si>
  <si>
    <t>Net interest expense</t>
  </si>
  <si>
    <t>They are keen to finance the project with a $650.0m 5Yr bond issued during 2025. The expected interest rate on the bond is 5.3%</t>
  </si>
  <si>
    <t xml:space="preserve">A key priority for the company is to maintain its current credit rating of BB+. </t>
  </si>
  <si>
    <t>To assist you with this exercise you should review the the Charles River Laboratories' 2024 cash flow statement.</t>
  </si>
  <si>
    <t>Bond issuance</t>
  </si>
  <si>
    <t>Project revenue</t>
  </si>
  <si>
    <t>Project costs (to be included in EBITDA)</t>
  </si>
  <si>
    <t>Project capex</t>
  </si>
  <si>
    <t>Interest rate on bond issuance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</si>
</sst>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\ \x_);\(#,##0.00\ \x\);"/>
  </numFmts>
  <fonts count="36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6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4" fontId="30" fillId="0" borderId="0" xfId="58" applyNumberFormat="1" applyFill="1"/>
    <xf numFmtId="174" fontId="30" fillId="37" borderId="11" xfId="61" applyNumberFormat="1">
      <protection locked="0"/>
    </xf>
    <xf numFmtId="172" fontId="30" fillId="0" borderId="0" xfId="58" applyNumberFormat="1" applyFill="1"/>
    <xf numFmtId="174" fontId="33" fillId="0" borderId="0" xfId="0" applyFont="1"/>
    <xf numFmtId="172" fontId="30" fillId="39" borderId="11" xfId="61" applyNumberFormat="1" applyFill="1">
      <protection locked="0"/>
    </xf>
    <xf numFmtId="175" fontId="30" fillId="39" borderId="11" xfId="56" applyNumberFormat="1" applyFont="1" applyFill="1" applyBorder="1" applyProtection="1">
      <protection locked="0"/>
    </xf>
    <xf numFmtId="171" fontId="0" fillId="0" borderId="0" xfId="56" applyFont="1"/>
    <xf numFmtId="0" fontId="3" fillId="0" borderId="0" xfId="54" applyNumberFormat="1">
      <alignment vertical="top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 applyAlignment="1">
      <alignment wrapText="1"/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159944</xdr:colOff>
      <xdr:row>0</xdr:row>
      <xdr:rowOff>464821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328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4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4"/>
      <c r="D4" s="74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 "</f>
        <v xml:space="preserve">© 2025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>
      <selection activeCell="N10" sqref="N10:Q10"/>
    </sheetView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Felix Debt Capacity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9" t="s">
        <v>3</v>
      </c>
      <c r="C4" s="79"/>
      <c r="D4" s="79"/>
      <c r="E4" s="79"/>
      <c r="F4" s="79"/>
      <c r="G4" s="79"/>
      <c r="H4" s="79"/>
      <c r="I4" s="79"/>
      <c r="K4" s="1"/>
      <c r="L4" s="79" t="s">
        <v>4</v>
      </c>
      <c r="M4" s="79"/>
      <c r="N4" s="79"/>
      <c r="O4" s="79"/>
      <c r="P4" s="79"/>
      <c r="Q4" s="40"/>
      <c r="R4" s="40"/>
    </row>
    <row r="5" spans="1:18" s="2" customFormat="1" ht="15" customHeight="1" x14ac:dyDescent="0.45">
      <c r="A5" s="17"/>
      <c r="B5" s="8" t="s">
        <v>5</v>
      </c>
      <c r="C5" s="18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1" t="s">
        <v>8</v>
      </c>
      <c r="O5" s="81"/>
      <c r="P5" s="81"/>
      <c r="Q5" s="81"/>
      <c r="R5" s="40"/>
    </row>
    <row r="6" spans="1:18" s="2" customFormat="1" ht="15" customHeight="1" x14ac:dyDescent="0.45">
      <c r="A6" s="3"/>
      <c r="B6" s="8" t="s">
        <v>5</v>
      </c>
      <c r="C6" s="39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2">
        <v>45778</v>
      </c>
      <c r="O6" s="82"/>
      <c r="P6" s="82"/>
      <c r="Q6" s="82"/>
      <c r="R6" s="40"/>
    </row>
    <row r="7" spans="1:18" s="2" customFormat="1" ht="15" customHeight="1" x14ac:dyDescent="0.45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11</v>
      </c>
      <c r="M7" s="9"/>
      <c r="N7" s="81" t="s">
        <v>12</v>
      </c>
      <c r="O7" s="81"/>
      <c r="P7" s="81"/>
      <c r="Q7" s="81"/>
      <c r="R7" s="40"/>
    </row>
    <row r="8" spans="1:18" s="2" customFormat="1" ht="15" customHeight="1" x14ac:dyDescent="0.45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13</v>
      </c>
      <c r="M8" s="9"/>
      <c r="N8" s="81" t="s">
        <v>14</v>
      </c>
      <c r="O8" s="81"/>
      <c r="P8" s="81"/>
      <c r="Q8" s="81"/>
      <c r="R8" s="40"/>
    </row>
    <row r="9" spans="1:18" s="2" customFormat="1" ht="15" customHeight="1" x14ac:dyDescent="0.45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15</v>
      </c>
      <c r="M9" s="9"/>
      <c r="N9" s="81" t="s">
        <v>16</v>
      </c>
      <c r="O9" s="81"/>
      <c r="P9" s="81"/>
      <c r="Q9" s="81"/>
      <c r="R9" s="40"/>
    </row>
    <row r="10" spans="1:18" s="2" customFormat="1" ht="15" customHeight="1" x14ac:dyDescent="0.45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17</v>
      </c>
      <c r="M10" s="9"/>
      <c r="N10" s="83">
        <v>0</v>
      </c>
      <c r="O10" s="83"/>
      <c r="P10" s="83"/>
      <c r="Q10" s="83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0" t="s">
        <v>18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19</v>
      </c>
      <c r="P13" s="79"/>
      <c r="Q13" s="79"/>
      <c r="R13" s="58"/>
    </row>
    <row r="14" spans="1:18" s="2" customFormat="1" ht="15" customHeight="1" x14ac:dyDescent="0.45">
      <c r="A14" s="56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2" t="s">
        <v>20</v>
      </c>
      <c r="Q15" s="22"/>
      <c r="R15" s="56"/>
    </row>
    <row r="16" spans="1:18" s="2" customFormat="1" ht="15" customHeight="1" x14ac:dyDescent="0.45">
      <c r="A16" s="56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6" t="s">
        <v>21</v>
      </c>
      <c r="Q16" s="22"/>
      <c r="R16" s="56"/>
    </row>
    <row r="17" spans="1:18" s="2" customFormat="1" ht="15" customHeight="1" x14ac:dyDescent="0.45">
      <c r="A17" s="5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22</v>
      </c>
      <c r="Q17" s="22"/>
      <c r="R17" s="56"/>
    </row>
    <row r="18" spans="1:18" s="2" customFormat="1" ht="15" customHeight="1" x14ac:dyDescent="0.45">
      <c r="A18" s="3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50" workbookViewId="0"/>
  </sheetViews>
  <sheetFormatPr defaultColWidth="9.1328125" defaultRowHeight="15" customHeight="1" x14ac:dyDescent="0.45"/>
  <cols>
    <col min="1" max="1" width="1.3984375" style="15" customWidth="1"/>
    <col min="2" max="2" width="49.59765625" style="16" customWidth="1"/>
    <col min="3" max="9" width="16" customWidth="1"/>
    <col min="10" max="10" width="9.1328125" customWidth="1"/>
    <col min="11" max="19" width="9.86328125" bestFit="1" customWidth="1"/>
    <col min="20" max="21" width="9.1328125" customWidth="1"/>
    <col min="22" max="103" width="9.86328125" bestFit="1" customWidth="1"/>
  </cols>
  <sheetData>
    <row r="1" spans="1:14" s="46" customFormat="1" ht="45" customHeight="1" x14ac:dyDescent="0.85">
      <c r="A1" s="5" t="str">
        <f>Info!A1</f>
        <v>Felix Debt Capacity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5" customFormat="1" ht="30" customHeight="1" x14ac:dyDescent="0.65">
      <c r="A2" s="14" t="s">
        <v>23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45">
      <c r="A3"/>
      <c r="B3"/>
    </row>
    <row r="4" spans="1:14" ht="15" customHeight="1" x14ac:dyDescent="0.45">
      <c r="A4" s="15" t="s">
        <v>24</v>
      </c>
      <c r="B4"/>
    </row>
    <row r="5" spans="1:14" ht="15" customHeight="1" x14ac:dyDescent="0.45">
      <c r="A5"/>
      <c r="B5" s="71" t="s">
        <v>25</v>
      </c>
    </row>
    <row r="6" spans="1:14" ht="15" customHeight="1" x14ac:dyDescent="0.45">
      <c r="A6"/>
      <c r="B6" s="16" t="s">
        <v>26</v>
      </c>
    </row>
    <row r="7" spans="1:14" ht="15" customHeight="1" x14ac:dyDescent="0.45">
      <c r="A7"/>
      <c r="B7" s="16" t="s">
        <v>121</v>
      </c>
    </row>
    <row r="8" spans="1:14" ht="15" customHeight="1" x14ac:dyDescent="0.45">
      <c r="A8"/>
      <c r="B8" s="16" t="s">
        <v>122</v>
      </c>
    </row>
    <row r="9" spans="1:14" ht="15" customHeight="1" x14ac:dyDescent="0.45">
      <c r="A9"/>
      <c r="B9" s="16" t="s">
        <v>27</v>
      </c>
    </row>
    <row r="10" spans="1:14" ht="15" customHeight="1" x14ac:dyDescent="0.45">
      <c r="A10"/>
    </row>
    <row r="11" spans="1:14" ht="15" customHeight="1" x14ac:dyDescent="0.45">
      <c r="A11"/>
      <c r="B11" s="16" t="s">
        <v>28</v>
      </c>
    </row>
    <row r="12" spans="1:14" ht="15.6" customHeight="1" x14ac:dyDescent="0.45">
      <c r="A12"/>
      <c r="B12" s="16" t="s">
        <v>29</v>
      </c>
    </row>
    <row r="13" spans="1:14" ht="15.6" customHeight="1" x14ac:dyDescent="0.45">
      <c r="A13"/>
      <c r="B13" s="16" t="s">
        <v>30</v>
      </c>
    </row>
    <row r="14" spans="1:14" ht="15" customHeight="1" x14ac:dyDescent="0.45">
      <c r="A14"/>
      <c r="B14" s="16" t="s">
        <v>31</v>
      </c>
      <c r="E14" s="63"/>
    </row>
    <row r="15" spans="1:14" ht="15" customHeight="1" x14ac:dyDescent="0.45">
      <c r="A15"/>
      <c r="B15" s="16" t="s">
        <v>32</v>
      </c>
      <c r="E15" s="63"/>
    </row>
    <row r="16" spans="1:14" ht="15" customHeight="1" x14ac:dyDescent="0.45">
      <c r="A16"/>
      <c r="B16" s="16" t="s">
        <v>123</v>
      </c>
      <c r="E16" s="63"/>
    </row>
    <row r="17" spans="1:9" ht="15" customHeight="1" x14ac:dyDescent="0.45">
      <c r="A17"/>
      <c r="E17" s="63"/>
    </row>
    <row r="18" spans="1:9" ht="15" customHeight="1" x14ac:dyDescent="0.45">
      <c r="A18" s="62" t="s">
        <v>33</v>
      </c>
      <c r="B18"/>
    </row>
    <row r="19" spans="1:9" ht="15" customHeight="1" x14ac:dyDescent="0.45">
      <c r="A19"/>
      <c r="B19"/>
    </row>
    <row r="20" spans="1:9" ht="15" customHeight="1" x14ac:dyDescent="0.45">
      <c r="A20" s="62"/>
      <c r="B20" s="16" t="s">
        <v>34</v>
      </c>
      <c r="C20" s="68">
        <v>0.75</v>
      </c>
    </row>
    <row r="21" spans="1:9" ht="15" customHeight="1" x14ac:dyDescent="0.45">
      <c r="A21"/>
      <c r="B21" s="16" t="s">
        <v>35</v>
      </c>
      <c r="C21" s="69">
        <v>2.5</v>
      </c>
    </row>
    <row r="22" spans="1:9" ht="15" customHeight="1" x14ac:dyDescent="0.45">
      <c r="A22"/>
      <c r="B22" s="16" t="s">
        <v>36</v>
      </c>
      <c r="C22" s="69">
        <v>6</v>
      </c>
    </row>
    <row r="23" spans="1:9" ht="15" customHeight="1" x14ac:dyDescent="0.45">
      <c r="A23"/>
      <c r="B23"/>
    </row>
    <row r="24" spans="1:9" ht="15" customHeight="1" x14ac:dyDescent="0.45">
      <c r="A24" s="62" t="s">
        <v>37</v>
      </c>
      <c r="B24"/>
      <c r="E24" s="67"/>
    </row>
    <row r="25" spans="1:9" ht="15" customHeight="1" x14ac:dyDescent="0.45">
      <c r="A25"/>
      <c r="B25" s="12"/>
      <c r="C25" s="12" t="s">
        <v>38</v>
      </c>
      <c r="D25" s="12" t="s">
        <v>39</v>
      </c>
      <c r="E25" s="12" t="s">
        <v>40</v>
      </c>
      <c r="F25" s="12" t="s">
        <v>41</v>
      </c>
      <c r="G25" s="12" t="s">
        <v>42</v>
      </c>
      <c r="H25" s="12" t="s">
        <v>43</v>
      </c>
      <c r="I25" s="12" t="s">
        <v>44</v>
      </c>
    </row>
    <row r="26" spans="1:9" ht="15" customHeight="1" x14ac:dyDescent="0.45">
      <c r="A26"/>
      <c r="B26" t="s">
        <v>47</v>
      </c>
      <c r="C26" s="70"/>
      <c r="D26" s="70"/>
      <c r="E26" s="70"/>
      <c r="F26" s="70"/>
      <c r="G26" s="70"/>
      <c r="H26" s="70"/>
      <c r="I26" s="70"/>
    </row>
    <row r="27" spans="1:9" ht="15" customHeight="1" x14ac:dyDescent="0.45">
      <c r="A27"/>
      <c r="B27" t="s">
        <v>45</v>
      </c>
      <c r="C27" s="70"/>
      <c r="D27" s="70"/>
      <c r="E27" s="70"/>
      <c r="F27" s="70"/>
      <c r="G27" s="70"/>
      <c r="H27" s="70"/>
      <c r="I27" s="70"/>
    </row>
    <row r="28" spans="1:9" ht="15" customHeight="1" x14ac:dyDescent="0.45">
      <c r="A28"/>
      <c r="B28" t="s">
        <v>46</v>
      </c>
      <c r="C28" s="63"/>
      <c r="D28" s="63"/>
      <c r="E28" s="63"/>
      <c r="F28" s="63"/>
      <c r="G28" s="63"/>
      <c r="H28" s="63"/>
      <c r="I28" s="63"/>
    </row>
    <row r="29" spans="1:9" ht="15" customHeight="1" x14ac:dyDescent="0.45">
      <c r="A29"/>
      <c r="B29"/>
    </row>
    <row r="30" spans="1:9" ht="15" customHeight="1" x14ac:dyDescent="0.45">
      <c r="A30"/>
      <c r="B30" t="s">
        <v>48</v>
      </c>
    </row>
    <row r="31" spans="1:9" ht="31.5" customHeight="1" x14ac:dyDescent="0.45">
      <c r="A31"/>
      <c r="B31" s="84"/>
      <c r="C31" s="84"/>
      <c r="D31" s="84"/>
      <c r="E31" s="84"/>
      <c r="F31" s="84"/>
      <c r="G31" s="84"/>
      <c r="H31" s="84"/>
      <c r="I31" s="84"/>
    </row>
    <row r="32" spans="1:9" ht="14.25" x14ac:dyDescent="0.45">
      <c r="A32"/>
      <c r="B32"/>
    </row>
    <row r="33" spans="1:9" ht="15" customHeight="1" x14ac:dyDescent="0.45">
      <c r="A33"/>
      <c r="B33" t="s">
        <v>49</v>
      </c>
    </row>
    <row r="34" spans="1:9" ht="34.5" customHeight="1" x14ac:dyDescent="0.45">
      <c r="A34"/>
      <c r="B34" s="84"/>
      <c r="C34" s="84"/>
      <c r="D34" s="84"/>
      <c r="E34" s="84"/>
      <c r="F34" s="84"/>
      <c r="G34" s="84"/>
      <c r="H34" s="84"/>
      <c r="I34" s="84"/>
    </row>
    <row r="35" spans="1:9" ht="19.350000000000001" customHeight="1" x14ac:dyDescent="0.45">
      <c r="B35" s="85"/>
      <c r="C35" s="85"/>
      <c r="D35" s="85"/>
      <c r="E35" s="85"/>
      <c r="F35" s="85"/>
      <c r="G35" s="85"/>
      <c r="H35" s="85"/>
      <c r="I35" s="85"/>
    </row>
    <row r="37" spans="1:9" ht="15" customHeight="1" x14ac:dyDescent="0.45">
      <c r="A37" s="15" t="s">
        <v>50</v>
      </c>
    </row>
  </sheetData>
  <mergeCells count="3">
    <mergeCell ref="B34:I34"/>
    <mergeCell ref="B35:I35"/>
    <mergeCell ref="B31:I31"/>
  </mergeCell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6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D03C-2BA9-4CD9-9B5E-FFCC35E834B1}">
  <sheetPr>
    <pageSetUpPr fitToPage="1"/>
  </sheetPr>
  <dimension ref="A1:N111"/>
  <sheetViews>
    <sheetView zoomScaleNormal="100" zoomScaleSheetLayoutView="50" workbookViewId="0"/>
  </sheetViews>
  <sheetFormatPr defaultColWidth="9.1328125" defaultRowHeight="15" customHeight="1" x14ac:dyDescent="0.45"/>
  <cols>
    <col min="1" max="1" width="1.3984375" style="15" customWidth="1"/>
    <col min="2" max="2" width="49.59765625" style="16" customWidth="1"/>
    <col min="3" max="9" width="16" customWidth="1"/>
    <col min="10" max="10" width="9.1328125" customWidth="1"/>
    <col min="11" max="19" width="9.86328125" bestFit="1" customWidth="1"/>
    <col min="20" max="21" width="9.1328125" customWidth="1"/>
    <col min="22" max="103" width="9.86328125" bestFit="1" customWidth="1"/>
  </cols>
  <sheetData>
    <row r="1" spans="1:14" s="46" customFormat="1" ht="45" customHeight="1" x14ac:dyDescent="0.85">
      <c r="A1" s="5" t="str">
        <f>Info!A1</f>
        <v>Felix Debt Capacity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5" customFormat="1" ht="30" customHeight="1" x14ac:dyDescent="0.65">
      <c r="A2" s="14" t="s">
        <v>23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45">
      <c r="A3"/>
      <c r="B3"/>
    </row>
    <row r="4" spans="1:14" ht="15" customHeight="1" x14ac:dyDescent="0.45">
      <c r="A4" s="62" t="s">
        <v>51</v>
      </c>
      <c r="B4"/>
      <c r="D4" s="63"/>
      <c r="F4" s="63"/>
      <c r="G4" s="63"/>
      <c r="H4" s="63"/>
      <c r="I4" s="63"/>
    </row>
    <row r="5" spans="1:14" ht="15" customHeight="1" x14ac:dyDescent="0.45">
      <c r="A5"/>
      <c r="B5" s="12" t="s">
        <v>8</v>
      </c>
      <c r="C5" s="12" t="s">
        <v>38</v>
      </c>
      <c r="D5" s="12" t="s">
        <v>39</v>
      </c>
      <c r="E5" s="12" t="s">
        <v>40</v>
      </c>
      <c r="F5" s="12" t="s">
        <v>41</v>
      </c>
      <c r="G5" s="12" t="s">
        <v>42</v>
      </c>
      <c r="H5" s="12" t="s">
        <v>43</v>
      </c>
      <c r="I5" s="12" t="s">
        <v>44</v>
      </c>
    </row>
    <row r="6" spans="1:14" ht="15" customHeight="1" x14ac:dyDescent="0.45">
      <c r="A6"/>
      <c r="B6" s="16" t="s">
        <v>52</v>
      </c>
      <c r="C6" s="66">
        <f>4050/4129-1</f>
        <v>-1.9132961976265461E-2</v>
      </c>
      <c r="D6" s="60">
        <v>-5.7000000000000002E-2</v>
      </c>
      <c r="E6" s="60">
        <v>3.2000000000000001E-2</v>
      </c>
      <c r="F6" s="60">
        <v>4.2000000000000003E-2</v>
      </c>
      <c r="G6" s="60">
        <v>0.04</v>
      </c>
      <c r="H6" s="60">
        <v>0.04</v>
      </c>
      <c r="I6" s="60">
        <v>3.5000000000000003E-2</v>
      </c>
    </row>
    <row r="7" spans="1:14" ht="15" customHeight="1" x14ac:dyDescent="0.45">
      <c r="A7"/>
      <c r="B7" s="16" t="s">
        <v>53</v>
      </c>
      <c r="C7" s="63">
        <f>C29/C28</f>
        <v>0.24607407407407408</v>
      </c>
      <c r="D7" s="61">
        <v>0.23799999999999999</v>
      </c>
      <c r="E7" s="61">
        <v>0.24299999999999999</v>
      </c>
      <c r="F7" s="61">
        <v>0.26700000000000002</v>
      </c>
      <c r="G7" s="61">
        <v>0.27</v>
      </c>
      <c r="H7" s="61">
        <v>0.27</v>
      </c>
      <c r="I7" s="61">
        <v>0.27</v>
      </c>
    </row>
    <row r="8" spans="1:14" ht="15" customHeight="1" x14ac:dyDescent="0.45">
      <c r="A8"/>
      <c r="B8" s="16" t="s">
        <v>54</v>
      </c>
      <c r="C8" s="63">
        <f>C42/C28</f>
        <v>5.7530864197530868E-2</v>
      </c>
      <c r="D8" s="60">
        <v>0.06</v>
      </c>
      <c r="E8" s="60">
        <v>0.06</v>
      </c>
      <c r="F8" s="60">
        <v>0.06</v>
      </c>
      <c r="G8" s="60">
        <v>0.06</v>
      </c>
      <c r="H8" s="60">
        <v>0.06</v>
      </c>
      <c r="I8" s="60">
        <v>0.06</v>
      </c>
    </row>
    <row r="9" spans="1:14" ht="15" customHeight="1" x14ac:dyDescent="0.45">
      <c r="A9"/>
      <c r="B9" s="16" t="s">
        <v>55</v>
      </c>
      <c r="C9" s="63">
        <f>-C43/(1465.6+955.3)</f>
        <v>0.14940724523937379</v>
      </c>
      <c r="D9" s="61">
        <v>0.15</v>
      </c>
      <c r="E9" s="61">
        <v>0.15</v>
      </c>
      <c r="F9" s="61">
        <v>0.15</v>
      </c>
      <c r="G9" s="61">
        <v>0.15</v>
      </c>
      <c r="H9" s="61">
        <v>0.15</v>
      </c>
      <c r="I9" s="61">
        <v>0.15</v>
      </c>
    </row>
    <row r="10" spans="1:14" ht="15" customHeight="1" x14ac:dyDescent="0.45">
      <c r="A10"/>
      <c r="B10" s="16" t="s">
        <v>56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</row>
    <row r="11" spans="1:14" ht="15" customHeight="1" x14ac:dyDescent="0.45">
      <c r="A11"/>
      <c r="B11" s="16" t="s">
        <v>57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</row>
    <row r="12" spans="1:14" ht="15" customHeight="1" x14ac:dyDescent="0.45">
      <c r="A12"/>
      <c r="B12" s="16" t="s">
        <v>58</v>
      </c>
      <c r="C12" s="63">
        <f>C37/C36*-1</f>
        <v>0.72824919441460745</v>
      </c>
      <c r="D12" s="61">
        <v>0.21</v>
      </c>
      <c r="E12" s="61">
        <v>0.21</v>
      </c>
      <c r="F12" s="61">
        <v>0.21</v>
      </c>
      <c r="G12" s="61">
        <v>0.21</v>
      </c>
      <c r="H12" s="61">
        <v>0.21</v>
      </c>
      <c r="I12" s="61">
        <v>0.21</v>
      </c>
    </row>
    <row r="13" spans="1:14" ht="15" customHeight="1" x14ac:dyDescent="0.45">
      <c r="A13"/>
      <c r="B13" s="16" t="s">
        <v>59</v>
      </c>
      <c r="C13" s="63">
        <f>-C53/C38</f>
        <v>4.7114624505928724</v>
      </c>
      <c r="D13" s="61">
        <v>0.6</v>
      </c>
      <c r="E13" s="61">
        <v>0.6</v>
      </c>
      <c r="F13" s="61">
        <v>0.6</v>
      </c>
      <c r="G13" s="61">
        <v>0.6</v>
      </c>
      <c r="H13" s="61">
        <v>0.6</v>
      </c>
      <c r="I13" s="61">
        <v>0.6</v>
      </c>
    </row>
    <row r="14" spans="1:14" ht="15" customHeight="1" x14ac:dyDescent="0.45">
      <c r="A14"/>
      <c r="B14" s="16" t="s">
        <v>60</v>
      </c>
      <c r="C14" s="63">
        <f>C58/C28</f>
        <v>5.2938271604938268E-2</v>
      </c>
      <c r="D14" s="60">
        <v>5.2999999999999999E-2</v>
      </c>
      <c r="E14" s="60">
        <v>5.2999999999999999E-2</v>
      </c>
      <c r="F14" s="60">
        <v>5.2999999999999999E-2</v>
      </c>
      <c r="G14" s="60">
        <v>5.2999999999999999E-2</v>
      </c>
      <c r="H14" s="60">
        <v>5.2999999999999999E-2</v>
      </c>
      <c r="I14" s="60">
        <v>5.2999999999999999E-2</v>
      </c>
    </row>
    <row r="15" spans="1:14" ht="15" customHeight="1" x14ac:dyDescent="0.45">
      <c r="A15"/>
      <c r="B15" s="16" t="s">
        <v>61</v>
      </c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</row>
    <row r="16" spans="1:14" ht="15" customHeight="1" x14ac:dyDescent="0.45">
      <c r="A16"/>
      <c r="B16" s="16" t="s">
        <v>62</v>
      </c>
      <c r="C16">
        <v>0</v>
      </c>
      <c r="D16" s="65">
        <v>-300</v>
      </c>
      <c r="E16" s="65">
        <v>-100</v>
      </c>
      <c r="F16" s="65">
        <v>-100</v>
      </c>
      <c r="G16" s="65">
        <v>-100</v>
      </c>
      <c r="H16" s="65">
        <v>-100</v>
      </c>
      <c r="I16" s="65">
        <v>-100</v>
      </c>
    </row>
    <row r="17" spans="1:9" ht="15" customHeight="1" x14ac:dyDescent="0.45">
      <c r="A17"/>
      <c r="B17" s="16" t="s">
        <v>63</v>
      </c>
      <c r="C17" s="63">
        <f>C63/C28</f>
        <v>0.23488888888888887</v>
      </c>
      <c r="D17" s="60">
        <v>0.23499999999999999</v>
      </c>
      <c r="E17" s="60">
        <v>0.23499999999999999</v>
      </c>
      <c r="F17" s="60">
        <v>0.23499999999999999</v>
      </c>
      <c r="G17" s="60">
        <v>0.23499999999999999</v>
      </c>
      <c r="H17" s="60">
        <v>0.23499999999999999</v>
      </c>
      <c r="I17" s="60">
        <v>0.23499999999999999</v>
      </c>
    </row>
    <row r="18" spans="1:9" ht="15" customHeight="1" x14ac:dyDescent="0.45">
      <c r="A18"/>
      <c r="B18" s="16" t="s">
        <v>64</v>
      </c>
      <c r="C18" s="63">
        <f>C70/C28</f>
        <v>0.14587654320987653</v>
      </c>
      <c r="D18" s="60">
        <v>0.14599999999999999</v>
      </c>
      <c r="E18" s="60">
        <v>0.14599999999999999</v>
      </c>
      <c r="F18" s="60">
        <v>0.14599999999999999</v>
      </c>
      <c r="G18" s="60">
        <v>0.14599999999999999</v>
      </c>
      <c r="H18" s="60">
        <v>0.14599999999999999</v>
      </c>
      <c r="I18" s="60">
        <v>0.14599999999999999</v>
      </c>
    </row>
    <row r="19" spans="1:9" ht="15" customHeight="1" x14ac:dyDescent="0.45">
      <c r="A19"/>
      <c r="B19" s="16" t="s">
        <v>65</v>
      </c>
      <c r="C19" s="63">
        <v>0.04</v>
      </c>
      <c r="D19" s="60">
        <v>0.04</v>
      </c>
      <c r="E19" s="60">
        <v>0.04</v>
      </c>
      <c r="F19" s="60">
        <v>0.04</v>
      </c>
      <c r="G19" s="60">
        <v>0.04</v>
      </c>
      <c r="H19" s="60">
        <v>0.04</v>
      </c>
      <c r="I19" s="60">
        <v>0.04</v>
      </c>
    </row>
    <row r="20" spans="1:9" ht="15" customHeight="1" x14ac:dyDescent="0.45">
      <c r="A20"/>
      <c r="B20" s="16" t="s">
        <v>66</v>
      </c>
      <c r="C20" s="63">
        <f>C34*-1/(C69+C66)</f>
        <v>5.2539951790018753E-2</v>
      </c>
      <c r="D20" s="60">
        <v>5.5E-2</v>
      </c>
      <c r="E20" s="60">
        <v>5.5E-2</v>
      </c>
      <c r="F20" s="60">
        <v>5.5E-2</v>
      </c>
      <c r="G20" s="60">
        <v>5.5E-2</v>
      </c>
      <c r="H20" s="60">
        <v>5.5E-2</v>
      </c>
      <c r="I20" s="60">
        <v>5.5E-2</v>
      </c>
    </row>
    <row r="21" spans="1:9" ht="15" customHeight="1" x14ac:dyDescent="0.45">
      <c r="A21"/>
      <c r="B21" s="16" t="s">
        <v>124</v>
      </c>
      <c r="D21" s="65">
        <v>650</v>
      </c>
      <c r="E21" s="65">
        <v>0</v>
      </c>
      <c r="F21" s="65">
        <v>0</v>
      </c>
      <c r="G21" s="65">
        <v>0</v>
      </c>
      <c r="H21" s="65">
        <v>0</v>
      </c>
      <c r="I21" s="65">
        <v>-650</v>
      </c>
    </row>
    <row r="22" spans="1:9" ht="15" customHeight="1" x14ac:dyDescent="0.45">
      <c r="A22"/>
      <c r="B22" s="16" t="s">
        <v>125</v>
      </c>
      <c r="D22" s="65">
        <v>0</v>
      </c>
      <c r="E22" s="65">
        <v>0</v>
      </c>
      <c r="F22" s="65">
        <v>300</v>
      </c>
      <c r="G22" s="65">
        <v>300</v>
      </c>
      <c r="H22" s="65">
        <v>300</v>
      </c>
      <c r="I22" s="65">
        <v>300</v>
      </c>
    </row>
    <row r="23" spans="1:9" ht="15" customHeight="1" x14ac:dyDescent="0.45">
      <c r="A23"/>
      <c r="B23" s="16" t="s">
        <v>126</v>
      </c>
      <c r="D23" s="65">
        <v>0</v>
      </c>
      <c r="E23" s="65">
        <v>180</v>
      </c>
      <c r="F23" s="65">
        <v>180</v>
      </c>
      <c r="G23" s="65">
        <v>0</v>
      </c>
      <c r="H23" s="65">
        <v>0</v>
      </c>
      <c r="I23" s="65">
        <v>0</v>
      </c>
    </row>
    <row r="24" spans="1:9" ht="15" customHeight="1" x14ac:dyDescent="0.45">
      <c r="A24"/>
      <c r="B24" s="16" t="s">
        <v>127</v>
      </c>
      <c r="D24" s="65">
        <v>250</v>
      </c>
      <c r="E24" s="65">
        <v>250</v>
      </c>
      <c r="F24" s="65">
        <v>0</v>
      </c>
      <c r="G24" s="65">
        <v>0</v>
      </c>
      <c r="H24" s="65">
        <v>0</v>
      </c>
      <c r="I24" s="65">
        <v>0</v>
      </c>
    </row>
    <row r="25" spans="1:9" ht="15" customHeight="1" x14ac:dyDescent="0.45">
      <c r="A25"/>
      <c r="B25" s="16" t="s">
        <v>128</v>
      </c>
      <c r="D25" s="60">
        <v>5.2999999999999999E-2</v>
      </c>
      <c r="E25" s="60">
        <v>5.2999999999999999E-2</v>
      </c>
      <c r="F25" s="60">
        <v>5.2999999999999999E-2</v>
      </c>
      <c r="G25" s="60">
        <v>5.2999999999999999E-2</v>
      </c>
      <c r="H25" s="60">
        <v>5.2999999999999999E-2</v>
      </c>
      <c r="I25" s="60">
        <v>5.2999999999999999E-2</v>
      </c>
    </row>
    <row r="26" spans="1:9" ht="15" customHeight="1" x14ac:dyDescent="0.45">
      <c r="A26"/>
      <c r="B26"/>
    </row>
    <row r="27" spans="1:9" ht="15" customHeight="1" x14ac:dyDescent="0.45">
      <c r="A27" s="15" t="s">
        <v>67</v>
      </c>
      <c r="B27"/>
      <c r="H27" s="63"/>
    </row>
    <row r="28" spans="1:9" ht="15" customHeight="1" x14ac:dyDescent="0.45">
      <c r="A28"/>
      <c r="B28" s="16" t="s">
        <v>68</v>
      </c>
      <c r="C28" s="64">
        <v>4050</v>
      </c>
      <c r="D28">
        <f>(1+D6)*C28</f>
        <v>3819.1499999999996</v>
      </c>
      <c r="E28">
        <f t="shared" ref="E28:I28" si="0">(1+E6)*D28</f>
        <v>3941.3627999999999</v>
      </c>
      <c r="F28">
        <f t="shared" si="0"/>
        <v>4106.9000376000004</v>
      </c>
      <c r="G28">
        <f t="shared" si="0"/>
        <v>4271.1760391040007</v>
      </c>
      <c r="H28">
        <f t="shared" si="0"/>
        <v>4442.0230806681611</v>
      </c>
      <c r="I28">
        <f t="shared" si="0"/>
        <v>4597.4938884915464</v>
      </c>
    </row>
    <row r="29" spans="1:9" ht="15" customHeight="1" x14ac:dyDescent="0.45">
      <c r="A29"/>
      <c r="B29" s="16" t="s">
        <v>69</v>
      </c>
      <c r="C29" s="64">
        <v>996.6</v>
      </c>
      <c r="D29">
        <f t="shared" ref="D29:I29" si="1">D7*D28</f>
        <v>908.95769999999982</v>
      </c>
      <c r="E29">
        <f t="shared" si="1"/>
        <v>957.75116039999989</v>
      </c>
      <c r="F29">
        <f t="shared" si="1"/>
        <v>1096.5423100392002</v>
      </c>
      <c r="G29">
        <f t="shared" si="1"/>
        <v>1153.2175305580802</v>
      </c>
      <c r="H29">
        <f t="shared" si="1"/>
        <v>1199.3462317804035</v>
      </c>
      <c r="I29">
        <f t="shared" si="1"/>
        <v>1241.3233498927177</v>
      </c>
    </row>
    <row r="30" spans="1:9" ht="15" customHeight="1" x14ac:dyDescent="0.45">
      <c r="A30"/>
      <c r="B30" s="16" t="s">
        <v>70</v>
      </c>
      <c r="C30" s="64">
        <v>361.7</v>
      </c>
      <c r="D30">
        <f>-D43</f>
        <v>349.11</v>
      </c>
      <c r="E30">
        <f t="shared" ref="E30:I30" si="2">-E43</f>
        <v>331.11584999999997</v>
      </c>
      <c r="F30">
        <f t="shared" si="2"/>
        <v>316.92073769999996</v>
      </c>
      <c r="G30">
        <f t="shared" si="2"/>
        <v>306.34472738339997</v>
      </c>
      <c r="H30">
        <f t="shared" si="2"/>
        <v>298.833602627826</v>
      </c>
      <c r="I30">
        <f t="shared" si="2"/>
        <v>293.98676995966548</v>
      </c>
    </row>
    <row r="31" spans="1:9" ht="15" customHeight="1" x14ac:dyDescent="0.45">
      <c r="A31"/>
      <c r="B31" s="16" t="s">
        <v>71</v>
      </c>
      <c r="C31">
        <f>C29-C30</f>
        <v>634.90000000000009</v>
      </c>
      <c r="D31">
        <f t="shared" ref="D31:I31" si="3">D29-D30</f>
        <v>559.8476999999998</v>
      </c>
      <c r="E31">
        <f t="shared" si="3"/>
        <v>626.63531039999998</v>
      </c>
      <c r="F31">
        <f t="shared" si="3"/>
        <v>779.62157233920016</v>
      </c>
      <c r="G31">
        <f t="shared" si="3"/>
        <v>846.87280317468026</v>
      </c>
      <c r="H31">
        <f t="shared" si="3"/>
        <v>900.51262915257757</v>
      </c>
      <c r="I31">
        <f t="shared" si="3"/>
        <v>947.33657993305223</v>
      </c>
    </row>
    <row r="32" spans="1:9" ht="15" customHeight="1" x14ac:dyDescent="0.45">
      <c r="A32"/>
      <c r="B32" s="16" t="s">
        <v>56</v>
      </c>
      <c r="C32" s="64">
        <v>-407.6</v>
      </c>
      <c r="D32">
        <f t="shared" ref="D32:I32" si="4">D10</f>
        <v>0</v>
      </c>
      <c r="E32">
        <f t="shared" si="4"/>
        <v>0</v>
      </c>
      <c r="F32">
        <f t="shared" si="4"/>
        <v>0</v>
      </c>
      <c r="G32">
        <f t="shared" si="4"/>
        <v>0</v>
      </c>
      <c r="H32">
        <f t="shared" si="4"/>
        <v>0</v>
      </c>
      <c r="I32">
        <f t="shared" si="4"/>
        <v>0</v>
      </c>
    </row>
    <row r="33" spans="1:9" ht="15" customHeight="1" x14ac:dyDescent="0.45">
      <c r="A33"/>
      <c r="B33" s="16" t="s">
        <v>72</v>
      </c>
      <c r="C33">
        <f>C31+C32</f>
        <v>227.30000000000007</v>
      </c>
      <c r="D33">
        <f t="shared" ref="D33:I33" si="5">D31+D32</f>
        <v>559.8476999999998</v>
      </c>
      <c r="E33">
        <f t="shared" si="5"/>
        <v>626.63531039999998</v>
      </c>
      <c r="F33">
        <f t="shared" si="5"/>
        <v>779.62157233920016</v>
      </c>
      <c r="G33">
        <f t="shared" si="5"/>
        <v>846.87280317468026</v>
      </c>
      <c r="H33">
        <f t="shared" si="5"/>
        <v>900.51262915257757</v>
      </c>
      <c r="I33">
        <f t="shared" si="5"/>
        <v>947.33657993305223</v>
      </c>
    </row>
    <row r="34" spans="1:9" ht="15" customHeight="1" x14ac:dyDescent="0.45">
      <c r="A34"/>
      <c r="B34" s="16" t="s">
        <v>73</v>
      </c>
      <c r="C34" s="64">
        <f>-126.3+8.6</f>
        <v>-117.7</v>
      </c>
      <c r="D34">
        <f t="shared" ref="D34:I34" si="6">IF(switch=1,-D109,0)</f>
        <v>0</v>
      </c>
      <c r="E34">
        <f t="shared" si="6"/>
        <v>0</v>
      </c>
      <c r="F34">
        <f t="shared" si="6"/>
        <v>0</v>
      </c>
      <c r="G34">
        <f t="shared" si="6"/>
        <v>0</v>
      </c>
      <c r="H34">
        <f t="shared" si="6"/>
        <v>0</v>
      </c>
      <c r="I34">
        <f t="shared" si="6"/>
        <v>0</v>
      </c>
    </row>
    <row r="35" spans="1:9" ht="15" customHeight="1" x14ac:dyDescent="0.45">
      <c r="A35"/>
      <c r="B35" s="16" t="s">
        <v>74</v>
      </c>
      <c r="C35" s="64">
        <v>-16.5</v>
      </c>
      <c r="D35">
        <f t="shared" ref="D35:I35" si="7">D11</f>
        <v>0</v>
      </c>
      <c r="E35">
        <f t="shared" si="7"/>
        <v>0</v>
      </c>
      <c r="F35">
        <f t="shared" si="7"/>
        <v>0</v>
      </c>
      <c r="G35">
        <f t="shared" si="7"/>
        <v>0</v>
      </c>
      <c r="H35">
        <f t="shared" si="7"/>
        <v>0</v>
      </c>
      <c r="I35">
        <f t="shared" si="7"/>
        <v>0</v>
      </c>
    </row>
    <row r="36" spans="1:9" ht="15" customHeight="1" x14ac:dyDescent="0.45">
      <c r="A36"/>
      <c r="B36" s="16" t="s">
        <v>75</v>
      </c>
      <c r="C36">
        <f>C33+C34+C35</f>
        <v>93.100000000000065</v>
      </c>
      <c r="D36">
        <f t="shared" ref="D36:I36" si="8">D33+D34+D35</f>
        <v>559.8476999999998</v>
      </c>
      <c r="E36">
        <f t="shared" si="8"/>
        <v>626.63531039999998</v>
      </c>
      <c r="F36">
        <f t="shared" si="8"/>
        <v>779.62157233920016</v>
      </c>
      <c r="G36">
        <f t="shared" si="8"/>
        <v>846.87280317468026</v>
      </c>
      <c r="H36">
        <f t="shared" si="8"/>
        <v>900.51262915257757</v>
      </c>
      <c r="I36">
        <f t="shared" si="8"/>
        <v>947.33657993305223</v>
      </c>
    </row>
    <row r="37" spans="1:9" ht="15" customHeight="1" x14ac:dyDescent="0.45">
      <c r="A37"/>
      <c r="B37" s="16" t="s">
        <v>76</v>
      </c>
      <c r="C37" s="64">
        <v>-67.8</v>
      </c>
      <c r="D37">
        <f t="shared" ref="D37:I37" si="9">D12*D36*-1</f>
        <v>-117.56801699999995</v>
      </c>
      <c r="E37">
        <f t="shared" si="9"/>
        <v>-131.59341518399998</v>
      </c>
      <c r="F37">
        <f t="shared" si="9"/>
        <v>-163.72053019123203</v>
      </c>
      <c r="G37">
        <f t="shared" si="9"/>
        <v>-177.84328866668284</v>
      </c>
      <c r="H37">
        <f t="shared" si="9"/>
        <v>-189.10765212204129</v>
      </c>
      <c r="I37">
        <f t="shared" si="9"/>
        <v>-198.94068178594097</v>
      </c>
    </row>
    <row r="38" spans="1:9" ht="15" customHeight="1" x14ac:dyDescent="0.45">
      <c r="A38"/>
      <c r="B38" s="16" t="s">
        <v>77</v>
      </c>
      <c r="C38">
        <f>C36+C37</f>
        <v>25.300000000000068</v>
      </c>
      <c r="D38">
        <f t="shared" ref="D38:I38" si="10">D36+D37</f>
        <v>442.27968299999986</v>
      </c>
      <c r="E38">
        <f t="shared" si="10"/>
        <v>495.041895216</v>
      </c>
      <c r="F38">
        <f t="shared" si="10"/>
        <v>615.90104214796816</v>
      </c>
      <c r="G38">
        <f t="shared" si="10"/>
        <v>669.02951450799742</v>
      </c>
      <c r="H38">
        <f t="shared" si="10"/>
        <v>711.40497703053632</v>
      </c>
      <c r="I38">
        <f t="shared" si="10"/>
        <v>748.39589814711121</v>
      </c>
    </row>
    <row r="39" spans="1:9" ht="15" customHeight="1" x14ac:dyDescent="0.45">
      <c r="A39"/>
      <c r="B39"/>
    </row>
    <row r="40" spans="1:9" ht="15" customHeight="1" x14ac:dyDescent="0.45">
      <c r="A40" s="62" t="s">
        <v>78</v>
      </c>
      <c r="B40"/>
    </row>
    <row r="41" spans="1:9" ht="15" customHeight="1" x14ac:dyDescent="0.45">
      <c r="A41"/>
      <c r="B41" s="16" t="s">
        <v>79</v>
      </c>
      <c r="D41">
        <f>C44</f>
        <v>2327.4</v>
      </c>
      <c r="E41">
        <f t="shared" ref="E41:I41" si="11">D44</f>
        <v>2207.4389999999999</v>
      </c>
      <c r="F41">
        <f t="shared" si="11"/>
        <v>2112.8049179999998</v>
      </c>
      <c r="G41">
        <f t="shared" si="11"/>
        <v>2042.2981825559998</v>
      </c>
      <c r="H41">
        <f t="shared" si="11"/>
        <v>1992.2240175188399</v>
      </c>
      <c r="I41">
        <f t="shared" si="11"/>
        <v>1959.9117997311034</v>
      </c>
    </row>
    <row r="42" spans="1:9" ht="15" customHeight="1" x14ac:dyDescent="0.45">
      <c r="A42"/>
      <c r="B42" s="16" t="s">
        <v>80</v>
      </c>
      <c r="C42" s="64">
        <v>233</v>
      </c>
      <c r="D42">
        <f t="shared" ref="D42:I42" si="12">D8*D28</f>
        <v>229.14899999999997</v>
      </c>
      <c r="E42">
        <f t="shared" si="12"/>
        <v>236.48176799999999</v>
      </c>
      <c r="F42">
        <f t="shared" si="12"/>
        <v>246.414002256</v>
      </c>
      <c r="G42">
        <f t="shared" si="12"/>
        <v>256.27056234624001</v>
      </c>
      <c r="H42">
        <f t="shared" si="12"/>
        <v>266.52138484008964</v>
      </c>
      <c r="I42">
        <f t="shared" si="12"/>
        <v>275.84963330949279</v>
      </c>
    </row>
    <row r="43" spans="1:9" ht="15" customHeight="1" x14ac:dyDescent="0.45">
      <c r="A43"/>
      <c r="B43" s="16" t="s">
        <v>70</v>
      </c>
      <c r="C43">
        <f>-C30</f>
        <v>-361.7</v>
      </c>
      <c r="D43">
        <f t="shared" ref="D43:I43" si="13">-D9*D41</f>
        <v>-349.11</v>
      </c>
      <c r="E43">
        <f t="shared" si="13"/>
        <v>-331.11584999999997</v>
      </c>
      <c r="F43">
        <f t="shared" si="13"/>
        <v>-316.92073769999996</v>
      </c>
      <c r="G43">
        <f t="shared" si="13"/>
        <v>-306.34472738339997</v>
      </c>
      <c r="H43">
        <f t="shared" si="13"/>
        <v>-298.833602627826</v>
      </c>
      <c r="I43">
        <f t="shared" si="13"/>
        <v>-293.98676995966548</v>
      </c>
    </row>
    <row r="44" spans="1:9" ht="15" customHeight="1" x14ac:dyDescent="0.45">
      <c r="A44"/>
      <c r="B44" s="16" t="s">
        <v>81</v>
      </c>
      <c r="C44">
        <f>C61</f>
        <v>2327.4</v>
      </c>
      <c r="D44">
        <f>SUM(D41:D43)</f>
        <v>2207.4389999999999</v>
      </c>
      <c r="E44">
        <f t="shared" ref="E44:H44" si="14">SUM(E41:E43)</f>
        <v>2112.8049179999998</v>
      </c>
      <c r="F44">
        <f t="shared" si="14"/>
        <v>2042.2981825559998</v>
      </c>
      <c r="G44">
        <f t="shared" si="14"/>
        <v>1992.2240175188399</v>
      </c>
      <c r="H44">
        <f t="shared" si="14"/>
        <v>1959.9117997311034</v>
      </c>
      <c r="I44">
        <f t="shared" ref="I44" si="15">SUM(I41:I43)</f>
        <v>1941.7746630809308</v>
      </c>
    </row>
    <row r="45" spans="1:9" ht="15" customHeight="1" x14ac:dyDescent="0.45">
      <c r="A45"/>
      <c r="D45" s="63"/>
      <c r="E45" s="63"/>
      <c r="F45" s="63"/>
      <c r="G45" s="63"/>
      <c r="H45" s="63"/>
      <c r="I45" s="63"/>
    </row>
    <row r="46" spans="1:9" ht="15" customHeight="1" x14ac:dyDescent="0.45">
      <c r="A46"/>
    </row>
    <row r="47" spans="1:9" ht="15" customHeight="1" x14ac:dyDescent="0.45">
      <c r="A47"/>
    </row>
    <row r="48" spans="1:9" ht="15" customHeight="1" x14ac:dyDescent="0.45">
      <c r="A48"/>
    </row>
    <row r="49" spans="1:9" ht="15" customHeight="1" x14ac:dyDescent="0.45">
      <c r="A49"/>
    </row>
    <row r="50" spans="1:9" ht="15" customHeight="1" x14ac:dyDescent="0.45">
      <c r="A50"/>
    </row>
    <row r="51" spans="1:9" ht="15" customHeight="1" x14ac:dyDescent="0.45">
      <c r="A51"/>
      <c r="B51" s="16" t="s">
        <v>82</v>
      </c>
      <c r="D51">
        <f>C54</f>
        <v>3467</v>
      </c>
      <c r="E51">
        <f t="shared" ref="E51:I51" si="16">D54</f>
        <v>3643.9118731999997</v>
      </c>
      <c r="F51">
        <f t="shared" si="16"/>
        <v>3841.9286312863996</v>
      </c>
      <c r="G51">
        <f t="shared" si="16"/>
        <v>4088.2890481455865</v>
      </c>
      <c r="H51">
        <f t="shared" si="16"/>
        <v>4355.9008539487859</v>
      </c>
      <c r="I51">
        <f t="shared" si="16"/>
        <v>4640.4628447610003</v>
      </c>
    </row>
    <row r="52" spans="1:9" ht="15" customHeight="1" x14ac:dyDescent="0.45">
      <c r="A52"/>
      <c r="B52" s="16" t="s">
        <v>77</v>
      </c>
      <c r="D52">
        <f t="shared" ref="D52:I52" si="17">D38</f>
        <v>442.27968299999986</v>
      </c>
      <c r="E52">
        <f t="shared" si="17"/>
        <v>495.041895216</v>
      </c>
      <c r="F52">
        <f t="shared" si="17"/>
        <v>615.90104214796816</v>
      </c>
      <c r="G52">
        <f t="shared" si="17"/>
        <v>669.02951450799742</v>
      </c>
      <c r="H52">
        <f t="shared" si="17"/>
        <v>711.40497703053632</v>
      </c>
      <c r="I52">
        <f t="shared" si="17"/>
        <v>748.39589814711121</v>
      </c>
    </row>
    <row r="53" spans="1:9" ht="15" customHeight="1" x14ac:dyDescent="0.45">
      <c r="A53"/>
      <c r="B53" s="16" t="s">
        <v>83</v>
      </c>
      <c r="C53" s="64">
        <v>-119.2</v>
      </c>
      <c r="D53">
        <f t="shared" ref="D53:I53" si="18">D13*D38*-1</f>
        <v>-265.36780979999992</v>
      </c>
      <c r="E53">
        <f t="shared" si="18"/>
        <v>-297.02513712960001</v>
      </c>
      <c r="F53">
        <f t="shared" si="18"/>
        <v>-369.54062528878086</v>
      </c>
      <c r="G53">
        <f t="shared" si="18"/>
        <v>-401.41770870479843</v>
      </c>
      <c r="H53">
        <f t="shared" si="18"/>
        <v>-426.84298621832176</v>
      </c>
      <c r="I53">
        <f t="shared" si="18"/>
        <v>-449.03753888826674</v>
      </c>
    </row>
    <row r="54" spans="1:9" ht="15" customHeight="1" x14ac:dyDescent="0.45">
      <c r="A54"/>
      <c r="B54" s="16" t="s">
        <v>84</v>
      </c>
      <c r="C54">
        <f>C74</f>
        <v>3467</v>
      </c>
      <c r="D54">
        <f>SUM(D51:D53)</f>
        <v>3643.9118731999997</v>
      </c>
      <c r="E54">
        <f t="shared" ref="E54:H54" si="19">SUM(E51:E53)</f>
        <v>3841.9286312863996</v>
      </c>
      <c r="F54">
        <f t="shared" si="19"/>
        <v>4088.2890481455865</v>
      </c>
      <c r="G54">
        <f t="shared" si="19"/>
        <v>4355.9008539487859</v>
      </c>
      <c r="H54">
        <f t="shared" si="19"/>
        <v>4640.4628447610003</v>
      </c>
      <c r="I54">
        <f t="shared" ref="I54" si="20">SUM(I51:I53)</f>
        <v>4939.821204019845</v>
      </c>
    </row>
    <row r="55" spans="1:9" ht="15" customHeight="1" x14ac:dyDescent="0.45">
      <c r="A55"/>
    </row>
    <row r="56" spans="1:9" ht="15" customHeight="1" x14ac:dyDescent="0.45">
      <c r="A56" s="62" t="s">
        <v>85</v>
      </c>
      <c r="B56"/>
    </row>
    <row r="57" spans="1:9" ht="15" customHeight="1" x14ac:dyDescent="0.45">
      <c r="A57"/>
      <c r="B57" s="16" t="s">
        <v>86</v>
      </c>
      <c r="C57" s="64">
        <v>194.6</v>
      </c>
      <c r="D57">
        <f>MAX(0,D97)</f>
        <v>224.05357320000005</v>
      </c>
      <c r="E57">
        <f t="shared" ref="E57:H57" si="21">MAX(0,E97)</f>
        <v>399.35019568639996</v>
      </c>
      <c r="F57">
        <f t="shared" si="21"/>
        <v>592.71106025038739</v>
      </c>
      <c r="G57">
        <f t="shared" si="21"/>
        <v>787.06983887717809</v>
      </c>
      <c r="H57">
        <f t="shared" si="21"/>
        <v>979.68376757501835</v>
      </c>
      <c r="I57">
        <f t="shared" ref="I57" si="22">MAX(0,I97)</f>
        <v>1175.1024087731148</v>
      </c>
    </row>
    <row r="58" spans="1:9" ht="15" customHeight="1" x14ac:dyDescent="0.45">
      <c r="A58"/>
      <c r="B58" s="16" t="s">
        <v>87</v>
      </c>
      <c r="C58" s="64">
        <f>(1403.1-194.6)-994.1</f>
        <v>214.39999999999998</v>
      </c>
      <c r="D58">
        <f t="shared" ref="D58:I58" si="23">D14*D28</f>
        <v>202.41494999999998</v>
      </c>
      <c r="E58">
        <f t="shared" si="23"/>
        <v>208.89222839999999</v>
      </c>
      <c r="F58">
        <f t="shared" si="23"/>
        <v>217.66570199280002</v>
      </c>
      <c r="G58">
        <f t="shared" si="23"/>
        <v>226.37233007251203</v>
      </c>
      <c r="H58">
        <f t="shared" si="23"/>
        <v>235.42722327541253</v>
      </c>
      <c r="I58">
        <f t="shared" si="23"/>
        <v>243.66717609005195</v>
      </c>
    </row>
    <row r="59" spans="1:9" ht="15" customHeight="1" x14ac:dyDescent="0.45">
      <c r="A59"/>
      <c r="B59" s="16" t="s">
        <v>88</v>
      </c>
      <c r="C59">
        <f>SUM(C57:C58)</f>
        <v>409</v>
      </c>
      <c r="D59">
        <f t="shared" ref="D59:H59" si="24">SUM(D57:D58)</f>
        <v>426.46852320000005</v>
      </c>
      <c r="E59">
        <f t="shared" si="24"/>
        <v>608.24242408639998</v>
      </c>
      <c r="F59">
        <f t="shared" si="24"/>
        <v>810.37676224318739</v>
      </c>
      <c r="G59">
        <f t="shared" si="24"/>
        <v>1013.4421689496901</v>
      </c>
      <c r="H59">
        <f t="shared" si="24"/>
        <v>1215.1109908504309</v>
      </c>
      <c r="I59">
        <f t="shared" ref="I59" si="25">SUM(I57:I58)</f>
        <v>1418.7695848631668</v>
      </c>
    </row>
    <row r="60" spans="1:9" ht="15" customHeight="1" x14ac:dyDescent="0.45">
      <c r="A60"/>
      <c r="B60"/>
    </row>
    <row r="61" spans="1:9" ht="15" customHeight="1" x14ac:dyDescent="0.45">
      <c r="A61"/>
      <c r="B61" s="16" t="s">
        <v>89</v>
      </c>
      <c r="C61" s="64">
        <f>1604+723.4</f>
        <v>2327.4</v>
      </c>
      <c r="D61">
        <f>D44</f>
        <v>2207.4389999999999</v>
      </c>
      <c r="E61">
        <f t="shared" ref="E61:I61" si="26">E44</f>
        <v>2112.8049179999998</v>
      </c>
      <c r="F61">
        <f t="shared" si="26"/>
        <v>2042.2981825559998</v>
      </c>
      <c r="G61">
        <f t="shared" si="26"/>
        <v>1992.2240175188399</v>
      </c>
      <c r="H61">
        <f t="shared" si="26"/>
        <v>1959.9117997311034</v>
      </c>
      <c r="I61">
        <f t="shared" si="26"/>
        <v>1941.7746630809308</v>
      </c>
    </row>
    <row r="62" spans="1:9" ht="15" customHeight="1" x14ac:dyDescent="0.45">
      <c r="A62"/>
      <c r="B62" s="16" t="s">
        <v>90</v>
      </c>
      <c r="C62" s="64">
        <v>2846.6</v>
      </c>
      <c r="D62">
        <f>C62</f>
        <v>2846.6</v>
      </c>
      <c r="E62">
        <f t="shared" ref="E62:I62" si="27">D62</f>
        <v>2846.6</v>
      </c>
      <c r="F62">
        <f t="shared" si="27"/>
        <v>2846.6</v>
      </c>
      <c r="G62">
        <f t="shared" si="27"/>
        <v>2846.6</v>
      </c>
      <c r="H62">
        <f t="shared" si="27"/>
        <v>2846.6</v>
      </c>
      <c r="I62">
        <f t="shared" si="27"/>
        <v>2846.6</v>
      </c>
    </row>
    <row r="63" spans="1:9" ht="15" customHeight="1" x14ac:dyDescent="0.45">
      <c r="A63"/>
      <c r="B63" s="16" t="s">
        <v>91</v>
      </c>
      <c r="C63" s="64">
        <f>218.4+412.5+42.2+278.2</f>
        <v>951.3</v>
      </c>
      <c r="D63">
        <f t="shared" ref="D63:I63" si="28">D17*D28</f>
        <v>897.50024999999982</v>
      </c>
      <c r="E63">
        <f t="shared" si="28"/>
        <v>926.22025799999994</v>
      </c>
      <c r="F63">
        <f t="shared" si="28"/>
        <v>965.12150883599998</v>
      </c>
      <c r="G63">
        <f t="shared" si="28"/>
        <v>1003.7263691894401</v>
      </c>
      <c r="H63">
        <f t="shared" si="28"/>
        <v>1043.8754239570178</v>
      </c>
      <c r="I63">
        <f t="shared" si="28"/>
        <v>1080.4110637955134</v>
      </c>
    </row>
    <row r="64" spans="1:9" ht="15" customHeight="1" x14ac:dyDescent="0.45">
      <c r="A64"/>
      <c r="B64" s="16" t="s">
        <v>92</v>
      </c>
      <c r="C64">
        <f t="shared" ref="C64:I64" si="29">C59+C61+C62+C63</f>
        <v>6534.3</v>
      </c>
      <c r="D64">
        <f t="shared" si="29"/>
        <v>6378.0077732</v>
      </c>
      <c r="E64">
        <f t="shared" si="29"/>
        <v>6493.8676000864007</v>
      </c>
      <c r="F64">
        <f t="shared" si="29"/>
        <v>6664.3964536351868</v>
      </c>
      <c r="G64">
        <f t="shared" si="29"/>
        <v>6855.992555657971</v>
      </c>
      <c r="H64">
        <f t="shared" si="29"/>
        <v>7065.498214538552</v>
      </c>
      <c r="I64">
        <f t="shared" si="29"/>
        <v>7287.5553117396112</v>
      </c>
    </row>
    <row r="65" spans="1:9" ht="15" customHeight="1" x14ac:dyDescent="0.45">
      <c r="A65"/>
      <c r="B65"/>
    </row>
    <row r="66" spans="1:9" ht="15" customHeight="1" x14ac:dyDescent="0.45">
      <c r="A66"/>
      <c r="B66" s="16" t="s">
        <v>93</v>
      </c>
      <c r="C66" s="64">
        <v>0</v>
      </c>
      <c r="D66">
        <f>-MIN(0,D97)</f>
        <v>0</v>
      </c>
      <c r="E66">
        <f t="shared" ref="E66:H66" si="30">-MIN(0,E97)</f>
        <v>0</v>
      </c>
      <c r="F66">
        <f t="shared" si="30"/>
        <v>0</v>
      </c>
      <c r="G66">
        <f t="shared" si="30"/>
        <v>0</v>
      </c>
      <c r="H66">
        <f t="shared" si="30"/>
        <v>0</v>
      </c>
      <c r="I66">
        <f t="shared" ref="I66" si="31">-MIN(0,I97)</f>
        <v>0</v>
      </c>
    </row>
    <row r="67" spans="1:9" ht="15" customHeight="1" x14ac:dyDescent="0.45">
      <c r="A67"/>
      <c r="B67" s="16" t="s">
        <v>94</v>
      </c>
      <c r="C67">
        <f>SUM(C66:C66)</f>
        <v>0</v>
      </c>
      <c r="D67">
        <f>SUM(D66:D66)</f>
        <v>0</v>
      </c>
      <c r="E67">
        <f t="shared" ref="E67:H67" si="32">SUM(E66:E66)</f>
        <v>0</v>
      </c>
      <c r="F67">
        <f t="shared" si="32"/>
        <v>0</v>
      </c>
      <c r="G67">
        <f t="shared" si="32"/>
        <v>0</v>
      </c>
      <c r="H67">
        <f t="shared" si="32"/>
        <v>0</v>
      </c>
      <c r="I67">
        <f t="shared" ref="I67" si="33">SUM(I66:I66)</f>
        <v>0</v>
      </c>
    </row>
    <row r="68" spans="1:9" ht="15" customHeight="1" x14ac:dyDescent="0.45">
      <c r="A68"/>
      <c r="B68"/>
    </row>
    <row r="69" spans="1:9" ht="15" customHeight="1" x14ac:dyDescent="0.45">
      <c r="A69"/>
      <c r="B69" s="16" t="s">
        <v>95</v>
      </c>
      <c r="C69" s="64">
        <v>2240.1999999999998</v>
      </c>
      <c r="D69">
        <f t="shared" ref="D69:I69" si="34">D16+C69</f>
        <v>1940.1999999999998</v>
      </c>
      <c r="E69">
        <f t="shared" si="34"/>
        <v>1840.1999999999998</v>
      </c>
      <c r="F69">
        <f t="shared" si="34"/>
        <v>1740.1999999999998</v>
      </c>
      <c r="G69">
        <f t="shared" si="34"/>
        <v>1640.1999999999998</v>
      </c>
      <c r="H69">
        <f t="shared" si="34"/>
        <v>1540.1999999999998</v>
      </c>
      <c r="I69">
        <f t="shared" si="34"/>
        <v>1440.1999999999998</v>
      </c>
    </row>
    <row r="70" spans="1:9" ht="15" customHeight="1" x14ac:dyDescent="0.45">
      <c r="A70"/>
      <c r="B70" s="16" t="s">
        <v>96</v>
      </c>
      <c r="C70" s="64">
        <f>483.8+107</f>
        <v>590.79999999999995</v>
      </c>
      <c r="D70">
        <f t="shared" ref="D70:I70" si="35">D18*D28</f>
        <v>557.59589999999992</v>
      </c>
      <c r="E70">
        <f t="shared" si="35"/>
        <v>575.4389688</v>
      </c>
      <c r="F70">
        <f t="shared" si="35"/>
        <v>599.60740548960007</v>
      </c>
      <c r="G70">
        <f t="shared" si="35"/>
        <v>623.59170170918401</v>
      </c>
      <c r="H70">
        <f t="shared" si="35"/>
        <v>648.53536977755152</v>
      </c>
      <c r="I70">
        <f t="shared" si="35"/>
        <v>671.23410771976569</v>
      </c>
    </row>
    <row r="71" spans="1:9" ht="15" customHeight="1" x14ac:dyDescent="0.45">
      <c r="A71"/>
      <c r="B71" s="16" t="s">
        <v>97</v>
      </c>
      <c r="C71" s="64">
        <f>195.2+41.1</f>
        <v>236.29999999999998</v>
      </c>
      <c r="D71">
        <f t="shared" ref="D71:I71" si="36">C71+D15</f>
        <v>236.29999999999998</v>
      </c>
      <c r="E71">
        <f t="shared" si="36"/>
        <v>236.29999999999998</v>
      </c>
      <c r="F71">
        <f t="shared" si="36"/>
        <v>236.29999999999998</v>
      </c>
      <c r="G71">
        <f t="shared" si="36"/>
        <v>236.29999999999998</v>
      </c>
      <c r="H71">
        <f t="shared" si="36"/>
        <v>236.29999999999998</v>
      </c>
      <c r="I71">
        <f t="shared" si="36"/>
        <v>236.29999999999998</v>
      </c>
    </row>
    <row r="72" spans="1:9" ht="15" customHeight="1" x14ac:dyDescent="0.45">
      <c r="A72"/>
      <c r="B72" s="16" t="s">
        <v>98</v>
      </c>
      <c r="C72">
        <f t="shared" ref="C72:I72" si="37">C67+SUM(C69:C71)</f>
        <v>3067.3</v>
      </c>
      <c r="D72">
        <f t="shared" si="37"/>
        <v>2734.0958999999998</v>
      </c>
      <c r="E72">
        <f t="shared" si="37"/>
        <v>2651.9389688000001</v>
      </c>
      <c r="F72">
        <f t="shared" si="37"/>
        <v>2576.1074054895998</v>
      </c>
      <c r="G72">
        <f t="shared" si="37"/>
        <v>2500.0917017091842</v>
      </c>
      <c r="H72">
        <f t="shared" si="37"/>
        <v>2425.0353697775518</v>
      </c>
      <c r="I72">
        <f t="shared" si="37"/>
        <v>2347.7341077197657</v>
      </c>
    </row>
    <row r="73" spans="1:9" ht="15" customHeight="1" x14ac:dyDescent="0.45">
      <c r="A73"/>
      <c r="B73"/>
    </row>
    <row r="74" spans="1:9" ht="15" customHeight="1" x14ac:dyDescent="0.45">
      <c r="A74"/>
      <c r="B74" s="16" t="s">
        <v>99</v>
      </c>
      <c r="C74" s="64">
        <v>3467</v>
      </c>
      <c r="D74">
        <f t="shared" ref="D74:I74" si="38">D54</f>
        <v>3643.9118731999997</v>
      </c>
      <c r="E74">
        <f t="shared" si="38"/>
        <v>3841.9286312863996</v>
      </c>
      <c r="F74">
        <f t="shared" si="38"/>
        <v>4088.2890481455865</v>
      </c>
      <c r="G74">
        <f t="shared" si="38"/>
        <v>4355.9008539487859</v>
      </c>
      <c r="H74">
        <f t="shared" si="38"/>
        <v>4640.4628447610003</v>
      </c>
      <c r="I74">
        <f t="shared" si="38"/>
        <v>4939.821204019845</v>
      </c>
    </row>
    <row r="75" spans="1:9" ht="15" customHeight="1" x14ac:dyDescent="0.45">
      <c r="A75"/>
      <c r="B75" s="16" t="s">
        <v>100</v>
      </c>
      <c r="C75">
        <f>C72+C74</f>
        <v>6534.3</v>
      </c>
      <c r="D75">
        <f>D72+D74</f>
        <v>6378.0077731999991</v>
      </c>
      <c r="E75">
        <f t="shared" ref="E75:H75" si="39">E72+E74</f>
        <v>6493.8676000863998</v>
      </c>
      <c r="F75">
        <f t="shared" si="39"/>
        <v>6664.3964536351868</v>
      </c>
      <c r="G75">
        <f t="shared" si="39"/>
        <v>6855.9925556579701</v>
      </c>
      <c r="H75">
        <f t="shared" si="39"/>
        <v>7065.498214538552</v>
      </c>
      <c r="I75">
        <f t="shared" ref="I75" si="40">I72+I74</f>
        <v>7287.5553117396103</v>
      </c>
    </row>
    <row r="76" spans="1:9" ht="15" customHeight="1" x14ac:dyDescent="0.45">
      <c r="A76"/>
      <c r="B76"/>
    </row>
    <row r="77" spans="1:9" ht="15" customHeight="1" x14ac:dyDescent="0.45">
      <c r="A77"/>
      <c r="B77" s="16" t="s">
        <v>101</v>
      </c>
      <c r="C77">
        <f t="shared" ref="C77:I77" si="41">C75-C64</f>
        <v>0</v>
      </c>
      <c r="D77">
        <f t="shared" si="41"/>
        <v>0</v>
      </c>
      <c r="E77">
        <f t="shared" si="41"/>
        <v>0</v>
      </c>
      <c r="F77">
        <f t="shared" si="41"/>
        <v>0</v>
      </c>
      <c r="G77">
        <f t="shared" si="41"/>
        <v>0</v>
      </c>
      <c r="H77">
        <f t="shared" si="41"/>
        <v>0</v>
      </c>
      <c r="I77">
        <f t="shared" si="41"/>
        <v>0</v>
      </c>
    </row>
    <row r="78" spans="1:9" ht="15" customHeight="1" x14ac:dyDescent="0.45">
      <c r="A78"/>
      <c r="B78"/>
    </row>
    <row r="79" spans="1:9" ht="15" customHeight="1" x14ac:dyDescent="0.45">
      <c r="A79" s="15" t="s">
        <v>102</v>
      </c>
      <c r="B79"/>
    </row>
    <row r="80" spans="1:9" ht="15" customHeight="1" x14ac:dyDescent="0.45">
      <c r="A80"/>
      <c r="B80" s="16" t="s">
        <v>77</v>
      </c>
      <c r="D80">
        <f t="shared" ref="D80:I80" si="42">D38</f>
        <v>442.27968299999986</v>
      </c>
      <c r="E80">
        <f t="shared" si="42"/>
        <v>495.041895216</v>
      </c>
      <c r="F80">
        <f t="shared" si="42"/>
        <v>615.90104214796816</v>
      </c>
      <c r="G80">
        <f t="shared" si="42"/>
        <v>669.02951450799742</v>
      </c>
      <c r="H80">
        <f t="shared" si="42"/>
        <v>711.40497703053632</v>
      </c>
      <c r="I80">
        <f t="shared" si="42"/>
        <v>748.39589814711121</v>
      </c>
    </row>
    <row r="81" spans="1:9" ht="15" customHeight="1" x14ac:dyDescent="0.45">
      <c r="A81"/>
      <c r="B81" s="16" t="s">
        <v>70</v>
      </c>
      <c r="D81">
        <f>D30</f>
        <v>349.11</v>
      </c>
      <c r="E81">
        <f t="shared" ref="E81:I81" si="43">E30</f>
        <v>331.11584999999997</v>
      </c>
      <c r="F81">
        <f t="shared" si="43"/>
        <v>316.92073769999996</v>
      </c>
      <c r="G81">
        <f t="shared" si="43"/>
        <v>306.34472738339997</v>
      </c>
      <c r="H81">
        <f t="shared" si="43"/>
        <v>298.833602627826</v>
      </c>
      <c r="I81">
        <f t="shared" si="43"/>
        <v>293.98676995966548</v>
      </c>
    </row>
    <row r="82" spans="1:9" ht="15" customHeight="1" x14ac:dyDescent="0.45">
      <c r="A82"/>
      <c r="B82" s="16" t="s">
        <v>103</v>
      </c>
      <c r="D82">
        <f t="shared" ref="D82:I82" si="44">C58-D58</f>
        <v>11.985050000000001</v>
      </c>
      <c r="E82">
        <f t="shared" si="44"/>
        <v>-6.4772784000000172</v>
      </c>
      <c r="F82">
        <f t="shared" si="44"/>
        <v>-8.7734735928000305</v>
      </c>
      <c r="G82">
        <f t="shared" si="44"/>
        <v>-8.7066280797120044</v>
      </c>
      <c r="H82">
        <f t="shared" si="44"/>
        <v>-9.0548932029005016</v>
      </c>
      <c r="I82">
        <f t="shared" si="44"/>
        <v>-8.2399528146394232</v>
      </c>
    </row>
    <row r="83" spans="1:9" ht="15" customHeight="1" x14ac:dyDescent="0.45">
      <c r="A83"/>
      <c r="B83" s="16" t="s">
        <v>104</v>
      </c>
      <c r="D83">
        <f t="shared" ref="D83:I83" si="45">C63-D63</f>
        <v>53.799750000000131</v>
      </c>
      <c r="E83">
        <f t="shared" si="45"/>
        <v>-28.720008000000121</v>
      </c>
      <c r="F83">
        <f t="shared" si="45"/>
        <v>-38.901250836000031</v>
      </c>
      <c r="G83">
        <f t="shared" si="45"/>
        <v>-38.604860353440131</v>
      </c>
      <c r="H83">
        <f t="shared" si="45"/>
        <v>-40.149054767577695</v>
      </c>
      <c r="I83">
        <f t="shared" si="45"/>
        <v>-36.535639838495626</v>
      </c>
    </row>
    <row r="84" spans="1:9" ht="15" customHeight="1" x14ac:dyDescent="0.45">
      <c r="A84"/>
      <c r="B84" s="16" t="s">
        <v>105</v>
      </c>
      <c r="D84">
        <f>D70-C70</f>
        <v>-33.204100000000039</v>
      </c>
      <c r="E84">
        <f t="shared" ref="E84:I84" si="46">E70-D70</f>
        <v>17.843068800000083</v>
      </c>
      <c r="F84">
        <f t="shared" si="46"/>
        <v>24.168436689600071</v>
      </c>
      <c r="G84">
        <f t="shared" si="46"/>
        <v>23.984296219583939</v>
      </c>
      <c r="H84">
        <f t="shared" si="46"/>
        <v>24.943668068367515</v>
      </c>
      <c r="I84">
        <f t="shared" si="46"/>
        <v>22.698737942214166</v>
      </c>
    </row>
    <row r="85" spans="1:9" ht="15" customHeight="1" x14ac:dyDescent="0.45">
      <c r="A85"/>
      <c r="B85" s="16" t="s">
        <v>106</v>
      </c>
      <c r="D85">
        <f>SUM(D80:D84)</f>
        <v>823.97038299999997</v>
      </c>
      <c r="E85">
        <f t="shared" ref="E85:H85" si="47">SUM(E80:E84)</f>
        <v>808.80352761599988</v>
      </c>
      <c r="F85">
        <f t="shared" si="47"/>
        <v>909.31549210876824</v>
      </c>
      <c r="G85">
        <f t="shared" si="47"/>
        <v>952.04704967782914</v>
      </c>
      <c r="H85">
        <f t="shared" si="47"/>
        <v>985.97829975625166</v>
      </c>
      <c r="I85">
        <f t="shared" ref="I85" si="48">SUM(I80:I84)</f>
        <v>1020.3058133958559</v>
      </c>
    </row>
    <row r="86" spans="1:9" ht="15" customHeight="1" x14ac:dyDescent="0.45">
      <c r="A86"/>
      <c r="B86"/>
    </row>
    <row r="87" spans="1:9" ht="15" customHeight="1" x14ac:dyDescent="0.45">
      <c r="A87"/>
      <c r="B87" s="16" t="s">
        <v>107</v>
      </c>
      <c r="D87">
        <f>-D42</f>
        <v>-229.14899999999997</v>
      </c>
      <c r="E87">
        <f t="shared" ref="E87:I87" si="49">-E42</f>
        <v>-236.48176799999999</v>
      </c>
      <c r="F87">
        <f t="shared" si="49"/>
        <v>-246.414002256</v>
      </c>
      <c r="G87">
        <f t="shared" si="49"/>
        <v>-256.27056234624001</v>
      </c>
      <c r="H87">
        <f t="shared" si="49"/>
        <v>-266.52138484008964</v>
      </c>
      <c r="I87">
        <f t="shared" si="49"/>
        <v>-275.84963330949279</v>
      </c>
    </row>
    <row r="88" spans="1:9" ht="15" customHeight="1" x14ac:dyDescent="0.45">
      <c r="A88"/>
      <c r="B88" s="16" t="s">
        <v>61</v>
      </c>
      <c r="D88">
        <f t="shared" ref="D88:I88" si="50">D15</f>
        <v>0</v>
      </c>
      <c r="E88">
        <f t="shared" si="50"/>
        <v>0</v>
      </c>
      <c r="F88">
        <f t="shared" si="50"/>
        <v>0</v>
      </c>
      <c r="G88">
        <f t="shared" si="50"/>
        <v>0</v>
      </c>
      <c r="H88">
        <f t="shared" si="50"/>
        <v>0</v>
      </c>
      <c r="I88">
        <f t="shared" si="50"/>
        <v>0</v>
      </c>
    </row>
    <row r="89" spans="1:9" ht="15" customHeight="1" x14ac:dyDescent="0.45">
      <c r="A89"/>
      <c r="B89" s="16" t="s">
        <v>108</v>
      </c>
      <c r="D89">
        <f>SUM(D87:D88)</f>
        <v>-229.14899999999997</v>
      </c>
      <c r="E89">
        <f t="shared" ref="E89:I89" si="51">SUM(E87:E88)</f>
        <v>-236.48176799999999</v>
      </c>
      <c r="F89">
        <f t="shared" si="51"/>
        <v>-246.414002256</v>
      </c>
      <c r="G89">
        <f t="shared" si="51"/>
        <v>-256.27056234624001</v>
      </c>
      <c r="H89">
        <f t="shared" si="51"/>
        <v>-266.52138484008964</v>
      </c>
      <c r="I89">
        <f t="shared" si="51"/>
        <v>-275.84963330949279</v>
      </c>
    </row>
    <row r="90" spans="1:9" ht="15" customHeight="1" x14ac:dyDescent="0.45">
      <c r="A90"/>
      <c r="B90"/>
    </row>
    <row r="91" spans="1:9" ht="15" customHeight="1" x14ac:dyDescent="0.45">
      <c r="A91"/>
      <c r="B91" s="16" t="s">
        <v>109</v>
      </c>
      <c r="D91">
        <f>D69-C69</f>
        <v>-300</v>
      </c>
      <c r="E91">
        <f t="shared" ref="E91:I91" si="52">E69-D69</f>
        <v>-100</v>
      </c>
      <c r="F91">
        <f t="shared" si="52"/>
        <v>-100</v>
      </c>
      <c r="G91">
        <f t="shared" si="52"/>
        <v>-100</v>
      </c>
      <c r="H91">
        <f t="shared" si="52"/>
        <v>-100</v>
      </c>
      <c r="I91">
        <f t="shared" si="52"/>
        <v>-100</v>
      </c>
    </row>
    <row r="92" spans="1:9" ht="15" customHeight="1" x14ac:dyDescent="0.45">
      <c r="A92"/>
      <c r="B92" s="16" t="s">
        <v>110</v>
      </c>
      <c r="D92">
        <f t="shared" ref="D92:I92" si="53">D53</f>
        <v>-265.36780979999992</v>
      </c>
      <c r="E92">
        <f t="shared" si="53"/>
        <v>-297.02513712960001</v>
      </c>
      <c r="F92">
        <f t="shared" si="53"/>
        <v>-369.54062528878086</v>
      </c>
      <c r="G92">
        <f t="shared" si="53"/>
        <v>-401.41770870479843</v>
      </c>
      <c r="H92">
        <f t="shared" si="53"/>
        <v>-426.84298621832176</v>
      </c>
      <c r="I92">
        <f t="shared" si="53"/>
        <v>-449.03753888826674</v>
      </c>
    </row>
    <row r="93" spans="1:9" ht="15" customHeight="1" x14ac:dyDescent="0.45">
      <c r="A93"/>
      <c r="B93" s="16" t="s">
        <v>111</v>
      </c>
      <c r="D93">
        <f>SUM(D91:D92)</f>
        <v>-565.36780979999992</v>
      </c>
      <c r="E93">
        <f t="shared" ref="E93:H93" si="54">SUM(E91:E92)</f>
        <v>-397.02513712960001</v>
      </c>
      <c r="F93">
        <f t="shared" si="54"/>
        <v>-469.54062528878086</v>
      </c>
      <c r="G93">
        <f t="shared" si="54"/>
        <v>-501.41770870479843</v>
      </c>
      <c r="H93">
        <f t="shared" si="54"/>
        <v>-526.84298621832181</v>
      </c>
      <c r="I93">
        <f t="shared" ref="I93" si="55">SUM(I91:I92)</f>
        <v>-549.03753888826668</v>
      </c>
    </row>
    <row r="94" spans="1:9" ht="15" customHeight="1" x14ac:dyDescent="0.45">
      <c r="A94"/>
      <c r="B94"/>
    </row>
    <row r="95" spans="1:9" ht="15" customHeight="1" x14ac:dyDescent="0.45">
      <c r="A95"/>
      <c r="B95" s="16" t="s">
        <v>112</v>
      </c>
      <c r="D95">
        <f>D85+D89+D93</f>
        <v>29.453573200000051</v>
      </c>
      <c r="E95">
        <f t="shared" ref="E95:H95" si="56">E85+E89+E93</f>
        <v>175.29662248639988</v>
      </c>
      <c r="F95">
        <f t="shared" si="56"/>
        <v>193.36086456398738</v>
      </c>
      <c r="G95">
        <f t="shared" si="56"/>
        <v>194.35877862679069</v>
      </c>
      <c r="H95">
        <f t="shared" si="56"/>
        <v>192.61392869784027</v>
      </c>
      <c r="I95">
        <f t="shared" ref="I95" si="57">I85+I89+I93</f>
        <v>195.41864119809645</v>
      </c>
    </row>
    <row r="96" spans="1:9" ht="15" customHeight="1" x14ac:dyDescent="0.45">
      <c r="A96"/>
      <c r="B96" s="16" t="s">
        <v>113</v>
      </c>
      <c r="D96">
        <f>C97</f>
        <v>194.6</v>
      </c>
      <c r="E96">
        <f t="shared" ref="E96:I96" si="58">D97</f>
        <v>224.05357320000005</v>
      </c>
      <c r="F96">
        <f t="shared" si="58"/>
        <v>399.35019568639996</v>
      </c>
      <c r="G96">
        <f t="shared" si="58"/>
        <v>592.71106025038739</v>
      </c>
      <c r="H96">
        <f t="shared" si="58"/>
        <v>787.06983887717809</v>
      </c>
      <c r="I96">
        <f t="shared" si="58"/>
        <v>979.68376757501835</v>
      </c>
    </row>
    <row r="97" spans="1:9" ht="15" customHeight="1" x14ac:dyDescent="0.45">
      <c r="A97"/>
      <c r="B97" s="16" t="s">
        <v>114</v>
      </c>
      <c r="C97">
        <f>C57-C66</f>
        <v>194.6</v>
      </c>
      <c r="D97">
        <f>D95+D96</f>
        <v>224.05357320000005</v>
      </c>
      <c r="E97">
        <f t="shared" ref="E97:H97" si="59">E95+E96</f>
        <v>399.35019568639996</v>
      </c>
      <c r="F97">
        <f t="shared" si="59"/>
        <v>592.71106025038739</v>
      </c>
      <c r="G97">
        <f t="shared" si="59"/>
        <v>787.06983887717809</v>
      </c>
      <c r="H97">
        <f t="shared" si="59"/>
        <v>979.68376757501835</v>
      </c>
      <c r="I97">
        <f t="shared" ref="I97" si="60">I95+I96</f>
        <v>1175.1024087731148</v>
      </c>
    </row>
    <row r="98" spans="1:9" ht="15" customHeight="1" x14ac:dyDescent="0.45">
      <c r="A98"/>
      <c r="B98"/>
    </row>
    <row r="99" spans="1:9" ht="15" customHeight="1" x14ac:dyDescent="0.45">
      <c r="A99" s="15" t="s">
        <v>115</v>
      </c>
      <c r="B99"/>
    </row>
    <row r="100" spans="1:9" ht="15" customHeight="1" x14ac:dyDescent="0.45">
      <c r="B100" s="16" t="s">
        <v>116</v>
      </c>
      <c r="C100">
        <f t="shared" ref="C100:I100" si="61">C57</f>
        <v>194.6</v>
      </c>
      <c r="D100">
        <f t="shared" si="61"/>
        <v>224.05357320000005</v>
      </c>
      <c r="E100">
        <f t="shared" si="61"/>
        <v>399.35019568639996</v>
      </c>
      <c r="F100">
        <f t="shared" si="61"/>
        <v>592.71106025038739</v>
      </c>
      <c r="G100">
        <f t="shared" si="61"/>
        <v>787.06983887717809</v>
      </c>
      <c r="H100">
        <f t="shared" si="61"/>
        <v>979.68376757501835</v>
      </c>
      <c r="I100">
        <f t="shared" si="61"/>
        <v>1175.1024087731148</v>
      </c>
    </row>
    <row r="101" spans="1:9" ht="15" customHeight="1" x14ac:dyDescent="0.45">
      <c r="B101" s="16" t="s">
        <v>117</v>
      </c>
      <c r="D101">
        <f t="shared" ref="D101:I101" si="62">D19*AVERAGE(C100,D100)</f>
        <v>8.3730714640000006</v>
      </c>
      <c r="E101">
        <f t="shared" si="62"/>
        <v>12.468075377728001</v>
      </c>
      <c r="F101">
        <f t="shared" si="62"/>
        <v>19.841225118735746</v>
      </c>
      <c r="G101">
        <f t="shared" si="62"/>
        <v>27.595617982551314</v>
      </c>
      <c r="H101">
        <f t="shared" si="62"/>
        <v>35.33507212904393</v>
      </c>
      <c r="I101">
        <f t="shared" si="62"/>
        <v>43.095723526962665</v>
      </c>
    </row>
    <row r="102" spans="1:9" ht="15" customHeight="1" x14ac:dyDescent="0.45">
      <c r="B102"/>
    </row>
    <row r="103" spans="1:9" ht="15" customHeight="1" x14ac:dyDescent="0.45">
      <c r="A103"/>
      <c r="B103" s="16" t="s">
        <v>118</v>
      </c>
      <c r="C103">
        <f t="shared" ref="C103:I103" si="63">C66+C69</f>
        <v>2240.1999999999998</v>
      </c>
      <c r="D103">
        <f t="shared" si="63"/>
        <v>1940.1999999999998</v>
      </c>
      <c r="E103">
        <f t="shared" si="63"/>
        <v>1840.1999999999998</v>
      </c>
      <c r="F103">
        <f t="shared" si="63"/>
        <v>1740.1999999999998</v>
      </c>
      <c r="G103">
        <f t="shared" si="63"/>
        <v>1640.1999999999998</v>
      </c>
      <c r="H103">
        <f t="shared" si="63"/>
        <v>1540.1999999999998</v>
      </c>
      <c r="I103">
        <f t="shared" si="63"/>
        <v>1440.1999999999998</v>
      </c>
    </row>
    <row r="104" spans="1:9" ht="15" customHeight="1" x14ac:dyDescent="0.45">
      <c r="A104"/>
      <c r="B104" s="16" t="s">
        <v>119</v>
      </c>
      <c r="D104">
        <f t="shared" ref="D104:I104" si="64">D20*AVERAGE(C103,D103)</f>
        <v>114.96099999999998</v>
      </c>
      <c r="E104">
        <f t="shared" si="64"/>
        <v>103.96099999999998</v>
      </c>
      <c r="F104">
        <f t="shared" si="64"/>
        <v>98.460999999999984</v>
      </c>
      <c r="G104">
        <f t="shared" si="64"/>
        <v>92.960999999999984</v>
      </c>
      <c r="H104">
        <f t="shared" si="64"/>
        <v>87.460999999999984</v>
      </c>
      <c r="I104">
        <f t="shared" si="64"/>
        <v>81.960999999999984</v>
      </c>
    </row>
    <row r="105" spans="1:9" ht="15" customHeight="1" x14ac:dyDescent="0.45">
      <c r="A105"/>
    </row>
    <row r="106" spans="1:9" ht="15" customHeight="1" x14ac:dyDescent="0.45">
      <c r="A106"/>
    </row>
    <row r="107" spans="1:9" ht="15" customHeight="1" x14ac:dyDescent="0.45">
      <c r="A107"/>
    </row>
    <row r="108" spans="1:9" ht="15" customHeight="1" x14ac:dyDescent="0.45">
      <c r="A108"/>
    </row>
    <row r="109" spans="1:9" ht="15" customHeight="1" x14ac:dyDescent="0.45">
      <c r="A109"/>
      <c r="B109" s="16" t="s">
        <v>120</v>
      </c>
      <c r="D109">
        <f>D104-D101</f>
        <v>106.58792853599998</v>
      </c>
      <c r="E109">
        <f t="shared" ref="E109:I109" si="65">E104-E101</f>
        <v>91.492924622271985</v>
      </c>
      <c r="F109">
        <f t="shared" si="65"/>
        <v>78.619774881264235</v>
      </c>
      <c r="G109">
        <f t="shared" si="65"/>
        <v>65.365382017448667</v>
      </c>
      <c r="H109">
        <f t="shared" si="65"/>
        <v>52.125927870956055</v>
      </c>
      <c r="I109">
        <f t="shared" si="65"/>
        <v>38.865276473037319</v>
      </c>
    </row>
    <row r="110" spans="1:9" ht="15" customHeight="1" x14ac:dyDescent="0.45">
      <c r="B110"/>
    </row>
    <row r="111" spans="1:9" ht="15" customHeight="1" x14ac:dyDescent="0.45">
      <c r="A111" s="15" t="s">
        <v>50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39" max="16" man="1"/>
    <brk id="78" max="16" man="1"/>
  </row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843B0-BA68-4FEB-BFAD-FCB357681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FEBC4-8455-4FFC-94EF-F7135E55224E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D1CA149B-B08C-41CB-BB34-C0EEA0759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Welcome</vt:lpstr>
      <vt:lpstr>Info</vt:lpstr>
      <vt:lpstr>Activity</vt:lpstr>
      <vt:lpstr>Model</vt:lpstr>
      <vt:lpstr>Activity!Print_Area</vt:lpstr>
      <vt:lpstr>Model!Print_Area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Andrew Jones</cp:lastModifiedBy>
  <cp:revision/>
  <dcterms:created xsi:type="dcterms:W3CDTF">2016-02-03T14:06:14Z</dcterms:created>
  <dcterms:modified xsi:type="dcterms:W3CDTF">2025-05-28T10:05:20Z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