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/Non C/Mats - Create/Create/2025 Felix Challenge Updates/3710 Modeling Intermediate/"/>
    </mc:Choice>
  </mc:AlternateContent>
  <xr:revisionPtr revIDLastSave="804" documentId="8_{3645CDA1-9B77-448F-88E0-9DD584C00F73}" xr6:coauthVersionLast="47" xr6:coauthVersionMax="47" xr10:uidLastSave="{74F35599-2682-441F-B356-43B6258F4D82}"/>
  <bookViews>
    <workbookView xWindow="-120" yWindow="-16320" windowWidth="29040" windowHeight="16440" xr2:uid="{00000000-000D-0000-FFFF-FFFF00000000}"/>
  </bookViews>
  <sheets>
    <sheet name="Welcome" sheetId="1" r:id="rId1"/>
    <sheet name="Info" sheetId="6" r:id="rId2"/>
    <sheet name="Activity" sheetId="2" r:id="rId3"/>
  </sheets>
  <definedNames>
    <definedName name="_xlnm.Print_Area" localSheetId="2">Activity!$A$1:$P$127</definedName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0" i="2" l="1"/>
  <c r="D123" i="2"/>
  <c r="D125" i="2" s="1"/>
  <c r="C124" i="2"/>
  <c r="C119" i="2"/>
  <c r="C117" i="2"/>
  <c r="C116" i="2"/>
  <c r="C115" i="2"/>
  <c r="C114" i="2"/>
  <c r="D6" i="2" l="1"/>
  <c r="C22" i="2"/>
  <c r="C20" i="2"/>
  <c r="C18" i="2"/>
  <c r="C14" i="2"/>
  <c r="C13" i="2"/>
  <c r="C11" i="2"/>
  <c r="C10" i="2"/>
  <c r="C9" i="2"/>
  <c r="C8" i="2"/>
  <c r="C82" i="2"/>
  <c r="C78" i="2"/>
  <c r="C23" i="2" s="1"/>
  <c r="C73" i="2"/>
  <c r="C70" i="2"/>
  <c r="C67" i="2"/>
  <c r="C68" i="2" s="1"/>
  <c r="C74" i="2" s="1"/>
  <c r="C36" i="2"/>
  <c r="C15" i="2" s="1"/>
  <c r="C33" i="2"/>
  <c r="C35" i="2" s="1"/>
  <c r="E78" i="2"/>
  <c r="E73" i="2"/>
  <c r="E67" i="2"/>
  <c r="D32" i="2"/>
  <c r="D38" i="2"/>
  <c r="E38" i="2"/>
  <c r="E32" i="2"/>
  <c r="E20" i="2"/>
  <c r="D20" i="2"/>
  <c r="E10" i="2"/>
  <c r="D10" i="2"/>
  <c r="C37" i="2" l="1"/>
  <c r="C39" i="2" s="1"/>
  <c r="C41" i="2"/>
  <c r="C16" i="2"/>
  <c r="C79" i="2"/>
  <c r="C83" i="2" s="1"/>
  <c r="C86" i="2" s="1"/>
  <c r="C88" i="2" s="1"/>
  <c r="C19" i="2"/>
  <c r="D82" i="2" l="1"/>
  <c r="D78" i="2"/>
  <c r="D73" i="2"/>
  <c r="D70" i="2"/>
  <c r="D67" i="2"/>
  <c r="D79" i="2" l="1"/>
  <c r="D83" i="2" s="1"/>
  <c r="D86" i="2" s="1"/>
  <c r="D68" i="2"/>
  <c r="D74" i="2" s="1"/>
  <c r="E11" i="2"/>
  <c r="D33" i="2"/>
  <c r="E60" i="2"/>
  <c r="E18" i="2"/>
  <c r="D18" i="2"/>
  <c r="E8" i="2"/>
  <c r="E9" i="2"/>
  <c r="D11" i="2"/>
  <c r="D9" i="2"/>
  <c r="D8" i="2"/>
  <c r="D35" i="2" l="1"/>
  <c r="D114" i="2"/>
  <c r="D37" i="2"/>
  <c r="D39" i="2" s="1"/>
  <c r="D41" i="2" s="1"/>
  <c r="E33" i="2"/>
  <c r="E61" i="2"/>
  <c r="E114" i="2" l="1"/>
  <c r="E62" i="2"/>
  <c r="D119" i="2"/>
  <c r="D124" i="2" s="1"/>
  <c r="E119" i="2"/>
  <c r="E124" i="2" s="1"/>
  <c r="D14" i="2"/>
  <c r="E54" i="2" l="1"/>
  <c r="E56" i="2"/>
  <c r="D56" i="2"/>
  <c r="D54" i="2"/>
  <c r="E23" i="2"/>
  <c r="D23" i="2"/>
  <c r="F71" i="2"/>
  <c r="G71" i="2" s="1"/>
  <c r="H71" i="2" s="1"/>
  <c r="I71" i="2" s="1"/>
  <c r="J71" i="2" s="1"/>
  <c r="K71" i="2" s="1"/>
  <c r="E22" i="2"/>
  <c r="D22" i="2"/>
  <c r="E15" i="2"/>
  <c r="F73" i="2"/>
  <c r="D15" i="2"/>
  <c r="E6" i="2"/>
  <c r="D13" i="2"/>
  <c r="D115" i="2"/>
  <c r="G73" i="2" l="1"/>
  <c r="E68" i="2"/>
  <c r="E74" i="2" s="1"/>
  <c r="E19" i="2"/>
  <c r="D19" i="2"/>
  <c r="D57" i="2"/>
  <c r="E14" i="2"/>
  <c r="D47" i="2"/>
  <c r="D116" i="2" s="1"/>
  <c r="E57" i="2"/>
  <c r="E55" i="2"/>
  <c r="D55" i="2"/>
  <c r="E79" i="2"/>
  <c r="F81" i="2"/>
  <c r="G81" i="2" s="1"/>
  <c r="E47" i="2"/>
  <c r="E35" i="2"/>
  <c r="E123" i="2" s="1"/>
  <c r="E52" i="2"/>
  <c r="F49" i="2" s="1"/>
  <c r="E13" i="2"/>
  <c r="F28" i="2"/>
  <c r="F31" i="2" s="1"/>
  <c r="F72" i="2" s="1"/>
  <c r="E37" i="2" l="1"/>
  <c r="E39" i="2" s="1"/>
  <c r="H73" i="2"/>
  <c r="F32" i="2"/>
  <c r="F29" i="2"/>
  <c r="F30" i="2"/>
  <c r="F67" i="2"/>
  <c r="F55" i="2" s="1"/>
  <c r="D58" i="2"/>
  <c r="D117" i="2" s="1"/>
  <c r="E115" i="2"/>
  <c r="F44" i="2"/>
  <c r="F46" i="2" s="1"/>
  <c r="F34" i="2" s="1"/>
  <c r="E116" i="2"/>
  <c r="H81" i="2"/>
  <c r="E58" i="2"/>
  <c r="E117" i="2" s="1"/>
  <c r="D88" i="2"/>
  <c r="F77" i="2"/>
  <c r="F56" i="2" s="1"/>
  <c r="D16" i="2"/>
  <c r="F36" i="2"/>
  <c r="E83" i="2"/>
  <c r="E86" i="2" s="1"/>
  <c r="F45" i="2"/>
  <c r="G28" i="2"/>
  <c r="G31" i="2" s="1"/>
  <c r="G72" i="2" s="1"/>
  <c r="I73" i="2" l="1"/>
  <c r="F60" i="2"/>
  <c r="F61" i="2" s="1"/>
  <c r="F82" i="2" s="1"/>
  <c r="F78" i="2"/>
  <c r="F57" i="2" s="1"/>
  <c r="F66" i="2"/>
  <c r="F33" i="2"/>
  <c r="F12" i="2" s="1"/>
  <c r="G29" i="2"/>
  <c r="G30" i="2"/>
  <c r="G32" i="2"/>
  <c r="G67" i="2"/>
  <c r="G55" i="2" s="1"/>
  <c r="I81" i="2"/>
  <c r="G77" i="2"/>
  <c r="G56" i="2" s="1"/>
  <c r="G36" i="2"/>
  <c r="E88" i="2"/>
  <c r="F47" i="2"/>
  <c r="H28" i="2"/>
  <c r="H31" i="2" s="1"/>
  <c r="H72" i="2" s="1"/>
  <c r="E41" i="2"/>
  <c r="E16" i="2"/>
  <c r="E125" i="2" s="1"/>
  <c r="G45" i="2"/>
  <c r="F114" i="2" l="1"/>
  <c r="F62" i="2"/>
  <c r="J73" i="2"/>
  <c r="F35" i="2"/>
  <c r="F123" i="2" s="1"/>
  <c r="G78" i="2"/>
  <c r="G66" i="2"/>
  <c r="F54" i="2"/>
  <c r="F58" i="2" s="1"/>
  <c r="G33" i="2"/>
  <c r="G12" i="2" s="1"/>
  <c r="H29" i="2"/>
  <c r="H32" i="2"/>
  <c r="H30" i="2"/>
  <c r="H67" i="2"/>
  <c r="H55" i="2" s="1"/>
  <c r="E120" i="2"/>
  <c r="G44" i="2"/>
  <c r="G46" i="2" s="1"/>
  <c r="F116" i="2"/>
  <c r="H77" i="2"/>
  <c r="H56" i="2" s="1"/>
  <c r="J81" i="2"/>
  <c r="H36" i="2"/>
  <c r="F70" i="2"/>
  <c r="I28" i="2"/>
  <c r="I31" i="2" s="1"/>
  <c r="I72" i="2" s="1"/>
  <c r="H45" i="2"/>
  <c r="E17" i="2"/>
  <c r="A7" i="1"/>
  <c r="F120" i="2" l="1"/>
  <c r="F37" i="2"/>
  <c r="F115" i="2"/>
  <c r="F125" i="2"/>
  <c r="K73" i="2"/>
  <c r="G60" i="2"/>
  <c r="G54" i="2"/>
  <c r="H78" i="2"/>
  <c r="H66" i="2"/>
  <c r="F117" i="2"/>
  <c r="H33" i="2"/>
  <c r="G114" i="2"/>
  <c r="G57" i="2"/>
  <c r="I32" i="2"/>
  <c r="I29" i="2"/>
  <c r="I30" i="2"/>
  <c r="I67" i="2"/>
  <c r="I55" i="2" s="1"/>
  <c r="K81" i="2"/>
  <c r="G47" i="2"/>
  <c r="G34" i="2"/>
  <c r="G35" i="2" s="1"/>
  <c r="G123" i="2" s="1"/>
  <c r="I77" i="2"/>
  <c r="I56" i="2" s="1"/>
  <c r="I36" i="2"/>
  <c r="I45" i="2"/>
  <c r="J28" i="2"/>
  <c r="A1" i="6"/>
  <c r="A1" i="2" s="1"/>
  <c r="H12" i="2" l="1"/>
  <c r="J31" i="2"/>
  <c r="J72" i="2" s="1"/>
  <c r="J7" i="2"/>
  <c r="G61" i="2"/>
  <c r="G62" i="2" s="1"/>
  <c r="G37" i="2"/>
  <c r="H60" i="2"/>
  <c r="G58" i="2"/>
  <c r="H54" i="2"/>
  <c r="I78" i="2"/>
  <c r="I66" i="2"/>
  <c r="I33" i="2"/>
  <c r="I12" i="2" s="1"/>
  <c r="H114" i="2"/>
  <c r="H57" i="2"/>
  <c r="J32" i="2"/>
  <c r="J30" i="2"/>
  <c r="J29" i="2"/>
  <c r="J67" i="2"/>
  <c r="J55" i="2" s="1"/>
  <c r="K28" i="2"/>
  <c r="K31" i="2" s="1"/>
  <c r="K72" i="2" s="1"/>
  <c r="H44" i="2"/>
  <c r="H46" i="2" s="1"/>
  <c r="G116" i="2"/>
  <c r="G70" i="2"/>
  <c r="G115" i="2"/>
  <c r="J77" i="2"/>
  <c r="J56" i="2" s="1"/>
  <c r="J36" i="2"/>
  <c r="J45" i="2"/>
  <c r="G82" i="2" l="1"/>
  <c r="H61" i="2"/>
  <c r="H82" i="2" s="1"/>
  <c r="H58" i="2"/>
  <c r="H117" i="2" s="1"/>
  <c r="G117" i="2"/>
  <c r="I60" i="2"/>
  <c r="J78" i="2"/>
  <c r="J66" i="2"/>
  <c r="I114" i="2"/>
  <c r="I54" i="2"/>
  <c r="I57" i="2"/>
  <c r="J33" i="2"/>
  <c r="K30" i="2"/>
  <c r="K32" i="2"/>
  <c r="K29" i="2"/>
  <c r="K67" i="2"/>
  <c r="K55" i="2" s="1"/>
  <c r="K45" i="2"/>
  <c r="K36" i="2"/>
  <c r="K77" i="2"/>
  <c r="K56" i="2" s="1"/>
  <c r="H34" i="2"/>
  <c r="H35" i="2" s="1"/>
  <c r="H47" i="2"/>
  <c r="H116" i="2" s="1"/>
  <c r="J12" i="2" l="1"/>
  <c r="I61" i="2"/>
  <c r="I82" i="2" s="1"/>
  <c r="H123" i="2"/>
  <c r="H62" i="2"/>
  <c r="H37" i="2"/>
  <c r="K60" i="2"/>
  <c r="J60" i="2"/>
  <c r="K33" i="2"/>
  <c r="K12" i="2" s="1"/>
  <c r="K78" i="2"/>
  <c r="K57" i="2" s="1"/>
  <c r="K66" i="2"/>
  <c r="K54" i="2" s="1"/>
  <c r="I58" i="2"/>
  <c r="J114" i="2"/>
  <c r="J57" i="2"/>
  <c r="J54" i="2"/>
  <c r="H115" i="2"/>
  <c r="I44" i="2"/>
  <c r="I46" i="2" s="1"/>
  <c r="H70" i="2"/>
  <c r="K114" i="2" l="1"/>
  <c r="J61" i="2"/>
  <c r="K61" i="2" s="1"/>
  <c r="K82" i="2" s="1"/>
  <c r="I62" i="2"/>
  <c r="J58" i="2"/>
  <c r="K58" i="2"/>
  <c r="K117" i="2" s="1"/>
  <c r="I117" i="2"/>
  <c r="I34" i="2"/>
  <c r="I35" i="2" s="1"/>
  <c r="I123" i="2" s="1"/>
  <c r="I47" i="2"/>
  <c r="I116" i="2" s="1"/>
  <c r="J62" i="2" l="1"/>
  <c r="J82" i="2"/>
  <c r="K62" i="2"/>
  <c r="J117" i="2"/>
  <c r="I37" i="2"/>
  <c r="I115" i="2"/>
  <c r="J44" i="2"/>
  <c r="J46" i="2" s="1"/>
  <c r="J34" i="2" s="1"/>
  <c r="J35" i="2" s="1"/>
  <c r="J123" i="2" s="1"/>
  <c r="I70" i="2"/>
  <c r="J37" i="2" l="1"/>
  <c r="J115" i="2"/>
  <c r="J47" i="2"/>
  <c r="J70" i="2" l="1"/>
  <c r="K44" i="2"/>
  <c r="J116" i="2"/>
  <c r="K46" i="2" l="1"/>
  <c r="K47" i="2" s="1"/>
  <c r="K116" i="2" l="1"/>
  <c r="K70" i="2"/>
  <c r="K34" i="2"/>
  <c r="K35" i="2" s="1"/>
  <c r="K123" i="2" s="1"/>
  <c r="K37" i="2" l="1"/>
  <c r="K115" i="2"/>
  <c r="H39" i="2" l="1"/>
  <c r="I39" i="2"/>
  <c r="J39" i="2"/>
  <c r="K39" i="2"/>
  <c r="G39" i="2"/>
  <c r="F39" i="2"/>
  <c r="F40" i="2" l="1"/>
  <c r="F41" i="2" s="1"/>
  <c r="G40" i="2"/>
  <c r="G41" i="2" s="1"/>
  <c r="K40" i="2"/>
  <c r="K41" i="2" s="1"/>
  <c r="J40" i="2"/>
  <c r="J41" i="2" s="1"/>
  <c r="I40" i="2"/>
  <c r="I41" i="2" s="1"/>
  <c r="H40" i="2"/>
  <c r="H41" i="2" s="1"/>
  <c r="I51" i="2" l="1"/>
  <c r="I50" i="2"/>
  <c r="G51" i="2"/>
  <c r="G50" i="2"/>
  <c r="H50" i="2"/>
  <c r="H51" i="2"/>
  <c r="J51" i="2"/>
  <c r="J50" i="2"/>
  <c r="K51" i="2"/>
  <c r="K50" i="2"/>
  <c r="F50" i="2"/>
  <c r="F51" i="2"/>
  <c r="F52" i="2" l="1"/>
  <c r="F68" i="2" l="1"/>
  <c r="F74" i="2" s="1"/>
  <c r="F85" i="2"/>
  <c r="G49" i="2"/>
  <c r="G52" i="2" s="1"/>
  <c r="F119" i="2" l="1"/>
  <c r="G120" i="2" s="1"/>
  <c r="H49" i="2"/>
  <c r="H52" i="2" s="1"/>
  <c r="G85" i="2"/>
  <c r="F124" i="2"/>
  <c r="G125" i="2" s="1"/>
  <c r="F79" i="2"/>
  <c r="F83" i="2" s="1"/>
  <c r="F86" i="2" s="1"/>
  <c r="F88" i="2" s="1"/>
  <c r="G68" i="2"/>
  <c r="G74" i="2" s="1"/>
  <c r="H68" i="2" l="1"/>
  <c r="H74" i="2" s="1"/>
  <c r="G79" i="2"/>
  <c r="G83" i="2" s="1"/>
  <c r="G86" i="2" s="1"/>
  <c r="G88" i="2" s="1"/>
  <c r="G119" i="2"/>
  <c r="H85" i="2"/>
  <c r="H119" i="2" s="1"/>
  <c r="I49" i="2"/>
  <c r="I52" i="2" s="1"/>
  <c r="J49" i="2" l="1"/>
  <c r="J52" i="2" s="1"/>
  <c r="I85" i="2"/>
  <c r="I120" i="2"/>
  <c r="H124" i="2"/>
  <c r="I125" i="2" s="1"/>
  <c r="G124" i="2"/>
  <c r="H125" i="2" s="1"/>
  <c r="H120" i="2"/>
  <c r="I68" i="2"/>
  <c r="I74" i="2" s="1"/>
  <c r="H79" i="2"/>
  <c r="H83" i="2" s="1"/>
  <c r="H86" i="2" s="1"/>
  <c r="H88" i="2" s="1"/>
  <c r="J68" i="2" l="1"/>
  <c r="J74" i="2" s="1"/>
  <c r="I79" i="2"/>
  <c r="I83" i="2" s="1"/>
  <c r="I86" i="2" s="1"/>
  <c r="I88" i="2" s="1"/>
  <c r="I119" i="2"/>
  <c r="J85" i="2"/>
  <c r="K49" i="2"/>
  <c r="K52" i="2" s="1"/>
  <c r="K85" i="2" s="1"/>
  <c r="J119" i="2" l="1"/>
  <c r="J124" i="2" s="1"/>
  <c r="K125" i="2" s="1"/>
  <c r="J120" i="2"/>
  <c r="I124" i="2"/>
  <c r="J125" i="2" s="1"/>
  <c r="K68" i="2"/>
  <c r="K74" i="2" s="1"/>
  <c r="J79" i="2"/>
  <c r="J83" i="2" s="1"/>
  <c r="J86" i="2" s="1"/>
  <c r="J88" i="2" s="1"/>
  <c r="K120" i="2" l="1"/>
  <c r="K79" i="2"/>
  <c r="K83" i="2" s="1"/>
  <c r="K86" i="2" s="1"/>
  <c r="K88" i="2" s="1"/>
  <c r="K119" i="2"/>
  <c r="K12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Debs Taylor</author>
  </authors>
  <commentList>
    <comment ref="C36" authorId="0" shapeId="0" xr:uid="{A4135A2C-468E-4455-9830-9770B9C23E35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$6.4m of non-recurring legal expenses</t>
        </r>
      </text>
    </comment>
    <comment ref="D36" authorId="0" shapeId="0" xr:uid="{8721C02D-8288-4E20-B45F-E32D6247A91A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non-recurring insurance proceeds</t>
        </r>
      </text>
    </comment>
    <comment ref="E36" authorId="0" shapeId="0" xr:uid="{92EA2573-FBD7-418B-A3AB-C89B768EFE51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non-recurring insurance proceeds</t>
        </r>
      </text>
    </comment>
  </commentList>
</comments>
</file>

<file path=xl/sharedStrings.xml><?xml version="1.0" encoding="utf-8"?>
<sst xmlns="http://schemas.openxmlformats.org/spreadsheetml/2006/main" count="142" uniqueCount="126">
  <si>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</si>
  <si>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</si>
  <si>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</si>
  <si>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</si>
  <si>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</si>
  <si>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</si>
  <si>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</si>
  <si>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</si>
  <si>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</si>
  <si>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</si>
  <si>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</si>
  <si>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</si>
  <si>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</si>
  <si>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</si>
  <si>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</si>
  <si>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</si>
  <si>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End</t>
  </si>
  <si>
    <t>Revenue</t>
  </si>
  <si>
    <t>EBITDA</t>
  </si>
  <si>
    <t>Capex</t>
  </si>
  <si>
    <t>EBIT</t>
  </si>
  <si>
    <t>Capex % sales</t>
  </si>
  <si>
    <t>Felix Modeling Challenge</t>
  </si>
  <si>
    <t>Dec'22a</t>
  </si>
  <si>
    <t>Dec'25e</t>
  </si>
  <si>
    <t>Dec'26e</t>
  </si>
  <si>
    <t>Dec'27e</t>
  </si>
  <si>
    <t>Assumptions</t>
  </si>
  <si>
    <t>Interest expense/(income)</t>
  </si>
  <si>
    <t>Profit before tax</t>
  </si>
  <si>
    <t>Income taxes</t>
  </si>
  <si>
    <t>Net income</t>
  </si>
  <si>
    <t>Cash and cash equivalents</t>
  </si>
  <si>
    <t>Total current assets</t>
  </si>
  <si>
    <t>Total assets</t>
  </si>
  <si>
    <t>Short term debt</t>
  </si>
  <si>
    <t>Current liabilities</t>
  </si>
  <si>
    <t>Long term debt</t>
  </si>
  <si>
    <t>Total liabilities</t>
  </si>
  <si>
    <t>Equity</t>
  </si>
  <si>
    <t>Total liabilities and equity</t>
  </si>
  <si>
    <t>PP&amp;E and intangible assets</t>
  </si>
  <si>
    <t>Beginning PP&amp;E and intangible assets</t>
  </si>
  <si>
    <t>Depreciation and amortization</t>
  </si>
  <si>
    <t>Ending PP&amp;E and intangible assets</t>
  </si>
  <si>
    <t>Beginning equity</t>
  </si>
  <si>
    <t>Dividends paid</t>
  </si>
  <si>
    <t>Ending equity</t>
  </si>
  <si>
    <t>Revenue growth</t>
  </si>
  <si>
    <t>Income taxes % profit before tax</t>
  </si>
  <si>
    <t>Net operating working capital</t>
  </si>
  <si>
    <t>Dividend payout ratio</t>
  </si>
  <si>
    <t>Change in long term debt</t>
  </si>
  <si>
    <t>Change in net operating working capital</t>
  </si>
  <si>
    <t>Operating cash flows</t>
  </si>
  <si>
    <t>Capital expenditure</t>
  </si>
  <si>
    <t>Investing cash flows</t>
  </si>
  <si>
    <t>Debt issuance/(repayments)</t>
  </si>
  <si>
    <t>Financing cash flows</t>
  </si>
  <si>
    <t>Net cash flow</t>
  </si>
  <si>
    <t>Beginning cash net of short term debt</t>
  </si>
  <si>
    <t>Ending cash net of short term debt</t>
  </si>
  <si>
    <t>Balance sheet check</t>
  </si>
  <si>
    <t>All numbers in USDm</t>
  </si>
  <si>
    <t>Challenge Information</t>
  </si>
  <si>
    <t>Revolve Group</t>
  </si>
  <si>
    <t>Inventory</t>
  </si>
  <si>
    <t>Goodwill</t>
  </si>
  <si>
    <t>Returns reserve</t>
  </si>
  <si>
    <t>Returns reserve % sales</t>
  </si>
  <si>
    <t>Interest rate on cash and borrowings</t>
  </si>
  <si>
    <t>Net debt/(cash)</t>
  </si>
  <si>
    <t>Other non-current assets</t>
  </si>
  <si>
    <t>Change in other non-current assets</t>
  </si>
  <si>
    <t>PP&amp;E % sales</t>
  </si>
  <si>
    <t>Operating working capital % sales</t>
  </si>
  <si>
    <t>Return on opening invested capital</t>
  </si>
  <si>
    <t>Operating statistics</t>
  </si>
  <si>
    <t>Closing invested capital</t>
  </si>
  <si>
    <t>Revolve</t>
  </si>
  <si>
    <t>Sense checking a model's outputs</t>
  </si>
  <si>
    <t>Balancing the balance sheet using the MAX/MIN function</t>
  </si>
  <si>
    <t>Other expense/(income) % sales</t>
  </si>
  <si>
    <t>Dec'28e</t>
  </si>
  <si>
    <t>Inventory days</t>
  </si>
  <si>
    <t>Accounts receivable days</t>
  </si>
  <si>
    <t>Accounts payable days</t>
  </si>
  <si>
    <t xml:space="preserve">Accounts receivable </t>
  </si>
  <si>
    <t xml:space="preserve">Accounts payable </t>
  </si>
  <si>
    <t>Operating lease liabilities</t>
  </si>
  <si>
    <t>EBITR</t>
  </si>
  <si>
    <t>Operating lease expense</t>
  </si>
  <si>
    <t>Cost of sales</t>
  </si>
  <si>
    <t>Marketing expense</t>
  </si>
  <si>
    <t>Other operating expenses % revenue</t>
  </si>
  <si>
    <t>Lease expense % revenue</t>
  </si>
  <si>
    <t>Marketing expense % revenue</t>
  </si>
  <si>
    <t>Cost of sales % revenue</t>
  </si>
  <si>
    <t>Other operating expenses</t>
  </si>
  <si>
    <t>Operating lease assets</t>
  </si>
  <si>
    <t>Change in net operating lease assets</t>
  </si>
  <si>
    <t>Net operating lease assets</t>
  </si>
  <si>
    <t>Lease adjusted return on opening invested capital</t>
  </si>
  <si>
    <t>Lease adjusted closing invested capital</t>
  </si>
  <si>
    <t xml:space="preserve">USD </t>
  </si>
  <si>
    <t>Millions</t>
  </si>
  <si>
    <t>Building appropriate forecast assumptions</t>
  </si>
  <si>
    <t>D&amp;A % beginning PP&amp;E and intangibles</t>
  </si>
  <si>
    <t xml:space="preserve">Understanding the modeling impact of operating leases and stock options </t>
  </si>
  <si>
    <t>Dec'23a</t>
  </si>
  <si>
    <t>Dec'29e</t>
  </si>
  <si>
    <t>Operating profit</t>
  </si>
  <si>
    <t>Operating lease interest rate</t>
  </si>
  <si>
    <t>Dec'24a</t>
  </si>
  <si>
    <t>Dec'30e</t>
  </si>
  <si>
    <t>Income statement</t>
  </si>
  <si>
    <t>Balance sheet calculations</t>
  </si>
  <si>
    <t>Balance sheet</t>
  </si>
  <si>
    <t>Cash flow statement</t>
  </si>
  <si>
    <t>Interest calculations</t>
  </si>
  <si>
    <t>5 year CAGR</t>
  </si>
  <si>
    <t>EBITDA margin</t>
  </si>
  <si>
    <t>Other expense / (income)</t>
  </si>
  <si>
    <t>Interest expense / (income)</t>
  </si>
  <si>
    <t>EBIT margin</t>
  </si>
  <si>
    <t>Lease capitalization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</si>
</sst>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0_);\(#,##0.000\);0.000_);@_)"/>
  </numFmts>
  <fonts count="36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3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</cellStyleXfs>
  <cellXfs count="79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1" applyFont="1" applyAlignment="1">
      <alignment vertical="top"/>
    </xf>
    <xf numFmtId="0" fontId="3" fillId="5" borderId="12" xfId="61" applyFont="1" applyAlignment="1">
      <alignment horizontal="center" vertical="top"/>
    </xf>
    <xf numFmtId="0" fontId="2" fillId="5" borderId="12" xfId="61" applyFont="1" applyAlignment="1"/>
    <xf numFmtId="0" fontId="5" fillId="5" borderId="12" xfId="61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1" applyFont="1" applyAlignment="1"/>
    <xf numFmtId="0" fontId="2" fillId="5" borderId="12" xfId="61" applyFont="1" applyAlignment="1">
      <alignment horizontal="left"/>
    </xf>
    <xf numFmtId="0" fontId="7" fillId="5" borderId="12" xfId="61" applyFont="1" applyAlignment="1">
      <alignment horizontal="center" vertical="center" wrapText="1"/>
    </xf>
    <xf numFmtId="0" fontId="7" fillId="5" borderId="12" xfId="61" applyFont="1" applyAlignment="1">
      <alignment vertical="center" wrapText="1"/>
    </xf>
    <xf numFmtId="170" fontId="30" fillId="37" borderId="11" xfId="60" applyNumberFormat="1">
      <protection locked="0"/>
    </xf>
    <xf numFmtId="170" fontId="2" fillId="0" borderId="0" xfId="51" applyNumberFormat="1" applyFont="1" applyFill="1" applyAlignment="1"/>
    <xf numFmtId="0" fontId="2" fillId="0" borderId="0" xfId="61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1" applyFont="1" applyAlignment="1"/>
    <xf numFmtId="174" fontId="4" fillId="5" borderId="0" xfId="51" applyNumberFormat="1" applyFont="1" applyAlignment="1">
      <alignment vertical="center"/>
    </xf>
    <xf numFmtId="0" fontId="3" fillId="5" borderId="12" xfId="61" applyFont="1" applyAlignment="1">
      <alignment horizontal="left" vertical="top"/>
    </xf>
    <xf numFmtId="172" fontId="30" fillId="37" borderId="11" xfId="56" applyFont="1" applyFill="1" applyBorder="1" applyProtection="1">
      <protection locked="0"/>
    </xf>
    <xf numFmtId="172" fontId="30" fillId="37" borderId="11" xfId="60" applyNumberFormat="1">
      <protection locked="0"/>
    </xf>
    <xf numFmtId="174" fontId="4" fillId="0" borderId="0" xfId="50" applyNumberFormat="1">
      <alignment horizontal="left" vertical="center"/>
    </xf>
    <xf numFmtId="172" fontId="0" fillId="0" borderId="0" xfId="56" applyFont="1" applyFill="1"/>
    <xf numFmtId="174" fontId="33" fillId="0" borderId="0" xfId="0" applyFont="1"/>
    <xf numFmtId="174" fontId="30" fillId="0" borderId="0" xfId="57" applyNumberFormat="1" applyFill="1"/>
    <xf numFmtId="174" fontId="30" fillId="37" borderId="11" xfId="60" applyNumberFormat="1">
      <protection locked="0"/>
    </xf>
    <xf numFmtId="175" fontId="0" fillId="0" borderId="0" xfId="0" applyNumberFormat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3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1" xr:uid="{00000000-0005-0000-0000-00001A000000}"/>
    <cellStyle name="Blank" xfId="59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2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0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6000000}"/>
    <cellStyle name="Output" xfId="16" builtinId="21" hidden="1"/>
    <cellStyle name="Per cent" xfId="6" builtinId="5" hidden="1"/>
    <cellStyle name="Per 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169332</xdr:colOff>
      <xdr:row>0</xdr:row>
      <xdr:rowOff>468766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19921875" customWidth="1"/>
    <col min="14" max="14" width="9.86328125" customWidth="1"/>
    <col min="15" max="26" width="9.1328125" customWidth="1"/>
  </cols>
  <sheetData>
    <row r="1" spans="1:14" s="33" customFormat="1" ht="189.75" customHeight="1" x14ac:dyDescent="0.8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21" customFormat="1" ht="75" customHeight="1" x14ac:dyDescent="0.45">
      <c r="A2" s="70" t="s">
        <v>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6"/>
      <c r="B4" s="37"/>
      <c r="C4" s="69"/>
      <c r="D4" s="69"/>
      <c r="E4" s="38"/>
      <c r="F4" s="39"/>
      <c r="G4" s="39"/>
      <c r="H4" s="39"/>
      <c r="I4" s="39"/>
      <c r="J4" s="39"/>
      <c r="K4" s="39"/>
      <c r="L4" s="38"/>
      <c r="M4" s="38"/>
      <c r="N4" s="38"/>
    </row>
    <row r="5" spans="1:14" s="22" customFormat="1" ht="15" customHeight="1" x14ac:dyDescent="0.45">
      <c r="A5" s="71" t="s">
        <v>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22" customFormat="1" ht="15" customHeight="1" x14ac:dyDescent="0.4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s="22" customFormat="1" ht="15" customHeight="1" x14ac:dyDescent="0.45">
      <c r="A7" s="71" t="str">
        <f ca="1">"© "&amp;YEAR(TODAY())&amp;" Financial Edge Training "</f>
        <v xml:space="preserve">© 2025 Financial Edge Training 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22" customFormat="1" ht="15" customHeight="1" thickBot="1" x14ac:dyDescent="0.5">
      <c r="A8" s="41"/>
      <c r="B8" s="42"/>
      <c r="C8" s="41"/>
      <c r="D8" s="41"/>
      <c r="E8" s="43"/>
      <c r="F8" s="44"/>
      <c r="G8" s="44"/>
      <c r="H8" s="44"/>
      <c r="I8" s="44"/>
      <c r="J8" s="44"/>
      <c r="K8" s="44"/>
      <c r="L8" s="43"/>
      <c r="M8" s="43"/>
      <c r="N8" s="43"/>
    </row>
    <row r="9" spans="1:14" s="22" customFormat="1" ht="15" customHeight="1" x14ac:dyDescent="0.45">
      <c r="F9" s="27"/>
      <c r="G9" s="72"/>
      <c r="H9" s="72"/>
      <c r="I9" s="72"/>
      <c r="J9" s="72"/>
      <c r="K9" s="27"/>
    </row>
    <row r="10" spans="1:14" s="22" customFormat="1" ht="15" customHeight="1" x14ac:dyDescent="0.45">
      <c r="B10" s="23"/>
      <c r="C10" s="23"/>
      <c r="F10" s="27"/>
      <c r="G10" s="72"/>
      <c r="H10" s="72"/>
      <c r="I10" s="72"/>
      <c r="J10" s="72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68"/>
      <c r="H12" s="68"/>
      <c r="I12" s="68"/>
      <c r="J12" s="68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68"/>
      <c r="H13" s="68"/>
      <c r="I13" s="68"/>
      <c r="J13" s="68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68"/>
      <c r="H14" s="68"/>
      <c r="I14" s="68"/>
      <c r="J14" s="68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68"/>
      <c r="H16" s="68"/>
      <c r="I16" s="68"/>
      <c r="J16" s="68"/>
      <c r="K16" s="24"/>
    </row>
    <row r="17" spans="1:11" s="22" customFormat="1" ht="15" customHeight="1" x14ac:dyDescent="0.45">
      <c r="A17" s="21"/>
      <c r="B17" s="31"/>
      <c r="C17" s="32"/>
      <c r="D17" s="30"/>
      <c r="F17" s="24"/>
      <c r="G17" s="24"/>
      <c r="H17" s="24"/>
      <c r="I17" s="24"/>
      <c r="J17" s="24"/>
      <c r="K17" s="24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19921875" customWidth="1"/>
    <col min="4" max="4" width="2.86328125" customWidth="1"/>
    <col min="5" max="7" width="1.3984375" customWidth="1"/>
    <col min="8" max="8" width="2.86328125" customWidth="1"/>
    <col min="9" max="9" width="42.6640625" customWidth="1"/>
    <col min="10" max="11" width="1.3984375" customWidth="1"/>
    <col min="12" max="12" width="15.59765625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6640625" bestFit="1" customWidth="1"/>
  </cols>
  <sheetData>
    <row r="1" spans="1:18" s="33" customFormat="1" ht="45" customHeight="1" x14ac:dyDescent="0.85">
      <c r="A1" s="13" t="str">
        <f>Welcome!A2</f>
        <v>Felix Modeling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4" customFormat="1" ht="30" customHeight="1" x14ac:dyDescent="0.65">
      <c r="A2" s="14" t="s">
        <v>64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74" t="s">
        <v>0</v>
      </c>
      <c r="C4" s="74"/>
      <c r="D4" s="74"/>
      <c r="E4" s="74"/>
      <c r="F4" s="74"/>
      <c r="G4" s="74"/>
      <c r="H4" s="74"/>
      <c r="I4" s="74"/>
      <c r="K4" s="1"/>
      <c r="L4" s="74" t="s">
        <v>2</v>
      </c>
      <c r="M4" s="74"/>
      <c r="N4" s="74"/>
      <c r="O4" s="74"/>
      <c r="P4" s="74"/>
      <c r="Q4" s="39"/>
      <c r="R4" s="39"/>
    </row>
    <row r="5" spans="1:18" s="2" customFormat="1" ht="15" customHeight="1" x14ac:dyDescent="0.45">
      <c r="A5" s="16"/>
      <c r="B5" s="8" t="s">
        <v>1</v>
      </c>
      <c r="C5" s="17" t="s">
        <v>106</v>
      </c>
      <c r="D5" s="17"/>
      <c r="E5" s="17"/>
      <c r="F5" s="17"/>
      <c r="G5" s="17"/>
      <c r="H5" s="17"/>
      <c r="I5" s="17"/>
      <c r="K5" s="1"/>
      <c r="L5" s="9" t="s">
        <v>3</v>
      </c>
      <c r="M5" s="9"/>
      <c r="N5" s="76" t="s">
        <v>79</v>
      </c>
      <c r="O5" s="76"/>
      <c r="P5" s="76"/>
      <c r="Q5" s="76"/>
      <c r="R5" s="39"/>
    </row>
    <row r="6" spans="1:18" s="2" customFormat="1" ht="15" customHeight="1" x14ac:dyDescent="0.45">
      <c r="A6" s="3"/>
      <c r="B6" s="8" t="s">
        <v>1</v>
      </c>
      <c r="C6" s="38" t="s">
        <v>81</v>
      </c>
      <c r="D6" s="17"/>
      <c r="E6" s="17"/>
      <c r="F6" s="17"/>
      <c r="G6" s="17"/>
      <c r="H6" s="17"/>
      <c r="I6" s="17"/>
      <c r="K6" s="16"/>
      <c r="L6" s="9" t="s">
        <v>4</v>
      </c>
      <c r="M6" s="9"/>
      <c r="N6" s="77">
        <v>45291</v>
      </c>
      <c r="O6" s="77"/>
      <c r="P6" s="77"/>
      <c r="Q6" s="77"/>
      <c r="R6" s="39"/>
    </row>
    <row r="7" spans="1:18" s="2" customFormat="1" ht="15" customHeight="1" x14ac:dyDescent="0.45">
      <c r="A7" s="17"/>
      <c r="B7" s="8" t="s">
        <v>1</v>
      </c>
      <c r="C7" s="38" t="s">
        <v>108</v>
      </c>
      <c r="D7" s="17"/>
      <c r="E7" s="17"/>
      <c r="F7" s="17"/>
      <c r="G7" s="17"/>
      <c r="H7" s="17"/>
      <c r="I7" s="17"/>
      <c r="K7" s="3"/>
      <c r="L7" s="9" t="s">
        <v>5</v>
      </c>
      <c r="M7" s="9"/>
      <c r="N7" s="76" t="s">
        <v>104</v>
      </c>
      <c r="O7" s="76"/>
      <c r="P7" s="76"/>
      <c r="Q7" s="76"/>
      <c r="R7" s="39"/>
    </row>
    <row r="8" spans="1:18" s="2" customFormat="1" ht="15" customHeight="1" x14ac:dyDescent="0.45">
      <c r="A8" s="17"/>
      <c r="B8" s="8" t="s">
        <v>1</v>
      </c>
      <c r="C8" s="38" t="s">
        <v>80</v>
      </c>
      <c r="D8" s="17"/>
      <c r="E8" s="17"/>
      <c r="F8" s="17"/>
      <c r="G8" s="17"/>
      <c r="H8" s="17"/>
      <c r="I8" s="17"/>
      <c r="K8" s="17"/>
      <c r="L8" s="9" t="s">
        <v>6</v>
      </c>
      <c r="M8" s="9"/>
      <c r="N8" s="76" t="s">
        <v>105</v>
      </c>
      <c r="O8" s="76"/>
      <c r="P8" s="76"/>
      <c r="Q8" s="76"/>
      <c r="R8" s="39"/>
    </row>
    <row r="9" spans="1:18" s="2" customFormat="1" ht="15" customHeight="1" x14ac:dyDescent="0.45">
      <c r="A9" s="40"/>
      <c r="B9" s="8"/>
      <c r="C9" s="38"/>
      <c r="D9" s="40"/>
      <c r="E9" s="40"/>
      <c r="F9" s="40"/>
      <c r="G9" s="40"/>
      <c r="H9" s="40"/>
      <c r="I9" s="40"/>
      <c r="K9" s="17"/>
      <c r="L9" s="9" t="s">
        <v>7</v>
      </c>
      <c r="M9" s="9"/>
      <c r="N9" s="76" t="s">
        <v>9</v>
      </c>
      <c r="O9" s="76"/>
      <c r="P9" s="76"/>
      <c r="Q9" s="76"/>
      <c r="R9" s="39"/>
    </row>
    <row r="10" spans="1:18" s="2" customFormat="1" ht="15" customHeight="1" x14ac:dyDescent="0.45">
      <c r="A10" s="38"/>
      <c r="B10" s="8"/>
      <c r="C10" s="38"/>
      <c r="D10" s="38"/>
      <c r="E10" s="38"/>
      <c r="F10" s="38"/>
      <c r="G10" s="38"/>
      <c r="H10" s="38"/>
      <c r="I10" s="38"/>
      <c r="K10" s="17"/>
      <c r="L10" s="9" t="s">
        <v>8</v>
      </c>
      <c r="M10" s="9"/>
      <c r="N10" s="78">
        <v>0</v>
      </c>
      <c r="O10" s="78"/>
      <c r="P10" s="78"/>
      <c r="Q10" s="78"/>
      <c r="R10" s="46"/>
    </row>
    <row r="11" spans="1:18" s="2" customFormat="1" ht="15" customHeight="1" thickBot="1" x14ac:dyDescent="0.5">
      <c r="A11" s="43"/>
      <c r="B11" s="43"/>
      <c r="C11" s="43"/>
      <c r="D11" s="43"/>
      <c r="E11" s="43"/>
      <c r="F11" s="43"/>
      <c r="G11" s="43"/>
      <c r="H11" s="43"/>
      <c r="I11" s="43"/>
      <c r="K11" s="4"/>
      <c r="L11" s="58"/>
      <c r="M11" s="58"/>
      <c r="N11" s="47"/>
      <c r="O11" s="48"/>
      <c r="P11" s="48"/>
      <c r="Q11" s="49"/>
      <c r="R11" s="50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4"/>
      <c r="B13" s="75" t="s">
        <v>15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N13" s="1"/>
      <c r="O13" s="74" t="s">
        <v>11</v>
      </c>
      <c r="P13" s="74"/>
      <c r="Q13" s="74"/>
      <c r="R13" s="57"/>
    </row>
    <row r="14" spans="1:18" s="2" customFormat="1" ht="15" customHeight="1" x14ac:dyDescent="0.45">
      <c r="A14" s="55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N14" s="16"/>
      <c r="O14" s="26"/>
      <c r="P14" s="21"/>
      <c r="Q14" s="21"/>
      <c r="R14" s="55"/>
    </row>
    <row r="15" spans="1:18" s="2" customFormat="1" ht="15" customHeight="1" x14ac:dyDescent="0.45">
      <c r="A15" s="55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N15" s="3"/>
      <c r="O15" s="26"/>
      <c r="P15" s="51" t="s">
        <v>12</v>
      </c>
      <c r="Q15" s="21"/>
      <c r="R15" s="55"/>
    </row>
    <row r="16" spans="1:18" s="2" customFormat="1" ht="15" customHeight="1" x14ac:dyDescent="0.45">
      <c r="A16" s="55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N16" s="17"/>
      <c r="O16" s="26"/>
      <c r="P16" s="35" t="s">
        <v>13</v>
      </c>
      <c r="Q16" s="21"/>
      <c r="R16" s="55"/>
    </row>
    <row r="17" spans="1:18" s="2" customFormat="1" ht="15" customHeight="1" x14ac:dyDescent="0.45">
      <c r="A17" s="55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N17" s="17"/>
      <c r="O17" s="26"/>
      <c r="P17" t="s">
        <v>14</v>
      </c>
      <c r="Q17" s="21"/>
      <c r="R17" s="55"/>
    </row>
    <row r="18" spans="1:18" s="2" customFormat="1" ht="15" customHeight="1" x14ac:dyDescent="0.45">
      <c r="A18" s="38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N18" s="38"/>
      <c r="O18" s="52"/>
      <c r="P18" s="52"/>
      <c r="Q18" s="52"/>
      <c r="R18" s="38"/>
    </row>
    <row r="19" spans="1:18" ht="14.65" thickBot="1" x14ac:dyDescent="0.5">
      <c r="A19" s="43"/>
      <c r="B19" s="43"/>
      <c r="C19" s="43"/>
      <c r="D19" s="56"/>
      <c r="E19" s="56"/>
      <c r="F19" s="56"/>
      <c r="G19" s="56"/>
      <c r="H19" s="56"/>
      <c r="I19" s="56"/>
      <c r="J19" s="56"/>
      <c r="K19" s="56"/>
      <c r="L19" s="56"/>
      <c r="N19" s="43"/>
      <c r="O19" s="43"/>
      <c r="P19" s="43"/>
      <c r="Q19" s="43"/>
      <c r="R19" s="43"/>
    </row>
    <row r="20" spans="1:18" x14ac:dyDescent="0.45">
      <c r="Q20" s="53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27"/>
  <sheetViews>
    <sheetView zoomScaleNormal="100" zoomScaleSheetLayoutView="85" workbookViewId="0"/>
  </sheetViews>
  <sheetFormatPr defaultColWidth="9.1328125" defaultRowHeight="15" customHeight="1" x14ac:dyDescent="0.45"/>
  <cols>
    <col min="1" max="1" width="1.3984375" style="15" customWidth="1"/>
    <col min="2" max="2" width="41.86328125" customWidth="1"/>
    <col min="3" max="16" width="11.59765625" customWidth="1"/>
    <col min="17" max="18" width="10.73046875" bestFit="1" customWidth="1"/>
    <col min="19" max="22" width="9.86328125" bestFit="1" customWidth="1"/>
    <col min="23" max="24" width="9.1328125" customWidth="1"/>
    <col min="25" max="106" width="9.86328125" bestFit="1" customWidth="1"/>
  </cols>
  <sheetData>
    <row r="1" spans="1:17" s="45" customFormat="1" ht="45" customHeight="1" x14ac:dyDescent="0.85">
      <c r="A1" s="5" t="str">
        <f>Info!A1</f>
        <v>Felix Modeling Challenge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34" customFormat="1" ht="30" customHeight="1" x14ac:dyDescent="0.65">
      <c r="A2" s="14" t="s">
        <v>63</v>
      </c>
      <c r="B2" s="7"/>
      <c r="C2" s="7"/>
      <c r="D2" s="7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customHeight="1" x14ac:dyDescent="0.45">
      <c r="A3"/>
      <c r="C3" s="63"/>
      <c r="I3" s="62"/>
    </row>
    <row r="4" spans="1:17" ht="15" customHeight="1" x14ac:dyDescent="0.45">
      <c r="A4" s="61" t="s">
        <v>27</v>
      </c>
      <c r="F4" s="62"/>
      <c r="G4" s="62"/>
      <c r="H4" s="62"/>
      <c r="I4" s="62"/>
    </row>
    <row r="5" spans="1:17" ht="15" customHeight="1" x14ac:dyDescent="0.45">
      <c r="A5"/>
      <c r="B5" s="12" t="s">
        <v>65</v>
      </c>
      <c r="C5" s="12" t="s">
        <v>23</v>
      </c>
      <c r="D5" s="12" t="s">
        <v>109</v>
      </c>
      <c r="E5" s="12" t="s">
        <v>113</v>
      </c>
      <c r="F5" s="12" t="s">
        <v>24</v>
      </c>
      <c r="G5" s="12" t="s">
        <v>25</v>
      </c>
      <c r="H5" s="12" t="s">
        <v>26</v>
      </c>
      <c r="I5" s="12" t="s">
        <v>83</v>
      </c>
      <c r="J5" s="12" t="s">
        <v>110</v>
      </c>
      <c r="K5" s="12" t="s">
        <v>114</v>
      </c>
    </row>
    <row r="6" spans="1:17" ht="15" customHeight="1" x14ac:dyDescent="0.45">
      <c r="A6"/>
      <c r="B6" t="s">
        <v>48</v>
      </c>
      <c r="D6" s="62">
        <f>D28/C28-1</f>
        <v>-2.9686331050211678E-2</v>
      </c>
      <c r="E6" s="62">
        <f>E28/D28-1</f>
        <v>5.7257333312124237E-2</v>
      </c>
      <c r="F6" s="60">
        <v>0.1</v>
      </c>
      <c r="G6" s="60">
        <v>0.1</v>
      </c>
      <c r="H6" s="60">
        <v>0.1</v>
      </c>
      <c r="I6" s="60">
        <v>0.1</v>
      </c>
      <c r="J6" s="60">
        <v>0.1</v>
      </c>
      <c r="K6" s="60">
        <v>0.05</v>
      </c>
    </row>
    <row r="7" spans="1:17" ht="15" customHeight="1" x14ac:dyDescent="0.45">
      <c r="A7"/>
      <c r="B7" t="s">
        <v>120</v>
      </c>
      <c r="D7" s="62"/>
      <c r="E7" s="62"/>
      <c r="F7" s="62"/>
      <c r="G7" s="62"/>
      <c r="H7" s="62"/>
      <c r="I7" s="62"/>
      <c r="J7" s="62">
        <f>(J28/E28)^(1/5)-1</f>
        <v>0.10000000000000009</v>
      </c>
      <c r="K7" s="62"/>
    </row>
    <row r="8" spans="1:17" ht="15" customHeight="1" x14ac:dyDescent="0.45">
      <c r="A8"/>
      <c r="B8" t="s">
        <v>97</v>
      </c>
      <c r="C8" s="62">
        <f>C29/C28</f>
        <v>0.46221681907653422</v>
      </c>
      <c r="D8" s="62">
        <f>D29/D28</f>
        <v>0.4814361866870524</v>
      </c>
      <c r="E8" s="62">
        <f>E29/E28</f>
        <v>0.47493829159995787</v>
      </c>
      <c r="F8" s="60">
        <v>0.47499999999999998</v>
      </c>
      <c r="G8" s="60">
        <v>0.47499999999999998</v>
      </c>
      <c r="H8" s="60">
        <v>0.47499999999999998</v>
      </c>
      <c r="I8" s="60">
        <v>0.47499999999999998</v>
      </c>
      <c r="J8" s="60">
        <v>0.47499999999999998</v>
      </c>
      <c r="K8" s="60">
        <v>0.47499999999999998</v>
      </c>
    </row>
    <row r="9" spans="1:17" ht="15" customHeight="1" x14ac:dyDescent="0.45">
      <c r="A9"/>
      <c r="B9" t="s">
        <v>96</v>
      </c>
      <c r="C9" s="62">
        <f>C30/C28</f>
        <v>0.16492224554573387</v>
      </c>
      <c r="D9" s="62">
        <f>D30/D28</f>
        <v>0.1607288726035562</v>
      </c>
      <c r="E9" s="62">
        <f>E30/E28</f>
        <v>0.14795501592603311</v>
      </c>
      <c r="F9" s="60">
        <v>0.14799999999999999</v>
      </c>
      <c r="G9" s="60">
        <v>0.14799999999999999</v>
      </c>
      <c r="H9" s="60">
        <v>0.14799999999999999</v>
      </c>
      <c r="I9" s="60">
        <v>0.14799999999999999</v>
      </c>
      <c r="J9" s="60">
        <v>0.14799999999999999</v>
      </c>
      <c r="K9" s="60">
        <v>0.14799999999999999</v>
      </c>
    </row>
    <row r="10" spans="1:17" ht="15" customHeight="1" x14ac:dyDescent="0.45">
      <c r="A10"/>
      <c r="B10" t="s">
        <v>95</v>
      </c>
      <c r="C10" s="62">
        <f>C31/C28</f>
        <v>6.1030527974897776E-3</v>
      </c>
      <c r="D10" s="62">
        <f>D31/D28</f>
        <v>9.3307969634674782E-3</v>
      </c>
      <c r="E10" s="62">
        <f>E31/E28</f>
        <v>1.0685797376961547E-2</v>
      </c>
      <c r="F10" s="60">
        <v>1.0999999999999999E-2</v>
      </c>
      <c r="G10" s="60">
        <v>1.0999999999999999E-2</v>
      </c>
      <c r="H10" s="60">
        <v>1.0999999999999999E-2</v>
      </c>
      <c r="I10" s="60">
        <v>1.0999999999999999E-2</v>
      </c>
      <c r="J10" s="60">
        <v>1.0999999999999999E-2</v>
      </c>
      <c r="K10" s="60">
        <v>1.0999999999999999E-2</v>
      </c>
    </row>
    <row r="11" spans="1:17" ht="15" customHeight="1" x14ac:dyDescent="0.45">
      <c r="A11"/>
      <c r="B11" t="s">
        <v>94</v>
      </c>
      <c r="C11" s="62">
        <f>C32/C28</f>
        <v>0.28490597558052544</v>
      </c>
      <c r="D11" s="62">
        <f>D32/D28</f>
        <v>0.32302691352918778</v>
      </c>
      <c r="E11" s="62">
        <f>E32/E28</f>
        <v>0.31699576338313379</v>
      </c>
      <c r="F11" s="60">
        <v>0.317</v>
      </c>
      <c r="G11" s="60">
        <v>0.317</v>
      </c>
      <c r="H11" s="60">
        <v>0.317</v>
      </c>
      <c r="I11" s="60">
        <v>0.317</v>
      </c>
      <c r="J11" s="60">
        <v>0.317</v>
      </c>
      <c r="K11" s="60">
        <v>0.317</v>
      </c>
    </row>
    <row r="12" spans="1:17" ht="15" customHeight="1" x14ac:dyDescent="0.45">
      <c r="A12"/>
      <c r="B12" t="s">
        <v>121</v>
      </c>
      <c r="F12" s="62">
        <f>F33/F28</f>
        <v>4.9000000000000009E-2</v>
      </c>
      <c r="G12" s="62">
        <f t="shared" ref="G12:K12" si="0">G33/G28</f>
        <v>4.8999999999999953E-2</v>
      </c>
      <c r="H12" s="62">
        <f t="shared" si="0"/>
        <v>4.9000000000000064E-2</v>
      </c>
      <c r="I12" s="62">
        <f t="shared" si="0"/>
        <v>4.900000000000005E-2</v>
      </c>
      <c r="J12" s="62">
        <f t="shared" si="0"/>
        <v>4.900000000000003E-2</v>
      </c>
      <c r="K12" s="62">
        <f t="shared" si="0"/>
        <v>4.8999999999999946E-2</v>
      </c>
    </row>
    <row r="13" spans="1:17" ht="15" customHeight="1" x14ac:dyDescent="0.45">
      <c r="A13"/>
      <c r="B13" t="s">
        <v>21</v>
      </c>
      <c r="C13" s="62">
        <f>C45/C28</f>
        <v>4.7211952613726337E-3</v>
      </c>
      <c r="D13" s="62">
        <f>D45/D28</f>
        <v>3.9280671532928675E-3</v>
      </c>
      <c r="E13" s="62">
        <f>E45/E28</f>
        <v>4.9995088108709448E-3</v>
      </c>
      <c r="F13" s="60">
        <v>0.01</v>
      </c>
      <c r="G13" s="60">
        <v>0.01</v>
      </c>
      <c r="H13" s="60">
        <v>0.01</v>
      </c>
      <c r="I13" s="60">
        <v>0.01</v>
      </c>
      <c r="J13" s="60">
        <v>0.01</v>
      </c>
      <c r="K13" s="60">
        <v>0.01</v>
      </c>
    </row>
    <row r="14" spans="1:17" ht="15" customHeight="1" x14ac:dyDescent="0.45">
      <c r="A14"/>
      <c r="B14" t="s">
        <v>107</v>
      </c>
      <c r="C14" s="62">
        <f>C34/(11.211+1.26)</f>
        <v>0.38417127736348333</v>
      </c>
      <c r="D14" s="62">
        <f>D34/(11.211+1.26)</f>
        <v>0.40846764493625215</v>
      </c>
      <c r="E14" s="62">
        <f>E34/D70</f>
        <v>0.45953517327246318</v>
      </c>
      <c r="F14" s="60">
        <v>0.48</v>
      </c>
      <c r="G14" s="60">
        <v>0.48</v>
      </c>
      <c r="H14" s="60">
        <v>0.48</v>
      </c>
      <c r="I14" s="60">
        <v>0.48</v>
      </c>
      <c r="J14" s="60">
        <v>0.48</v>
      </c>
      <c r="K14" s="60">
        <v>0.48</v>
      </c>
    </row>
    <row r="15" spans="1:17" ht="15" customHeight="1" x14ac:dyDescent="0.45">
      <c r="A15"/>
      <c r="B15" t="s">
        <v>82</v>
      </c>
      <c r="C15" s="62">
        <f>C36/C28</f>
        <v>1.1170166403974521E-2</v>
      </c>
      <c r="D15" s="62">
        <f>D36/D28</f>
        <v>-4.7720682424472654E-3</v>
      </c>
      <c r="E15" s="62">
        <f>E36/E28</f>
        <v>-2.4780712817204184E-3</v>
      </c>
      <c r="F15" s="60">
        <v>5.0000000000000001E-3</v>
      </c>
      <c r="G15" s="60">
        <v>5.0000000000000001E-3</v>
      </c>
      <c r="H15" s="60">
        <v>5.0000000000000001E-3</v>
      </c>
      <c r="I15" s="60">
        <v>5.0000000000000001E-3</v>
      </c>
      <c r="J15" s="60">
        <v>5.0000000000000001E-3</v>
      </c>
      <c r="K15" s="60">
        <v>5.0000000000000001E-3</v>
      </c>
    </row>
    <row r="16" spans="1:17" ht="15" customHeight="1" x14ac:dyDescent="0.45">
      <c r="A16"/>
      <c r="B16" t="s">
        <v>49</v>
      </c>
      <c r="C16" s="62">
        <f>C40/C39</f>
        <v>0.23387992421767809</v>
      </c>
      <c r="D16" s="62">
        <f>D40/D39</f>
        <v>0.25460130822806554</v>
      </c>
      <c r="E16" s="62">
        <f>E40/E39</f>
        <v>0.24323863019225098</v>
      </c>
      <c r="F16" s="60">
        <v>0.25</v>
      </c>
      <c r="G16" s="60">
        <v>0.25</v>
      </c>
      <c r="H16" s="60">
        <v>0.25</v>
      </c>
      <c r="I16" s="60">
        <v>0.25</v>
      </c>
      <c r="J16" s="60">
        <v>0.25</v>
      </c>
      <c r="K16" s="60">
        <v>0.25</v>
      </c>
    </row>
    <row r="17" spans="1:19" ht="15" customHeight="1" x14ac:dyDescent="0.45">
      <c r="A17"/>
      <c r="B17" t="s">
        <v>51</v>
      </c>
      <c r="E17" s="62">
        <f>-E51/E41</f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</row>
    <row r="18" spans="1:19" ht="15" customHeight="1" x14ac:dyDescent="0.45">
      <c r="A18"/>
      <c r="B18" t="s">
        <v>84</v>
      </c>
      <c r="C18">
        <f>C66/C29*365</f>
        <v>154.30728766649707</v>
      </c>
      <c r="D18">
        <f>D66/D29*365</f>
        <v>144.42442470652259</v>
      </c>
      <c r="E18">
        <f>E66/E29*365</f>
        <v>155.92272630711949</v>
      </c>
      <c r="F18" s="65">
        <v>155.9</v>
      </c>
      <c r="G18" s="65">
        <v>155.9</v>
      </c>
      <c r="H18" s="65">
        <v>155.9</v>
      </c>
      <c r="I18" s="65">
        <v>155.9</v>
      </c>
      <c r="J18" s="65">
        <v>155.9</v>
      </c>
      <c r="K18" s="65">
        <v>155.9</v>
      </c>
    </row>
    <row r="19" spans="1:19" ht="15" customHeight="1" x14ac:dyDescent="0.45">
      <c r="A19"/>
      <c r="B19" t="s">
        <v>85</v>
      </c>
      <c r="C19">
        <f>C67/C28*365</f>
        <v>22.623772489232046</v>
      </c>
      <c r="D19">
        <f>D67/D28*365</f>
        <v>27.169765859875234</v>
      </c>
      <c r="E19">
        <f>E67/E28*365</f>
        <v>24.306392273373742</v>
      </c>
      <c r="F19" s="65">
        <v>27.2</v>
      </c>
      <c r="G19" s="65">
        <v>27.2</v>
      </c>
      <c r="H19" s="65">
        <v>27.2</v>
      </c>
      <c r="I19" s="65">
        <v>27.2</v>
      </c>
      <c r="J19" s="65">
        <v>27.2</v>
      </c>
      <c r="K19" s="65">
        <v>27.2</v>
      </c>
    </row>
    <row r="20" spans="1:19" ht="15" customHeight="1" x14ac:dyDescent="0.45">
      <c r="A20"/>
      <c r="B20" t="s">
        <v>125</v>
      </c>
      <c r="C20">
        <f>C72/C31</f>
        <v>3.4162451651294252</v>
      </c>
      <c r="D20">
        <f>D72/D31</f>
        <v>3.6542318491776973</v>
      </c>
      <c r="E20">
        <f>E72/E31</f>
        <v>3.0030644359781351</v>
      </c>
      <c r="F20" s="65">
        <v>3.7</v>
      </c>
      <c r="G20" s="65">
        <v>3.7</v>
      </c>
      <c r="H20" s="65">
        <v>3.7</v>
      </c>
      <c r="I20" s="65">
        <v>3.7</v>
      </c>
      <c r="J20" s="65">
        <v>3.7</v>
      </c>
      <c r="K20" s="65">
        <v>3.7</v>
      </c>
    </row>
    <row r="21" spans="1:19" ht="15" customHeight="1" x14ac:dyDescent="0.45">
      <c r="A21"/>
      <c r="B21" t="s">
        <v>72</v>
      </c>
      <c r="C21" s="62"/>
      <c r="D21" s="62"/>
      <c r="E21" s="62"/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</row>
    <row r="22" spans="1:19" ht="15" customHeight="1" x14ac:dyDescent="0.45">
      <c r="A22"/>
      <c r="B22" t="s">
        <v>69</v>
      </c>
      <c r="C22" s="62">
        <f>C77/C28</f>
        <v>5.7545014780972861E-2</v>
      </c>
      <c r="D22" s="62">
        <f>D77/D28</f>
        <v>5.967892402025228E-2</v>
      </c>
      <c r="E22" s="62">
        <f>E77/E28</f>
        <v>6.1651758412830743E-2</v>
      </c>
      <c r="F22" s="59">
        <v>0.06</v>
      </c>
      <c r="G22" s="59">
        <v>0.06</v>
      </c>
      <c r="H22" s="59">
        <v>0.06</v>
      </c>
      <c r="I22" s="59">
        <v>0.06</v>
      </c>
      <c r="J22" s="59">
        <v>0.06</v>
      </c>
      <c r="K22" s="59">
        <v>0.06</v>
      </c>
    </row>
    <row r="23" spans="1:19" ht="15" customHeight="1" x14ac:dyDescent="0.45">
      <c r="A23"/>
      <c r="B23" t="s">
        <v>86</v>
      </c>
      <c r="C23">
        <f>C78/C29*365</f>
        <v>80.200012571376931</v>
      </c>
      <c r="D23">
        <f>D78/D29*365</f>
        <v>84.402170955453641</v>
      </c>
      <c r="E23">
        <f>E78/E29*365</f>
        <v>85.996779952221047</v>
      </c>
      <c r="F23" s="65">
        <v>84.4</v>
      </c>
      <c r="G23" s="65">
        <v>84.4</v>
      </c>
      <c r="H23" s="65">
        <v>84.4</v>
      </c>
      <c r="I23" s="65">
        <v>84.4</v>
      </c>
      <c r="J23" s="65">
        <v>84.4</v>
      </c>
      <c r="K23" s="65">
        <v>84.4</v>
      </c>
    </row>
    <row r="24" spans="1:19" ht="15" customHeight="1" x14ac:dyDescent="0.45">
      <c r="A24"/>
      <c r="B24" t="s">
        <v>52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3"/>
      <c r="M24" s="63"/>
      <c r="N24" s="63"/>
      <c r="O24" s="63"/>
      <c r="P24" s="63"/>
      <c r="Q24" s="63"/>
      <c r="R24" s="63"/>
      <c r="S24" s="63"/>
    </row>
    <row r="25" spans="1:19" ht="15" customHeight="1" x14ac:dyDescent="0.45">
      <c r="A25"/>
      <c r="B25" t="s">
        <v>70</v>
      </c>
      <c r="F25" s="59">
        <v>0.05</v>
      </c>
      <c r="G25" s="59">
        <v>0.05</v>
      </c>
      <c r="H25" s="59">
        <v>0.05</v>
      </c>
      <c r="I25" s="59">
        <v>0.05</v>
      </c>
      <c r="J25" s="59">
        <v>0.05</v>
      </c>
      <c r="K25" s="59">
        <v>0.05</v>
      </c>
    </row>
    <row r="26" spans="1:19" ht="15" customHeight="1" x14ac:dyDescent="0.45">
      <c r="A26"/>
    </row>
    <row r="27" spans="1:19" ht="15" customHeight="1" x14ac:dyDescent="0.45">
      <c r="A27" s="15" t="s">
        <v>115</v>
      </c>
      <c r="J27" s="62"/>
    </row>
    <row r="28" spans="1:19" ht="15" customHeight="1" x14ac:dyDescent="0.45">
      <c r="A28"/>
      <c r="B28" t="s">
        <v>17</v>
      </c>
      <c r="C28" s="64">
        <v>1101.4159999999999</v>
      </c>
      <c r="D28" s="64">
        <v>1068.7190000000001</v>
      </c>
      <c r="E28" s="64">
        <v>1129.9110000000001</v>
      </c>
      <c r="F28">
        <f t="shared" ref="F28:K28" si="1">(1+F6)*E28</f>
        <v>1242.9021000000002</v>
      </c>
      <c r="G28">
        <f t="shared" si="1"/>
        <v>1367.1923100000004</v>
      </c>
      <c r="H28">
        <f t="shared" si="1"/>
        <v>1503.9115410000006</v>
      </c>
      <c r="I28">
        <f t="shared" si="1"/>
        <v>1654.3026951000008</v>
      </c>
      <c r="J28">
        <f t="shared" si="1"/>
        <v>1819.7329646100011</v>
      </c>
      <c r="K28">
        <f t="shared" si="1"/>
        <v>1910.7196128405012</v>
      </c>
    </row>
    <row r="29" spans="1:19" ht="15" customHeight="1" x14ac:dyDescent="0.45">
      <c r="A29"/>
      <c r="B29" t="s">
        <v>92</v>
      </c>
      <c r="C29" s="64">
        <v>509.09300000000002</v>
      </c>
      <c r="D29" s="64">
        <v>514.52</v>
      </c>
      <c r="E29" s="64">
        <v>536.63800000000003</v>
      </c>
      <c r="F29">
        <f t="shared" ref="F29:K29" si="2">F8*F28</f>
        <v>590.37849750000009</v>
      </c>
      <c r="G29">
        <f t="shared" si="2"/>
        <v>649.41634725000017</v>
      </c>
      <c r="H29">
        <f t="shared" si="2"/>
        <v>714.35798197500026</v>
      </c>
      <c r="I29">
        <f t="shared" si="2"/>
        <v>785.79378017250042</v>
      </c>
      <c r="J29">
        <f t="shared" si="2"/>
        <v>864.37315818975048</v>
      </c>
      <c r="K29">
        <f t="shared" si="2"/>
        <v>907.59181609923803</v>
      </c>
    </row>
    <row r="30" spans="1:19" ht="15" customHeight="1" x14ac:dyDescent="0.45">
      <c r="A30"/>
      <c r="B30" t="s">
        <v>93</v>
      </c>
      <c r="C30" s="64">
        <v>181.648</v>
      </c>
      <c r="D30" s="64">
        <v>171.774</v>
      </c>
      <c r="E30" s="64">
        <v>167.17599999999999</v>
      </c>
      <c r="F30">
        <f t="shared" ref="F30:K30" si="3">F9*F28</f>
        <v>183.94951080000004</v>
      </c>
      <c r="G30">
        <f t="shared" si="3"/>
        <v>202.34446188000004</v>
      </c>
      <c r="H30">
        <f t="shared" si="3"/>
        <v>222.57890806800009</v>
      </c>
      <c r="I30">
        <f t="shared" si="3"/>
        <v>244.83679887480011</v>
      </c>
      <c r="J30">
        <f t="shared" si="3"/>
        <v>269.32047876228017</v>
      </c>
      <c r="K30">
        <f t="shared" si="3"/>
        <v>282.78650270039418</v>
      </c>
    </row>
    <row r="31" spans="1:19" ht="15" customHeight="1" x14ac:dyDescent="0.45">
      <c r="A31"/>
      <c r="B31" t="s">
        <v>91</v>
      </c>
      <c r="C31" s="64">
        <v>6.7220000000000004</v>
      </c>
      <c r="D31" s="64">
        <v>9.9719999999999995</v>
      </c>
      <c r="E31" s="64">
        <v>12.074</v>
      </c>
      <c r="F31">
        <f>F10*F28</f>
        <v>13.671923100000003</v>
      </c>
      <c r="G31">
        <f t="shared" ref="G31:K31" si="4">G10*G28</f>
        <v>15.039115410000003</v>
      </c>
      <c r="H31">
        <f t="shared" si="4"/>
        <v>16.543026951000005</v>
      </c>
      <c r="I31">
        <f t="shared" si="4"/>
        <v>18.197329646100009</v>
      </c>
      <c r="J31">
        <f t="shared" si="4"/>
        <v>20.01706261071001</v>
      </c>
      <c r="K31">
        <f t="shared" si="4"/>
        <v>21.017915741245513</v>
      </c>
    </row>
    <row r="32" spans="1:19" ht="15" customHeight="1" x14ac:dyDescent="0.45">
      <c r="A32"/>
      <c r="B32" t="s">
        <v>98</v>
      </c>
      <c r="C32" s="64">
        <v>313.8</v>
      </c>
      <c r="D32" s="64">
        <f>36.654+197.052+126.585-D31-D34</f>
        <v>345.22500000000002</v>
      </c>
      <c r="E32" s="64">
        <f>37.389+195.169+142.122-E31-E34</f>
        <v>358.17700000000008</v>
      </c>
      <c r="F32">
        <f t="shared" ref="F32:K32" si="5">F11*F28</f>
        <v>393.99996570000008</v>
      </c>
      <c r="G32">
        <f t="shared" si="5"/>
        <v>433.39996227000012</v>
      </c>
      <c r="H32">
        <f t="shared" si="5"/>
        <v>476.7399584970002</v>
      </c>
      <c r="I32">
        <f t="shared" si="5"/>
        <v>524.41395434670028</v>
      </c>
      <c r="J32">
        <f t="shared" si="5"/>
        <v>576.85534978137036</v>
      </c>
      <c r="K32">
        <f t="shared" si="5"/>
        <v>605.69811727043884</v>
      </c>
    </row>
    <row r="33" spans="1:11" ht="15" customHeight="1" x14ac:dyDescent="0.45">
      <c r="A33"/>
      <c r="B33" t="s">
        <v>18</v>
      </c>
      <c r="C33">
        <f t="shared" ref="C33:K33" si="6">C28-SUM(C29:C32)</f>
        <v>90.15300000000002</v>
      </c>
      <c r="D33">
        <f t="shared" si="6"/>
        <v>27.228000000000065</v>
      </c>
      <c r="E33">
        <f t="shared" si="6"/>
        <v>55.846000000000004</v>
      </c>
      <c r="F33">
        <f t="shared" si="6"/>
        <v>60.90220290000002</v>
      </c>
      <c r="G33">
        <f t="shared" si="6"/>
        <v>66.992423189999954</v>
      </c>
      <c r="H33">
        <f t="shared" si="6"/>
        <v>73.691665509000131</v>
      </c>
      <c r="I33">
        <f t="shared" si="6"/>
        <v>81.060832059900122</v>
      </c>
      <c r="J33">
        <f t="shared" si="6"/>
        <v>89.166915265890111</v>
      </c>
      <c r="K33">
        <f t="shared" si="6"/>
        <v>93.625261029184458</v>
      </c>
    </row>
    <row r="34" spans="1:11" ht="15" customHeight="1" x14ac:dyDescent="0.45">
      <c r="A34"/>
      <c r="B34" t="s">
        <v>43</v>
      </c>
      <c r="C34" s="64">
        <v>4.7910000000000004</v>
      </c>
      <c r="D34" s="64">
        <v>5.0940000000000003</v>
      </c>
      <c r="E34" s="64">
        <v>4.4290000000000003</v>
      </c>
      <c r="F34">
        <f>-F46</f>
        <v>4.2897599999999994</v>
      </c>
      <c r="G34">
        <f t="shared" ref="G34:J34" si="7">-G46</f>
        <v>8.19660528</v>
      </c>
      <c r="H34">
        <f t="shared" si="7"/>
        <v>10.824757833600003</v>
      </c>
      <c r="I34">
        <f t="shared" si="7"/>
        <v>12.847649470272003</v>
      </c>
      <c r="J34">
        <f t="shared" si="7"/>
        <v>14.621430661021446</v>
      </c>
      <c r="K34">
        <f t="shared" ref="K34" si="8">-K46</f>
        <v>16.337862173859154</v>
      </c>
    </row>
    <row r="35" spans="1:11" ht="15" customHeight="1" x14ac:dyDescent="0.45">
      <c r="A35"/>
      <c r="B35" t="s">
        <v>20</v>
      </c>
      <c r="C35">
        <f>C33-C34</f>
        <v>85.362000000000023</v>
      </c>
      <c r="D35">
        <f>D33-D34</f>
        <v>22.134000000000064</v>
      </c>
      <c r="E35">
        <f>E33-E34</f>
        <v>51.417000000000002</v>
      </c>
      <c r="F35">
        <f t="shared" ref="F35:J35" si="9">F33-F34</f>
        <v>56.612442900000019</v>
      </c>
      <c r="G35">
        <f t="shared" si="9"/>
        <v>58.795817909999954</v>
      </c>
      <c r="H35">
        <f t="shared" si="9"/>
        <v>62.866907675400128</v>
      </c>
      <c r="I35">
        <f t="shared" si="9"/>
        <v>68.213182589628119</v>
      </c>
      <c r="J35">
        <f t="shared" si="9"/>
        <v>74.545484604868662</v>
      </c>
      <c r="K35">
        <f t="shared" ref="K35" si="10">K33-K34</f>
        <v>77.287398855325307</v>
      </c>
    </row>
    <row r="36" spans="1:11" ht="15" customHeight="1" x14ac:dyDescent="0.45">
      <c r="A36"/>
      <c r="B36" t="s">
        <v>122</v>
      </c>
      <c r="C36" s="64">
        <f>5.862+6.441</f>
        <v>12.303000000000001</v>
      </c>
      <c r="D36" s="64">
        <v>-5.0999999999999996</v>
      </c>
      <c r="E36" s="64">
        <v>-2.8</v>
      </c>
      <c r="F36">
        <f t="shared" ref="F36:K36" si="11">F15*F28</f>
        <v>6.2145105000000012</v>
      </c>
      <c r="G36">
        <f t="shared" si="11"/>
        <v>6.8359615500000022</v>
      </c>
      <c r="H36">
        <f t="shared" si="11"/>
        <v>7.5195577050000031</v>
      </c>
      <c r="I36">
        <f t="shared" si="11"/>
        <v>8.2715134755000044</v>
      </c>
      <c r="J36">
        <f t="shared" si="11"/>
        <v>9.0986648230500062</v>
      </c>
      <c r="K36">
        <f t="shared" si="11"/>
        <v>9.5535980642025056</v>
      </c>
    </row>
    <row r="37" spans="1:11" ht="15" customHeight="1" x14ac:dyDescent="0.45">
      <c r="A37"/>
      <c r="B37" t="s">
        <v>111</v>
      </c>
      <c r="C37">
        <f>C35-C36</f>
        <v>73.059000000000026</v>
      </c>
      <c r="D37">
        <f>D35-D36</f>
        <v>27.234000000000066</v>
      </c>
      <c r="E37">
        <f t="shared" ref="E37:K37" si="12">E35-E36</f>
        <v>54.216999999999999</v>
      </c>
      <c r="F37">
        <f t="shared" si="12"/>
        <v>50.397932400000016</v>
      </c>
      <c r="G37">
        <f t="shared" si="12"/>
        <v>51.959856359999954</v>
      </c>
      <c r="H37">
        <f t="shared" si="12"/>
        <v>55.347349970400124</v>
      </c>
      <c r="I37">
        <f t="shared" si="12"/>
        <v>59.941669114128118</v>
      </c>
      <c r="J37">
        <f t="shared" si="12"/>
        <v>65.446819781818661</v>
      </c>
      <c r="K37">
        <f t="shared" si="12"/>
        <v>67.733800791122803</v>
      </c>
    </row>
    <row r="38" spans="1:11" ht="15" customHeight="1" x14ac:dyDescent="0.45">
      <c r="A38"/>
      <c r="B38" t="s">
        <v>123</v>
      </c>
      <c r="C38" s="64">
        <v>-3.476</v>
      </c>
      <c r="D38" s="64">
        <f>-15.627-D36</f>
        <v>-10.527000000000001</v>
      </c>
      <c r="E38" s="64">
        <f>-13.03-E36</f>
        <v>-10.23</v>
      </c>
    </row>
    <row r="39" spans="1:11" ht="15" customHeight="1" x14ac:dyDescent="0.45">
      <c r="A39"/>
      <c r="B39" t="s">
        <v>29</v>
      </c>
      <c r="C39">
        <f>C37-C38</f>
        <v>76.535000000000025</v>
      </c>
      <c r="D39">
        <f>D37-D38</f>
        <v>37.761000000000067</v>
      </c>
      <c r="E39">
        <f t="shared" ref="E39:K39" si="13">E37-E38</f>
        <v>64.447000000000003</v>
      </c>
      <c r="F39">
        <f t="shared" si="13"/>
        <v>50.397932400000016</v>
      </c>
      <c r="G39">
        <f t="shared" si="13"/>
        <v>51.959856359999954</v>
      </c>
      <c r="H39">
        <f t="shared" si="13"/>
        <v>55.347349970400124</v>
      </c>
      <c r="I39">
        <f t="shared" si="13"/>
        <v>59.941669114128118</v>
      </c>
      <c r="J39">
        <f t="shared" si="13"/>
        <v>65.446819781818661</v>
      </c>
      <c r="K39">
        <f t="shared" si="13"/>
        <v>67.733800791122803</v>
      </c>
    </row>
    <row r="40" spans="1:11" ht="15" customHeight="1" x14ac:dyDescent="0.45">
      <c r="A40"/>
      <c r="B40" t="s">
        <v>30</v>
      </c>
      <c r="C40" s="64">
        <v>17.899999999999999</v>
      </c>
      <c r="D40" s="64">
        <v>9.6140000000000008</v>
      </c>
      <c r="E40" s="64">
        <v>15.676</v>
      </c>
      <c r="F40">
        <f t="shared" ref="F40:K40" si="14">F16*F39</f>
        <v>12.599483100000004</v>
      </c>
      <c r="G40">
        <f t="shared" si="14"/>
        <v>12.989964089999988</v>
      </c>
      <c r="H40">
        <f t="shared" si="14"/>
        <v>13.836837492600031</v>
      </c>
      <c r="I40">
        <f t="shared" si="14"/>
        <v>14.985417278532029</v>
      </c>
      <c r="J40">
        <f t="shared" si="14"/>
        <v>16.361704945454665</v>
      </c>
      <c r="K40">
        <f t="shared" si="14"/>
        <v>16.933450197780701</v>
      </c>
    </row>
    <row r="41" spans="1:11" ht="15" customHeight="1" x14ac:dyDescent="0.45">
      <c r="A41"/>
      <c r="B41" t="s">
        <v>31</v>
      </c>
      <c r="C41">
        <f>C39-C40</f>
        <v>58.635000000000026</v>
      </c>
      <c r="D41">
        <f>D39-D40</f>
        <v>28.147000000000066</v>
      </c>
      <c r="E41">
        <f>E39-E40</f>
        <v>48.771000000000001</v>
      </c>
      <c r="F41">
        <f>F39-F40</f>
        <v>37.798449300000016</v>
      </c>
      <c r="G41">
        <f t="shared" ref="G41:J41" si="15">G39-G40</f>
        <v>38.969892269999967</v>
      </c>
      <c r="H41">
        <f t="shared" si="15"/>
        <v>41.510512477800091</v>
      </c>
      <c r="I41">
        <f t="shared" si="15"/>
        <v>44.956251835596092</v>
      </c>
      <c r="J41">
        <f t="shared" si="15"/>
        <v>49.085114836363999</v>
      </c>
      <c r="K41">
        <f t="shared" ref="K41" si="16">K39-K40</f>
        <v>50.800350593342102</v>
      </c>
    </row>
    <row r="42" spans="1:11" ht="15" customHeight="1" x14ac:dyDescent="0.45">
      <c r="A42"/>
      <c r="E42" s="66"/>
    </row>
    <row r="43" spans="1:11" ht="15" customHeight="1" x14ac:dyDescent="0.45">
      <c r="A43" s="61" t="s">
        <v>116</v>
      </c>
    </row>
    <row r="44" spans="1:11" ht="15" customHeight="1" x14ac:dyDescent="0.45">
      <c r="A44"/>
      <c r="B44" t="s">
        <v>42</v>
      </c>
      <c r="F44">
        <f>E47</f>
        <v>8.9369999999999994</v>
      </c>
      <c r="G44">
        <f t="shared" ref="G44:K44" si="17">F47</f>
        <v>17.076261000000002</v>
      </c>
      <c r="H44">
        <f t="shared" si="17"/>
        <v>22.551578820000007</v>
      </c>
      <c r="I44">
        <f t="shared" si="17"/>
        <v>26.765936396400008</v>
      </c>
      <c r="J44">
        <f t="shared" si="17"/>
        <v>30.461313877128013</v>
      </c>
      <c r="K44">
        <f t="shared" si="17"/>
        <v>34.037212862206573</v>
      </c>
    </row>
    <row r="45" spans="1:11" ht="15" customHeight="1" x14ac:dyDescent="0.45">
      <c r="A45"/>
      <c r="B45" t="s">
        <v>19</v>
      </c>
      <c r="C45" s="64">
        <v>5.2</v>
      </c>
      <c r="D45" s="64">
        <v>4.1980000000000004</v>
      </c>
      <c r="E45" s="64">
        <v>5.649</v>
      </c>
      <c r="F45">
        <f t="shared" ref="F45:K45" si="18">F13*F28</f>
        <v>12.429021000000002</v>
      </c>
      <c r="G45">
        <f t="shared" si="18"/>
        <v>13.671923100000004</v>
      </c>
      <c r="H45">
        <f t="shared" si="18"/>
        <v>15.039115410000006</v>
      </c>
      <c r="I45">
        <f t="shared" si="18"/>
        <v>16.543026951000009</v>
      </c>
      <c r="J45">
        <f t="shared" si="18"/>
        <v>18.197329646100012</v>
      </c>
      <c r="K45">
        <f t="shared" si="18"/>
        <v>19.107196128405011</v>
      </c>
    </row>
    <row r="46" spans="1:11" ht="15" customHeight="1" x14ac:dyDescent="0.45">
      <c r="A46"/>
      <c r="B46" t="s">
        <v>43</v>
      </c>
      <c r="F46">
        <f t="shared" ref="F46:K46" si="19">-F14*F44</f>
        <v>-4.2897599999999994</v>
      </c>
      <c r="G46">
        <f t="shared" si="19"/>
        <v>-8.19660528</v>
      </c>
      <c r="H46">
        <f t="shared" si="19"/>
        <v>-10.824757833600003</v>
      </c>
      <c r="I46">
        <f t="shared" si="19"/>
        <v>-12.847649470272003</v>
      </c>
      <c r="J46">
        <f t="shared" si="19"/>
        <v>-14.621430661021446</v>
      </c>
      <c r="K46">
        <f t="shared" si="19"/>
        <v>-16.337862173859154</v>
      </c>
    </row>
    <row r="47" spans="1:11" ht="15" customHeight="1" x14ac:dyDescent="0.45">
      <c r="A47"/>
      <c r="B47" t="s">
        <v>44</v>
      </c>
      <c r="D47">
        <f>D70</f>
        <v>9.6379999999999999</v>
      </c>
      <c r="E47">
        <f>E70</f>
        <v>8.9369999999999994</v>
      </c>
      <c r="F47">
        <f>SUM(F44:F46)</f>
        <v>17.076261000000002</v>
      </c>
      <c r="G47">
        <f t="shared" ref="G47:J47" si="20">SUM(G44:G46)</f>
        <v>22.551578820000007</v>
      </c>
      <c r="H47">
        <f t="shared" si="20"/>
        <v>26.765936396400008</v>
      </c>
      <c r="I47">
        <f t="shared" si="20"/>
        <v>30.461313877128013</v>
      </c>
      <c r="J47">
        <f t="shared" si="20"/>
        <v>34.037212862206573</v>
      </c>
      <c r="K47">
        <f t="shared" ref="K47" si="21">SUM(K44:K46)</f>
        <v>36.80654681675243</v>
      </c>
    </row>
    <row r="48" spans="1:11" ht="15" customHeight="1" x14ac:dyDescent="0.45">
      <c r="A48"/>
    </row>
    <row r="49" spans="1:11" ht="15" customHeight="1" x14ac:dyDescent="0.45">
      <c r="A49"/>
      <c r="B49" t="s">
        <v>45</v>
      </c>
      <c r="F49">
        <f>E52</f>
        <v>437.78500000000003</v>
      </c>
      <c r="G49">
        <f t="shared" ref="G49:K49" si="22">F52</f>
        <v>475.58344930000004</v>
      </c>
      <c r="H49">
        <f t="shared" si="22"/>
        <v>514.55334157000004</v>
      </c>
      <c r="I49">
        <f t="shared" si="22"/>
        <v>556.06385404780008</v>
      </c>
      <c r="J49">
        <f t="shared" si="22"/>
        <v>601.02010588339613</v>
      </c>
      <c r="K49">
        <f t="shared" si="22"/>
        <v>650.10522071976015</v>
      </c>
    </row>
    <row r="50" spans="1:11" ht="15" customHeight="1" x14ac:dyDescent="0.45">
      <c r="A50"/>
      <c r="B50" t="s">
        <v>31</v>
      </c>
      <c r="F50">
        <f>F41</f>
        <v>37.798449300000016</v>
      </c>
      <c r="G50">
        <f t="shared" ref="G50:J50" si="23">G41</f>
        <v>38.969892269999967</v>
      </c>
      <c r="H50">
        <f t="shared" si="23"/>
        <v>41.510512477800091</v>
      </c>
      <c r="I50">
        <f t="shared" si="23"/>
        <v>44.956251835596092</v>
      </c>
      <c r="J50">
        <f t="shared" si="23"/>
        <v>49.085114836363999</v>
      </c>
      <c r="K50">
        <f t="shared" ref="K50" si="24">K41</f>
        <v>50.800350593342102</v>
      </c>
    </row>
    <row r="51" spans="1:11" ht="15" customHeight="1" x14ac:dyDescent="0.45">
      <c r="A51"/>
      <c r="B51" t="s">
        <v>46</v>
      </c>
      <c r="C51" s="64">
        <v>0</v>
      </c>
      <c r="D51" s="64">
        <v>0</v>
      </c>
      <c r="E51" s="64">
        <v>0</v>
      </c>
      <c r="F51">
        <f t="shared" ref="F51:K51" si="25">F17*F41*-1</f>
        <v>0</v>
      </c>
      <c r="G51">
        <f t="shared" si="25"/>
        <v>0</v>
      </c>
      <c r="H51">
        <f t="shared" si="25"/>
        <v>0</v>
      </c>
      <c r="I51">
        <f t="shared" si="25"/>
        <v>0</v>
      </c>
      <c r="J51">
        <f t="shared" si="25"/>
        <v>0</v>
      </c>
      <c r="K51">
        <f t="shared" si="25"/>
        <v>0</v>
      </c>
    </row>
    <row r="52" spans="1:11" ht="15" customHeight="1" x14ac:dyDescent="0.45">
      <c r="A52"/>
      <c r="B52" t="s">
        <v>47</v>
      </c>
      <c r="E52">
        <f>E85</f>
        <v>437.78500000000003</v>
      </c>
      <c r="F52">
        <f>SUM(F49:F51)</f>
        <v>475.58344930000004</v>
      </c>
      <c r="G52">
        <f t="shared" ref="G52:J52" si="26">SUM(G49:G51)</f>
        <v>514.55334157000004</v>
      </c>
      <c r="H52">
        <f t="shared" si="26"/>
        <v>556.06385404780008</v>
      </c>
      <c r="I52">
        <f t="shared" si="26"/>
        <v>601.02010588339613</v>
      </c>
      <c r="J52">
        <f t="shared" si="26"/>
        <v>650.10522071976015</v>
      </c>
      <c r="K52">
        <f t="shared" ref="K52" si="27">SUM(K49:K51)</f>
        <v>700.9055713131022</v>
      </c>
    </row>
    <row r="53" spans="1:11" ht="15" customHeight="1" x14ac:dyDescent="0.45">
      <c r="A53"/>
    </row>
    <row r="54" spans="1:11" ht="15" customHeight="1" x14ac:dyDescent="0.45">
      <c r="A54"/>
      <c r="B54" t="s">
        <v>66</v>
      </c>
      <c r="D54">
        <f>D66</f>
        <v>203.58699999999999</v>
      </c>
      <c r="E54">
        <f t="shared" ref="E54:J54" si="28">E66</f>
        <v>229.244</v>
      </c>
      <c r="F54">
        <f t="shared" si="28"/>
        <v>252.16440482260282</v>
      </c>
      <c r="G54">
        <f t="shared" si="28"/>
        <v>277.3808453048631</v>
      </c>
      <c r="H54">
        <f t="shared" si="28"/>
        <v>305.11892983534943</v>
      </c>
      <c r="I54">
        <f t="shared" si="28"/>
        <v>335.63082281888444</v>
      </c>
      <c r="J54">
        <f t="shared" si="28"/>
        <v>369.19390510077289</v>
      </c>
      <c r="K54">
        <f t="shared" ref="K54" si="29">K66</f>
        <v>387.65360035581153</v>
      </c>
    </row>
    <row r="55" spans="1:11" ht="15" customHeight="1" x14ac:dyDescent="0.45">
      <c r="A55"/>
      <c r="B55" t="s">
        <v>87</v>
      </c>
      <c r="D55">
        <f>D67</f>
        <v>79.552999999999997</v>
      </c>
      <c r="E55">
        <f t="shared" ref="E55:J55" si="30">E67</f>
        <v>75.244</v>
      </c>
      <c r="F55">
        <f t="shared" si="30"/>
        <v>92.621745534246585</v>
      </c>
      <c r="G55">
        <f t="shared" si="30"/>
        <v>101.88392008767126</v>
      </c>
      <c r="H55">
        <f t="shared" si="30"/>
        <v>112.0723120964384</v>
      </c>
      <c r="I55">
        <f t="shared" si="30"/>
        <v>123.27954330608225</v>
      </c>
      <c r="J55">
        <f t="shared" si="30"/>
        <v>135.60749763669048</v>
      </c>
      <c r="K55">
        <f t="shared" ref="K55" si="31">K67</f>
        <v>142.38787251852503</v>
      </c>
    </row>
    <row r="56" spans="1:11" ht="15" customHeight="1" x14ac:dyDescent="0.45">
      <c r="A56"/>
      <c r="B56" t="s">
        <v>68</v>
      </c>
      <c r="D56">
        <f>D77</f>
        <v>63.78</v>
      </c>
      <c r="E56">
        <f t="shared" ref="E56:J56" si="32">E77</f>
        <v>69.661000000000001</v>
      </c>
      <c r="F56">
        <f t="shared" si="32"/>
        <v>74.574126000000007</v>
      </c>
      <c r="G56">
        <f t="shared" si="32"/>
        <v>82.031538600000019</v>
      </c>
      <c r="H56">
        <f t="shared" si="32"/>
        <v>90.234692460000034</v>
      </c>
      <c r="I56">
        <f t="shared" si="32"/>
        <v>99.258161706000053</v>
      </c>
      <c r="J56">
        <f t="shared" si="32"/>
        <v>109.18397787660007</v>
      </c>
      <c r="K56">
        <f t="shared" ref="K56" si="33">K77</f>
        <v>114.64317677043007</v>
      </c>
    </row>
    <row r="57" spans="1:11" ht="15.5" customHeight="1" x14ac:dyDescent="0.45">
      <c r="A57"/>
      <c r="B57" t="s">
        <v>88</v>
      </c>
      <c r="D57">
        <f>D78</f>
        <v>118.977</v>
      </c>
      <c r="E57">
        <f t="shared" ref="E57:J57" si="34">E78</f>
        <v>126.43600000000001</v>
      </c>
      <c r="F57">
        <f t="shared" si="34"/>
        <v>136.51491832602744</v>
      </c>
      <c r="G57">
        <f t="shared" si="34"/>
        <v>150.16641015863019</v>
      </c>
      <c r="H57">
        <f t="shared" si="34"/>
        <v>165.18305117449322</v>
      </c>
      <c r="I57">
        <f t="shared" si="34"/>
        <v>181.70135629194257</v>
      </c>
      <c r="J57">
        <f t="shared" si="34"/>
        <v>199.87149192113685</v>
      </c>
      <c r="K57">
        <f t="shared" ref="K57" si="35">K78</f>
        <v>209.86506651719367</v>
      </c>
    </row>
    <row r="58" spans="1:11" ht="15.5" customHeight="1" x14ac:dyDescent="0.45">
      <c r="A58"/>
      <c r="B58" t="s">
        <v>50</v>
      </c>
      <c r="D58">
        <f>D54+D55-D56-D57</f>
        <v>100.38299999999998</v>
      </c>
      <c r="E58">
        <f t="shared" ref="E58:J58" si="36">E54+E55-E56-E57</f>
        <v>108.39099999999999</v>
      </c>
      <c r="F58">
        <f t="shared" si="36"/>
        <v>133.69710603082194</v>
      </c>
      <c r="G58">
        <f t="shared" si="36"/>
        <v>147.06681663390412</v>
      </c>
      <c r="H58">
        <f t="shared" si="36"/>
        <v>161.77349829729459</v>
      </c>
      <c r="I58">
        <f t="shared" si="36"/>
        <v>177.95084812702405</v>
      </c>
      <c r="J58">
        <f t="shared" si="36"/>
        <v>195.74593293972646</v>
      </c>
      <c r="K58">
        <f t="shared" ref="K58" si="37">K54+K55-K56-K57</f>
        <v>205.53322958671288</v>
      </c>
    </row>
    <row r="59" spans="1:11" ht="15.5" customHeight="1" x14ac:dyDescent="0.45">
      <c r="A59"/>
    </row>
    <row r="60" spans="1:11" ht="15.5" customHeight="1" x14ac:dyDescent="0.45">
      <c r="A60"/>
      <c r="B60" t="s">
        <v>99</v>
      </c>
      <c r="E60">
        <f>E72</f>
        <v>36.259</v>
      </c>
      <c r="F60">
        <f t="shared" ref="F60:K60" si="38">F72</f>
        <v>50.58611547000001</v>
      </c>
      <c r="G60">
        <f t="shared" si="38"/>
        <v>55.644727017000015</v>
      </c>
      <c r="H60">
        <f t="shared" si="38"/>
        <v>61.20919971870002</v>
      </c>
      <c r="I60">
        <f t="shared" si="38"/>
        <v>67.330119690570029</v>
      </c>
      <c r="J60">
        <f t="shared" si="38"/>
        <v>74.063131659627047</v>
      </c>
      <c r="K60">
        <f t="shared" si="38"/>
        <v>77.766288242608397</v>
      </c>
    </row>
    <row r="61" spans="1:11" ht="15.5" customHeight="1" x14ac:dyDescent="0.45">
      <c r="A61"/>
      <c r="B61" t="s">
        <v>89</v>
      </c>
      <c r="E61">
        <f>E82</f>
        <v>31.664999999999999</v>
      </c>
      <c r="F61">
        <f>E61+F60-E60</f>
        <v>45.992115470000002</v>
      </c>
      <c r="G61">
        <f>F61+G60-F60</f>
        <v>51.050727017000014</v>
      </c>
      <c r="H61">
        <f t="shared" ref="H61:K61" si="39">G61+H60-G60</f>
        <v>56.615199718700019</v>
      </c>
      <c r="I61">
        <f t="shared" si="39"/>
        <v>62.736119690570021</v>
      </c>
      <c r="J61">
        <f t="shared" si="39"/>
        <v>69.469131659627038</v>
      </c>
      <c r="K61">
        <f t="shared" si="39"/>
        <v>73.172288242608388</v>
      </c>
    </row>
    <row r="62" spans="1:11" ht="15.5" customHeight="1" x14ac:dyDescent="0.45">
      <c r="A62"/>
      <c r="B62" t="s">
        <v>101</v>
      </c>
      <c r="E62">
        <f>E60-E61</f>
        <v>4.5940000000000012</v>
      </c>
      <c r="F62">
        <f t="shared" ref="F62:K62" si="40">F60-F61</f>
        <v>4.5940000000000083</v>
      </c>
      <c r="G62">
        <f t="shared" si="40"/>
        <v>4.5940000000000012</v>
      </c>
      <c r="H62">
        <f t="shared" si="40"/>
        <v>4.5940000000000012</v>
      </c>
      <c r="I62">
        <f t="shared" si="40"/>
        <v>4.5940000000000083</v>
      </c>
      <c r="J62">
        <f t="shared" si="40"/>
        <v>4.5940000000000083</v>
      </c>
      <c r="K62">
        <f t="shared" si="40"/>
        <v>4.5940000000000083</v>
      </c>
    </row>
    <row r="63" spans="1:11" ht="15.5" customHeight="1" x14ac:dyDescent="0.45">
      <c r="A63"/>
    </row>
    <row r="64" spans="1:11" ht="15" customHeight="1" x14ac:dyDescent="0.45">
      <c r="A64" s="61" t="s">
        <v>117</v>
      </c>
    </row>
    <row r="65" spans="1:11" ht="15" customHeight="1" x14ac:dyDescent="0.45">
      <c r="A65"/>
      <c r="B65" t="s">
        <v>32</v>
      </c>
      <c r="C65" s="64">
        <v>234.72399999999999</v>
      </c>
      <c r="D65" s="64">
        <v>245.44900000000001</v>
      </c>
      <c r="E65" s="64">
        <v>256.60000000000002</v>
      </c>
    </row>
    <row r="66" spans="1:11" ht="15" customHeight="1" x14ac:dyDescent="0.45">
      <c r="A66"/>
      <c r="B66" t="s">
        <v>66</v>
      </c>
      <c r="C66" s="64">
        <v>215.22399999999999</v>
      </c>
      <c r="D66" s="64">
        <v>203.58699999999999</v>
      </c>
      <c r="E66" s="64">
        <v>229.244</v>
      </c>
      <c r="F66">
        <f t="shared" ref="F66:K66" si="41">F18*F29/365</f>
        <v>252.16440482260282</v>
      </c>
      <c r="G66">
        <f t="shared" si="41"/>
        <v>277.3808453048631</v>
      </c>
      <c r="H66">
        <f t="shared" si="41"/>
        <v>305.11892983534943</v>
      </c>
      <c r="I66">
        <f t="shared" si="41"/>
        <v>335.63082281888444</v>
      </c>
      <c r="J66">
        <f t="shared" si="41"/>
        <v>369.19390510077289</v>
      </c>
      <c r="K66">
        <f t="shared" si="41"/>
        <v>387.65360035581153</v>
      </c>
    </row>
    <row r="67" spans="1:11" ht="15" customHeight="1" x14ac:dyDescent="0.45">
      <c r="A67"/>
      <c r="B67" t="s">
        <v>87</v>
      </c>
      <c r="C67" s="64">
        <f>5.421+2.974+59.874</f>
        <v>68.269000000000005</v>
      </c>
      <c r="D67" s="64">
        <f>12.405+1.625+65.523</f>
        <v>79.552999999999997</v>
      </c>
      <c r="E67" s="64">
        <f>10.338+1.195+63.711</f>
        <v>75.244</v>
      </c>
      <c r="F67">
        <f t="shared" ref="F67:K67" si="42">F19*F28/365</f>
        <v>92.621745534246585</v>
      </c>
      <c r="G67">
        <f t="shared" si="42"/>
        <v>101.88392008767126</v>
      </c>
      <c r="H67">
        <f t="shared" si="42"/>
        <v>112.0723120964384</v>
      </c>
      <c r="I67">
        <f t="shared" si="42"/>
        <v>123.27954330608225</v>
      </c>
      <c r="J67">
        <f t="shared" si="42"/>
        <v>135.60749763669048</v>
      </c>
      <c r="K67">
        <f t="shared" si="42"/>
        <v>142.38787251852503</v>
      </c>
    </row>
    <row r="68" spans="1:11" ht="15" customHeight="1" x14ac:dyDescent="0.45">
      <c r="A68"/>
      <c r="B68" t="s">
        <v>33</v>
      </c>
      <c r="C68">
        <f>SUM(C65:C67)</f>
        <v>518.21699999999998</v>
      </c>
      <c r="D68">
        <f>SUM(D65:D67)</f>
        <v>528.58899999999994</v>
      </c>
      <c r="E68">
        <f>SUM(E65:E67)</f>
        <v>561.08800000000008</v>
      </c>
      <c r="F68">
        <f>SUM(F65:F67)</f>
        <v>344.78615035684942</v>
      </c>
      <c r="G68">
        <f t="shared" ref="G68:J68" si="43">SUM(G65:G67)</f>
        <v>379.26476539253434</v>
      </c>
      <c r="H68">
        <f t="shared" si="43"/>
        <v>417.19124193178783</v>
      </c>
      <c r="I68">
        <f t="shared" si="43"/>
        <v>458.91036612496669</v>
      </c>
      <c r="J68">
        <f t="shared" si="43"/>
        <v>504.80140273746338</v>
      </c>
      <c r="K68">
        <f t="shared" ref="K68" si="44">SUM(K65:K67)</f>
        <v>530.04147287433659</v>
      </c>
    </row>
    <row r="69" spans="1:11" ht="15" customHeight="1" x14ac:dyDescent="0.45">
      <c r="A69"/>
    </row>
    <row r="70" spans="1:11" ht="15" customHeight="1" x14ac:dyDescent="0.45">
      <c r="A70"/>
      <c r="B70" t="s">
        <v>41</v>
      </c>
      <c r="C70" s="64">
        <f>8.934+1.6</f>
        <v>10.533999999999999</v>
      </c>
      <c r="D70" s="64">
        <f>7.763+1.875</f>
        <v>9.6379999999999999</v>
      </c>
      <c r="E70" s="64">
        <v>8.9369999999999994</v>
      </c>
      <c r="F70">
        <f>F47</f>
        <v>17.076261000000002</v>
      </c>
      <c r="G70">
        <f t="shared" ref="G70:J70" si="45">G47</f>
        <v>22.551578820000007</v>
      </c>
      <c r="H70">
        <f t="shared" si="45"/>
        <v>26.765936396400008</v>
      </c>
      <c r="I70">
        <f t="shared" si="45"/>
        <v>30.461313877128013</v>
      </c>
      <c r="J70">
        <f t="shared" si="45"/>
        <v>34.037212862206573</v>
      </c>
      <c r="K70">
        <f t="shared" ref="K70" si="46">K47</f>
        <v>36.80654681675243</v>
      </c>
    </row>
    <row r="71" spans="1:11" ht="15" customHeight="1" x14ac:dyDescent="0.45">
      <c r="A71"/>
      <c r="B71" t="s">
        <v>67</v>
      </c>
      <c r="C71" s="64">
        <v>2.0419999999999998</v>
      </c>
      <c r="D71" s="64">
        <v>2.0419999999999998</v>
      </c>
      <c r="E71" s="64">
        <v>2.0419999999999998</v>
      </c>
      <c r="F71">
        <f>E71</f>
        <v>2.0419999999999998</v>
      </c>
      <c r="G71">
        <f t="shared" ref="G71:K71" si="47">F71</f>
        <v>2.0419999999999998</v>
      </c>
      <c r="H71">
        <f t="shared" si="47"/>
        <v>2.0419999999999998</v>
      </c>
      <c r="I71">
        <f t="shared" si="47"/>
        <v>2.0419999999999998</v>
      </c>
      <c r="J71">
        <f t="shared" si="47"/>
        <v>2.0419999999999998</v>
      </c>
      <c r="K71">
        <f t="shared" si="47"/>
        <v>2.0419999999999998</v>
      </c>
    </row>
    <row r="72" spans="1:11" ht="15" customHeight="1" x14ac:dyDescent="0.45">
      <c r="A72"/>
      <c r="B72" t="s">
        <v>99</v>
      </c>
      <c r="C72" s="64">
        <v>22.963999999999999</v>
      </c>
      <c r="D72" s="64">
        <v>36.44</v>
      </c>
      <c r="E72" s="64">
        <v>36.259</v>
      </c>
      <c r="F72">
        <f>F20*F31</f>
        <v>50.58611547000001</v>
      </c>
      <c r="G72">
        <f t="shared" ref="G72:K72" si="48">G20*G31</f>
        <v>55.644727017000015</v>
      </c>
      <c r="H72">
        <f t="shared" si="48"/>
        <v>61.20919971870002</v>
      </c>
      <c r="I72">
        <f t="shared" si="48"/>
        <v>67.330119690570029</v>
      </c>
      <c r="J72">
        <f t="shared" si="48"/>
        <v>74.063131659627047</v>
      </c>
      <c r="K72">
        <f t="shared" si="48"/>
        <v>77.766288242608397</v>
      </c>
    </row>
    <row r="73" spans="1:11" ht="15" customHeight="1" x14ac:dyDescent="0.45">
      <c r="A73"/>
      <c r="B73" t="s">
        <v>72</v>
      </c>
      <c r="C73" s="64">
        <f>0.807+24.754</f>
        <v>25.561</v>
      </c>
      <c r="D73" s="64">
        <f>2.172+30.005</f>
        <v>32.177</v>
      </c>
      <c r="E73" s="64">
        <f>2.294+18.067+36.86</f>
        <v>57.221000000000004</v>
      </c>
      <c r="F73">
        <f t="shared" ref="F73:K73" si="49">F21+E73</f>
        <v>57.221000000000004</v>
      </c>
      <c r="G73">
        <f t="shared" si="49"/>
        <v>57.221000000000004</v>
      </c>
      <c r="H73">
        <f t="shared" si="49"/>
        <v>57.221000000000004</v>
      </c>
      <c r="I73">
        <f t="shared" si="49"/>
        <v>57.221000000000004</v>
      </c>
      <c r="J73">
        <f t="shared" si="49"/>
        <v>57.221000000000004</v>
      </c>
      <c r="K73">
        <f t="shared" si="49"/>
        <v>57.221000000000004</v>
      </c>
    </row>
    <row r="74" spans="1:11" ht="15" customHeight="1" x14ac:dyDescent="0.45">
      <c r="A74"/>
      <c r="B74" t="s">
        <v>34</v>
      </c>
      <c r="C74">
        <f t="shared" ref="C74" si="50">C68+SUM(C70:C73)</f>
        <v>579.31799999999998</v>
      </c>
      <c r="D74">
        <f t="shared" ref="D74" si="51">D68+SUM(D70:D73)</f>
        <v>608.88599999999997</v>
      </c>
      <c r="E74">
        <f t="shared" ref="E74:K74" si="52">E68+SUM(E70:E73)</f>
        <v>665.54700000000003</v>
      </c>
      <c r="F74">
        <f t="shared" si="52"/>
        <v>471.71152682684942</v>
      </c>
      <c r="G74">
        <f t="shared" si="52"/>
        <v>516.72407122953439</v>
      </c>
      <c r="H74">
        <f t="shared" si="52"/>
        <v>564.4293780468879</v>
      </c>
      <c r="I74">
        <f t="shared" si="52"/>
        <v>615.96479969266477</v>
      </c>
      <c r="J74">
        <f t="shared" si="52"/>
        <v>672.16474725929697</v>
      </c>
      <c r="K74">
        <f t="shared" si="52"/>
        <v>703.87730793369747</v>
      </c>
    </row>
    <row r="75" spans="1:11" ht="15" customHeight="1" x14ac:dyDescent="0.45">
      <c r="A75"/>
    </row>
    <row r="76" spans="1:11" ht="15" customHeight="1" x14ac:dyDescent="0.45">
      <c r="A76"/>
      <c r="B76" t="s">
        <v>35</v>
      </c>
      <c r="C76" s="64">
        <v>0</v>
      </c>
      <c r="D76" s="64">
        <v>0</v>
      </c>
      <c r="E76" s="64">
        <v>0</v>
      </c>
    </row>
    <row r="77" spans="1:11" ht="15" customHeight="1" x14ac:dyDescent="0.45">
      <c r="A77"/>
      <c r="B77" t="s">
        <v>68</v>
      </c>
      <c r="C77" s="64">
        <v>63.381</v>
      </c>
      <c r="D77" s="64">
        <v>63.78</v>
      </c>
      <c r="E77" s="64">
        <v>69.661000000000001</v>
      </c>
      <c r="F77">
        <f t="shared" ref="F77:K77" si="53">F22*F28</f>
        <v>74.574126000000007</v>
      </c>
      <c r="G77">
        <f t="shared" si="53"/>
        <v>82.031538600000019</v>
      </c>
      <c r="H77">
        <f t="shared" si="53"/>
        <v>90.234692460000034</v>
      </c>
      <c r="I77">
        <f t="shared" si="53"/>
        <v>99.258161706000053</v>
      </c>
      <c r="J77">
        <f t="shared" si="53"/>
        <v>109.18397787660007</v>
      </c>
      <c r="K77">
        <f t="shared" si="53"/>
        <v>114.64317677043007</v>
      </c>
    </row>
    <row r="78" spans="1:11" ht="15" customHeight="1" x14ac:dyDescent="0.45">
      <c r="A78"/>
      <c r="B78" t="s">
        <v>88</v>
      </c>
      <c r="C78" s="64">
        <f>50.789+38.266+0.229+22.577</f>
        <v>111.861</v>
      </c>
      <c r="D78" s="64">
        <f>47.821+40.714+30.442</f>
        <v>118.977</v>
      </c>
      <c r="E78" s="64">
        <f>45.098+0.004+38.524+9.066+33.744</f>
        <v>126.43600000000001</v>
      </c>
      <c r="F78">
        <f t="shared" ref="F78:K78" si="54">F23*F29/365</f>
        <v>136.51491832602744</v>
      </c>
      <c r="G78">
        <f t="shared" si="54"/>
        <v>150.16641015863019</v>
      </c>
      <c r="H78">
        <f t="shared" si="54"/>
        <v>165.18305117449322</v>
      </c>
      <c r="I78">
        <f t="shared" si="54"/>
        <v>181.70135629194257</v>
      </c>
      <c r="J78">
        <f t="shared" si="54"/>
        <v>199.87149192113685</v>
      </c>
      <c r="K78">
        <f t="shared" si="54"/>
        <v>209.86506651719367</v>
      </c>
    </row>
    <row r="79" spans="1:11" ht="15" customHeight="1" x14ac:dyDescent="0.45">
      <c r="A79"/>
      <c r="B79" t="s">
        <v>36</v>
      </c>
      <c r="C79">
        <f>SUM(C76:C78)</f>
        <v>175.24200000000002</v>
      </c>
      <c r="D79">
        <f>SUM(D76:D78)</f>
        <v>182.75700000000001</v>
      </c>
      <c r="E79">
        <f>SUM(E76:E78)</f>
        <v>196.09700000000001</v>
      </c>
      <c r="F79">
        <f>SUM(F76:F78)</f>
        <v>211.08904432602745</v>
      </c>
      <c r="G79">
        <f t="shared" ref="G79:J79" si="55">SUM(G76:G78)</f>
        <v>232.19794875863022</v>
      </c>
      <c r="H79">
        <f t="shared" si="55"/>
        <v>255.41774363449326</v>
      </c>
      <c r="I79">
        <f t="shared" si="55"/>
        <v>280.95951799794261</v>
      </c>
      <c r="J79">
        <f t="shared" si="55"/>
        <v>309.05546979773692</v>
      </c>
      <c r="K79">
        <f t="shared" ref="K79" si="56">SUM(K76:K78)</f>
        <v>324.50824328762371</v>
      </c>
    </row>
    <row r="80" spans="1:11" ht="15" customHeight="1" x14ac:dyDescent="0.45">
      <c r="A80"/>
    </row>
    <row r="81" spans="1:11" ht="15" customHeight="1" x14ac:dyDescent="0.45">
      <c r="A81"/>
      <c r="B81" t="s">
        <v>37</v>
      </c>
      <c r="C81" s="64">
        <v>0</v>
      </c>
      <c r="D81" s="64">
        <v>0</v>
      </c>
      <c r="E81" s="64">
        <v>0</v>
      </c>
      <c r="F81">
        <f t="shared" ref="F81:K81" si="57">F24+E81</f>
        <v>0</v>
      </c>
      <c r="G81">
        <f t="shared" si="57"/>
        <v>0</v>
      </c>
      <c r="H81">
        <f t="shared" si="57"/>
        <v>0</v>
      </c>
      <c r="I81">
        <f t="shared" si="57"/>
        <v>0</v>
      </c>
      <c r="J81">
        <f t="shared" si="57"/>
        <v>0</v>
      </c>
      <c r="K81">
        <f t="shared" si="57"/>
        <v>0</v>
      </c>
    </row>
    <row r="82" spans="1:11" ht="15" customHeight="1" x14ac:dyDescent="0.45">
      <c r="A82"/>
      <c r="B82" t="s">
        <v>89</v>
      </c>
      <c r="C82" s="64">
        <f>18.659+5.844</f>
        <v>24.503</v>
      </c>
      <c r="D82" s="64">
        <f>6.863+34.126</f>
        <v>40.988999999999997</v>
      </c>
      <c r="E82" s="64">
        <v>31.664999999999999</v>
      </c>
      <c r="F82">
        <f>F61</f>
        <v>45.992115470000002</v>
      </c>
      <c r="G82">
        <f t="shared" ref="G82:K82" si="58">G61</f>
        <v>51.050727017000014</v>
      </c>
      <c r="H82">
        <f t="shared" si="58"/>
        <v>56.615199718700019</v>
      </c>
      <c r="I82">
        <f t="shared" si="58"/>
        <v>62.736119690570021</v>
      </c>
      <c r="J82">
        <f t="shared" si="58"/>
        <v>69.469131659627038</v>
      </c>
      <c r="K82">
        <f t="shared" si="58"/>
        <v>73.172288242608388</v>
      </c>
    </row>
    <row r="83" spans="1:11" ht="15" customHeight="1" x14ac:dyDescent="0.45">
      <c r="A83"/>
      <c r="B83" t="s">
        <v>38</v>
      </c>
      <c r="C83">
        <f>C79+C81+C82</f>
        <v>199.745</v>
      </c>
      <c r="D83">
        <f>D79+D81+D82</f>
        <v>223.74600000000001</v>
      </c>
      <c r="E83">
        <f>E79+E81+E82</f>
        <v>227.762</v>
      </c>
      <c r="F83">
        <f>F79+F81+F82</f>
        <v>257.08115979602746</v>
      </c>
      <c r="G83">
        <f t="shared" ref="G83:J83" si="59">G79+G81+G82</f>
        <v>283.2486757756302</v>
      </c>
      <c r="H83">
        <f t="shared" si="59"/>
        <v>312.03294335319328</v>
      </c>
      <c r="I83">
        <f t="shared" si="59"/>
        <v>343.69563768851265</v>
      </c>
      <c r="J83">
        <f t="shared" si="59"/>
        <v>378.52460145736393</v>
      </c>
      <c r="K83">
        <f t="shared" ref="K83" si="60">K79+K81+K82</f>
        <v>397.68053153023209</v>
      </c>
    </row>
    <row r="84" spans="1:11" ht="15" customHeight="1" x14ac:dyDescent="0.45">
      <c r="A84"/>
    </row>
    <row r="85" spans="1:11" ht="15" customHeight="1" x14ac:dyDescent="0.45">
      <c r="A85"/>
      <c r="B85" t="s">
        <v>39</v>
      </c>
      <c r="C85" s="64">
        <v>379.57299999999998</v>
      </c>
      <c r="D85" s="64">
        <v>385.14</v>
      </c>
      <c r="E85" s="64">
        <v>437.78500000000003</v>
      </c>
      <c r="F85">
        <f>F52</f>
        <v>475.58344930000004</v>
      </c>
      <c r="G85">
        <f t="shared" ref="G85:J85" si="61">G52</f>
        <v>514.55334157000004</v>
      </c>
      <c r="H85">
        <f t="shared" si="61"/>
        <v>556.06385404780008</v>
      </c>
      <c r="I85">
        <f t="shared" si="61"/>
        <v>601.02010588339613</v>
      </c>
      <c r="J85">
        <f t="shared" si="61"/>
        <v>650.10522071976015</v>
      </c>
      <c r="K85">
        <f t="shared" ref="K85" si="62">K52</f>
        <v>700.9055713131022</v>
      </c>
    </row>
    <row r="86" spans="1:11" ht="15" customHeight="1" x14ac:dyDescent="0.45">
      <c r="A86"/>
      <c r="B86" t="s">
        <v>40</v>
      </c>
      <c r="C86">
        <f>C83+C85</f>
        <v>579.31799999999998</v>
      </c>
      <c r="D86">
        <f>D83+D85</f>
        <v>608.88599999999997</v>
      </c>
      <c r="E86">
        <f>E83+E85</f>
        <v>665.54700000000003</v>
      </c>
      <c r="F86">
        <f>F83+F85</f>
        <v>732.66460909602756</v>
      </c>
      <c r="G86">
        <f t="shared" ref="G86:J86" si="63">G83+G85</f>
        <v>797.80201734563025</v>
      </c>
      <c r="H86">
        <f t="shared" si="63"/>
        <v>868.09679740099341</v>
      </c>
      <c r="I86">
        <f t="shared" si="63"/>
        <v>944.71574357190877</v>
      </c>
      <c r="J86">
        <f t="shared" si="63"/>
        <v>1028.629822177124</v>
      </c>
      <c r="K86">
        <f t="shared" ref="K86" si="64">K83+K85</f>
        <v>1098.5861028433342</v>
      </c>
    </row>
    <row r="87" spans="1:11" ht="15" customHeight="1" x14ac:dyDescent="0.45">
      <c r="A87"/>
    </row>
    <row r="88" spans="1:11" ht="15" customHeight="1" x14ac:dyDescent="0.45">
      <c r="A88"/>
      <c r="B88" t="s">
        <v>62</v>
      </c>
      <c r="C88">
        <f>C86-C74</f>
        <v>0</v>
      </c>
      <c r="D88">
        <f>D86-D74</f>
        <v>0</v>
      </c>
      <c r="E88">
        <f>E86-E74</f>
        <v>0</v>
      </c>
      <c r="F88">
        <f>F86-F74</f>
        <v>260.95308226917814</v>
      </c>
      <c r="G88">
        <f t="shared" ref="G88:J88" si="65">G86-G74</f>
        <v>281.07794611609586</v>
      </c>
      <c r="H88">
        <f t="shared" si="65"/>
        <v>303.6674193541055</v>
      </c>
      <c r="I88">
        <f t="shared" si="65"/>
        <v>328.75094387924401</v>
      </c>
      <c r="J88">
        <f t="shared" si="65"/>
        <v>356.465074917827</v>
      </c>
      <c r="K88">
        <f t="shared" ref="K88" si="66">K86-K74</f>
        <v>394.70879490963671</v>
      </c>
    </row>
    <row r="89" spans="1:11" ht="15" customHeight="1" x14ac:dyDescent="0.45">
      <c r="A89"/>
    </row>
    <row r="90" spans="1:11" ht="15" customHeight="1" x14ac:dyDescent="0.45">
      <c r="A90" s="15" t="s">
        <v>118</v>
      </c>
    </row>
    <row r="91" spans="1:11" ht="15" customHeight="1" x14ac:dyDescent="0.45">
      <c r="A91"/>
      <c r="B91" t="s">
        <v>31</v>
      </c>
    </row>
    <row r="92" spans="1:11" ht="15" customHeight="1" x14ac:dyDescent="0.45">
      <c r="A92"/>
      <c r="B92" t="s">
        <v>43</v>
      </c>
    </row>
    <row r="93" spans="1:11" ht="15" customHeight="1" x14ac:dyDescent="0.45">
      <c r="A93"/>
      <c r="B93" t="s">
        <v>53</v>
      </c>
    </row>
    <row r="94" spans="1:11" ht="15" customHeight="1" x14ac:dyDescent="0.45">
      <c r="A94"/>
      <c r="B94" t="s">
        <v>100</v>
      </c>
    </row>
    <row r="95" spans="1:11" ht="15" customHeight="1" x14ac:dyDescent="0.45">
      <c r="A95"/>
      <c r="B95" t="s">
        <v>73</v>
      </c>
    </row>
    <row r="96" spans="1:11" ht="15" customHeight="1" x14ac:dyDescent="0.45">
      <c r="A96"/>
      <c r="B96" t="s">
        <v>54</v>
      </c>
    </row>
    <row r="97" spans="1:2" ht="15" customHeight="1" x14ac:dyDescent="0.45">
      <c r="A97"/>
    </row>
    <row r="98" spans="1:2" ht="15" customHeight="1" x14ac:dyDescent="0.45">
      <c r="A98"/>
      <c r="B98" t="s">
        <v>55</v>
      </c>
    </row>
    <row r="99" spans="1:2" ht="15" customHeight="1" x14ac:dyDescent="0.45">
      <c r="A99"/>
      <c r="B99" t="s">
        <v>56</v>
      </c>
    </row>
    <row r="100" spans="1:2" ht="15" customHeight="1" x14ac:dyDescent="0.45">
      <c r="A100"/>
    </row>
    <row r="101" spans="1:2" ht="15" customHeight="1" x14ac:dyDescent="0.45">
      <c r="A101"/>
      <c r="B101" t="s">
        <v>57</v>
      </c>
    </row>
    <row r="102" spans="1:2" ht="15" customHeight="1" x14ac:dyDescent="0.45">
      <c r="A102"/>
      <c r="B102" t="s">
        <v>46</v>
      </c>
    </row>
    <row r="103" spans="1:2" ht="15" customHeight="1" x14ac:dyDescent="0.45">
      <c r="A103"/>
      <c r="B103" t="s">
        <v>58</v>
      </c>
    </row>
    <row r="104" spans="1:2" ht="15" customHeight="1" x14ac:dyDescent="0.45">
      <c r="A104"/>
    </row>
    <row r="105" spans="1:2" ht="15" customHeight="1" x14ac:dyDescent="0.45">
      <c r="A105"/>
      <c r="B105" t="s">
        <v>59</v>
      </c>
    </row>
    <row r="106" spans="1:2" ht="15" customHeight="1" x14ac:dyDescent="0.45">
      <c r="A106"/>
      <c r="B106" t="s">
        <v>60</v>
      </c>
    </row>
    <row r="107" spans="1:2" ht="15" customHeight="1" x14ac:dyDescent="0.45">
      <c r="A107"/>
      <c r="B107" t="s">
        <v>61</v>
      </c>
    </row>
    <row r="108" spans="1:2" ht="15" customHeight="1" x14ac:dyDescent="0.45">
      <c r="A108"/>
    </row>
    <row r="109" spans="1:2" ht="15" customHeight="1" x14ac:dyDescent="0.45">
      <c r="A109" s="15" t="s">
        <v>119</v>
      </c>
    </row>
    <row r="110" spans="1:2" ht="15" customHeight="1" x14ac:dyDescent="0.45">
      <c r="A110"/>
      <c r="B110" t="s">
        <v>71</v>
      </c>
    </row>
    <row r="111" spans="1:2" ht="15" customHeight="1" x14ac:dyDescent="0.45">
      <c r="A111"/>
      <c r="B111" t="s">
        <v>28</v>
      </c>
    </row>
    <row r="112" spans="1:2" ht="15" customHeight="1" x14ac:dyDescent="0.45">
      <c r="A112"/>
    </row>
    <row r="113" spans="1:11" ht="15" customHeight="1" x14ac:dyDescent="0.45">
      <c r="A113" s="15" t="s">
        <v>77</v>
      </c>
    </row>
    <row r="114" spans="1:11" ht="15" customHeight="1" x14ac:dyDescent="0.45">
      <c r="A114"/>
      <c r="B114" t="s">
        <v>121</v>
      </c>
      <c r="C114" s="62">
        <f t="shared" ref="C114" si="67">C33/C28</f>
        <v>8.1851906999716756E-2</v>
      </c>
      <c r="D114" s="62">
        <f t="shared" ref="D114:K114" si="68">D33/D28</f>
        <v>2.5477230216736171E-2</v>
      </c>
      <c r="E114" s="62">
        <f t="shared" si="68"/>
        <v>4.9425131713913752E-2</v>
      </c>
      <c r="F114" s="62">
        <f t="shared" si="68"/>
        <v>4.9000000000000009E-2</v>
      </c>
      <c r="G114" s="62">
        <f t="shared" si="68"/>
        <v>4.8999999999999953E-2</v>
      </c>
      <c r="H114" s="62">
        <f t="shared" si="68"/>
        <v>4.9000000000000064E-2</v>
      </c>
      <c r="I114" s="62">
        <f t="shared" si="68"/>
        <v>4.900000000000005E-2</v>
      </c>
      <c r="J114" s="62">
        <f t="shared" si="68"/>
        <v>4.900000000000003E-2</v>
      </c>
      <c r="K114" s="62">
        <f t="shared" si="68"/>
        <v>4.8999999999999946E-2</v>
      </c>
    </row>
    <row r="115" spans="1:11" ht="15" customHeight="1" x14ac:dyDescent="0.45">
      <c r="A115"/>
      <c r="B115" t="s">
        <v>124</v>
      </c>
      <c r="C115" s="62">
        <f t="shared" ref="C115" si="69">C35/C28</f>
        <v>7.7502051904094385E-2</v>
      </c>
      <c r="D115" s="62">
        <f t="shared" ref="D115:K115" si="70">D35/D28</f>
        <v>2.0710776172221196E-2</v>
      </c>
      <c r="E115" s="62">
        <f t="shared" si="70"/>
        <v>4.5505353961506699E-2</v>
      </c>
      <c r="F115" s="62">
        <f t="shared" si="70"/>
        <v>4.5548593811210077E-2</v>
      </c>
      <c r="G115" s="62">
        <f t="shared" si="70"/>
        <v>4.3004789801662897E-2</v>
      </c>
      <c r="H115" s="62">
        <f t="shared" si="70"/>
        <v>4.1802264269877099E-2</v>
      </c>
      <c r="I115" s="62">
        <f t="shared" si="70"/>
        <v>4.1233797654851009E-2</v>
      </c>
      <c r="J115" s="62">
        <f t="shared" si="70"/>
        <v>4.0965067982293213E-2</v>
      </c>
      <c r="K115" s="62">
        <f t="shared" si="70"/>
        <v>4.0449367000754667E-2</v>
      </c>
    </row>
    <row r="116" spans="1:11" ht="15" customHeight="1" x14ac:dyDescent="0.45">
      <c r="A116"/>
      <c r="B116" t="s">
        <v>74</v>
      </c>
      <c r="C116" s="62">
        <f t="shared" ref="C116" si="71">C47/C28</f>
        <v>0</v>
      </c>
      <c r="D116" s="62">
        <f t="shared" ref="D116:K116" si="72">D47/D28</f>
        <v>9.0182732785699504E-3</v>
      </c>
      <c r="E116" s="62">
        <f t="shared" si="72"/>
        <v>7.9094725159769216E-3</v>
      </c>
      <c r="F116" s="62">
        <f t="shared" si="72"/>
        <v>1.3739023371189089E-2</v>
      </c>
      <c r="G116" s="62">
        <f t="shared" si="72"/>
        <v>1.6494811048198478E-2</v>
      </c>
      <c r="H116" s="62">
        <f t="shared" si="72"/>
        <v>1.779754704096655E-2</v>
      </c>
      <c r="I116" s="62">
        <f t="shared" si="72"/>
        <v>1.8413385873911461E-2</v>
      </c>
      <c r="J116" s="62">
        <f t="shared" si="72"/>
        <v>1.8704509685849052E-2</v>
      </c>
      <c r="K116" s="62">
        <f t="shared" si="72"/>
        <v>1.9263185749182385E-2</v>
      </c>
    </row>
    <row r="117" spans="1:11" ht="15" customHeight="1" x14ac:dyDescent="0.45">
      <c r="A117"/>
      <c r="B117" t="s">
        <v>75</v>
      </c>
      <c r="C117" s="62">
        <f t="shared" ref="C117" si="73">C58/C28</f>
        <v>0</v>
      </c>
      <c r="D117" s="62">
        <f t="shared" ref="D117:K117" si="74">D58/D28</f>
        <v>9.3928338506192907E-2</v>
      </c>
      <c r="E117" s="62">
        <f t="shared" si="74"/>
        <v>9.5928794391770669E-2</v>
      </c>
      <c r="F117" s="62">
        <f t="shared" si="74"/>
        <v>0.10756849315068492</v>
      </c>
      <c r="G117" s="62">
        <f t="shared" si="74"/>
        <v>0.10756849315068491</v>
      </c>
      <c r="H117" s="62">
        <f t="shared" si="74"/>
        <v>0.10756849315068494</v>
      </c>
      <c r="I117" s="62">
        <f t="shared" si="74"/>
        <v>0.10756849315068492</v>
      </c>
      <c r="J117" s="62">
        <f t="shared" si="74"/>
        <v>0.10756849315068491</v>
      </c>
      <c r="K117" s="62">
        <f t="shared" si="74"/>
        <v>0.10756849315068497</v>
      </c>
    </row>
    <row r="118" spans="1:11" ht="15" customHeight="1" x14ac:dyDescent="0.45">
      <c r="A118"/>
    </row>
    <row r="119" spans="1:11" ht="15" customHeight="1" x14ac:dyDescent="0.45">
      <c r="A119"/>
      <c r="B119" t="s">
        <v>78</v>
      </c>
      <c r="C119">
        <f t="shared" ref="C119" si="75">C85+C81+C76-C65</f>
        <v>144.84899999999999</v>
      </c>
      <c r="D119">
        <f t="shared" ref="D119:K119" si="76">D85+D81+D76-D65</f>
        <v>139.69099999999997</v>
      </c>
      <c r="E119">
        <f t="shared" si="76"/>
        <v>181.185</v>
      </c>
      <c r="F119">
        <f t="shared" si="76"/>
        <v>475.58344930000004</v>
      </c>
      <c r="G119">
        <f t="shared" si="76"/>
        <v>514.55334157000004</v>
      </c>
      <c r="H119">
        <f t="shared" si="76"/>
        <v>556.06385404780008</v>
      </c>
      <c r="I119">
        <f t="shared" si="76"/>
        <v>601.02010588339613</v>
      </c>
      <c r="J119">
        <f t="shared" si="76"/>
        <v>650.10522071976015</v>
      </c>
      <c r="K119">
        <f t="shared" si="76"/>
        <v>700.9055713131022</v>
      </c>
    </row>
    <row r="120" spans="1:11" ht="15" customHeight="1" x14ac:dyDescent="0.45">
      <c r="A120"/>
      <c r="B120" t="s">
        <v>76</v>
      </c>
      <c r="D120" s="62">
        <f t="shared" ref="D120:K120" si="77">D35*(1-D16)/C119</f>
        <v>0.11390244077404778</v>
      </c>
      <c r="E120" s="62">
        <f t="shared" si="77"/>
        <v>0.27854621522793194</v>
      </c>
      <c r="F120" s="62">
        <f t="shared" si="77"/>
        <v>0.23434242445566694</v>
      </c>
      <c r="G120" s="62">
        <f t="shared" si="77"/>
        <v>9.2721610681374828E-2</v>
      </c>
      <c r="H120" s="62">
        <f t="shared" si="77"/>
        <v>9.1633222345201257E-2</v>
      </c>
      <c r="I120" s="62">
        <f t="shared" si="77"/>
        <v>9.2003618954565811E-2</v>
      </c>
      <c r="J120" s="62">
        <f t="shared" si="77"/>
        <v>9.3023699051589498E-2</v>
      </c>
      <c r="K120" s="62">
        <f t="shared" si="77"/>
        <v>8.9163334325046278E-2</v>
      </c>
    </row>
    <row r="121" spans="1:11" ht="15" customHeight="1" x14ac:dyDescent="0.45">
      <c r="A121"/>
    </row>
    <row r="122" spans="1:11" ht="15" customHeight="1" x14ac:dyDescent="0.45">
      <c r="A122"/>
      <c r="B122" t="s">
        <v>112</v>
      </c>
      <c r="C122" s="60">
        <v>8.5000000000000006E-2</v>
      </c>
    </row>
    <row r="123" spans="1:11" ht="15" customHeight="1" x14ac:dyDescent="0.45">
      <c r="A123"/>
      <c r="B123" t="s">
        <v>90</v>
      </c>
      <c r="D123">
        <f t="shared" ref="D123:K123" si="78">D35+$C$122*C82</f>
        <v>24.216755000000063</v>
      </c>
      <c r="E123">
        <f t="shared" si="78"/>
        <v>54.901065000000003</v>
      </c>
      <c r="F123">
        <f t="shared" si="78"/>
        <v>59.303967900000018</v>
      </c>
      <c r="G123">
        <f t="shared" si="78"/>
        <v>62.705147724949953</v>
      </c>
      <c r="H123">
        <f t="shared" si="78"/>
        <v>67.206219471845131</v>
      </c>
      <c r="I123">
        <f t="shared" si="78"/>
        <v>73.025474565717616</v>
      </c>
      <c r="J123">
        <f t="shared" si="78"/>
        <v>79.878054778567119</v>
      </c>
      <c r="K123">
        <f t="shared" si="78"/>
        <v>83.192275046393604</v>
      </c>
    </row>
    <row r="124" spans="1:11" ht="15" customHeight="1" x14ac:dyDescent="0.45">
      <c r="A124"/>
      <c r="B124" t="s">
        <v>103</v>
      </c>
      <c r="C124">
        <f>C119+C82</f>
        <v>169.35199999999998</v>
      </c>
      <c r="D124">
        <f>D119+D82</f>
        <v>180.67999999999998</v>
      </c>
      <c r="E124">
        <f>E119+E82</f>
        <v>212.85</v>
      </c>
      <c r="F124">
        <f t="shared" ref="F124:K124" si="79">F119+F82</f>
        <v>521.57556477000003</v>
      </c>
      <c r="G124">
        <f t="shared" si="79"/>
        <v>565.60406858700003</v>
      </c>
      <c r="H124">
        <f t="shared" si="79"/>
        <v>612.67905376650015</v>
      </c>
      <c r="I124">
        <f t="shared" si="79"/>
        <v>663.75622557396616</v>
      </c>
      <c r="J124">
        <f t="shared" si="79"/>
        <v>719.57435237938716</v>
      </c>
      <c r="K124">
        <f t="shared" si="79"/>
        <v>774.07785955571057</v>
      </c>
    </row>
    <row r="125" spans="1:11" ht="15" customHeight="1" x14ac:dyDescent="0.45">
      <c r="A125"/>
      <c r="B125" t="s">
        <v>102</v>
      </c>
      <c r="D125" s="62">
        <f t="shared" ref="D125:K125" si="80">D123*(1-D16)/C124</f>
        <v>0.10658945566607717</v>
      </c>
      <c r="E125" s="62">
        <f t="shared" si="80"/>
        <v>0.2299480028409579</v>
      </c>
      <c r="F125" s="62">
        <f t="shared" si="80"/>
        <v>0.20896394608879498</v>
      </c>
      <c r="G125" s="62">
        <f t="shared" si="80"/>
        <v>9.0166917260494861E-2</v>
      </c>
      <c r="H125" s="62">
        <f t="shared" si="80"/>
        <v>8.9116517018354338E-2</v>
      </c>
      <c r="I125" s="62">
        <f t="shared" si="80"/>
        <v>8.939281600634158E-2</v>
      </c>
      <c r="J125" s="62">
        <f t="shared" si="80"/>
        <v>9.0256842460680456E-2</v>
      </c>
      <c r="K125" s="62">
        <f t="shared" si="80"/>
        <v>8.6709880748916113E-2</v>
      </c>
    </row>
    <row r="126" spans="1:11" ht="15" customHeight="1" x14ac:dyDescent="0.45">
      <c r="A126"/>
    </row>
    <row r="127" spans="1:11" ht="15" customHeight="1" x14ac:dyDescent="0.45">
      <c r="A127" s="15" t="s">
        <v>16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67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2" manualBreakCount="2">
    <brk id="42" max="15" man="1"/>
    <brk id="88" max="15" man="1"/>
  </rowBreak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66A558D4-8F73-4274-89E9-E245DABAF0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9F019B-D0DA-46F6-902C-7FF10EDE90AD}"/>
</file>

<file path=customXml/itemProps3.xml><?xml version="1.0" encoding="utf-8"?>
<ds:datastoreItem xmlns:ds="http://schemas.openxmlformats.org/officeDocument/2006/customXml" ds:itemID="{AD4262B4-F694-4889-AF90-4CA6A03F7355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Welcome</vt:lpstr>
      <vt:lpstr>Info</vt:lpstr>
      <vt:lpstr>Activity</vt:lpstr>
      <vt:lpstr>Activity!Print_Area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2025-05-08T09:01:33Z</cp:lastPrinted>
  <dcterms:created xsi:type="dcterms:W3CDTF">2016-02-03T14:06:14Z</dcterms:created>
  <dcterms:modified xsi:type="dcterms:W3CDTF">2025-05-08T12:08:17Z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