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4. Reported Synergies/"/>
    </mc:Choice>
  </mc:AlternateContent>
  <xr:revisionPtr revIDLastSave="0" documentId="8_{0DA94411-CA3D-4B96-9028-652BCF0C08E6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2" l="1"/>
  <c r="D95" i="2"/>
  <c r="D94" i="2"/>
  <c r="C96" i="2"/>
  <c r="C95" i="2"/>
  <c r="C94" i="2"/>
  <c r="C86" i="2"/>
  <c r="C85" i="2"/>
  <c r="C84" i="2"/>
  <c r="C80" i="2"/>
  <c r="C78" i="2"/>
  <c r="C77" i="2"/>
  <c r="C76" i="2"/>
  <c r="C74" i="2"/>
  <c r="C73" i="2"/>
  <c r="C71" i="2"/>
  <c r="C65" i="2"/>
  <c r="B54" i="2"/>
  <c r="C48" i="2"/>
  <c r="C47" i="2"/>
  <c r="C46" i="2"/>
  <c r="D43" i="2"/>
  <c r="E43" i="2"/>
  <c r="D44" i="2"/>
  <c r="E44" i="2"/>
  <c r="C44" i="2"/>
  <c r="C43" i="2"/>
  <c r="E41" i="2"/>
  <c r="E37" i="2"/>
  <c r="E32" i="2"/>
  <c r="E26" i="2"/>
  <c r="E40" i="2"/>
  <c r="E39" i="2"/>
  <c r="E38" i="2"/>
  <c r="E36" i="2"/>
  <c r="E35" i="2"/>
  <c r="E34" i="2"/>
  <c r="E33" i="2"/>
  <c r="E31" i="2"/>
  <c r="E30" i="2"/>
  <c r="E29" i="2"/>
  <c r="E28" i="2"/>
  <c r="E27" i="2"/>
  <c r="E25" i="2"/>
  <c r="E24" i="2"/>
  <c r="D40" i="2"/>
  <c r="D39" i="2" s="1"/>
  <c r="D36" i="2"/>
  <c r="D26" i="2"/>
  <c r="D32" i="2" s="1"/>
  <c r="E96" i="2"/>
  <c r="E95" i="2"/>
  <c r="E94" i="2"/>
  <c r="D86" i="2"/>
  <c r="D85" i="2"/>
  <c r="D84" i="2"/>
  <c r="D80" i="2"/>
  <c r="D77" i="2"/>
  <c r="D78" i="2"/>
  <c r="D76" i="2"/>
  <c r="D74" i="2"/>
  <c r="D71" i="2"/>
  <c r="D65" i="2"/>
  <c r="C54" i="2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<sst xmlns="http://schemas.openxmlformats.org/spreadsheetml/2006/main" count="110" uniqueCount="91">
  <si>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</si>
  <si>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</si>
  <si>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</si>
  <si>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</si>
  <si>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</si>
  <si>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</si>
  <si>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</si>
  <si>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</si>
  <si>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</si>
  <si>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</si>
  <si>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</si>
  <si>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</si>
  <si>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</si>
  <si>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</si>
  <si>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</si>
  <si>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</si>
  <si>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</si>
  <si>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</si>
  <si>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</si>
  <si>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</si>
  <si>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</si>
  <si>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</si>
  <si>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</si>
  <si>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</si>
  <si>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</si>
  <si>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</si>
  <si>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</si>
  <si>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</si>
  <si>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</si>
  <si>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</si>
  <si>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</si>
  <si>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</si>
  <si>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</si>
  <si>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</si>
  <si>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</si>
  <si>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</si>
  <si>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</si>
  <si>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</si>
  <si>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</si>
  <si>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</si>
  <si>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</si>
  <si>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</si>
  <si>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</si>
  <si>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</si>
  <si>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</si>
  <si>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</si>
  <si>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</si>
  <si>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</si>
  <si>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</si>
  <si>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</si>
  <si>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</si>
  <si>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</si>
  <si>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</si>
  <si>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</si>
  <si>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</si>
  <si>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</si>
  <si>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</si>
  <si>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</si>
  <si>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</si>
  <si>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</si>
  <si>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</si>
  <si>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</si>
  <si>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</si>
  <si>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</si>
  <si>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</si>
  <si>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</si>
  <si>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</si>
  <si>
    <t>$275m of costs synergies by the end of Year 2.</t>
  </si>
  <si>
    <t xml:space="preserve">Lower operating expenses and cost of goods sold. </t>
  </si>
  <si>
    <t>Additional cost synergies from manufacturing optimization (capital efficiencies) will be realized by the end of Year 3.</t>
  </si>
  <si>
    <t>Revenue synergies have not been quantified, but the company does refer to capturing more market share following the acquisition.</t>
  </si>
  <si>
    <t>further insights into the likely sources of synergies?</t>
  </si>
  <si>
    <t xml:space="preserve">Calculate pro-forma earnings, gross margin and EBITDA margin for the combination, excluding synergies. Does this information provide any </t>
  </si>
  <si>
    <t>Gross profit margin excluding amortization</t>
  </si>
  <si>
    <t>Synergies if Maxim's gross profit margin is aligned with Analog Devices</t>
  </si>
  <si>
    <t>Synergies if Maxim's EBITDA margin is aligned with Analog Devices</t>
  </si>
  <si>
    <t>% synergies from cost of goods sold</t>
  </si>
  <si>
    <t>Maxim's gross profit margin and EBITDA margin are below Analog Devices. Bringing Maxim's margins into line with Analog would generate $113.5m synergies, with two thirds coming from cost of goods sold.</t>
  </si>
  <si>
    <t>FY23 operating expenses based on projection from pro-forma financials</t>
  </si>
  <si>
    <t>FY23 reported operating expenses</t>
  </si>
  <si>
    <t>Estimated synergies</t>
  </si>
  <si>
    <t>The cost synergies achieved to date exceed management's estimates, which appears to be a very positive outcome.</t>
  </si>
  <si>
    <t>Cost of goods sold (ex amortization) % revenue</t>
  </si>
  <si>
    <t>Research and development % revenue</t>
  </si>
  <si>
    <t>Selling, general and admin % revenue</t>
  </si>
  <si>
    <t>Pro-forma</t>
  </si>
  <si>
    <t>Reported</t>
  </si>
  <si>
    <t>Most of the cost synergies appear to have come from R&amp;D and cost of goods sold, with modest reductions in SG&amp;A.</t>
  </si>
  <si>
    <t>Revenue growth has been significant since acquisition due to robust organic growth - particularly in the industrials and automotive segments.</t>
  </si>
  <si>
    <t>High revenue growth is one of the key reasons for EBITDA margin expansion since acquisition, since the company has a large fixed cost base.</t>
  </si>
  <si>
    <t>Reductions in R&amp;D could be concerning (unless they result from eliminating duplicate R&amp;D) as this could impact on future revenue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</si>
</sst>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7" t="s">
        <v>0</v>
      </c>
      <c r="C4" s="77"/>
      <c r="D4" s="77"/>
      <c r="E4" s="77"/>
      <c r="F4" s="77"/>
      <c r="G4" s="77"/>
      <c r="H4" s="77"/>
      <c r="I4" s="77"/>
      <c r="K4" s="1"/>
      <c r="L4" s="77" t="s">
        <v>2</v>
      </c>
      <c r="M4" s="77"/>
      <c r="N4" s="77"/>
      <c r="O4" s="77"/>
      <c r="P4" s="77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4" t="s">
        <v>22</v>
      </c>
      <c r="O5" s="74"/>
      <c r="P5" s="74"/>
      <c r="Q5" s="74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5">
        <v>45382</v>
      </c>
      <c r="O6" s="75"/>
      <c r="P6" s="75"/>
      <c r="Q6" s="75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4" t="s">
        <v>20</v>
      </c>
      <c r="O7" s="74"/>
      <c r="P7" s="74"/>
      <c r="Q7" s="74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4" t="s">
        <v>21</v>
      </c>
      <c r="O8" s="74"/>
      <c r="P8" s="74"/>
      <c r="Q8" s="74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4" t="s">
        <v>9</v>
      </c>
      <c r="O9" s="74"/>
      <c r="P9" s="74"/>
      <c r="Q9" s="74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6">
        <v>0</v>
      </c>
      <c r="O10" s="76"/>
      <c r="P10" s="76"/>
      <c r="Q10" s="76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8" t="s">
        <v>15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N13" s="1"/>
      <c r="O13" s="77" t="s">
        <v>11</v>
      </c>
      <c r="P13" s="77"/>
      <c r="Q13" s="77"/>
      <c r="R13" s="58"/>
    </row>
    <row r="14" spans="1:18" s="2" customFormat="1" ht="15" customHeight="1" x14ac:dyDescent="0.3">
      <c r="A14" s="5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5" zoomScaleNormal="145" workbookViewId="0"/>
  </sheetViews>
  <sheetFormatPr defaultColWidth="9.109375" defaultRowHeight="15" customHeight="1" x14ac:dyDescent="0.3"/>
  <cols>
    <col min="1" max="1" width="1.33203125" style="15" customWidth="1"/>
    <col min="2" max="2" width="61.21875" style="16" bestFit="1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59</v>
      </c>
    </row>
    <row r="7" spans="1:18" ht="15" customHeight="1" x14ac:dyDescent="0.3">
      <c r="A7"/>
      <c r="B7" s="66" t="s">
        <v>60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 t="s">
        <v>67</v>
      </c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 t="s">
        <v>68</v>
      </c>
      <c r="C14" s="79"/>
      <c r="D14" s="79"/>
      <c r="E14" s="79"/>
    </row>
    <row r="15" spans="1:18" ht="15" customHeight="1" x14ac:dyDescent="0.3">
      <c r="A15"/>
      <c r="B15" s="79" t="s">
        <v>69</v>
      </c>
      <c r="C15" s="79"/>
      <c r="D15" s="79"/>
      <c r="E15" s="79"/>
    </row>
    <row r="16" spans="1:18" ht="15" customHeight="1" x14ac:dyDescent="0.3">
      <c r="A16"/>
      <c r="B16" s="79" t="s">
        <v>70</v>
      </c>
      <c r="C16" s="79"/>
      <c r="D16" s="79"/>
      <c r="E16" s="79"/>
    </row>
    <row r="17" spans="1:5" ht="15" customHeight="1" x14ac:dyDescent="0.3">
      <c r="A17"/>
      <c r="B17"/>
    </row>
    <row r="18" spans="1:5" ht="15" customHeight="1" x14ac:dyDescent="0.3">
      <c r="A18" s="65" t="s">
        <v>66</v>
      </c>
      <c r="B18"/>
    </row>
    <row r="19" spans="1:5" ht="15" customHeight="1" x14ac:dyDescent="0.3">
      <c r="A19"/>
      <c r="B19" s="16" t="s">
        <v>52</v>
      </c>
    </row>
    <row r="20" spans="1:5" ht="15" customHeight="1" x14ac:dyDescent="0.3">
      <c r="A20"/>
      <c r="B20" s="16" t="s">
        <v>72</v>
      </c>
    </row>
    <row r="21" spans="1:5" ht="15" customHeight="1" x14ac:dyDescent="0.3">
      <c r="A21"/>
      <c r="B21" s="16" t="s">
        <v>71</v>
      </c>
    </row>
    <row r="22" spans="1:5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5" ht="15" customHeight="1" x14ac:dyDescent="0.3">
      <c r="A23"/>
      <c r="B23"/>
      <c r="C23" s="62" t="s">
        <v>43</v>
      </c>
      <c r="D23" s="62" t="s">
        <v>44</v>
      </c>
      <c r="E23" s="62"/>
    </row>
    <row r="24" spans="1:5" ht="15" customHeight="1" x14ac:dyDescent="0.3">
      <c r="A24"/>
      <c r="B24" s="16" t="s">
        <v>18</v>
      </c>
      <c r="C24" s="61">
        <v>6505.012999999999</v>
      </c>
      <c r="D24" s="61">
        <v>2632.529</v>
      </c>
      <c r="E24">
        <f>SUM(C24:D24)</f>
        <v>9137.5419999999995</v>
      </c>
    </row>
    <row r="25" spans="1:5" ht="15" customHeight="1" x14ac:dyDescent="0.3">
      <c r="A25"/>
      <c r="B25" s="16" t="s">
        <v>35</v>
      </c>
      <c r="C25" s="61">
        <v>2078.7370000000001</v>
      </c>
      <c r="D25" s="61">
        <v>872.18299999999999</v>
      </c>
      <c r="E25">
        <f>SUM(C25:D25)</f>
        <v>2950.92</v>
      </c>
    </row>
    <row r="26" spans="1:5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  <c r="E26">
        <f>E24-E25</f>
        <v>6186.6219999999994</v>
      </c>
    </row>
    <row r="27" spans="1:5" ht="15" customHeight="1" x14ac:dyDescent="0.3">
      <c r="A27"/>
      <c r="B27" s="16" t="s">
        <v>36</v>
      </c>
      <c r="C27" s="61">
        <v>1177.2439999999999</v>
      </c>
      <c r="D27" s="61">
        <v>454.33</v>
      </c>
      <c r="E27">
        <f>SUM(C27:D27)</f>
        <v>1631.5739999999998</v>
      </c>
    </row>
    <row r="28" spans="1:5" ht="15" customHeight="1" x14ac:dyDescent="0.3">
      <c r="A28"/>
      <c r="B28" s="16" t="s">
        <v>45</v>
      </c>
      <c r="C28" s="61">
        <v>763.07799999999997</v>
      </c>
      <c r="D28" s="61">
        <v>320.72199999999998</v>
      </c>
      <c r="E28">
        <f>SUM(C28:D28)</f>
        <v>1083.8</v>
      </c>
    </row>
    <row r="29" spans="1:5" ht="15" customHeight="1" x14ac:dyDescent="0.3">
      <c r="A29"/>
      <c r="B29" s="16" t="s">
        <v>38</v>
      </c>
      <c r="C29" s="61">
        <v>431.22400000000005</v>
      </c>
      <c r="D29" s="61">
        <v>3.5539999999999998</v>
      </c>
      <c r="E29">
        <f>SUM(C29:D29)</f>
        <v>434.77800000000002</v>
      </c>
    </row>
    <row r="30" spans="1:5" ht="15" customHeight="1" x14ac:dyDescent="0.3">
      <c r="A30"/>
      <c r="B30" s="16" t="s">
        <v>40</v>
      </c>
      <c r="C30" s="61">
        <v>-0.13799999999999812</v>
      </c>
      <c r="D30" s="61">
        <v>13.433999999999999</v>
      </c>
      <c r="E30">
        <f>SUM(C30:D30)</f>
        <v>13.296000000000001</v>
      </c>
    </row>
    <row r="31" spans="1:5" ht="15" customHeight="1" x14ac:dyDescent="0.3">
      <c r="A31"/>
      <c r="B31" s="16" t="s">
        <v>39</v>
      </c>
      <c r="C31" s="61">
        <v>0</v>
      </c>
      <c r="D31" s="61">
        <v>22.606000000000002</v>
      </c>
      <c r="E31">
        <f>SUM(C31:D31)</f>
        <v>22.606000000000002</v>
      </c>
    </row>
    <row r="32" spans="1:5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  <c r="E32">
        <f>E26-SUM(E27:E31)</f>
        <v>3000.5679999999993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  <c r="E33">
        <f>SUM(C33:D33)</f>
        <v>67.547000000000011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  <c r="E34">
        <f>SUM(C34:D34)</f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  <c r="E35">
        <f>SUM(C35:D35)</f>
        <v>-0.13899999999999579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  <c r="E36">
        <f>SUM(C36:D36)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  <c r="E37">
        <f>SUM(E32,E33:E36)</f>
        <v>3088.204999999999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  <c r="E38">
        <f>SUM(C38:D38)</f>
        <v>347.51400000000001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  <c r="E39">
        <f>SUM(C39:D39)</f>
        <v>153.81000000000006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  <c r="E40">
        <f>SUM(C40:D40)</f>
        <v>434.77800000000002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  <c r="E41">
        <f>SUM(E37:E40)</f>
        <v>4024.3069999999989</v>
      </c>
    </row>
    <row r="42" spans="1:7" ht="15" customHeight="1" x14ac:dyDescent="0.3">
      <c r="A42"/>
      <c r="B42"/>
    </row>
    <row r="43" spans="1:7" ht="15" customHeight="1" x14ac:dyDescent="0.3">
      <c r="A43"/>
      <c r="B43" t="s">
        <v>73</v>
      </c>
      <c r="C43" s="60">
        <f>(C26+C39)/C24</f>
        <v>0.70214325474829953</v>
      </c>
      <c r="D43" s="60">
        <f t="shared" ref="D43:E43" si="0">(D26+D39)/D24</f>
        <v>0.67348963677133278</v>
      </c>
      <c r="E43" s="60">
        <f t="shared" si="0"/>
        <v>0.69388813753195333</v>
      </c>
    </row>
    <row r="44" spans="1:7" ht="15" customHeight="1" x14ac:dyDescent="0.3">
      <c r="A44"/>
      <c r="B44" t="s">
        <v>63</v>
      </c>
      <c r="C44" s="60">
        <f>C41/C24</f>
        <v>0.45284044782078064</v>
      </c>
      <c r="D44" s="60">
        <f t="shared" ref="D44:E44" si="1">D41/D24</f>
        <v>0.40971020642127792</v>
      </c>
      <c r="E44" s="60">
        <f t="shared" si="1"/>
        <v>0.44041461040616819</v>
      </c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 t="s">
        <v>74</v>
      </c>
      <c r="C46">
        <f>E24*C43-(E26+E39)</f>
        <v>75.431480279286006</v>
      </c>
      <c r="D46" s="60"/>
      <c r="E46" s="60"/>
    </row>
    <row r="47" spans="1:7" ht="15" customHeight="1" x14ac:dyDescent="0.3">
      <c r="A47"/>
      <c r="B47" t="s">
        <v>75</v>
      </c>
      <c r="C47">
        <f>E24*C44-E41</f>
        <v>113.54161126119288</v>
      </c>
      <c r="D47" s="60"/>
      <c r="E47" s="60"/>
      <c r="G47" s="60"/>
    </row>
    <row r="48" spans="1:7" ht="15" customHeight="1" x14ac:dyDescent="0.3">
      <c r="A48"/>
      <c r="B48" t="s">
        <v>76</v>
      </c>
      <c r="C48" s="60">
        <f>C46/C47</f>
        <v>0.66435097618759575</v>
      </c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 t="s">
        <v>77</v>
      </c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>
        <f>275/D24</f>
        <v>0.10446228702513818</v>
      </c>
      <c r="C54" t="str">
        <f ca="1">IF(ISBLANK(B54),"",_xlfn.FORMULATEXT(B54))</f>
        <v>=275/D24</v>
      </c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64</v>
      </c>
      <c r="C57" s="60"/>
      <c r="D57" s="60"/>
      <c r="E57" s="60"/>
    </row>
    <row r="58" spans="1:7" ht="15" customHeight="1" x14ac:dyDescent="0.3">
      <c r="A58"/>
      <c r="B58" s="66" t="s">
        <v>65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61</v>
      </c>
    </row>
    <row r="63" spans="1:7" ht="15" customHeight="1" x14ac:dyDescent="0.3">
      <c r="A63"/>
      <c r="B63" s="16" t="s">
        <v>18</v>
      </c>
      <c r="C63" s="61">
        <v>12305.539000000001</v>
      </c>
    </row>
    <row r="64" spans="1:7" ht="15" customHeight="1" x14ac:dyDescent="0.3">
      <c r="A64"/>
      <c r="B64" s="16" t="s">
        <v>35</v>
      </c>
      <c r="C64" s="61">
        <v>4428.3209999999999</v>
      </c>
    </row>
    <row r="65" spans="1:4" ht="15" customHeight="1" x14ac:dyDescent="0.3">
      <c r="A65"/>
      <c r="B65" s="16" t="s">
        <v>34</v>
      </c>
      <c r="C65">
        <f>C63-C64</f>
        <v>7877.2180000000008</v>
      </c>
      <c r="D65" t="str">
        <f ca="1">IF(ISBLANK(C65),"",_xlfn.FORMULATEXT(C65))</f>
        <v>=C63-C64</v>
      </c>
    </row>
    <row r="66" spans="1:4" ht="15" customHeight="1" x14ac:dyDescent="0.3">
      <c r="A66"/>
      <c r="B66" s="16" t="s">
        <v>36</v>
      </c>
      <c r="C66" s="61">
        <v>1660.194</v>
      </c>
    </row>
    <row r="67" spans="1:4" ht="15" customHeight="1" x14ac:dyDescent="0.3">
      <c r="A67"/>
      <c r="B67" s="16" t="s">
        <v>62</v>
      </c>
      <c r="C67" s="61">
        <v>1273.5840000000001</v>
      </c>
    </row>
    <row r="68" spans="1:4" ht="15" customHeight="1" x14ac:dyDescent="0.3">
      <c r="A68"/>
      <c r="B68" s="16" t="s">
        <v>38</v>
      </c>
      <c r="C68" s="61">
        <v>959.61800000000005</v>
      </c>
    </row>
    <row r="69" spans="1:4" ht="15" customHeight="1" x14ac:dyDescent="0.3">
      <c r="A69"/>
      <c r="B69" s="16" t="s">
        <v>40</v>
      </c>
      <c r="C69" s="61">
        <v>160.71</v>
      </c>
    </row>
    <row r="70" spans="1:4" ht="15" customHeight="1" x14ac:dyDescent="0.3">
      <c r="A70"/>
      <c r="B70" s="16" t="s">
        <v>39</v>
      </c>
      <c r="C70">
        <v>0</v>
      </c>
    </row>
    <row r="71" spans="1:4" ht="15" customHeight="1" x14ac:dyDescent="0.3">
      <c r="A71"/>
      <c r="B71" s="16" t="s">
        <v>37</v>
      </c>
      <c r="C71">
        <f>C65-SUM(C66:C70)</f>
        <v>3823.1120000000005</v>
      </c>
      <c r="D71" t="str">
        <f ca="1">IF(ISBLANK(C71),"",_xlfn.FORMULATEXT(C71))</f>
        <v>=C65-SUM(C66:C70)</v>
      </c>
    </row>
    <row r="72" spans="1:4" ht="15" customHeight="1" x14ac:dyDescent="0.3">
      <c r="A72"/>
      <c r="B72" s="16" t="s">
        <v>28</v>
      </c>
      <c r="C72" s="61">
        <v>7.069</v>
      </c>
    </row>
    <row r="73" spans="1:4" ht="15" customHeight="1" x14ac:dyDescent="0.3">
      <c r="A73"/>
      <c r="B73" s="16" t="s">
        <v>40</v>
      </c>
      <c r="C73">
        <f>C69</f>
        <v>160.71</v>
      </c>
    </row>
    <row r="74" spans="1:4" ht="15" customHeight="1" x14ac:dyDescent="0.3">
      <c r="A74"/>
      <c r="B74" s="16" t="s">
        <v>31</v>
      </c>
      <c r="C74">
        <f>SUM(C71:C73)</f>
        <v>3990.8910000000005</v>
      </c>
      <c r="D74" t="str">
        <f ca="1">IF(ISBLANK(C74),"",_xlfn.FORMULATEXT(C74))</f>
        <v>=SUM(C71:C73)</v>
      </c>
    </row>
    <row r="75" spans="1:4" ht="15" customHeight="1" x14ac:dyDescent="0.3">
      <c r="A75"/>
      <c r="B75" s="16" t="s">
        <v>32</v>
      </c>
      <c r="C75" s="61">
        <v>334.70400000000001</v>
      </c>
    </row>
    <row r="76" spans="1:4" ht="15" customHeight="1" x14ac:dyDescent="0.3">
      <c r="A76"/>
      <c r="B76" s="16" t="s">
        <v>41</v>
      </c>
      <c r="C76">
        <f>1958.399-C68</f>
        <v>998.78099999999984</v>
      </c>
      <c r="D76" t="str">
        <f ca="1">IF(ISBLANK(C76),"",_xlfn.FORMULATEXT(C76))</f>
        <v>=1958.399-C68</v>
      </c>
    </row>
    <row r="77" spans="1:4" ht="15" customHeight="1" x14ac:dyDescent="0.3">
      <c r="A77"/>
      <c r="B77" s="16" t="s">
        <v>42</v>
      </c>
      <c r="C77">
        <f>C68</f>
        <v>959.61800000000005</v>
      </c>
      <c r="D77" t="str">
        <f t="shared" ref="D77:D78" ca="1" si="2">IF(ISBLANK(C77),"",_xlfn.FORMULATEXT(C77))</f>
        <v>=C68</v>
      </c>
    </row>
    <row r="78" spans="1:4" ht="15" customHeight="1" x14ac:dyDescent="0.3">
      <c r="A78"/>
      <c r="B78" s="16" t="s">
        <v>19</v>
      </c>
      <c r="C78">
        <f>SUM(C74:C77)</f>
        <v>6283.9940000000006</v>
      </c>
      <c r="D78" t="str">
        <f t="shared" ca="1" si="2"/>
        <v>=SUM(C74:C77)</v>
      </c>
    </row>
    <row r="79" spans="1:4" ht="15" customHeight="1" x14ac:dyDescent="0.3">
      <c r="A79"/>
      <c r="B79"/>
    </row>
    <row r="80" spans="1:4" ht="15" customHeight="1" x14ac:dyDescent="0.3">
      <c r="A80"/>
      <c r="B80" s="16" t="s">
        <v>63</v>
      </c>
      <c r="C80" s="60">
        <f>C78/C63</f>
        <v>0.51066385633331468</v>
      </c>
      <c r="D80" t="str">
        <f ca="1">IF(ISBLANK(C80),"",_xlfn.FORMULATEXT(C80))</f>
        <v>=C78/C63</v>
      </c>
    </row>
    <row r="81" spans="1:7" ht="15" customHeight="1" x14ac:dyDescent="0.3">
      <c r="A81"/>
      <c r="B81"/>
    </row>
    <row r="82" spans="1:7" ht="15" customHeight="1" x14ac:dyDescent="0.3">
      <c r="A82"/>
      <c r="B82" s="16" t="s">
        <v>57</v>
      </c>
    </row>
    <row r="83" spans="1:7" ht="15" customHeight="1" x14ac:dyDescent="0.3">
      <c r="A83"/>
      <c r="B83" s="16" t="s">
        <v>54</v>
      </c>
    </row>
    <row r="84" spans="1:7" ht="15" customHeight="1" x14ac:dyDescent="0.3">
      <c r="A84"/>
      <c r="B84" t="s">
        <v>78</v>
      </c>
      <c r="C84">
        <f>C63*(1-E44)</f>
        <v>6885.9998354770923</v>
      </c>
      <c r="D84" t="str">
        <f ca="1">IF(ISBLANK(C84),"",_xlfn.FORMULATEXT(C84))</f>
        <v>=C63*(1-E44)</v>
      </c>
    </row>
    <row r="85" spans="1:7" ht="15" customHeight="1" x14ac:dyDescent="0.3">
      <c r="A85"/>
      <c r="B85" t="s">
        <v>79</v>
      </c>
      <c r="C85">
        <f>C63-C78</f>
        <v>6021.5450000000001</v>
      </c>
      <c r="D85" t="str">
        <f ca="1">IF(ISBLANK(C85),"",_xlfn.FORMULATEXT(C85))</f>
        <v>=C63-C78</v>
      </c>
    </row>
    <row r="86" spans="1:7" ht="15" customHeight="1" x14ac:dyDescent="0.3">
      <c r="A86"/>
      <c r="B86" t="s">
        <v>80</v>
      </c>
      <c r="C86">
        <f>C84-C85</f>
        <v>864.45483547709227</v>
      </c>
      <c r="D86" t="str">
        <f ca="1">IF(ISBLANK(C86),"",_xlfn.FORMULATEXT(C86))</f>
        <v>=C84-C85</v>
      </c>
    </row>
    <row r="87" spans="1:7" ht="15" customHeight="1" x14ac:dyDescent="0.3">
      <c r="A87"/>
      <c r="B87"/>
    </row>
    <row r="88" spans="1:7" ht="15" customHeight="1" x14ac:dyDescent="0.3">
      <c r="A88"/>
      <c r="B88" s="16" t="s">
        <v>55</v>
      </c>
    </row>
    <row r="89" spans="1:7" ht="15" customHeight="1" x14ac:dyDescent="0.3">
      <c r="A89"/>
      <c r="B89" s="79" t="s">
        <v>81</v>
      </c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58</v>
      </c>
    </row>
    <row r="92" spans="1:7" ht="15" customHeight="1" x14ac:dyDescent="0.3">
      <c r="A92"/>
      <c r="B92"/>
    </row>
    <row r="93" spans="1:7" ht="15" customHeight="1" x14ac:dyDescent="0.3">
      <c r="A93"/>
      <c r="C93" s="63" t="s">
        <v>85</v>
      </c>
      <c r="D93" s="63" t="s">
        <v>86</v>
      </c>
    </row>
    <row r="94" spans="1:7" ht="15" customHeight="1" x14ac:dyDescent="0.3">
      <c r="A94"/>
      <c r="B94" t="s">
        <v>82</v>
      </c>
      <c r="C94" s="60">
        <f>(E25+E39)/E24</f>
        <v>0.33977737120113921</v>
      </c>
      <c r="D94" s="60">
        <f>(C64-C76)/C63</f>
        <v>0.27869888511181834</v>
      </c>
      <c r="E94" t="str">
        <f ca="1">IF(ISBLANK(D94),"",_xlfn.FORMULATEXT(D94))</f>
        <v>=(C64-C76)/C63</v>
      </c>
      <c r="F94" s="60"/>
      <c r="G94" s="60"/>
    </row>
    <row r="95" spans="1:7" ht="15" customHeight="1" x14ac:dyDescent="0.3">
      <c r="A95"/>
      <c r="B95" t="s">
        <v>83</v>
      </c>
      <c r="C95" s="60">
        <f>E27/E24</f>
        <v>0.17855720936768335</v>
      </c>
      <c r="D95" s="60">
        <f>C66/C63</f>
        <v>0.13491436661165349</v>
      </c>
      <c r="E95" t="str">
        <f t="shared" ref="E95:E96" ca="1" si="3">IF(ISBLANK(D95),"",_xlfn.FORMULATEXT(D95))</f>
        <v>=C66/C63</v>
      </c>
      <c r="F95" s="60"/>
    </row>
    <row r="96" spans="1:7" ht="15" customHeight="1" x14ac:dyDescent="0.3">
      <c r="A96"/>
      <c r="B96" t="s">
        <v>84</v>
      </c>
      <c r="C96" s="60">
        <f>E28/E24</f>
        <v>0.11860957793682371</v>
      </c>
      <c r="D96" s="60">
        <f>C67/C63</f>
        <v>0.10349680741331201</v>
      </c>
      <c r="E96" t="str">
        <f t="shared" ca="1" si="3"/>
        <v>=C67/C63</v>
      </c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56</v>
      </c>
    </row>
    <row r="99" spans="1:7" ht="15" customHeight="1" x14ac:dyDescent="0.3">
      <c r="A99"/>
      <c r="B99" s="79" t="s">
        <v>87</v>
      </c>
      <c r="C99" s="79"/>
      <c r="D99" s="79"/>
      <c r="E99" s="79"/>
      <c r="F99" s="79"/>
      <c r="G99" s="79"/>
    </row>
    <row r="100" spans="1:7" ht="13.95" customHeight="1" x14ac:dyDescent="0.3">
      <c r="A100"/>
      <c r="B100" s="80" t="s">
        <v>88</v>
      </c>
      <c r="C100" s="80"/>
      <c r="D100" s="80"/>
      <c r="E100" s="80"/>
      <c r="F100" s="80"/>
      <c r="G100" s="80"/>
    </row>
    <row r="101" spans="1:7" ht="13.95" customHeight="1" x14ac:dyDescent="0.3">
      <c r="A101"/>
      <c r="B101" s="80" t="s">
        <v>89</v>
      </c>
      <c r="C101" s="80"/>
      <c r="D101" s="80"/>
      <c r="E101" s="80"/>
      <c r="F101" s="80"/>
      <c r="G101" s="80"/>
    </row>
    <row r="102" spans="1:7" ht="15" customHeight="1" x14ac:dyDescent="0.3">
      <c r="A102"/>
      <c r="B102" s="79" t="s">
        <v>90</v>
      </c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89:G89"/>
    <mergeCell ref="B99:G99"/>
    <mergeCell ref="B100:G100"/>
    <mergeCell ref="B101:G101"/>
    <mergeCell ref="B102:G102"/>
    <mergeCell ref="B14:E14"/>
    <mergeCell ref="B15:E15"/>
    <mergeCell ref="B11:E11"/>
    <mergeCell ref="B51:G51"/>
    <mergeCell ref="B16:E16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2025-06-16T13:38:16Z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