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ibhero.sharepoint.com/FE Materials/Materials Development/11000 Industry Specific/11700 Industrials/Elearning/21. Main Kion Model Intro and Assumptions/"/>
    </mc:Choice>
  </mc:AlternateContent>
  <xr:revisionPtr revIDLastSave="2" documentId="8_{A5C70612-B55A-461A-8F84-AAF867D86FAF}" xr6:coauthVersionLast="47" xr6:coauthVersionMax="47" xr10:uidLastSave="{2532CA06-822A-4351-9726-229D50F63C79}"/>
  <bookViews>
    <workbookView xWindow="8265" yWindow="-16320" windowWidth="29040" windowHeight="157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14" l="1"/>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57" i="14"/>
  <c r="G58" i="14"/>
  <c r="G55" i="14"/>
  <c r="G37" i="14"/>
  <c r="G34" i="14"/>
  <c r="G25" i="14"/>
  <c r="G18" i="14"/>
  <c r="G19" i="14"/>
  <c r="F8" i="14"/>
  <c r="D75" i="2"/>
  <c r="E75" i="2"/>
  <c r="C75" i="2"/>
  <c r="H64" i="14" l="1"/>
  <c r="I48" i="14"/>
  <c r="H44" i="14"/>
  <c r="H49" i="14" s="1"/>
  <c r="G44" i="14"/>
  <c r="G28" i="14"/>
  <c r="H27" i="14"/>
  <c r="J23" i="14"/>
  <c r="J24" i="14" s="1"/>
  <c r="I24" i="14"/>
  <c r="H24" i="14"/>
  <c r="H10" i="14"/>
  <c r="H15" i="14" s="1"/>
  <c r="I14" i="14"/>
  <c r="G10" i="14"/>
  <c r="D49" i="14"/>
  <c r="E49" i="14"/>
  <c r="C49" i="14"/>
  <c r="I44" i="14" l="1"/>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E11" i="2" l="1"/>
  <c r="D11" i="2"/>
  <c r="C11" i="2"/>
  <c r="E10" i="2"/>
  <c r="F10" i="2" s="1"/>
  <c r="G10" i="2" s="1"/>
  <c r="H10" i="2" s="1"/>
  <c r="I10" i="2" s="1"/>
  <c r="J10" i="2" s="1"/>
  <c r="D10" i="2"/>
  <c r="C10" i="2"/>
  <c r="E9" i="2"/>
  <c r="D9" i="2"/>
  <c r="D8" i="2"/>
  <c r="E8" i="2" l="1"/>
  <c r="F11" i="2"/>
  <c r="G11" i="2" s="1"/>
  <c r="H11" i="2" s="1"/>
  <c r="I11" i="2" s="1"/>
  <c r="J11" i="2" s="1"/>
  <c r="F8" i="2" l="1"/>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<sst xmlns="http://schemas.openxmlformats.org/spreadsheetml/2006/main" count="265" uniqueCount="225">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</sst>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 cent" xfId="6" builtinId="5" hidden="1"/>
    <cellStyle name="Per 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328125" defaultRowHeight="14.25" x14ac:dyDescent="0.45"/>
  <cols>
    <col min="1" max="1" width="9.86328125" customWidth="1"/>
    <col min="2" max="13" width="9.265625" customWidth="1"/>
    <col min="14" max="14" width="9.86328125" customWidth="1"/>
    <col min="15" max="26" width="9.1328125" customWidth="1"/>
  </cols>
  <sheetData>
    <row r="1" spans="1:14" s="33" customFormat="1" ht="189.75" customHeight="1" x14ac:dyDescent="0.85">
      <c r="A1" s="76"/>
      <c r="B1" s="76"/>
      <c r="C1" s="76"/>
      <c r="D1" s="76"/>
      <c r="E1" s="76"/>
      <c r="F1" s="76"/>
      <c r="G1" s="76"/>
      <c r="H1" s="76"/>
      <c r="I1" s="76"/>
      <c r="J1" s="76"/>
      <c r="K1" s="76"/>
      <c r="L1" s="76"/>
      <c r="M1" s="76"/>
      <c r="N1" s="76"/>
    </row>
    <row r="2" spans="1:14" s="21" customFormat="1" ht="75" customHeight="1" x14ac:dyDescent="0.45">
      <c r="A2" s="79" t="s">
        <v>223</v>
      </c>
      <c r="B2" s="79"/>
      <c r="C2" s="79"/>
      <c r="D2" s="79"/>
      <c r="E2" s="79"/>
      <c r="F2" s="79"/>
      <c r="G2" s="79"/>
      <c r="H2" s="79"/>
      <c r="I2" s="79"/>
      <c r="J2" s="79"/>
      <c r="K2" s="79"/>
      <c r="L2" s="79"/>
      <c r="M2" s="79"/>
      <c r="N2" s="79"/>
    </row>
    <row r="3" spans="1:14" s="22" customFormat="1" ht="7.5" customHeight="1" x14ac:dyDescent="0.45">
      <c r="B3" s="23"/>
      <c r="C3" s="23"/>
      <c r="F3" s="24"/>
      <c r="G3" s="24"/>
      <c r="H3" s="24"/>
      <c r="I3" s="24"/>
      <c r="J3" s="24"/>
      <c r="K3" s="24"/>
    </row>
    <row r="4" spans="1:14" s="22" customFormat="1" ht="15" customHeight="1" x14ac:dyDescent="0.45">
      <c r="A4" s="36"/>
      <c r="B4" s="37"/>
      <c r="C4" s="78"/>
      <c r="D4" s="78"/>
      <c r="E4" s="38"/>
      <c r="F4" s="39"/>
      <c r="G4" s="39"/>
      <c r="H4" s="39"/>
      <c r="I4" s="39"/>
      <c r="J4" s="39"/>
      <c r="K4" s="39"/>
      <c r="L4" s="38"/>
      <c r="M4" s="38"/>
      <c r="N4" s="38"/>
    </row>
    <row r="5" spans="1:14" s="22" customFormat="1" ht="15" customHeight="1" x14ac:dyDescent="0.45">
      <c r="A5" s="80" t="s">
        <v>0</v>
      </c>
      <c r="B5" s="80"/>
      <c r="C5" s="80"/>
      <c r="D5" s="80"/>
      <c r="E5" s="80"/>
      <c r="F5" s="80"/>
      <c r="G5" s="80"/>
      <c r="H5" s="80"/>
      <c r="I5" s="80"/>
      <c r="J5" s="80"/>
      <c r="K5" s="80"/>
      <c r="L5" s="80"/>
      <c r="M5" s="80"/>
      <c r="N5" s="80"/>
    </row>
    <row r="6" spans="1:14" s="22" customFormat="1" ht="15" customHeight="1" x14ac:dyDescent="0.45">
      <c r="A6" s="80"/>
      <c r="B6" s="80"/>
      <c r="C6" s="80"/>
      <c r="D6" s="80"/>
      <c r="E6" s="80"/>
      <c r="F6" s="80"/>
      <c r="G6" s="80"/>
      <c r="H6" s="80"/>
      <c r="I6" s="80"/>
      <c r="J6" s="80"/>
      <c r="K6" s="80"/>
      <c r="L6" s="80"/>
      <c r="M6" s="80"/>
      <c r="N6" s="80"/>
    </row>
    <row r="7" spans="1:14" s="22" customFormat="1" ht="15" customHeight="1" x14ac:dyDescent="0.4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5">
      <c r="A8" s="41"/>
      <c r="B8" s="42"/>
      <c r="C8" s="41"/>
      <c r="D8" s="41"/>
      <c r="E8" s="43"/>
      <c r="F8" s="44"/>
      <c r="G8" s="44"/>
      <c r="H8" s="44"/>
      <c r="I8" s="44"/>
      <c r="J8" s="44"/>
      <c r="K8" s="44"/>
      <c r="L8" s="43"/>
      <c r="M8" s="43"/>
      <c r="N8" s="43"/>
    </row>
    <row r="9" spans="1:14" s="22" customFormat="1" ht="15" customHeight="1" x14ac:dyDescent="0.45">
      <c r="F9" s="27"/>
      <c r="G9" s="81"/>
      <c r="H9" s="81"/>
      <c r="I9" s="81"/>
      <c r="J9" s="81"/>
      <c r="K9" s="27"/>
    </row>
    <row r="10" spans="1:14" s="22" customFormat="1" ht="15" customHeight="1" x14ac:dyDescent="0.45">
      <c r="B10" s="23"/>
      <c r="C10" s="23"/>
      <c r="F10" s="27"/>
      <c r="G10" s="81"/>
      <c r="H10" s="81"/>
      <c r="I10" s="81"/>
      <c r="J10" s="81"/>
      <c r="K10" s="27"/>
    </row>
    <row r="11" spans="1:14" s="22" customFormat="1" ht="15" customHeight="1" x14ac:dyDescent="0.45">
      <c r="B11" s="19"/>
      <c r="C11" s="19"/>
      <c r="D11" s="20"/>
      <c r="F11" s="24"/>
      <c r="G11" s="24"/>
      <c r="H11" s="24"/>
      <c r="I11" s="24"/>
      <c r="J11" s="24"/>
      <c r="K11" s="24"/>
    </row>
    <row r="12" spans="1:14" s="22" customFormat="1" ht="15" customHeight="1" x14ac:dyDescent="0.45">
      <c r="A12" s="25"/>
      <c r="B12" s="19"/>
      <c r="C12" s="19"/>
      <c r="D12" s="28"/>
      <c r="F12" s="24"/>
      <c r="G12" s="77"/>
      <c r="H12" s="77"/>
      <c r="I12" s="77"/>
      <c r="J12" s="77"/>
      <c r="K12" s="24"/>
    </row>
    <row r="13" spans="1:14" s="22" customFormat="1" ht="15" customHeight="1" x14ac:dyDescent="0.45">
      <c r="A13" s="18"/>
      <c r="B13" s="19"/>
      <c r="C13" s="19"/>
      <c r="D13" s="29"/>
      <c r="F13" s="24"/>
      <c r="G13" s="77"/>
      <c r="H13" s="77"/>
      <c r="I13" s="77"/>
      <c r="J13" s="77"/>
      <c r="K13" s="24"/>
    </row>
    <row r="14" spans="1:14" s="22" customFormat="1" ht="15" customHeight="1" x14ac:dyDescent="0.45">
      <c r="A14" s="21"/>
      <c r="B14" s="19"/>
      <c r="C14" s="19"/>
      <c r="D14" s="29"/>
      <c r="F14" s="24"/>
      <c r="G14" s="77"/>
      <c r="H14" s="77"/>
      <c r="I14" s="77"/>
      <c r="J14" s="77"/>
      <c r="K14" s="24"/>
    </row>
    <row r="15" spans="1:14" s="22" customFormat="1" ht="15" customHeight="1" x14ac:dyDescent="0.45">
      <c r="A15" s="21"/>
      <c r="B15" s="19"/>
      <c r="C15" s="19"/>
      <c r="D15" s="29"/>
      <c r="F15" s="24"/>
      <c r="G15" s="24"/>
      <c r="H15" s="24"/>
      <c r="I15" s="24"/>
      <c r="J15" s="24"/>
      <c r="K15" s="24"/>
    </row>
    <row r="16" spans="1:14" s="22" customFormat="1" ht="15" customHeight="1" x14ac:dyDescent="0.45">
      <c r="A16" s="21"/>
      <c r="B16" s="19"/>
      <c r="C16" s="19"/>
      <c r="D16" s="30"/>
      <c r="F16" s="24"/>
      <c r="G16" s="77"/>
      <c r="H16" s="77"/>
      <c r="I16" s="77"/>
      <c r="J16" s="77"/>
      <c r="K16" s="24"/>
    </row>
    <row r="17" spans="1:11" s="22" customFormat="1" ht="15" customHeight="1" x14ac:dyDescent="0.45">
      <c r="A17" s="21"/>
      <c r="B17" s="31"/>
      <c r="C17" s="32"/>
      <c r="D17" s="30"/>
      <c r="F17" s="24"/>
      <c r="G17" s="24"/>
      <c r="H17" s="24"/>
      <c r="I17" s="24"/>
      <c r="J17" s="24"/>
      <c r="K17" s="24"/>
    </row>
    <row r="18" spans="1:11" ht="15" customHeight="1" x14ac:dyDescent="0.4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328125" defaultRowHeight="14.25" x14ac:dyDescent="0.45"/>
  <cols>
    <col min="1" max="1" width="1.3984375" customWidth="1"/>
    <col min="2" max="2" width="2.86328125" customWidth="1"/>
    <col min="3" max="3" width="13.265625" customWidth="1"/>
    <col min="4" max="4" width="2.86328125" customWidth="1"/>
    <col min="5" max="7" width="1.3984375" customWidth="1"/>
    <col min="8" max="8" width="2.86328125" customWidth="1"/>
    <col min="9" max="9" width="42.73046875" customWidth="1"/>
    <col min="10" max="11" width="1.3984375" customWidth="1"/>
    <col min="12" max="12" width="15.59765625" customWidth="1"/>
    <col min="13" max="14" width="1.3984375" customWidth="1"/>
    <col min="15" max="15" width="2.86328125" customWidth="1"/>
    <col min="16" max="16" width="32.59765625" customWidth="1"/>
    <col min="17" max="17" width="2.86328125" customWidth="1"/>
    <col min="18" max="18" width="1.3984375" customWidth="1"/>
    <col min="23" max="23" width="17.73046875" bestFit="1" customWidth="1"/>
  </cols>
  <sheetData>
    <row r="1" spans="1:18" s="33" customFormat="1" ht="45" customHeight="1" x14ac:dyDescent="0.8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65">
      <c r="A2" s="14" t="s">
        <v>1</v>
      </c>
      <c r="B2" s="14"/>
      <c r="C2" s="14"/>
      <c r="D2" s="14"/>
      <c r="E2" s="14"/>
      <c r="F2" s="14"/>
      <c r="G2" s="14"/>
      <c r="H2" s="14"/>
      <c r="I2" s="14"/>
      <c r="J2" s="7"/>
      <c r="K2" s="7"/>
      <c r="L2" s="7"/>
      <c r="M2" s="7"/>
      <c r="N2" s="7"/>
      <c r="O2" s="7"/>
      <c r="P2" s="7"/>
      <c r="Q2" s="7"/>
      <c r="R2" s="7"/>
    </row>
    <row r="3" spans="1:18" s="2" customFormat="1" ht="7.5" customHeight="1" x14ac:dyDescent="0.45"/>
    <row r="4" spans="1:18" s="2" customFormat="1" ht="22.5" customHeight="1" x14ac:dyDescent="0.45">
      <c r="A4" s="1"/>
      <c r="B4" s="83" t="s">
        <v>2</v>
      </c>
      <c r="C4" s="83"/>
      <c r="D4" s="83"/>
      <c r="E4" s="83"/>
      <c r="F4" s="83"/>
      <c r="G4" s="83"/>
      <c r="H4" s="83"/>
      <c r="I4" s="83"/>
      <c r="K4" s="1"/>
      <c r="L4" s="83" t="s">
        <v>3</v>
      </c>
      <c r="M4" s="83"/>
      <c r="N4" s="83"/>
      <c r="O4" s="83"/>
      <c r="P4" s="83"/>
      <c r="Q4" s="39"/>
      <c r="R4" s="39"/>
    </row>
    <row r="5" spans="1:18" s="2" customFormat="1" ht="15" customHeight="1" x14ac:dyDescent="0.45">
      <c r="A5" s="16"/>
      <c r="B5" s="8" t="s">
        <v>4</v>
      </c>
      <c r="C5" s="54" t="s">
        <v>5</v>
      </c>
      <c r="D5" s="17"/>
      <c r="E5" s="17"/>
      <c r="F5" s="17"/>
      <c r="G5" s="17"/>
      <c r="H5" s="17"/>
      <c r="I5" s="17"/>
      <c r="K5" s="1"/>
      <c r="L5" s="9" t="s">
        <v>6</v>
      </c>
      <c r="M5" s="9"/>
      <c r="N5" s="85" t="s">
        <v>114</v>
      </c>
      <c r="O5" s="85"/>
      <c r="P5" s="85"/>
      <c r="Q5" s="85"/>
      <c r="R5" s="39"/>
    </row>
    <row r="6" spans="1:18" s="2" customFormat="1" ht="15" customHeight="1" x14ac:dyDescent="0.45">
      <c r="A6" s="3"/>
      <c r="B6" s="8" t="s">
        <v>4</v>
      </c>
      <c r="C6" s="17" t="s">
        <v>7</v>
      </c>
      <c r="D6" s="17"/>
      <c r="E6" s="17"/>
      <c r="F6" s="17"/>
      <c r="G6" s="17"/>
      <c r="H6" s="17"/>
      <c r="I6" s="17"/>
      <c r="K6" s="16"/>
      <c r="L6" s="9" t="s">
        <v>8</v>
      </c>
      <c r="M6" s="9"/>
      <c r="N6" s="86">
        <v>45291</v>
      </c>
      <c r="O6" s="86"/>
      <c r="P6" s="86"/>
      <c r="Q6" s="86"/>
      <c r="R6" s="39"/>
    </row>
    <row r="7" spans="1:18" s="2" customFormat="1" ht="15" customHeight="1" x14ac:dyDescent="0.45">
      <c r="A7" s="17"/>
      <c r="B7" s="8" t="s">
        <v>4</v>
      </c>
      <c r="C7" s="17" t="s">
        <v>9</v>
      </c>
      <c r="D7" s="17"/>
      <c r="E7" s="17"/>
      <c r="F7" s="17"/>
      <c r="G7" s="17"/>
      <c r="H7" s="17"/>
      <c r="I7" s="17"/>
      <c r="K7" s="3"/>
      <c r="L7" s="9" t="s">
        <v>10</v>
      </c>
      <c r="M7" s="9"/>
      <c r="N7" s="85" t="s">
        <v>87</v>
      </c>
      <c r="O7" s="85"/>
      <c r="P7" s="85"/>
      <c r="Q7" s="85"/>
      <c r="R7" s="39"/>
    </row>
    <row r="8" spans="1:18" s="2" customFormat="1" ht="15" customHeight="1" x14ac:dyDescent="0.45">
      <c r="A8" s="17"/>
      <c r="B8" s="8" t="s">
        <v>4</v>
      </c>
      <c r="C8" s="17" t="s">
        <v>85</v>
      </c>
      <c r="D8" s="17"/>
      <c r="E8" s="17"/>
      <c r="F8" s="17"/>
      <c r="G8" s="17"/>
      <c r="H8" s="17"/>
      <c r="I8" s="17"/>
      <c r="K8" s="17"/>
      <c r="L8" s="9" t="s">
        <v>11</v>
      </c>
      <c r="M8" s="9"/>
      <c r="N8" s="85" t="s">
        <v>12</v>
      </c>
      <c r="O8" s="85"/>
      <c r="P8" s="85"/>
      <c r="Q8" s="85"/>
      <c r="R8" s="39"/>
    </row>
    <row r="9" spans="1:18" s="2" customFormat="1" ht="15" customHeight="1" x14ac:dyDescent="0.4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4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5">
      <c r="A11" s="43"/>
      <c r="B11" s="43"/>
      <c r="C11" s="43"/>
      <c r="D11" s="43"/>
      <c r="E11" s="43"/>
      <c r="F11" s="43"/>
      <c r="G11" s="43"/>
      <c r="H11" s="43"/>
      <c r="I11" s="43"/>
      <c r="K11" s="4"/>
      <c r="L11" s="58"/>
      <c r="M11" s="58"/>
      <c r="N11" s="47"/>
      <c r="O11" s="48"/>
      <c r="P11" s="48"/>
      <c r="Q11" s="49"/>
      <c r="R11" s="50"/>
    </row>
    <row r="12" spans="1:18" s="2" customFormat="1" ht="7.5" customHeight="1" x14ac:dyDescent="0.45">
      <c r="K12" s="24"/>
      <c r="L12" s="24"/>
      <c r="M12" s="24"/>
      <c r="N12" s="24"/>
      <c r="O12" s="24"/>
      <c r="P12" s="24"/>
      <c r="Q12" s="24"/>
      <c r="R12" s="24"/>
    </row>
    <row r="13" spans="1:18" s="2" customFormat="1" ht="22.5" customHeight="1" x14ac:dyDescent="0.4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45">
      <c r="A14" s="55"/>
      <c r="B14" s="82"/>
      <c r="C14" s="82"/>
      <c r="D14" s="82"/>
      <c r="E14" s="82"/>
      <c r="F14" s="82"/>
      <c r="G14" s="82"/>
      <c r="H14" s="82"/>
      <c r="I14" s="82"/>
      <c r="J14" s="82"/>
      <c r="K14" s="82"/>
      <c r="L14" s="82"/>
      <c r="N14" s="16"/>
      <c r="O14" s="26"/>
      <c r="P14" s="21"/>
      <c r="Q14" s="21"/>
      <c r="R14" s="55"/>
    </row>
    <row r="15" spans="1:18" s="2" customFormat="1" ht="15" customHeight="1" x14ac:dyDescent="0.45">
      <c r="A15" s="55"/>
      <c r="B15" s="82"/>
      <c r="C15" s="82"/>
      <c r="D15" s="82"/>
      <c r="E15" s="82"/>
      <c r="F15" s="82"/>
      <c r="G15" s="82"/>
      <c r="H15" s="82"/>
      <c r="I15" s="82"/>
      <c r="J15" s="82"/>
      <c r="K15" s="82"/>
      <c r="L15" s="82"/>
      <c r="N15" s="3"/>
      <c r="O15" s="26"/>
      <c r="P15" s="51" t="s">
        <v>18</v>
      </c>
      <c r="Q15" s="21"/>
      <c r="R15" s="55"/>
    </row>
    <row r="16" spans="1:18" s="2" customFormat="1" ht="15" customHeight="1" x14ac:dyDescent="0.45">
      <c r="A16" s="55"/>
      <c r="B16" s="82"/>
      <c r="C16" s="82"/>
      <c r="D16" s="82"/>
      <c r="E16" s="82"/>
      <c r="F16" s="82"/>
      <c r="G16" s="82"/>
      <c r="H16" s="82"/>
      <c r="I16" s="82"/>
      <c r="J16" s="82"/>
      <c r="K16" s="82"/>
      <c r="L16" s="82"/>
      <c r="N16" s="17"/>
      <c r="O16" s="26"/>
      <c r="P16" s="35" t="s">
        <v>19</v>
      </c>
      <c r="Q16" s="21"/>
      <c r="R16" s="55"/>
    </row>
    <row r="17" spans="1:18" s="2" customFormat="1" ht="15" customHeight="1" x14ac:dyDescent="0.45">
      <c r="A17" s="55"/>
      <c r="B17" s="82"/>
      <c r="C17" s="82"/>
      <c r="D17" s="82"/>
      <c r="E17" s="82"/>
      <c r="F17" s="82"/>
      <c r="G17" s="82"/>
      <c r="H17" s="82"/>
      <c r="I17" s="82"/>
      <c r="J17" s="82"/>
      <c r="K17" s="82"/>
      <c r="L17" s="82"/>
      <c r="N17" s="17"/>
      <c r="O17" s="26"/>
      <c r="P17" t="s">
        <v>20</v>
      </c>
      <c r="Q17" s="21"/>
      <c r="R17" s="55"/>
    </row>
    <row r="18" spans="1:18" s="2" customFormat="1" ht="15" customHeight="1" x14ac:dyDescent="0.45">
      <c r="A18" s="38"/>
      <c r="B18" s="82"/>
      <c r="C18" s="82"/>
      <c r="D18" s="82"/>
      <c r="E18" s="82"/>
      <c r="F18" s="82"/>
      <c r="G18" s="82"/>
      <c r="H18" s="82"/>
      <c r="I18" s="82"/>
      <c r="J18" s="82"/>
      <c r="K18" s="82"/>
      <c r="L18" s="82"/>
      <c r="N18" s="38"/>
      <c r="O18" s="52"/>
      <c r="P18" s="52"/>
      <c r="Q18" s="52"/>
      <c r="R18" s="38"/>
    </row>
    <row r="19" spans="1:18" ht="14.65" thickBot="1" x14ac:dyDescent="0.5">
      <c r="A19" s="43"/>
      <c r="B19" s="43"/>
      <c r="C19" s="43"/>
      <c r="D19" s="56"/>
      <c r="E19" s="56"/>
      <c r="F19" s="56"/>
      <c r="G19" s="56"/>
      <c r="H19" s="56"/>
      <c r="I19" s="56"/>
      <c r="J19" s="56"/>
      <c r="K19" s="56"/>
      <c r="L19" s="56"/>
      <c r="N19" s="43"/>
      <c r="O19" s="43"/>
      <c r="P19" s="43"/>
      <c r="Q19" s="43"/>
      <c r="R19" s="43"/>
    </row>
    <row r="20" spans="1:18" x14ac:dyDescent="0.45">
      <c r="Q20" s="53"/>
    </row>
  </sheetData>
  <mergeCells count="20">
    <mergeCell ref="D15:L15"/>
    <mergeCell ref="B14:C14"/>
    <mergeCell ref="B15:C15"/>
    <mergeCell ref="B16:C16"/>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57" activePane="bottomRight" state="frozen"/>
      <selection activeCell="C7" sqref="C7"/>
      <selection pane="topRight" activeCell="C7" sqref="C7"/>
      <selection pane="bottomLeft" activeCell="C7" sqref="C7"/>
      <selection pane="bottomRight" activeCell="F64" sqref="F62:J64"/>
    </sheetView>
  </sheetViews>
  <sheetFormatPr defaultColWidth="9.1328125" defaultRowHeight="15" customHeight="1" outlineLevelRow="1" x14ac:dyDescent="0.45"/>
  <cols>
    <col min="1" max="1" width="1.3984375" style="15" customWidth="1"/>
    <col min="2" max="2" width="41.73046875" customWidth="1"/>
    <col min="3" max="10" width="11" customWidth="1"/>
    <col min="12" max="14" width="11" customWidth="1"/>
  </cols>
  <sheetData>
    <row r="1" spans="1:13" s="45" customFormat="1" ht="45" customHeight="1" x14ac:dyDescent="0.85">
      <c r="A1" s="5" t="s">
        <v>115</v>
      </c>
      <c r="B1" s="10"/>
      <c r="C1" s="12" t="s">
        <v>21</v>
      </c>
      <c r="D1" s="12" t="s">
        <v>21</v>
      </c>
      <c r="E1" s="12" t="s">
        <v>21</v>
      </c>
      <c r="F1" s="12" t="s">
        <v>22</v>
      </c>
      <c r="G1" s="12" t="s">
        <v>22</v>
      </c>
      <c r="H1" s="12" t="s">
        <v>22</v>
      </c>
      <c r="I1" s="12" t="s">
        <v>22</v>
      </c>
      <c r="J1" s="12" t="s">
        <v>22</v>
      </c>
      <c r="L1"/>
      <c r="M1"/>
    </row>
    <row r="2" spans="1:13" s="34" customFormat="1" ht="30" customHeight="1" x14ac:dyDescent="0.6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45">
      <c r="A4" s="15" t="s">
        <v>119</v>
      </c>
      <c r="F4" s="60"/>
      <c r="G4" s="60"/>
      <c r="H4" s="60"/>
      <c r="I4" s="60"/>
    </row>
    <row r="5" spans="1:13" ht="15" customHeight="1" x14ac:dyDescent="0.45">
      <c r="B5" s="72" t="s">
        <v>180</v>
      </c>
    </row>
    <row r="6" spans="1:13" ht="15" customHeight="1" outlineLevel="1" x14ac:dyDescent="0.45">
      <c r="B6" t="s">
        <v>171</v>
      </c>
    </row>
    <row r="7" spans="1:13" ht="15.75" customHeight="1" outlineLevel="1" x14ac:dyDescent="0.45">
      <c r="B7" t="s">
        <v>162</v>
      </c>
      <c r="D7" s="60"/>
      <c r="E7" s="60">
        <f>E9/D9-1</f>
        <v>-0.15747720897615702</v>
      </c>
      <c r="F7" s="61">
        <v>1.6E-2</v>
      </c>
      <c r="G7" s="61">
        <v>0.05</v>
      </c>
      <c r="H7" s="61">
        <v>0.05</v>
      </c>
      <c r="I7" s="61">
        <v>0.04</v>
      </c>
      <c r="J7" s="61">
        <v>0.04</v>
      </c>
    </row>
    <row r="8" spans="1:13" ht="15" customHeight="1" outlineLevel="1" x14ac:dyDescent="0.4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4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4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4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45">
      <c r="D12" s="60"/>
      <c r="E12" s="60"/>
    </row>
    <row r="13" spans="1:13" ht="15" customHeight="1" x14ac:dyDescent="0.45">
      <c r="B13" t="s">
        <v>161</v>
      </c>
      <c r="D13" s="60">
        <f>D14/C14-1</f>
        <v>0.16700486359390609</v>
      </c>
      <c r="E13" s="60">
        <f>E14/D14-1</f>
        <v>0.23239125634797975</v>
      </c>
      <c r="F13" s="61">
        <v>3.0000000000000001E-3</v>
      </c>
      <c r="G13" s="61">
        <v>-0.1</v>
      </c>
      <c r="H13" s="61">
        <v>0.04</v>
      </c>
      <c r="I13" s="61">
        <v>0.04</v>
      </c>
      <c r="J13" s="61">
        <v>0.04</v>
      </c>
    </row>
    <row r="14" spans="1:13" ht="15" customHeight="1" x14ac:dyDescent="0.4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4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45">
      <c r="A16"/>
      <c r="F16" s="60"/>
    </row>
    <row r="17" spans="1:10" ht="15" customHeight="1" outlineLevel="1" x14ac:dyDescent="0.45">
      <c r="A17"/>
      <c r="B17" t="s">
        <v>176</v>
      </c>
      <c r="E17" s="60">
        <f>E20/D20-1</f>
        <v>4.7431648715824171E-2</v>
      </c>
      <c r="F17" s="68">
        <v>-4.4999999999999998E-2</v>
      </c>
      <c r="G17" s="68">
        <v>0.08</v>
      </c>
      <c r="H17" s="68">
        <v>0.05</v>
      </c>
      <c r="I17" s="68">
        <v>0.02</v>
      </c>
      <c r="J17" s="68">
        <v>0.02</v>
      </c>
    </row>
    <row r="18" spans="1:10" ht="15" customHeight="1" outlineLevel="1" x14ac:dyDescent="0.45">
      <c r="A18"/>
      <c r="B18" t="s">
        <v>172</v>
      </c>
      <c r="C18" s="59">
        <v>8166.3</v>
      </c>
      <c r="D18" s="59">
        <v>8425.6</v>
      </c>
      <c r="E18" s="59">
        <v>7890.2</v>
      </c>
      <c r="G18" t="str">
        <f t="shared" ref="G18:G19" ca="1" si="6">IF(ISBLANK(F18),"",_xlfn.FORMULATEXT(F18))</f>
        <v/>
      </c>
    </row>
    <row r="19" spans="1:10" ht="15" customHeight="1" outlineLevel="1" x14ac:dyDescent="0.45">
      <c r="A19"/>
      <c r="B19" t="s">
        <v>173</v>
      </c>
      <c r="D19">
        <f>-D9</f>
        <v>-4563.2</v>
      </c>
      <c r="E19">
        <f>-E9</f>
        <v>-3844.6</v>
      </c>
      <c r="F19" s="54"/>
      <c r="G19" s="54" t="str">
        <f t="shared" ca="1" si="6"/>
        <v/>
      </c>
      <c r="H19" s="54"/>
      <c r="I19" s="54"/>
      <c r="J19" s="54"/>
    </row>
    <row r="20" spans="1:10" ht="15" customHeight="1" outlineLevel="1" x14ac:dyDescent="0.4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45">
      <c r="A21"/>
      <c r="E21" s="60"/>
    </row>
    <row r="22" spans="1:10" ht="15" customHeight="1" x14ac:dyDescent="0.45">
      <c r="B22" t="s">
        <v>179</v>
      </c>
      <c r="D22" s="60">
        <f>D23/C23-1</f>
        <v>9.4798164057902756E-2</v>
      </c>
      <c r="E22" s="60">
        <f>E23/D23-1</f>
        <v>7.4711099166890671E-2</v>
      </c>
      <c r="F22" s="61">
        <v>0.03</v>
      </c>
      <c r="G22" s="61">
        <v>2.5000000000000001E-2</v>
      </c>
      <c r="H22" s="61">
        <v>0.02</v>
      </c>
      <c r="I22" s="61">
        <v>0.02</v>
      </c>
      <c r="J22" s="61">
        <v>0.02</v>
      </c>
    </row>
    <row r="23" spans="1:10" ht="15.75" x14ac:dyDescent="0.4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4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45">
      <c r="A25"/>
      <c r="G25" t="str">
        <f t="shared" ref="G25" ca="1" si="10">IF(ISBLANK(F25),"",_xlfn.FORMULATEXT(F25))</f>
        <v/>
      </c>
    </row>
    <row r="26" spans="1:10" ht="15" customHeight="1" x14ac:dyDescent="0.4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4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4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4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4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45">
      <c r="D32" s="60"/>
      <c r="E32" s="60"/>
    </row>
    <row r="33" spans="1:10" ht="15" customHeight="1" x14ac:dyDescent="0.4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45">
      <c r="A34"/>
      <c r="B34" t="s">
        <v>217</v>
      </c>
      <c r="C34">
        <f>C31-C36</f>
        <v>761.90000000000009</v>
      </c>
      <c r="D34">
        <f>D31-D36</f>
        <v>820.7</v>
      </c>
      <c r="E34">
        <f>E31-E36</f>
        <v>852.40000000000009</v>
      </c>
      <c r="G34" t="str">
        <f ca="1">IF(ISBLANK(F34),"",_xlfn.FORMULATEXT(F34))</f>
        <v/>
      </c>
    </row>
    <row r="35" spans="1:10" ht="15" customHeight="1" x14ac:dyDescent="0.45">
      <c r="A35"/>
    </row>
    <row r="36" spans="1:10" ht="15" customHeight="1" x14ac:dyDescent="0.45">
      <c r="B36" t="s">
        <v>186</v>
      </c>
      <c r="C36" s="59">
        <v>536</v>
      </c>
      <c r="D36" s="59">
        <v>421</v>
      </c>
      <c r="E36" s="59">
        <v>848.5</v>
      </c>
    </row>
    <row r="37" spans="1:10" ht="15" customHeight="1" x14ac:dyDescent="0.4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45">
      <c r="A38"/>
    </row>
    <row r="39" spans="1:10" ht="15" customHeight="1" x14ac:dyDescent="0.45">
      <c r="B39" s="72" t="s">
        <v>181</v>
      </c>
    </row>
    <row r="40" spans="1:10" ht="15" customHeight="1" outlineLevel="1" x14ac:dyDescent="0.45">
      <c r="B40" t="s">
        <v>170</v>
      </c>
      <c r="D40" s="60"/>
      <c r="E40" s="60"/>
    </row>
    <row r="41" spans="1:10" ht="15" customHeight="1" outlineLevel="1" x14ac:dyDescent="0.4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45">
      <c r="B42" t="s">
        <v>116</v>
      </c>
      <c r="F42">
        <f>E45</f>
        <v>3238</v>
      </c>
      <c r="G42">
        <f t="shared" ref="G42:J42" si="15">F45</f>
        <v>2847.82</v>
      </c>
      <c r="H42">
        <f t="shared" si="15"/>
        <v>2741.6986000000011</v>
      </c>
      <c r="I42">
        <f t="shared" si="15"/>
        <v>2777.7354316000014</v>
      </c>
      <c r="J42">
        <f t="shared" si="15"/>
        <v>2998.0884722308028</v>
      </c>
    </row>
    <row r="43" spans="1:10" ht="15" customHeight="1" outlineLevel="1" x14ac:dyDescent="0.45">
      <c r="B43" t="s">
        <v>158</v>
      </c>
      <c r="C43" s="59">
        <v>4329</v>
      </c>
      <c r="D43" s="59">
        <v>3362</v>
      </c>
      <c r="E43" s="59">
        <v>3032</v>
      </c>
      <c r="F43">
        <f>(1+F41)*E43</f>
        <v>2546.88</v>
      </c>
      <c r="G43">
        <f t="shared" ref="G43:J43" si="16">(1+G41)*F43</f>
        <v>2801.5680000000002</v>
      </c>
      <c r="H43">
        <f t="shared" si="16"/>
        <v>3193.7875200000008</v>
      </c>
      <c r="I43">
        <f t="shared" si="16"/>
        <v>3577.0420224000013</v>
      </c>
      <c r="J43">
        <f t="shared" si="16"/>
        <v>3863.2053841920015</v>
      </c>
    </row>
    <row r="44" spans="1:10" ht="15" customHeight="1" outlineLevel="1" x14ac:dyDescent="0.45">
      <c r="B44" t="s">
        <v>118</v>
      </c>
      <c r="C44" s="59">
        <v>-3796</v>
      </c>
      <c r="D44" s="59">
        <v>-3807</v>
      </c>
      <c r="E44" s="59">
        <v>-2997</v>
      </c>
      <c r="F44">
        <f>F48*-1</f>
        <v>-2937.06</v>
      </c>
      <c r="G44">
        <f t="shared" ref="G44:J44" si="17">G48*-1</f>
        <v>-2907.6893999999998</v>
      </c>
      <c r="H44">
        <f t="shared" si="17"/>
        <v>-3157.7506883999999</v>
      </c>
      <c r="I44">
        <f t="shared" si="17"/>
        <v>-3356.6889817691999</v>
      </c>
      <c r="J44">
        <f t="shared" si="17"/>
        <v>-3658.7909901284283</v>
      </c>
    </row>
    <row r="45" spans="1:10" ht="15" customHeight="1" outlineLevel="1" x14ac:dyDescent="0.45">
      <c r="B45" t="s">
        <v>117</v>
      </c>
      <c r="C45" s="59">
        <v>3792</v>
      </c>
      <c r="D45" s="59">
        <v>3327</v>
      </c>
      <c r="E45" s="59">
        <v>3238</v>
      </c>
      <c r="F45">
        <f>SUM(F42:F44)</f>
        <v>2847.82</v>
      </c>
      <c r="G45">
        <f t="shared" ref="G45:J45" si="18">SUM(G42:G44)</f>
        <v>2741.6986000000011</v>
      </c>
      <c r="H45">
        <f t="shared" si="18"/>
        <v>2777.7354316000014</v>
      </c>
      <c r="I45">
        <f t="shared" si="18"/>
        <v>2998.0884722308028</v>
      </c>
      <c r="J45">
        <f t="shared" si="18"/>
        <v>3202.502866294376</v>
      </c>
    </row>
    <row r="46" spans="1:10" ht="15" customHeight="1" outlineLevel="1" x14ac:dyDescent="0.45">
      <c r="C46" s="60"/>
      <c r="D46" s="60"/>
      <c r="E46" s="60"/>
    </row>
    <row r="47" spans="1:10" ht="15" customHeight="1" x14ac:dyDescent="0.45">
      <c r="B47" t="s">
        <v>166</v>
      </c>
      <c r="D47" s="60">
        <f>D48/C48-1</f>
        <v>2.897787144362507E-3</v>
      </c>
      <c r="E47" s="60">
        <f>E48/D48-1</f>
        <v>-0.21276595744680848</v>
      </c>
      <c r="F47" s="68">
        <v>-0.02</v>
      </c>
      <c r="G47" s="68">
        <v>-0.01</v>
      </c>
      <c r="H47" s="68">
        <v>8.5999999999999993E-2</v>
      </c>
      <c r="I47" s="68">
        <v>6.3E-2</v>
      </c>
      <c r="J47" s="68">
        <v>0.09</v>
      </c>
    </row>
    <row r="48" spans="1:10" ht="15" customHeight="1" x14ac:dyDescent="0.45">
      <c r="B48" t="s">
        <v>167</v>
      </c>
      <c r="C48" s="59">
        <v>3796</v>
      </c>
      <c r="D48" s="59">
        <v>3807</v>
      </c>
      <c r="E48" s="59">
        <v>2997</v>
      </c>
      <c r="F48">
        <f>(1+F47)*E48</f>
        <v>2937.06</v>
      </c>
      <c r="G48">
        <f t="shared" ref="G48:J48" si="19">(1+G47)*F48</f>
        <v>2907.6893999999998</v>
      </c>
      <c r="H48">
        <f t="shared" si="19"/>
        <v>3157.7506883999999</v>
      </c>
      <c r="I48">
        <f t="shared" si="19"/>
        <v>3356.6889817691999</v>
      </c>
      <c r="J48">
        <f t="shared" si="19"/>
        <v>3658.7909901284283</v>
      </c>
    </row>
    <row r="49" spans="1:10" ht="15" customHeight="1" x14ac:dyDescent="0.45">
      <c r="B49" t="s">
        <v>156</v>
      </c>
      <c r="C49" s="60">
        <f>C43/C44*-1</f>
        <v>1.1404109589041096</v>
      </c>
      <c r="D49" s="60">
        <f t="shared" ref="D49:F49" si="20">D43/D44*-1</f>
        <v>0.88311006041502493</v>
      </c>
      <c r="E49" s="60">
        <f t="shared" si="20"/>
        <v>1.0116783450116784</v>
      </c>
      <c r="F49" s="60">
        <f t="shared" si="20"/>
        <v>0.86715286715286721</v>
      </c>
      <c r="G49" s="60">
        <f t="shared" ref="G49:J49" si="21">G43/G44*-1</f>
        <v>0.96350318572540805</v>
      </c>
      <c r="H49" s="60">
        <f t="shared" si="21"/>
        <v>1.0114121839106496</v>
      </c>
      <c r="I49" s="60">
        <f t="shared" si="21"/>
        <v>1.065645951062961</v>
      </c>
      <c r="J49" s="60">
        <f t="shared" si="21"/>
        <v>1.0558693827045851</v>
      </c>
    </row>
    <row r="50" spans="1:10" ht="15" customHeight="1" x14ac:dyDescent="0.45">
      <c r="C50" s="60"/>
      <c r="D50" s="60"/>
      <c r="E50" s="60"/>
      <c r="F50" s="60"/>
      <c r="G50" s="60"/>
      <c r="H50" s="60"/>
      <c r="I50" s="60"/>
      <c r="J50" s="60"/>
    </row>
    <row r="51" spans="1:10" ht="15" customHeight="1" x14ac:dyDescent="0.4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45">
      <c r="B52" t="s">
        <v>182</v>
      </c>
      <c r="C52" s="59">
        <v>476.6</v>
      </c>
      <c r="D52" s="59">
        <v>32.200000000000003</v>
      </c>
      <c r="E52" s="59">
        <v>124.5</v>
      </c>
      <c r="F52">
        <f>F51*F48</f>
        <v>190.90890000000002</v>
      </c>
      <c r="G52">
        <f t="shared" ref="G52:J52" si="22">G51*G48</f>
        <v>203.53825800000001</v>
      </c>
      <c r="H52">
        <f t="shared" si="22"/>
        <v>236.83130162999998</v>
      </c>
      <c r="I52">
        <f t="shared" si="22"/>
        <v>251.75167363268997</v>
      </c>
      <c r="J52">
        <f t="shared" si="22"/>
        <v>274.40932425963211</v>
      </c>
    </row>
    <row r="53" spans="1:10" ht="15" customHeight="1" x14ac:dyDescent="0.45">
      <c r="C53" s="60"/>
      <c r="D53" s="60"/>
      <c r="E53" s="60"/>
      <c r="F53" s="60"/>
      <c r="G53" s="60"/>
      <c r="H53" s="60"/>
      <c r="I53" s="60"/>
    </row>
    <row r="54" spans="1:10" ht="15" customHeight="1" x14ac:dyDescent="0.4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45">
      <c r="B55" t="s">
        <v>216</v>
      </c>
      <c r="C55">
        <f>C52-C57</f>
        <v>66.600000000000023</v>
      </c>
      <c r="D55">
        <f>D52-D57</f>
        <v>78.2</v>
      </c>
      <c r="E55">
        <f>E52-E57</f>
        <v>80.2</v>
      </c>
      <c r="G55" t="str">
        <f ca="1">IF(ISBLANK(F55),"",_xlfn.FORMULATEXT(F55))</f>
        <v/>
      </c>
    </row>
    <row r="56" spans="1:10" ht="15" customHeight="1" x14ac:dyDescent="0.45">
      <c r="C56" s="60"/>
      <c r="D56" s="60"/>
      <c r="E56" s="60"/>
      <c r="F56" s="60"/>
      <c r="G56" s="60"/>
      <c r="H56" s="60"/>
      <c r="I56" s="60"/>
      <c r="J56" s="60"/>
    </row>
    <row r="57" spans="1:10" ht="15" customHeight="1" x14ac:dyDescent="0.45">
      <c r="B57" t="s">
        <v>188</v>
      </c>
      <c r="C57" s="59">
        <v>410</v>
      </c>
      <c r="D57" s="59">
        <v>-46</v>
      </c>
      <c r="E57" s="59">
        <v>44.3</v>
      </c>
      <c r="G57" t="str">
        <f t="shared" ref="G57:G58" ca="1" si="23">IF(ISBLANK(F57),"",_xlfn.FORMULATEXT(F57))</f>
        <v/>
      </c>
    </row>
    <row r="58" spans="1:10" ht="15" customHeight="1" x14ac:dyDescent="0.45">
      <c r="B58" t="s">
        <v>189</v>
      </c>
      <c r="C58" s="60">
        <f>C57/C44*-1</f>
        <v>0.10800842992623814</v>
      </c>
      <c r="D58" s="60">
        <f>D57/D44*-1</f>
        <v>-1.2083004990806409E-2</v>
      </c>
      <c r="E58" s="60">
        <f>E57/E44*-1</f>
        <v>1.4781448114781447E-2</v>
      </c>
      <c r="F58" s="60"/>
      <c r="G58" s="60" t="str">
        <f t="shared" ca="1" si="23"/>
        <v/>
      </c>
      <c r="H58" s="60"/>
      <c r="I58" s="60"/>
      <c r="J58" s="60"/>
    </row>
    <row r="59" spans="1:10" ht="15" customHeight="1" x14ac:dyDescent="0.45">
      <c r="C59" s="59"/>
      <c r="D59" s="59"/>
      <c r="E59" s="59"/>
    </row>
    <row r="60" spans="1:10" ht="15" customHeight="1" x14ac:dyDescent="0.45">
      <c r="A60" s="15" t="s">
        <v>99</v>
      </c>
      <c r="C60" s="59"/>
      <c r="D60" s="59"/>
      <c r="E60" s="59"/>
    </row>
    <row r="61" spans="1:10" ht="15" customHeight="1" x14ac:dyDescent="0.4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45">
      <c r="B62" t="s">
        <v>222</v>
      </c>
      <c r="C62">
        <f>C26+C48</f>
        <v>10299.5</v>
      </c>
      <c r="D62">
        <f>D26+D48</f>
        <v>11151.2</v>
      </c>
      <c r="E62">
        <f>E26+E48</f>
        <v>11461.2</v>
      </c>
      <c r="F62">
        <f>F26+F48</f>
        <v>11534.625599999999</v>
      </c>
      <c r="G62">
        <f t="shared" ref="G62:J62" si="24">G26+G48</f>
        <v>11160.36969</v>
      </c>
      <c r="H62">
        <f t="shared" si="24"/>
        <v>11656.099305</v>
      </c>
      <c r="I62">
        <f t="shared" si="24"/>
        <v>12108.843880333199</v>
      </c>
      <c r="J62">
        <f t="shared" si="24"/>
        <v>12673.181868680989</v>
      </c>
    </row>
    <row r="63" spans="1:10" ht="15" customHeight="1" x14ac:dyDescent="0.45">
      <c r="B63" t="s">
        <v>196</v>
      </c>
      <c r="C63" s="59">
        <f>C64-C62</f>
        <v>-5.2000000000007276</v>
      </c>
      <c r="D63" s="59">
        <f>D64-D62</f>
        <v>-15.600000000000364</v>
      </c>
      <c r="E63" s="59">
        <f>E64-E62</f>
        <v>-27.5</v>
      </c>
      <c r="F63">
        <f>F61*F62</f>
        <v>-11.5346256</v>
      </c>
      <c r="G63">
        <f t="shared" ref="G63:J63" si="25">G61*G62</f>
        <v>-11.16036969</v>
      </c>
      <c r="H63">
        <f t="shared" si="25"/>
        <v>-11.656099305</v>
      </c>
      <c r="I63">
        <f t="shared" si="25"/>
        <v>-12.108843880333199</v>
      </c>
      <c r="J63">
        <f t="shared" si="25"/>
        <v>-12.67318186868099</v>
      </c>
    </row>
    <row r="64" spans="1:10" ht="15" customHeight="1" x14ac:dyDescent="0.45">
      <c r="B64" t="s">
        <v>99</v>
      </c>
      <c r="C64" s="59">
        <v>10294.299999999999</v>
      </c>
      <c r="D64" s="59">
        <v>11135.6</v>
      </c>
      <c r="E64" s="59">
        <v>11433.7</v>
      </c>
      <c r="F64">
        <f>SUM(F62:F63)</f>
        <v>11523.0909744</v>
      </c>
      <c r="G64">
        <f t="shared" ref="G64:J64" si="26">SUM(G62:G63)</f>
        <v>11149.209320309999</v>
      </c>
      <c r="H64">
        <f t="shared" si="26"/>
        <v>11644.443205694999</v>
      </c>
      <c r="I64">
        <f t="shared" si="26"/>
        <v>12096.735036452867</v>
      </c>
      <c r="J64">
        <f t="shared" si="26"/>
        <v>12660.508686812309</v>
      </c>
    </row>
    <row r="66" spans="1:10" ht="15" customHeight="1" x14ac:dyDescent="0.45">
      <c r="A66" s="15" t="s">
        <v>100</v>
      </c>
    </row>
    <row r="67" spans="1:10" ht="15" customHeight="1" x14ac:dyDescent="0.4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45">
      <c r="B68" t="s">
        <v>221</v>
      </c>
      <c r="C68">
        <f>C36+C57</f>
        <v>946</v>
      </c>
      <c r="D68">
        <f>D36+D57</f>
        <v>375</v>
      </c>
      <c r="E68">
        <f>E36+E57</f>
        <v>892.8</v>
      </c>
      <c r="G68" t="str">
        <f t="shared" ref="G68:G71" ca="1" si="27">IF(ISBLANK(F68),"",_xlfn.FORMULATEXT(F68))</f>
        <v/>
      </c>
    </row>
    <row r="69" spans="1:10" ht="15" customHeight="1" x14ac:dyDescent="0.45">
      <c r="B69" t="s">
        <v>197</v>
      </c>
      <c r="C69">
        <f>C70-C68</f>
        <v>-104.20000000000005</v>
      </c>
      <c r="D69">
        <f>D70-D68</f>
        <v>-82.600000000000023</v>
      </c>
      <c r="E69">
        <f>E70-E68</f>
        <v>-102.29999999999995</v>
      </c>
      <c r="G69" t="str">
        <f t="shared" ca="1" si="27"/>
        <v/>
      </c>
    </row>
    <row r="70" spans="1:10" ht="15" customHeight="1" x14ac:dyDescent="0.45">
      <c r="B70" t="s">
        <v>191</v>
      </c>
      <c r="C70" s="59">
        <v>841.8</v>
      </c>
      <c r="D70" s="59">
        <v>292.39999999999998</v>
      </c>
      <c r="E70" s="59">
        <v>790.5</v>
      </c>
      <c r="G70" t="str">
        <f t="shared" ca="1" si="27"/>
        <v/>
      </c>
    </row>
    <row r="71" spans="1:10" ht="15" customHeight="1" x14ac:dyDescent="0.45">
      <c r="B71" t="s">
        <v>194</v>
      </c>
      <c r="C71" s="60">
        <f>C70/C64</f>
        <v>8.1773408585333635E-2</v>
      </c>
      <c r="D71" s="60">
        <f>D70/D64</f>
        <v>2.6258127087898268E-2</v>
      </c>
      <c r="E71" s="60">
        <f>E70/E64</f>
        <v>6.9137724446154777E-2</v>
      </c>
      <c r="F71" s="60"/>
      <c r="G71" s="60" t="str">
        <f t="shared" ca="1" si="27"/>
        <v/>
      </c>
      <c r="H71" s="60"/>
      <c r="I71" s="60"/>
      <c r="J71" s="60"/>
    </row>
    <row r="72" spans="1:10" ht="15" customHeight="1" x14ac:dyDescent="0.45">
      <c r="C72" s="59"/>
      <c r="D72" s="59"/>
      <c r="E72" s="59"/>
    </row>
    <row r="73" spans="1:10" ht="15" customHeight="1" x14ac:dyDescent="0.45">
      <c r="C73" s="59"/>
      <c r="D73" s="59"/>
      <c r="E73" s="59"/>
    </row>
    <row r="74" spans="1:10" ht="15" customHeight="1" x14ac:dyDescent="0.45">
      <c r="B74" t="s">
        <v>190</v>
      </c>
      <c r="C74" s="59">
        <v>-37.799999999999997</v>
      </c>
      <c r="D74" s="59">
        <v>31.5</v>
      </c>
      <c r="E74" s="59">
        <v>37.200000000000003</v>
      </c>
      <c r="F74" s="73">
        <v>0</v>
      </c>
      <c r="G74" s="73">
        <v>0</v>
      </c>
      <c r="H74" s="73">
        <v>0</v>
      </c>
      <c r="I74" s="73">
        <v>0</v>
      </c>
      <c r="J74" s="73">
        <v>0</v>
      </c>
    </row>
    <row r="75" spans="1:10" ht="15" customHeight="1" x14ac:dyDescent="0.4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45">
      <c r="B76" t="s">
        <v>192</v>
      </c>
      <c r="C76">
        <f>C70-C74-C75</f>
        <v>794.8</v>
      </c>
      <c r="D76">
        <f>D70-D74-D75</f>
        <v>168.2</v>
      </c>
      <c r="E76">
        <f>E70-E74-E75</f>
        <v>660.59999999999991</v>
      </c>
      <c r="G76" t="str">
        <f ca="1">IF(ISBLANK(F76),"",_xlfn.FORMULATEXT(F76))</f>
        <v/>
      </c>
    </row>
    <row r="77" spans="1:10" ht="15" customHeight="1" x14ac:dyDescent="0.45">
      <c r="D77" s="60"/>
      <c r="E77" s="60"/>
    </row>
    <row r="78" spans="1:10" ht="15" customHeight="1" x14ac:dyDescent="0.45">
      <c r="A78" s="15" t="s">
        <v>84</v>
      </c>
    </row>
    <row r="100" spans="1:1" ht="15" customHeight="1" x14ac:dyDescent="0.45">
      <c r="A100"/>
    </row>
    <row r="115" spans="1:14" ht="14.25" x14ac:dyDescent="0.45">
      <c r="A115"/>
    </row>
    <row r="116" spans="1:14" ht="14.25" x14ac:dyDescent="0.45">
      <c r="A116"/>
    </row>
    <row r="117" spans="1:14" ht="14.25" x14ac:dyDescent="0.45">
      <c r="A117"/>
    </row>
    <row r="118" spans="1:14" ht="14.25" x14ac:dyDescent="0.45">
      <c r="A118"/>
    </row>
    <row r="119" spans="1:14" ht="14.25" x14ac:dyDescent="0.45">
      <c r="A119"/>
    </row>
    <row r="120" spans="1:14" ht="14.25" x14ac:dyDescent="0.45">
      <c r="A120"/>
    </row>
    <row r="121" spans="1:14" ht="14.25" x14ac:dyDescent="0.45">
      <c r="A121"/>
    </row>
    <row r="122" spans="1:14" ht="14.25" x14ac:dyDescent="0.45">
      <c r="A122"/>
    </row>
    <row r="123" spans="1:14" ht="14.25" x14ac:dyDescent="0.45">
      <c r="A123"/>
    </row>
    <row r="124" spans="1:14" ht="14.25" x14ac:dyDescent="0.45">
      <c r="A124"/>
    </row>
    <row r="125" spans="1:14" ht="14.25" x14ac:dyDescent="0.45">
      <c r="A125"/>
    </row>
    <row r="126" spans="1:14" ht="14.25" x14ac:dyDescent="0.45">
      <c r="A126"/>
      <c r="N126" s="60"/>
    </row>
    <row r="127" spans="1:14" ht="14.25" x14ac:dyDescent="0.45">
      <c r="A127"/>
    </row>
    <row r="128" spans="1:14" ht="14.25" x14ac:dyDescent="0.45">
      <c r="A128"/>
    </row>
    <row r="129" spans="1:1" ht="14.25" x14ac:dyDescent="0.45">
      <c r="A129"/>
    </row>
    <row r="130" spans="1:1" ht="14.25" x14ac:dyDescent="0.45">
      <c r="A130"/>
    </row>
    <row r="131" spans="1:1" ht="14.25" x14ac:dyDescent="0.45">
      <c r="A131"/>
    </row>
    <row r="132" spans="1:1" ht="14.25" x14ac:dyDescent="0.45">
      <c r="A132"/>
    </row>
    <row r="133" spans="1:1" ht="14.25" x14ac:dyDescent="0.45">
      <c r="A133"/>
    </row>
    <row r="134" spans="1:1" ht="14.25" x14ac:dyDescent="0.45">
      <c r="A134"/>
    </row>
    <row r="135" spans="1:1" ht="14.25" x14ac:dyDescent="0.45">
      <c r="A135"/>
    </row>
    <row r="136" spans="1:1" ht="14.25" x14ac:dyDescent="0.45">
      <c r="A136"/>
    </row>
    <row r="137" spans="1:1" ht="14.25" x14ac:dyDescent="0.45">
      <c r="A137"/>
    </row>
    <row r="138" spans="1:1" ht="14.25" x14ac:dyDescent="0.45">
      <c r="A138"/>
    </row>
    <row r="139" spans="1:1" ht="14.25" x14ac:dyDescent="0.45">
      <c r="A139"/>
    </row>
    <row r="140" spans="1:1" ht="14.25" x14ac:dyDescent="0.45">
      <c r="A140"/>
    </row>
    <row r="141" spans="1:1" ht="14.25" x14ac:dyDescent="0.45">
      <c r="A141"/>
    </row>
    <row r="142" spans="1:1" ht="14.25" x14ac:dyDescent="0.45">
      <c r="A142"/>
    </row>
    <row r="143" spans="1:1" ht="14.25" x14ac:dyDescent="0.45">
      <c r="A143"/>
    </row>
    <row r="157" spans="1:1" ht="15" customHeight="1" x14ac:dyDescent="0.45">
      <c r="A157"/>
    </row>
    <row r="184" spans="1:1" ht="15" customHeight="1" x14ac:dyDescent="0.45">
      <c r="A184"/>
    </row>
    <row r="185" spans="1:1" ht="15" customHeight="1" x14ac:dyDescent="0.45">
      <c r="A185"/>
    </row>
    <row r="186" spans="1:1" ht="15" customHeight="1" x14ac:dyDescent="0.45">
      <c r="A186"/>
    </row>
    <row r="187" spans="1:1" ht="15" customHeight="1" x14ac:dyDescent="0.45">
      <c r="A187"/>
    </row>
    <row r="188" spans="1:1" ht="15" customHeight="1" x14ac:dyDescent="0.45">
      <c r="A188"/>
    </row>
    <row r="189" spans="1:1" ht="15" customHeight="1" x14ac:dyDescent="0.45">
      <c r="A189"/>
    </row>
    <row r="190" spans="1:1" ht="15" customHeight="1" x14ac:dyDescent="0.4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3"/>
  <sheetViews>
    <sheetView tabSelected="1"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328125" defaultRowHeight="15" customHeight="1" x14ac:dyDescent="0.45"/>
  <cols>
    <col min="1" max="1" width="1.3984375" style="15" customWidth="1"/>
    <col min="2" max="2" width="41.73046875" customWidth="1"/>
    <col min="3" max="14" width="11" customWidth="1"/>
  </cols>
  <sheetData>
    <row r="1" spans="1:13" s="45" customFormat="1" ht="45" customHeight="1" x14ac:dyDescent="0.8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6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45">
      <c r="A4" s="15" t="s">
        <v>23</v>
      </c>
    </row>
    <row r="5" spans="1:13" ht="15" customHeight="1" x14ac:dyDescent="0.4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45">
      <c r="B6" t="s">
        <v>206</v>
      </c>
      <c r="D6" s="60">
        <f>D61/D62</f>
        <v>0.36725801431683786</v>
      </c>
      <c r="E6" s="60">
        <f>E61/E62</f>
        <v>0.33039020222158927</v>
      </c>
      <c r="F6" s="61">
        <v>0.35</v>
      </c>
      <c r="G6" s="61">
        <v>0.35</v>
      </c>
      <c r="H6" s="61">
        <v>0.35</v>
      </c>
      <c r="I6" s="61">
        <v>0.35</v>
      </c>
      <c r="J6" s="61">
        <v>0.35</v>
      </c>
    </row>
    <row r="7" spans="1:13" ht="15" customHeight="1" x14ac:dyDescent="0.4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4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4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4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4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45">
      <c r="A13" s="15" t="s">
        <v>35</v>
      </c>
    </row>
    <row r="14" spans="1:13" ht="15" customHeight="1" x14ac:dyDescent="0.4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45">
      <c r="B15" t="s">
        <v>129</v>
      </c>
      <c r="D15" s="60" t="e">
        <f>D57/C58</f>
        <v>#DIV/0!</v>
      </c>
      <c r="E15" s="60" t="e">
        <f>E57/D58</f>
        <v>#DIV/0!</v>
      </c>
      <c r="F15" s="68">
        <v>-0.23</v>
      </c>
      <c r="G15" s="68">
        <v>-0.23</v>
      </c>
      <c r="H15" s="68">
        <v>-0.23</v>
      </c>
      <c r="I15" s="68">
        <v>-0.23</v>
      </c>
      <c r="J15" s="68">
        <v>-0.23</v>
      </c>
      <c r="K15" s="71"/>
    </row>
    <row r="16" spans="1:13" ht="15" customHeight="1" x14ac:dyDescent="0.4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4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45">
      <c r="B18" t="s">
        <v>224</v>
      </c>
      <c r="D18">
        <f>D83-C83</f>
        <v>45.600000000000009</v>
      </c>
      <c r="E18">
        <f>E83-D83</f>
        <v>23.799999999999983</v>
      </c>
      <c r="F18" s="63">
        <v>0</v>
      </c>
      <c r="G18" s="63">
        <v>0</v>
      </c>
      <c r="H18" s="63">
        <v>0</v>
      </c>
      <c r="I18" s="63">
        <v>0</v>
      </c>
      <c r="J18" s="63">
        <v>0</v>
      </c>
    </row>
    <row r="19" spans="1:11" ht="15" customHeight="1" x14ac:dyDescent="0.4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4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45">
      <c r="B21" t="s">
        <v>36</v>
      </c>
      <c r="D21">
        <f>D87-C87</f>
        <v>144.5</v>
      </c>
      <c r="E21">
        <f>E87-D87</f>
        <v>342</v>
      </c>
      <c r="F21" s="63">
        <v>0</v>
      </c>
      <c r="G21" s="63">
        <v>0</v>
      </c>
      <c r="H21" s="63">
        <v>0</v>
      </c>
      <c r="I21" s="63">
        <v>0</v>
      </c>
      <c r="J21" s="63">
        <v>0</v>
      </c>
    </row>
    <row r="22" spans="1:11" ht="15" customHeight="1" x14ac:dyDescent="0.4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4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4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45">
      <c r="B25" t="s">
        <v>103</v>
      </c>
      <c r="D25">
        <f>D97-C97</f>
        <v>1056.0000000000005</v>
      </c>
      <c r="E25">
        <f>E97-D97</f>
        <v>529.79999999999927</v>
      </c>
      <c r="F25" s="63">
        <v>700</v>
      </c>
      <c r="G25" s="63">
        <v>-500</v>
      </c>
      <c r="H25" s="63">
        <v>-200</v>
      </c>
      <c r="I25" s="63">
        <v>0</v>
      </c>
      <c r="J25" s="63">
        <v>0</v>
      </c>
    </row>
    <row r="26" spans="1:11" ht="15" customHeight="1" x14ac:dyDescent="0.45">
      <c r="B26" t="s">
        <v>107</v>
      </c>
      <c r="D26" s="60"/>
      <c r="E26" s="60"/>
      <c r="F26" s="61">
        <v>0.05</v>
      </c>
      <c r="G26" s="61">
        <v>0.05</v>
      </c>
      <c r="H26" s="61">
        <v>0.05</v>
      </c>
      <c r="I26" s="61">
        <v>0.05</v>
      </c>
      <c r="J26" s="61">
        <v>0.05</v>
      </c>
    </row>
    <row r="27" spans="1:11" ht="15" customHeight="1" x14ac:dyDescent="0.45">
      <c r="B27" t="s">
        <v>108</v>
      </c>
      <c r="D27" s="60"/>
      <c r="E27" s="60"/>
      <c r="F27" s="61">
        <v>0.06</v>
      </c>
      <c r="G27" s="61">
        <v>0.06</v>
      </c>
      <c r="H27" s="61">
        <v>0.06</v>
      </c>
      <c r="I27" s="61">
        <v>0.06</v>
      </c>
      <c r="J27" s="61">
        <v>0.06</v>
      </c>
    </row>
    <row r="28" spans="1:11" ht="15" customHeight="1" x14ac:dyDescent="0.45">
      <c r="B28" t="s">
        <v>109</v>
      </c>
      <c r="D28" s="60"/>
      <c r="E28" s="60"/>
      <c r="F28" s="61">
        <v>0.03</v>
      </c>
      <c r="G28" s="61">
        <v>0.03</v>
      </c>
      <c r="H28" s="61">
        <v>0.03</v>
      </c>
      <c r="I28" s="61">
        <v>0.03</v>
      </c>
      <c r="J28" s="61">
        <v>0.03</v>
      </c>
    </row>
    <row r="29" spans="1:11" ht="15" customHeight="1" x14ac:dyDescent="0.45">
      <c r="D29" s="60"/>
      <c r="E29" s="60"/>
    </row>
    <row r="30" spans="1:11" ht="15" customHeight="1" x14ac:dyDescent="0.45">
      <c r="A30" s="15" t="s">
        <v>29</v>
      </c>
    </row>
    <row r="31" spans="1:11" ht="15" customHeight="1" x14ac:dyDescent="0.45">
      <c r="B31" t="s">
        <v>86</v>
      </c>
      <c r="C31">
        <f>Segment!C64</f>
        <v>10294.299999999999</v>
      </c>
      <c r="D31">
        <f>Segment!D64</f>
        <v>11135.6</v>
      </c>
      <c r="E31">
        <f>Segment!E64</f>
        <v>11433.7</v>
      </c>
    </row>
    <row r="32" spans="1:11" ht="15" customHeight="1" x14ac:dyDescent="0.45">
      <c r="B32" t="s">
        <v>211</v>
      </c>
      <c r="C32">
        <f>C33-C31</f>
        <v>-9452.5</v>
      </c>
      <c r="D32">
        <f t="shared" ref="D32:E32" si="10">D33-D31</f>
        <v>-10843.2</v>
      </c>
      <c r="E32">
        <f t="shared" si="10"/>
        <v>-10643.2</v>
      </c>
      <c r="K32" s="71"/>
    </row>
    <row r="33" spans="2:13" ht="15" customHeight="1" x14ac:dyDescent="0.45">
      <c r="B33" t="s">
        <v>210</v>
      </c>
      <c r="C33">
        <f>Segment!C70</f>
        <v>841.8</v>
      </c>
      <c r="D33">
        <f>Segment!D70</f>
        <v>292.39999999999998</v>
      </c>
      <c r="E33">
        <f>Segment!E70</f>
        <v>790.5</v>
      </c>
      <c r="K33" s="71"/>
    </row>
    <row r="34" spans="2:13" ht="15" customHeight="1" x14ac:dyDescent="0.45">
      <c r="B34" t="s">
        <v>190</v>
      </c>
      <c r="C34">
        <f>Segment!C74*-1</f>
        <v>37.799999999999997</v>
      </c>
      <c r="D34">
        <f>Segment!D74*-1</f>
        <v>-31.5</v>
      </c>
      <c r="E34">
        <f>Segment!E74*-1</f>
        <v>-37.200000000000003</v>
      </c>
      <c r="K34" s="71"/>
    </row>
    <row r="35" spans="2:13" ht="15" customHeight="1" x14ac:dyDescent="0.45">
      <c r="B35" t="s">
        <v>193</v>
      </c>
      <c r="C35">
        <f>Segment!C75*-1</f>
        <v>-84.8</v>
      </c>
      <c r="D35">
        <f>Segment!D75*-1</f>
        <v>-92.7</v>
      </c>
      <c r="E35">
        <f>Segment!E75*-1</f>
        <v>-92.7</v>
      </c>
      <c r="K35" s="71"/>
    </row>
    <row r="36" spans="2:13" ht="15" customHeight="1" x14ac:dyDescent="0.45">
      <c r="B36" t="s">
        <v>212</v>
      </c>
      <c r="C36">
        <f>C33+C34+C35</f>
        <v>794.8</v>
      </c>
      <c r="D36">
        <f t="shared" ref="D36:E36" si="11">D33+D34+D35</f>
        <v>168.2</v>
      </c>
      <c r="E36">
        <f t="shared" si="11"/>
        <v>660.59999999999991</v>
      </c>
      <c r="K36" s="71"/>
      <c r="M36" s="65"/>
    </row>
    <row r="37" spans="2:13" ht="15" customHeight="1" x14ac:dyDescent="0.45">
      <c r="B37" t="s">
        <v>127</v>
      </c>
      <c r="C37" s="59">
        <v>-35.1</v>
      </c>
      <c r="D37" s="59">
        <v>-30.2</v>
      </c>
      <c r="E37" s="59">
        <v>-200.8</v>
      </c>
    </row>
    <row r="38" spans="2:13" ht="15" customHeight="1" x14ac:dyDescent="0.45">
      <c r="B38" t="s">
        <v>30</v>
      </c>
      <c r="C38">
        <f>SUM(C36:C37)</f>
        <v>759.69999999999993</v>
      </c>
      <c r="D38">
        <f>SUM(D36:D37)</f>
        <v>138</v>
      </c>
      <c r="E38">
        <f>SUM(E36:E37)</f>
        <v>459.7999999999999</v>
      </c>
      <c r="M38" s="65"/>
    </row>
    <row r="39" spans="2:13" ht="15" customHeight="1" x14ac:dyDescent="0.45">
      <c r="B39" t="s">
        <v>31</v>
      </c>
      <c r="C39" s="59">
        <v>-191.7</v>
      </c>
      <c r="D39" s="66">
        <v>-32.200000000000003</v>
      </c>
      <c r="E39" s="66">
        <v>-145.4</v>
      </c>
    </row>
    <row r="40" spans="2:13" ht="15" customHeight="1" x14ac:dyDescent="0.45">
      <c r="B40" t="s">
        <v>32</v>
      </c>
      <c r="C40">
        <f t="shared" ref="C40:E40" si="12">SUM(C38:C39)</f>
        <v>568</v>
      </c>
      <c r="D40">
        <f t="shared" si="12"/>
        <v>105.8</v>
      </c>
      <c r="E40">
        <f t="shared" si="12"/>
        <v>314.39999999999986</v>
      </c>
      <c r="M40" s="65"/>
    </row>
    <row r="42" spans="2:13" ht="15" customHeight="1" x14ac:dyDescent="0.45">
      <c r="B42" t="s">
        <v>153</v>
      </c>
      <c r="C42">
        <f>C40+(Segment!C74+Segment!C75)*(1+C8)</f>
        <v>600.9</v>
      </c>
      <c r="D42">
        <f>D40+(Segment!D74+Segment!D75)*(1+D8)</f>
        <v>192.74</v>
      </c>
      <c r="E42">
        <f>E40+(Segment!E74+Segment!E75)*(1+E8)</f>
        <v>405.32999999999987</v>
      </c>
    </row>
    <row r="43" spans="2:13" ht="15" customHeight="1" x14ac:dyDescent="0.45">
      <c r="D43" s="64"/>
      <c r="E43" s="64"/>
    </row>
    <row r="44" spans="2:13" ht="15" customHeight="1" x14ac:dyDescent="0.45">
      <c r="B44" t="s">
        <v>34</v>
      </c>
      <c r="C44" s="67">
        <f>C72/C45*-1</f>
        <v>0.40961098398169338</v>
      </c>
      <c r="D44" s="67">
        <f>D72/D45*-1</f>
        <v>1.5003813882532417</v>
      </c>
      <c r="E44" s="67">
        <f>E72/E45*-1</f>
        <v>0.18993135011441648</v>
      </c>
      <c r="F44" s="67"/>
      <c r="G44" s="67"/>
      <c r="H44" s="67"/>
      <c r="I44" s="67"/>
      <c r="J44" s="67"/>
      <c r="M44" s="67"/>
    </row>
    <row r="45" spans="2:13" ht="15" customHeight="1" x14ac:dyDescent="0.45">
      <c r="B45" t="s">
        <v>27</v>
      </c>
      <c r="C45" s="59">
        <v>131.1</v>
      </c>
      <c r="D45" s="66">
        <v>131.1</v>
      </c>
      <c r="E45" s="66">
        <v>131.1</v>
      </c>
    </row>
    <row r="46" spans="2:13" ht="15" customHeight="1" x14ac:dyDescent="0.45">
      <c r="B46" t="s">
        <v>28</v>
      </c>
      <c r="C46" s="59">
        <v>131.1</v>
      </c>
      <c r="D46" s="66">
        <v>131.1</v>
      </c>
      <c r="E46" s="66">
        <v>131.1</v>
      </c>
    </row>
    <row r="47" spans="2:13" ht="15" customHeight="1" x14ac:dyDescent="0.45">
      <c r="B47" t="s">
        <v>33</v>
      </c>
      <c r="C47">
        <f t="shared" ref="C47:E47" si="13">C42/C46</f>
        <v>4.583524027459954</v>
      </c>
      <c r="D47" s="64">
        <f t="shared" si="13"/>
        <v>1.4701754385964914</v>
      </c>
      <c r="E47" s="64">
        <f t="shared" si="13"/>
        <v>3.0917620137299764</v>
      </c>
      <c r="F47" s="67"/>
      <c r="G47" s="67"/>
      <c r="H47" s="67"/>
      <c r="I47" s="67"/>
      <c r="J47" s="67"/>
      <c r="M47" s="67"/>
    </row>
    <row r="49" spans="1:10" ht="15" customHeight="1" x14ac:dyDescent="0.45">
      <c r="B49" t="s">
        <v>215</v>
      </c>
      <c r="C49">
        <f>(C57+C67)*-1</f>
        <v>938.9</v>
      </c>
      <c r="D49">
        <f>(D57+D67)*-1</f>
        <v>1013.4</v>
      </c>
      <c r="E49">
        <f>(E57+E67)*-1</f>
        <v>1046.5</v>
      </c>
    </row>
    <row r="50" spans="1:10" ht="15" customHeight="1" x14ac:dyDescent="0.45">
      <c r="B50" t="s">
        <v>214</v>
      </c>
      <c r="C50">
        <f t="shared" ref="C50:E50" si="14">C49+C35</f>
        <v>854.1</v>
      </c>
      <c r="D50">
        <f t="shared" si="14"/>
        <v>920.69999999999993</v>
      </c>
      <c r="E50">
        <f t="shared" si="14"/>
        <v>953.8</v>
      </c>
    </row>
    <row r="51" spans="1:10" ht="15" customHeight="1" x14ac:dyDescent="0.45">
      <c r="B51" t="s">
        <v>213</v>
      </c>
      <c r="D51" s="60">
        <f>D50/C50-1</f>
        <v>7.7976817702845036E-2</v>
      </c>
      <c r="E51" s="60">
        <f t="shared" ref="E51" si="15">E50/D50-1</f>
        <v>3.5950906918648773E-2</v>
      </c>
      <c r="F51" s="60"/>
      <c r="G51" s="60"/>
      <c r="H51" s="60"/>
      <c r="I51" s="60"/>
      <c r="J51" s="60"/>
    </row>
    <row r="52" spans="1:10" ht="15" customHeight="1" x14ac:dyDescent="0.45">
      <c r="B52" t="s">
        <v>219</v>
      </c>
      <c r="C52">
        <f t="shared" ref="C52:E52" si="16">C33+C50</f>
        <v>1695.9</v>
      </c>
      <c r="D52">
        <f t="shared" si="16"/>
        <v>1213.0999999999999</v>
      </c>
      <c r="E52">
        <f t="shared" si="16"/>
        <v>1744.3</v>
      </c>
    </row>
    <row r="54" spans="1:10" ht="15" customHeight="1" x14ac:dyDescent="0.45">
      <c r="A54" s="15" t="s">
        <v>38</v>
      </c>
    </row>
    <row r="55" spans="1:10" ht="15" customHeight="1" x14ac:dyDescent="0.45">
      <c r="B55" t="s">
        <v>121</v>
      </c>
      <c r="D55" s="59"/>
      <c r="E55" s="59"/>
    </row>
    <row r="56" spans="1:10" ht="15" customHeight="1" x14ac:dyDescent="0.45">
      <c r="B56" t="s">
        <v>200</v>
      </c>
      <c r="C56" s="59">
        <f>333.8+529.1</f>
        <v>862.90000000000009</v>
      </c>
      <c r="D56" s="59">
        <f>382.7+514.7</f>
        <v>897.40000000000009</v>
      </c>
      <c r="E56" s="59">
        <f>442.8+608.9</f>
        <v>1051.7</v>
      </c>
    </row>
    <row r="57" spans="1:10" ht="15" customHeight="1" x14ac:dyDescent="0.45">
      <c r="B57" t="s">
        <v>124</v>
      </c>
      <c r="C57" s="66">
        <v>-768.4</v>
      </c>
      <c r="D57" s="66">
        <v>-824.4</v>
      </c>
      <c r="E57" s="66">
        <v>-854.3</v>
      </c>
    </row>
    <row r="58" spans="1:10" ht="15" customHeight="1" x14ac:dyDescent="0.45">
      <c r="B58" t="s">
        <v>122</v>
      </c>
    </row>
    <row r="60" spans="1:10" ht="15" customHeight="1" x14ac:dyDescent="0.45">
      <c r="B60" t="s">
        <v>203</v>
      </c>
      <c r="D60" s="59">
        <v>203.3</v>
      </c>
      <c r="E60" s="59">
        <v>235.1</v>
      </c>
    </row>
    <row r="61" spans="1:10" ht="15.75" customHeight="1" x14ac:dyDescent="0.45">
      <c r="B61" t="s">
        <v>202</v>
      </c>
      <c r="D61" s="59">
        <v>118</v>
      </c>
      <c r="E61" s="59">
        <v>116</v>
      </c>
    </row>
    <row r="62" spans="1:10" ht="15.75" customHeight="1" x14ac:dyDescent="0.45">
      <c r="B62" t="s">
        <v>204</v>
      </c>
      <c r="D62">
        <f>SUM(D60:D61)</f>
        <v>321.3</v>
      </c>
      <c r="E62">
        <f>SUM(E60:E61)</f>
        <v>351.1</v>
      </c>
    </row>
    <row r="64" spans="1:10" ht="15" customHeight="1" x14ac:dyDescent="0.45">
      <c r="B64" t="s">
        <v>123</v>
      </c>
      <c r="D64" s="59"/>
      <c r="E64" s="59"/>
    </row>
    <row r="65" spans="1:5" ht="15" customHeight="1" x14ac:dyDescent="0.45">
      <c r="B65" t="s">
        <v>202</v>
      </c>
      <c r="C65" s="59">
        <v>100</v>
      </c>
      <c r="D65">
        <f>Model!D61</f>
        <v>118</v>
      </c>
      <c r="E65">
        <f>Model!E61</f>
        <v>116</v>
      </c>
    </row>
    <row r="66" spans="1:5" ht="15" customHeight="1" x14ac:dyDescent="0.45">
      <c r="B66" t="s">
        <v>207</v>
      </c>
      <c r="C66" s="59">
        <f>118-C65</f>
        <v>18</v>
      </c>
      <c r="D66" s="59">
        <f>144.7-D65</f>
        <v>26.699999999999989</v>
      </c>
      <c r="E66" s="59">
        <f>159.8-E65</f>
        <v>43.800000000000011</v>
      </c>
    </row>
    <row r="67" spans="1:5" ht="15" customHeight="1" x14ac:dyDescent="0.45">
      <c r="B67" t="s">
        <v>209</v>
      </c>
      <c r="C67" s="66">
        <v>-170.5</v>
      </c>
      <c r="D67" s="66">
        <v>-189</v>
      </c>
      <c r="E67" s="66">
        <v>-192.2</v>
      </c>
    </row>
    <row r="68" spans="1:5" ht="15" customHeight="1" x14ac:dyDescent="0.45">
      <c r="B68" t="s">
        <v>130</v>
      </c>
    </row>
    <row r="70" spans="1:5" ht="15" customHeight="1" x14ac:dyDescent="0.45">
      <c r="B70" t="s">
        <v>39</v>
      </c>
    </row>
    <row r="71" spans="1:5" ht="15" customHeight="1" x14ac:dyDescent="0.45">
      <c r="B71" t="s">
        <v>32</v>
      </c>
    </row>
    <row r="72" spans="1:5" ht="15" customHeight="1" x14ac:dyDescent="0.45">
      <c r="B72" t="s">
        <v>40</v>
      </c>
      <c r="C72" s="59">
        <v>-53.7</v>
      </c>
      <c r="D72" s="59">
        <v>-196.7</v>
      </c>
      <c r="E72" s="59">
        <v>-24.9</v>
      </c>
    </row>
    <row r="73" spans="1:5" ht="15" customHeight="1" x14ac:dyDescent="0.45">
      <c r="B73" t="s">
        <v>41</v>
      </c>
    </row>
    <row r="75" spans="1:5" ht="15" customHeight="1" x14ac:dyDescent="0.45">
      <c r="B75" t="s">
        <v>42</v>
      </c>
      <c r="C75">
        <f>SUM(C81:C83)</f>
        <v>4214.8999999999996</v>
      </c>
      <c r="D75">
        <f t="shared" ref="D75:E75" si="17">SUM(D81:D83)</f>
        <v>4797.7</v>
      </c>
      <c r="E75">
        <f t="shared" si="17"/>
        <v>4911.5</v>
      </c>
    </row>
    <row r="76" spans="1:5" ht="15" customHeight="1" x14ac:dyDescent="0.45">
      <c r="B76" t="s">
        <v>43</v>
      </c>
      <c r="C76">
        <f>C94</f>
        <v>3392.4</v>
      </c>
      <c r="D76">
        <f>D94</f>
        <v>3044.8</v>
      </c>
      <c r="E76">
        <f>E94</f>
        <v>3365.3999999999996</v>
      </c>
    </row>
    <row r="77" spans="1:5" ht="15" customHeight="1" x14ac:dyDescent="0.45">
      <c r="B77" t="s">
        <v>44</v>
      </c>
      <c r="C77">
        <f>C75-C76</f>
        <v>822.49999999999955</v>
      </c>
      <c r="D77">
        <f t="shared" ref="D77:E77" si="18">D75-D76</f>
        <v>1752.8999999999996</v>
      </c>
      <c r="E77">
        <f t="shared" si="18"/>
        <v>1546.1000000000004</v>
      </c>
    </row>
    <row r="79" spans="1:5" ht="15" customHeight="1" x14ac:dyDescent="0.45">
      <c r="A79" s="15" t="s">
        <v>45</v>
      </c>
    </row>
    <row r="80" spans="1:5" ht="15" customHeight="1" x14ac:dyDescent="0.45">
      <c r="B80" t="s">
        <v>91</v>
      </c>
      <c r="C80" s="59">
        <v>483</v>
      </c>
      <c r="D80" s="59">
        <v>318.10000000000002</v>
      </c>
      <c r="E80" s="59">
        <v>311.8</v>
      </c>
    </row>
    <row r="81" spans="2:10" ht="15" customHeight="1" x14ac:dyDescent="0.45">
      <c r="B81" t="s">
        <v>92</v>
      </c>
      <c r="C81" s="59">
        <v>2481.6</v>
      </c>
      <c r="D81" s="59">
        <v>2846.3</v>
      </c>
      <c r="E81" s="59">
        <v>2923.8</v>
      </c>
    </row>
    <row r="82" spans="2:10" ht="15" customHeight="1" x14ac:dyDescent="0.45">
      <c r="B82" t="s">
        <v>93</v>
      </c>
      <c r="C82" s="59">
        <v>1632.1</v>
      </c>
      <c r="D82" s="59">
        <v>1804.6</v>
      </c>
      <c r="E82" s="59">
        <v>1817.1</v>
      </c>
    </row>
    <row r="83" spans="2:10" ht="15" customHeight="1" x14ac:dyDescent="0.45">
      <c r="B83" t="s">
        <v>94</v>
      </c>
      <c r="C83" s="59">
        <v>101.2</v>
      </c>
      <c r="D83" s="59">
        <v>146.80000000000001</v>
      </c>
      <c r="E83" s="59">
        <v>170.6</v>
      </c>
    </row>
    <row r="84" spans="2:10" ht="15" customHeight="1" x14ac:dyDescent="0.45">
      <c r="B84" t="s">
        <v>46</v>
      </c>
      <c r="C84">
        <f t="shared" ref="C84:E84" si="19">SUM(C80:C83)</f>
        <v>4697.8999999999996</v>
      </c>
      <c r="D84" s="65">
        <f t="shared" si="19"/>
        <v>5115.8</v>
      </c>
      <c r="E84" s="65">
        <f t="shared" si="19"/>
        <v>5223.3000000000011</v>
      </c>
      <c r="F84" s="65"/>
      <c r="G84" s="65"/>
      <c r="H84" s="65"/>
      <c r="I84" s="65"/>
      <c r="J84" s="65"/>
    </row>
    <row r="86" spans="2:10" ht="15" customHeight="1" x14ac:dyDescent="0.45">
      <c r="B86" t="s">
        <v>120</v>
      </c>
      <c r="C86" s="59">
        <v>3381.9</v>
      </c>
      <c r="D86" s="59">
        <v>3555</v>
      </c>
      <c r="E86" s="59">
        <v>3942.6</v>
      </c>
    </row>
    <row r="87" spans="2:10" ht="15" customHeight="1" x14ac:dyDescent="0.45">
      <c r="B87" t="s">
        <v>88</v>
      </c>
      <c r="C87" s="59">
        <v>1523.4</v>
      </c>
      <c r="D87" s="59">
        <v>1667.9</v>
      </c>
      <c r="E87" s="59">
        <v>2009.9</v>
      </c>
    </row>
    <row r="88" spans="2:10" ht="15" customHeight="1" x14ac:dyDescent="0.45">
      <c r="B88" t="s">
        <v>47</v>
      </c>
      <c r="C88" s="59">
        <v>3544.8</v>
      </c>
      <c r="D88" s="59">
        <v>3619.4</v>
      </c>
      <c r="E88" s="59">
        <v>3558</v>
      </c>
    </row>
    <row r="89" spans="2:10" ht="15" customHeight="1" x14ac:dyDescent="0.45">
      <c r="B89" t="s">
        <v>125</v>
      </c>
      <c r="C89" s="59">
        <v>2165.9</v>
      </c>
      <c r="D89" s="59">
        <v>2162.1</v>
      </c>
      <c r="E89" s="59">
        <v>2106.9</v>
      </c>
    </row>
    <row r="90" spans="2:10" ht="15" customHeight="1" x14ac:dyDescent="0.45">
      <c r="B90" t="s">
        <v>48</v>
      </c>
      <c r="C90" s="59">
        <v>1539.4</v>
      </c>
      <c r="D90" s="66">
        <v>1531.5</v>
      </c>
      <c r="E90" s="66">
        <v>1789.1</v>
      </c>
    </row>
    <row r="91" spans="2:10" ht="15" customHeight="1" x14ac:dyDescent="0.45">
      <c r="B91" t="s">
        <v>49</v>
      </c>
      <c r="C91">
        <f t="shared" ref="C91:E91" si="20">SUM(C84,C86:C90)</f>
        <v>16853.3</v>
      </c>
      <c r="D91" s="65">
        <f t="shared" si="20"/>
        <v>17651.699999999997</v>
      </c>
      <c r="E91" s="65">
        <f t="shared" si="20"/>
        <v>18629.8</v>
      </c>
      <c r="F91" s="65"/>
      <c r="G91" s="65"/>
      <c r="H91" s="65"/>
      <c r="I91" s="65"/>
      <c r="J91" s="65"/>
    </row>
    <row r="93" spans="2:10" ht="15" customHeight="1" x14ac:dyDescent="0.45">
      <c r="B93" t="s">
        <v>89</v>
      </c>
      <c r="C93" s="59">
        <v>1712.9</v>
      </c>
      <c r="D93" s="59">
        <v>1835.1</v>
      </c>
      <c r="E93" s="59">
        <v>1607.4</v>
      </c>
    </row>
    <row r="94" spans="2:10" ht="15" customHeight="1" x14ac:dyDescent="0.45">
      <c r="B94" t="s">
        <v>43</v>
      </c>
      <c r="C94" s="59">
        <v>3392.4</v>
      </c>
      <c r="D94" s="66">
        <v>3044.8</v>
      </c>
      <c r="E94" s="66">
        <v>3365.3999999999996</v>
      </c>
    </row>
    <row r="95" spans="2:10" ht="15" customHeight="1" x14ac:dyDescent="0.45">
      <c r="B95" t="s">
        <v>51</v>
      </c>
      <c r="C95">
        <f>SUM(C93:C94)</f>
        <v>5105.3</v>
      </c>
      <c r="D95" s="65">
        <f>SUM(D93:D94)</f>
        <v>4879.8999999999996</v>
      </c>
      <c r="E95" s="65">
        <f>SUM(E93:E94)</f>
        <v>4972.7999999999993</v>
      </c>
      <c r="F95" s="65"/>
      <c r="G95" s="65"/>
      <c r="H95" s="65"/>
      <c r="I95" s="65"/>
      <c r="J95" s="65"/>
    </row>
    <row r="97" spans="1:10" ht="15" customHeight="1" x14ac:dyDescent="0.45">
      <c r="B97" t="s">
        <v>90</v>
      </c>
      <c r="C97" s="59">
        <v>3441.1</v>
      </c>
      <c r="D97" s="59">
        <v>4497.1000000000004</v>
      </c>
      <c r="E97" s="59">
        <v>5026.8999999999996</v>
      </c>
    </row>
    <row r="98" spans="1:10" ht="15" customHeight="1" x14ac:dyDescent="0.45">
      <c r="B98" t="s">
        <v>52</v>
      </c>
      <c r="C98" s="59">
        <v>3138</v>
      </c>
      <c r="D98" s="66">
        <v>2666.9</v>
      </c>
      <c r="E98" s="66">
        <v>2857.4</v>
      </c>
    </row>
    <row r="99" spans="1:10" ht="15" customHeight="1" x14ac:dyDescent="0.45">
      <c r="B99" t="s">
        <v>53</v>
      </c>
      <c r="C99">
        <f t="shared" ref="C99:E99" si="21">SUM(C95,C97:C98)</f>
        <v>11684.4</v>
      </c>
      <c r="D99" s="65">
        <f t="shared" si="21"/>
        <v>12043.9</v>
      </c>
      <c r="E99" s="65">
        <f t="shared" si="21"/>
        <v>12857.099999999999</v>
      </c>
      <c r="F99" s="65"/>
      <c r="G99" s="65"/>
      <c r="H99" s="65"/>
      <c r="I99" s="65"/>
      <c r="J99" s="65"/>
    </row>
    <row r="101" spans="1:10" ht="15" customHeight="1" x14ac:dyDescent="0.45">
      <c r="B101" t="s">
        <v>95</v>
      </c>
      <c r="C101" s="59">
        <v>5168.8999999999996</v>
      </c>
      <c r="D101" s="59">
        <v>5607.8</v>
      </c>
      <c r="E101" s="59">
        <v>5772.7</v>
      </c>
    </row>
    <row r="102" spans="1:10" ht="15" customHeight="1" x14ac:dyDescent="0.45">
      <c r="B102" t="s">
        <v>54</v>
      </c>
      <c r="C102">
        <f t="shared" ref="C102:E102" si="22">C99+SUM(C101:C101)</f>
        <v>16853.3</v>
      </c>
      <c r="D102" s="65">
        <f t="shared" si="22"/>
        <v>17651.7</v>
      </c>
      <c r="E102" s="65">
        <f t="shared" si="22"/>
        <v>18629.8</v>
      </c>
      <c r="F102" s="65"/>
      <c r="G102" s="65"/>
      <c r="H102" s="65"/>
      <c r="I102" s="65"/>
      <c r="J102" s="65"/>
    </row>
    <row r="104" spans="1:10" ht="15" customHeight="1" x14ac:dyDescent="0.45">
      <c r="B104" t="s">
        <v>55</v>
      </c>
      <c r="C104">
        <f t="shared" ref="C104:E104" si="23">C102-C91</f>
        <v>0</v>
      </c>
      <c r="D104">
        <f t="shared" si="23"/>
        <v>0</v>
      </c>
      <c r="E104">
        <f t="shared" si="23"/>
        <v>0</v>
      </c>
    </row>
    <row r="106" spans="1:10" ht="15" customHeight="1" x14ac:dyDescent="0.45">
      <c r="A106" s="15" t="s">
        <v>56</v>
      </c>
    </row>
    <row r="107" spans="1:10" ht="15" customHeight="1" x14ac:dyDescent="0.45">
      <c r="B107" t="s">
        <v>32</v>
      </c>
    </row>
    <row r="108" spans="1:10" ht="15" customHeight="1" x14ac:dyDescent="0.45">
      <c r="B108" t="s">
        <v>96</v>
      </c>
    </row>
    <row r="109" spans="1:10" ht="15" customHeight="1" x14ac:dyDescent="0.45">
      <c r="B109" t="s">
        <v>57</v>
      </c>
    </row>
    <row r="110" spans="1:10" ht="15" customHeight="1" x14ac:dyDescent="0.45">
      <c r="B110" t="s">
        <v>58</v>
      </c>
    </row>
    <row r="111" spans="1:10" ht="15" customHeight="1" x14ac:dyDescent="0.45">
      <c r="B111" t="s">
        <v>59</v>
      </c>
    </row>
    <row r="112" spans="1:10" ht="15" customHeight="1" x14ac:dyDescent="0.45">
      <c r="B112" t="s">
        <v>60</v>
      </c>
    </row>
    <row r="114" spans="1:2" ht="15" customHeight="1" x14ac:dyDescent="0.45">
      <c r="B114" t="s">
        <v>220</v>
      </c>
    </row>
    <row r="115" spans="1:2" ht="15" customHeight="1" x14ac:dyDescent="0.45">
      <c r="B115" t="s">
        <v>61</v>
      </c>
    </row>
    <row r="116" spans="1:2" ht="15" customHeight="1" x14ac:dyDescent="0.45">
      <c r="B116" t="s">
        <v>62</v>
      </c>
    </row>
    <row r="118" spans="1:2" ht="15" customHeight="1" x14ac:dyDescent="0.45">
      <c r="B118" t="s">
        <v>63</v>
      </c>
    </row>
    <row r="119" spans="1:2" ht="15" customHeight="1" x14ac:dyDescent="0.45">
      <c r="B119" t="s">
        <v>64</v>
      </c>
    </row>
    <row r="120" spans="1:2" ht="15" customHeight="1" x14ac:dyDescent="0.45">
      <c r="B120" t="s">
        <v>65</v>
      </c>
    </row>
    <row r="122" spans="1:2" ht="15" customHeight="1" x14ac:dyDescent="0.45">
      <c r="B122" t="s">
        <v>97</v>
      </c>
    </row>
    <row r="123" spans="1:2" ht="15" customHeight="1" x14ac:dyDescent="0.45">
      <c r="B123" t="s">
        <v>66</v>
      </c>
    </row>
    <row r="124" spans="1:2" ht="15" customHeight="1" x14ac:dyDescent="0.45">
      <c r="B124" t="s">
        <v>102</v>
      </c>
    </row>
    <row r="126" spans="1:2" ht="15" customHeight="1" x14ac:dyDescent="0.45">
      <c r="A126" s="15" t="s">
        <v>110</v>
      </c>
    </row>
    <row r="127" spans="1:2" ht="15" customHeight="1" x14ac:dyDescent="0.45">
      <c r="B127" t="s">
        <v>111</v>
      </c>
    </row>
    <row r="128" spans="1:2" ht="15" customHeight="1" x14ac:dyDescent="0.45">
      <c r="B128" t="s">
        <v>112</v>
      </c>
    </row>
    <row r="129" spans="1:10" ht="15" customHeight="1" x14ac:dyDescent="0.45">
      <c r="B129" t="s">
        <v>113</v>
      </c>
    </row>
    <row r="131" spans="1:10" ht="15" customHeight="1" x14ac:dyDescent="0.45">
      <c r="A131" s="15" t="s">
        <v>67</v>
      </c>
    </row>
    <row r="132" spans="1:10" ht="15" customHeight="1" x14ac:dyDescent="0.45">
      <c r="B132" t="s">
        <v>101</v>
      </c>
      <c r="D132" s="60">
        <f>D31/C31-1</f>
        <v>8.1724838017155133E-2</v>
      </c>
      <c r="E132" s="60">
        <f>E31/D31-1</f>
        <v>2.6769998922375082E-2</v>
      </c>
      <c r="F132" s="60"/>
      <c r="G132" s="60"/>
      <c r="H132" s="60"/>
      <c r="I132" s="60"/>
      <c r="J132" s="60"/>
    </row>
    <row r="133" spans="1:10" ht="15" customHeight="1" x14ac:dyDescent="0.45">
      <c r="B133" t="s">
        <v>68</v>
      </c>
      <c r="C133" s="60">
        <f>C33/C31</f>
        <v>8.1773408585333635E-2</v>
      </c>
      <c r="D133" s="60">
        <f>D33/D31</f>
        <v>2.6258127087898268E-2</v>
      </c>
      <c r="E133" s="60">
        <f>E33/E31</f>
        <v>6.9137724446154777E-2</v>
      </c>
      <c r="F133" s="60"/>
      <c r="G133" s="60"/>
      <c r="H133" s="60"/>
      <c r="I133" s="60"/>
      <c r="J133" s="60"/>
    </row>
    <row r="134" spans="1:10" ht="15" customHeight="1" x14ac:dyDescent="0.45">
      <c r="B134" t="s">
        <v>69</v>
      </c>
      <c r="C134" s="60">
        <f>C52/C31</f>
        <v>0.16474165314785855</v>
      </c>
      <c r="D134" s="60">
        <f>D52/D31</f>
        <v>0.10893889866733718</v>
      </c>
      <c r="E134" s="60">
        <f>E52/E31</f>
        <v>0.15255778969187575</v>
      </c>
      <c r="F134" s="60"/>
      <c r="G134" s="60"/>
      <c r="H134" s="60"/>
      <c r="I134" s="60"/>
      <c r="J134" s="60"/>
    </row>
    <row r="135" spans="1:10" ht="15" customHeight="1" x14ac:dyDescent="0.45">
      <c r="B135" t="s">
        <v>70</v>
      </c>
      <c r="C135" s="60">
        <f>C42/C31</f>
        <v>5.8372108836929178E-2</v>
      </c>
      <c r="D135" s="60">
        <f>D42/D31</f>
        <v>1.7308452171414204E-2</v>
      </c>
      <c r="E135" s="60">
        <f>E42/E31</f>
        <v>3.5450466603111838E-2</v>
      </c>
      <c r="F135" s="60"/>
      <c r="G135" s="60"/>
      <c r="H135" s="60"/>
      <c r="I135" s="60"/>
      <c r="J135" s="60"/>
    </row>
    <row r="137" spans="1:10" ht="15" customHeight="1" x14ac:dyDescent="0.45">
      <c r="A137" s="15" t="s">
        <v>71</v>
      </c>
    </row>
    <row r="138" spans="1:10" ht="15" customHeight="1" x14ac:dyDescent="0.45">
      <c r="B138" t="s">
        <v>72</v>
      </c>
      <c r="C138">
        <f>C77</f>
        <v>822.49999999999955</v>
      </c>
      <c r="D138">
        <f>D77</f>
        <v>1752.8999999999996</v>
      </c>
      <c r="E138">
        <f>E77</f>
        <v>1546.1000000000004</v>
      </c>
    </row>
    <row r="139" spans="1:10" ht="15" customHeight="1" x14ac:dyDescent="0.45">
      <c r="B139" t="s">
        <v>73</v>
      </c>
      <c r="C139">
        <f>C138/C31</f>
        <v>7.9898584653643245E-2</v>
      </c>
      <c r="D139" s="60">
        <f>D138/D31</f>
        <v>0.15741405941305359</v>
      </c>
      <c r="E139" s="60">
        <f>E138/E31</f>
        <v>0.13522306864794426</v>
      </c>
      <c r="F139" s="60"/>
      <c r="G139" s="60"/>
      <c r="H139" s="60"/>
      <c r="I139" s="60"/>
      <c r="J139" s="60"/>
    </row>
    <row r="140" spans="1:10" ht="15" customHeight="1" x14ac:dyDescent="0.45">
      <c r="B140" t="s">
        <v>74</v>
      </c>
      <c r="C140">
        <f>C86/C31</f>
        <v>0.32852160904578265</v>
      </c>
      <c r="D140" s="60">
        <f>D86/D31</f>
        <v>0.31924638097632818</v>
      </c>
      <c r="E140" s="60">
        <f>E86/E31</f>
        <v>0.34482276078609719</v>
      </c>
      <c r="F140" s="60"/>
      <c r="G140" s="60"/>
      <c r="H140" s="60"/>
      <c r="I140" s="60"/>
      <c r="J140" s="60"/>
    </row>
    <row r="142" spans="1:10" ht="15" customHeight="1" x14ac:dyDescent="0.45">
      <c r="A142" s="15" t="s">
        <v>75</v>
      </c>
    </row>
    <row r="143" spans="1:10" ht="15" customHeight="1" x14ac:dyDescent="0.45">
      <c r="B143" t="s">
        <v>50</v>
      </c>
      <c r="C143">
        <f>C93</f>
        <v>1712.9</v>
      </c>
      <c r="D143">
        <f>D93</f>
        <v>1835.1</v>
      </c>
      <c r="E143">
        <f>E93</f>
        <v>1607.4</v>
      </c>
    </row>
    <row r="144" spans="1:10" ht="15" customHeight="1" x14ac:dyDescent="0.45">
      <c r="B144" t="s">
        <v>76</v>
      </c>
      <c r="C144">
        <f>C97</f>
        <v>3441.1</v>
      </c>
      <c r="D144">
        <f>D97</f>
        <v>4497.1000000000004</v>
      </c>
      <c r="E144">
        <f>E97</f>
        <v>5026.8999999999996</v>
      </c>
    </row>
    <row r="145" spans="1:10" ht="15" customHeight="1" x14ac:dyDescent="0.45">
      <c r="B145" t="s">
        <v>77</v>
      </c>
      <c r="C145">
        <f t="shared" ref="C145:D145" si="24">SUM(C143:C144)</f>
        <v>5154</v>
      </c>
      <c r="D145">
        <f t="shared" si="24"/>
        <v>6332.2000000000007</v>
      </c>
      <c r="E145">
        <f>SUM(E143:E144)</f>
        <v>6634.2999999999993</v>
      </c>
    </row>
    <row r="146" spans="1:10" ht="15" customHeight="1" x14ac:dyDescent="0.45">
      <c r="B146" t="s">
        <v>78</v>
      </c>
      <c r="C146">
        <f>C145-C80</f>
        <v>4671</v>
      </c>
      <c r="D146">
        <f>D145-D80</f>
        <v>6014.1</v>
      </c>
      <c r="E146">
        <f>E145-E80</f>
        <v>6322.4999999999991</v>
      </c>
    </row>
    <row r="147" spans="1:10" ht="15" customHeight="1" x14ac:dyDescent="0.45">
      <c r="B147" t="s">
        <v>79</v>
      </c>
      <c r="C147" s="62">
        <f>C145/C52</f>
        <v>3.0390942862197061</v>
      </c>
      <c r="D147" s="62">
        <f>D145/D52</f>
        <v>5.2198499711482986</v>
      </c>
      <c r="E147" s="62">
        <f>E145/E52</f>
        <v>3.8034168434328954</v>
      </c>
      <c r="F147" s="62"/>
      <c r="G147" s="62"/>
      <c r="H147" s="62"/>
      <c r="I147" s="62"/>
      <c r="J147" s="62"/>
    </row>
    <row r="148" spans="1:10" ht="15" customHeight="1" x14ac:dyDescent="0.45">
      <c r="B148" t="s">
        <v>80</v>
      </c>
      <c r="C148" s="62">
        <f>C146/C52</f>
        <v>2.7542897576508047</v>
      </c>
      <c r="D148" s="62">
        <f>D146/D52</f>
        <v>4.9576292144093648</v>
      </c>
      <c r="E148" s="62">
        <f>E146/E52</f>
        <v>3.6246631886716729</v>
      </c>
      <c r="F148" s="62"/>
      <c r="G148" s="62"/>
      <c r="H148" s="62"/>
      <c r="I148" s="62"/>
      <c r="J148" s="62"/>
    </row>
    <row r="149" spans="1:10" ht="15" customHeight="1" x14ac:dyDescent="0.45">
      <c r="B149" t="s">
        <v>81</v>
      </c>
      <c r="C149">
        <f>C37</f>
        <v>-35.1</v>
      </c>
      <c r="D149">
        <f>D37</f>
        <v>-30.2</v>
      </c>
      <c r="E149">
        <f>E37</f>
        <v>-200.8</v>
      </c>
    </row>
    <row r="150" spans="1:10" ht="15" customHeight="1" x14ac:dyDescent="0.45">
      <c r="B150" t="s">
        <v>82</v>
      </c>
      <c r="C150" s="62">
        <f>IFERROR(C52/C149,"na")</f>
        <v>-48.316239316239319</v>
      </c>
      <c r="D150" s="62">
        <f>IFERROR(D52/D149,"na")</f>
        <v>-40.168874172185426</v>
      </c>
      <c r="E150" s="62">
        <f>IFERROR(E52/E149,"na")</f>
        <v>-8.6867529880478074</v>
      </c>
      <c r="F150" s="62"/>
      <c r="G150" s="62"/>
      <c r="H150" s="62"/>
      <c r="I150" s="62"/>
      <c r="J150" s="62"/>
    </row>
    <row r="151" spans="1:10" ht="15" customHeight="1" x14ac:dyDescent="0.45">
      <c r="B151" t="s">
        <v>83</v>
      </c>
      <c r="C151" s="60">
        <f>C146/(C146+C101)</f>
        <v>0.47469994613766403</v>
      </c>
      <c r="D151" s="60">
        <f>D146/(D146+D101)</f>
        <v>0.51747993013190607</v>
      </c>
      <c r="E151" s="60">
        <f>E146/(E146+E101)</f>
        <v>0.52272802434023413</v>
      </c>
      <c r="F151" s="60"/>
      <c r="G151" s="60"/>
      <c r="H151" s="60"/>
      <c r="I151" s="60"/>
      <c r="J151" s="60"/>
    </row>
    <row r="153" spans="1:10" ht="15" customHeight="1" x14ac:dyDescent="0.45">
      <c r="A153" s="15" t="s">
        <v>84</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328125" defaultRowHeight="15" customHeight="1" x14ac:dyDescent="0.45"/>
  <cols>
    <col min="1" max="1" width="1.3984375" style="15" customWidth="1"/>
    <col min="2" max="2" width="41.73046875" customWidth="1"/>
    <col min="3" max="14" width="11" customWidth="1"/>
  </cols>
  <sheetData>
    <row r="1" spans="1:13" s="45" customFormat="1" ht="45" customHeight="1" x14ac:dyDescent="0.8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6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45">
      <c r="A4" s="15" t="s">
        <v>140</v>
      </c>
    </row>
    <row r="5" spans="1:13" ht="15" customHeight="1" x14ac:dyDescent="0.45">
      <c r="C5" t="s">
        <v>146</v>
      </c>
      <c r="D5" t="s">
        <v>147</v>
      </c>
      <c r="E5" t="s">
        <v>148</v>
      </c>
      <c r="F5" t="s">
        <v>126</v>
      </c>
    </row>
    <row r="6" spans="1:13" ht="15" customHeight="1" x14ac:dyDescent="0.45">
      <c r="B6" t="s">
        <v>143</v>
      </c>
      <c r="C6" s="59">
        <v>935.6</v>
      </c>
      <c r="D6" s="59">
        <v>257.2</v>
      </c>
      <c r="E6" s="59">
        <v>270.8</v>
      </c>
    </row>
    <row r="7" spans="1:13" ht="15" customHeight="1" x14ac:dyDescent="0.45">
      <c r="B7" t="s">
        <v>144</v>
      </c>
      <c r="C7" s="59">
        <v>200.3</v>
      </c>
      <c r="D7" s="59">
        <v>355.8</v>
      </c>
      <c r="E7" s="59">
        <v>235.9</v>
      </c>
    </row>
    <row r="8" spans="1:13" ht="15" customHeight="1" x14ac:dyDescent="0.45">
      <c r="B8" t="s">
        <v>155</v>
      </c>
    </row>
    <row r="9" spans="1:13" ht="15" customHeight="1" x14ac:dyDescent="0.45">
      <c r="B9" t="s">
        <v>145</v>
      </c>
    </row>
    <row r="11" spans="1:13" ht="15" customHeight="1" x14ac:dyDescent="0.45">
      <c r="A11" s="15" t="s">
        <v>141</v>
      </c>
    </row>
    <row r="12" spans="1:13" ht="15" customHeight="1" x14ac:dyDescent="0.45">
      <c r="B12" s="69" t="s">
        <v>138</v>
      </c>
    </row>
    <row r="13" spans="1:13" ht="15" customHeight="1" x14ac:dyDescent="0.45">
      <c r="B13" s="69" t="s">
        <v>154</v>
      </c>
      <c r="C13" s="75">
        <v>5.5</v>
      </c>
    </row>
    <row r="14" spans="1:13" ht="15" customHeight="1" x14ac:dyDescent="0.45">
      <c r="B14" s="69" t="s">
        <v>139</v>
      </c>
    </row>
    <row r="15" spans="1:13" ht="15" customHeight="1" x14ac:dyDescent="0.45">
      <c r="B15" s="69" t="s">
        <v>78</v>
      </c>
    </row>
    <row r="16" spans="1:13" ht="15" customHeight="1" x14ac:dyDescent="0.45">
      <c r="B16" s="69" t="s">
        <v>132</v>
      </c>
    </row>
    <row r="17" spans="1:3" ht="15" customHeight="1" x14ac:dyDescent="0.45">
      <c r="B17" s="69" t="s">
        <v>133</v>
      </c>
    </row>
    <row r="18" spans="1:3" ht="15" customHeight="1" x14ac:dyDescent="0.45">
      <c r="B18" s="69" t="s">
        <v>134</v>
      </c>
      <c r="C18" s="59">
        <v>131.12</v>
      </c>
    </row>
    <row r="19" spans="1:3" ht="15" customHeight="1" x14ac:dyDescent="0.45">
      <c r="B19" s="69" t="s">
        <v>135</v>
      </c>
    </row>
    <row r="20" spans="1:3" ht="15" customHeight="1" x14ac:dyDescent="0.45">
      <c r="B20" s="69" t="s">
        <v>136</v>
      </c>
      <c r="C20" s="59">
        <v>26.77</v>
      </c>
    </row>
    <row r="21" spans="1:3" ht="15" customHeight="1" x14ac:dyDescent="0.45">
      <c r="B21" s="69" t="s">
        <v>137</v>
      </c>
      <c r="C21" s="60"/>
    </row>
    <row r="23" spans="1:3" ht="15" customHeight="1" x14ac:dyDescent="0.45">
      <c r="A23" s="15" t="s">
        <v>152</v>
      </c>
    </row>
    <row r="25" spans="1:3" ht="15" customHeight="1" x14ac:dyDescent="0.45">
      <c r="B25" t="s">
        <v>150</v>
      </c>
    </row>
    <row r="26" spans="1:3" ht="15" customHeight="1" x14ac:dyDescent="0.45">
      <c r="B26" t="s">
        <v>142</v>
      </c>
      <c r="C26" s="59">
        <v>0</v>
      </c>
    </row>
    <row r="27" spans="1:3" ht="15" customHeight="1" x14ac:dyDescent="0.45">
      <c r="B27" t="s">
        <v>149</v>
      </c>
    </row>
    <row r="28" spans="1:3" ht="15" customHeight="1" x14ac:dyDescent="0.45">
      <c r="B28" t="s">
        <v>151</v>
      </c>
    </row>
    <row r="37" spans="12:13" ht="15" customHeight="1" x14ac:dyDescent="0.45">
      <c r="L37" s="65"/>
      <c r="M37" s="65"/>
    </row>
    <row r="40" spans="12:13" ht="15" customHeight="1" x14ac:dyDescent="0.45">
      <c r="L40" s="65"/>
      <c r="M40" s="65"/>
    </row>
    <row r="43" spans="12:13" ht="15" customHeight="1" x14ac:dyDescent="0.45">
      <c r="L43" s="65"/>
      <c r="M43" s="65"/>
    </row>
    <row r="47" spans="12:13" ht="15" customHeight="1" x14ac:dyDescent="0.45">
      <c r="L47" s="67"/>
      <c r="M47" s="67"/>
    </row>
    <row r="50" spans="12:13" ht="15" customHeight="1" x14ac:dyDescent="0.45">
      <c r="L50" s="67"/>
      <c r="M50" s="67"/>
    </row>
    <row r="53" spans="12:13" ht="15" customHeight="1" x14ac:dyDescent="0.4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393A9214-ED90-41D3-8610-6862103BFD02}">
  <ds:schemaRefs>
    <ds:schemaRef ds:uri="http://schemas.openxmlformats.org/package/2006/metadata/core-properties"/>
    <ds:schemaRef ds:uri="http://schemas.microsoft.com/office/2006/documentManagement/types"/>
    <ds:schemaRef ds:uri="69eded41-6c5d-4718-b7b7-dbfd1652bccf"/>
    <ds:schemaRef ds:uri="6ea4884f-dd23-4a9e-9674-e0962577458b"/>
    <ds:schemaRef ds:uri="http://schemas.microsoft.com/office/2006/metadata/properties"/>
    <ds:schemaRef ds:uri="http://purl.org/dc/dcmitype/"/>
    <ds:schemaRef ds:uri="http://purl.org/dc/elements/1.1/"/>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Sophie Harrup</cp:lastModifiedBy>
  <cp:revision/>
  <dcterms:created xsi:type="dcterms:W3CDTF">2016-02-03T14:06:14Z</dcterms:created>
  <dcterms:modified xsi:type="dcterms:W3CDTF">2025-09-04T13:04:35Z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