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ibhero-my.sharepoint.com/personal/oliver_sealey_fe_training/Documents/Documents/materials development/jan 25 new industrial and chemical cases/recordings 14.5.25 ind/"/>
    </mc:Choice>
  </mc:AlternateContent>
  <xr:revisionPtr revIDLastSave="2" documentId="8_{8E1B69F6-94CF-42E3-BB75-BB6D77E2BFE8}" xr6:coauthVersionLast="47" xr6:coauthVersionMax="47" xr10:uidLastSave="{191CF9FA-6475-4BF1-80E6-2CFBBF26E4B3}"/>
  <bookViews>
    <workbookView xWindow="-120" yWindow="-120" windowWidth="51840" windowHeight="21120" activeTab="2" xr2:uid="{00000000-000D-0000-FFFF-FFFF00000000}"/>
  </bookViews>
  <sheets>
    <sheet name="Welcome" sheetId="1" r:id="rId1"/>
    <sheet name="Info" sheetId="6" r:id="rId2"/>
    <sheet name="Segment" sheetId="14" r:id="rId3"/>
    <sheet name="Model" sheetId="2" r:id="rId4"/>
    <sheet name="Valuation" sheetId="16" r:id="rId5"/>
  </sheets>
  <definedNames>
    <definedName name="case_company">Info!$N$5</definedName>
    <definedName name="_xlnm.Print_Area" localSheetId="3">Model!$A$1:$N$153</definedName>
    <definedName name="_xlnm.Print_Area" localSheetId="2">Segment!$A$1:$N$2</definedName>
    <definedName name="_xlnm.Print_Area" localSheetId="4">Valuation!$A$1:$N$157</definedName>
    <definedName name="_xlnm.Print_Titles" localSheetId="3">Model!$1:$2</definedName>
    <definedName name="_xlnm.Print_Titles" localSheetId="2">Segment!$1:$2</definedName>
    <definedName name="_xlnm.Print_Titles" localSheetId="4">Valuation!$1:$2</definedName>
    <definedName name="switch">Info!$N$10</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1" i="14" l="1"/>
  <c r="H31" i="14"/>
  <c r="I31" i="14"/>
  <c r="J31" i="14"/>
  <c r="F31" i="14"/>
  <c r="G26" i="14"/>
  <c r="G27" i="14" s="1"/>
  <c r="H26" i="14"/>
  <c r="I26" i="14"/>
  <c r="J26" i="14"/>
  <c r="J27" i="14" s="1"/>
  <c r="I27" i="14"/>
  <c r="H28" i="14"/>
  <c r="I28" i="14"/>
  <c r="J28" i="14"/>
  <c r="F28" i="14"/>
  <c r="F27" i="14"/>
  <c r="F26" i="14"/>
  <c r="G23" i="14"/>
  <c r="G24" i="14" s="1"/>
  <c r="H23" i="14"/>
  <c r="I23" i="14" s="1"/>
  <c r="G20" i="14"/>
  <c r="H20" i="14"/>
  <c r="I20" i="14" s="1"/>
  <c r="J20" i="14" s="1"/>
  <c r="F24" i="14"/>
  <c r="F23" i="14"/>
  <c r="F20" i="14"/>
  <c r="G14" i="14"/>
  <c r="H14" i="14" s="1"/>
  <c r="G8" i="14"/>
  <c r="G9" i="14"/>
  <c r="H9" i="14" s="1"/>
  <c r="I9" i="14" s="1"/>
  <c r="J9" i="14" s="1"/>
  <c r="F15" i="14"/>
  <c r="F11" i="14"/>
  <c r="F10" i="14"/>
  <c r="F14" i="14"/>
  <c r="F9" i="14"/>
  <c r="G76" i="14"/>
  <c r="G68" i="14"/>
  <c r="G69" i="14"/>
  <c r="G70" i="14"/>
  <c r="G71" i="14"/>
  <c r="G62" i="14"/>
  <c r="G63" i="14"/>
  <c r="G64" i="14"/>
  <c r="G57" i="14"/>
  <c r="G58" i="14"/>
  <c r="G55" i="14"/>
  <c r="G52" i="14"/>
  <c r="G48" i="14"/>
  <c r="G49" i="14"/>
  <c r="G43" i="14"/>
  <c r="G44" i="14"/>
  <c r="G45" i="14"/>
  <c r="G37" i="14"/>
  <c r="G34" i="14"/>
  <c r="G25" i="14"/>
  <c r="G18" i="14"/>
  <c r="G19" i="14"/>
  <c r="F8" i="14"/>
  <c r="D75" i="2"/>
  <c r="E75" i="2"/>
  <c r="C75" i="2"/>
  <c r="G28" i="14" l="1"/>
  <c r="H27" i="14"/>
  <c r="J23" i="14"/>
  <c r="J24" i="14" s="1"/>
  <c r="I24" i="14"/>
  <c r="H24" i="14"/>
  <c r="H10" i="14"/>
  <c r="H15" i="14" s="1"/>
  <c r="I14" i="14"/>
  <c r="G10" i="14"/>
  <c r="D49" i="14"/>
  <c r="E49" i="14"/>
  <c r="C49" i="14"/>
  <c r="G11" i="14" l="1"/>
  <c r="H8" i="14" s="1"/>
  <c r="H11" i="14" s="1"/>
  <c r="I8" i="14" s="1"/>
  <c r="I11" i="14" s="1"/>
  <c r="J8" i="14" s="1"/>
  <c r="J11" i="14" s="1"/>
  <c r="G15" i="14"/>
  <c r="J14" i="14"/>
  <c r="J10" i="14" s="1"/>
  <c r="J15" i="14" s="1"/>
  <c r="I10" i="14"/>
  <c r="I15" i="14" s="1"/>
  <c r="E62" i="2"/>
  <c r="E6" i="2" s="1"/>
  <c r="D62" i="2"/>
  <c r="D6" i="2" s="1"/>
  <c r="D5" i="2" l="1"/>
  <c r="E5" i="2"/>
  <c r="D41" i="14"/>
  <c r="E41" i="14"/>
  <c r="C56" i="2"/>
  <c r="D56" i="2"/>
  <c r="E56" i="2"/>
  <c r="D49" i="2"/>
  <c r="E49" i="2"/>
  <c r="C49" i="2"/>
  <c r="D34" i="2"/>
  <c r="E34" i="2"/>
  <c r="D35" i="2"/>
  <c r="E35" i="2"/>
  <c r="C35" i="2"/>
  <c r="C34" i="2"/>
  <c r="C33" i="2"/>
  <c r="D33" i="2"/>
  <c r="E33" i="2"/>
  <c r="C66" i="2"/>
  <c r="E65" i="2"/>
  <c r="E66" i="2" s="1"/>
  <c r="D65" i="2"/>
  <c r="D66" i="2" s="1"/>
  <c r="D31" i="2"/>
  <c r="E31" i="2"/>
  <c r="C31" i="2"/>
  <c r="F75" i="14"/>
  <c r="G75" i="14" s="1"/>
  <c r="H75" i="14" s="1"/>
  <c r="I75" i="14" s="1"/>
  <c r="J75" i="14" s="1"/>
  <c r="C76" i="14"/>
  <c r="D76" i="14"/>
  <c r="C68" i="14"/>
  <c r="C69" i="14" s="1"/>
  <c r="C67" i="14" s="1"/>
  <c r="D71" i="14"/>
  <c r="E71" i="14"/>
  <c r="C71" i="14"/>
  <c r="E76" i="14"/>
  <c r="D68" i="14"/>
  <c r="D69" i="14" s="1"/>
  <c r="D67" i="14" s="1"/>
  <c r="E68" i="14"/>
  <c r="E69" i="14" s="1"/>
  <c r="E67" i="14" s="1"/>
  <c r="D55" i="14"/>
  <c r="E55" i="14"/>
  <c r="C55" i="14"/>
  <c r="E51" i="14"/>
  <c r="D51" i="14"/>
  <c r="C51" i="14"/>
  <c r="C58" i="14"/>
  <c r="D58" i="14"/>
  <c r="E58" i="14"/>
  <c r="C34" i="14"/>
  <c r="C26" i="14"/>
  <c r="C62" i="14" s="1"/>
  <c r="C63" i="14" s="1"/>
  <c r="C61" i="14" s="1"/>
  <c r="D22" i="14"/>
  <c r="D13" i="14"/>
  <c r="C10" i="14"/>
  <c r="E34" i="14"/>
  <c r="D34" i="14"/>
  <c r="E47" i="14"/>
  <c r="D47" i="14"/>
  <c r="E26" i="14"/>
  <c r="E62" i="14" s="1"/>
  <c r="E63" i="14" s="1"/>
  <c r="E61" i="14" s="1"/>
  <c r="D26" i="14"/>
  <c r="D30" i="14" s="1"/>
  <c r="E22" i="14"/>
  <c r="E13" i="14"/>
  <c r="E10" i="14"/>
  <c r="D10" i="14"/>
  <c r="E8" i="14"/>
  <c r="D8" i="14"/>
  <c r="E133" i="2" l="1"/>
  <c r="D133" i="2"/>
  <c r="C133" i="2"/>
  <c r="E32" i="2"/>
  <c r="E50" i="2"/>
  <c r="E54" i="14" s="1"/>
  <c r="D50" i="2"/>
  <c r="D52" i="2" s="1"/>
  <c r="C50" i="2"/>
  <c r="C16" i="2"/>
  <c r="D36" i="2"/>
  <c r="C36" i="2"/>
  <c r="D32" i="2"/>
  <c r="C32" i="2"/>
  <c r="E36" i="2"/>
  <c r="E16" i="2"/>
  <c r="D16" i="2"/>
  <c r="E27" i="14"/>
  <c r="D27" i="14"/>
  <c r="E28" i="14"/>
  <c r="C30" i="14"/>
  <c r="D28" i="14"/>
  <c r="C28" i="14"/>
  <c r="C37" i="14"/>
  <c r="E30" i="14"/>
  <c r="E9" i="14"/>
  <c r="E19" i="14" s="1"/>
  <c r="E20" i="14" s="1"/>
  <c r="E37" i="14"/>
  <c r="D37" i="14"/>
  <c r="D62" i="14"/>
  <c r="D63" i="14" s="1"/>
  <c r="D61" i="14" s="1"/>
  <c r="D9" i="14"/>
  <c r="D54" i="14" l="1"/>
  <c r="D33" i="14"/>
  <c r="E51" i="2"/>
  <c r="E52" i="2"/>
  <c r="E134" i="2" s="1"/>
  <c r="E33" i="14"/>
  <c r="D134" i="2"/>
  <c r="C54" i="14"/>
  <c r="C52" i="2"/>
  <c r="D51" i="2"/>
  <c r="C33" i="14"/>
  <c r="E24" i="14"/>
  <c r="D19" i="14"/>
  <c r="D20" i="14" s="1"/>
  <c r="E15" i="14"/>
  <c r="D15" i="14"/>
  <c r="E7" i="14"/>
  <c r="C134" i="2" l="1"/>
  <c r="E17" i="14"/>
  <c r="D24" i="14"/>
  <c r="E38" i="2" l="1"/>
  <c r="D38" i="2"/>
  <c r="C38" i="2"/>
  <c r="D149" i="2" l="1"/>
  <c r="D150" i="2" s="1"/>
  <c r="E149" i="2"/>
  <c r="E150" i="2" s="1"/>
  <c r="C149" i="2"/>
  <c r="C150" i="2" s="1"/>
  <c r="E2" i="16"/>
  <c r="F2" i="16" s="1"/>
  <c r="G2" i="16" s="1"/>
  <c r="H2" i="16" s="1"/>
  <c r="I2" i="16" s="1"/>
  <c r="J2" i="16" s="1"/>
  <c r="A2" i="16"/>
  <c r="D144" i="2"/>
  <c r="C144" i="2"/>
  <c r="D143" i="2"/>
  <c r="C143" i="2"/>
  <c r="E17" i="2"/>
  <c r="D17" i="2"/>
  <c r="D15" i="2"/>
  <c r="E15" i="2"/>
  <c r="D44" i="2"/>
  <c r="E44" i="2"/>
  <c r="C44" i="2"/>
  <c r="D145" i="2" l="1"/>
  <c r="C145" i="2"/>
  <c r="D2" i="16"/>
  <c r="C2" i="16" s="1"/>
  <c r="C146" i="2" l="1"/>
  <c r="C148" i="2" s="1"/>
  <c r="C147" i="2"/>
  <c r="D146" i="2"/>
  <c r="D148" i="2" s="1"/>
  <c r="D147" i="2"/>
  <c r="C22" i="2"/>
  <c r="C14" i="2"/>
  <c r="E22" i="2"/>
  <c r="F22" i="2" s="1"/>
  <c r="E14" i="2"/>
  <c r="D22" i="2"/>
  <c r="D14" i="2"/>
  <c r="C151" i="2" l="1"/>
  <c r="D151" i="2"/>
  <c r="G22" i="2"/>
  <c r="H22" i="2" l="1"/>
  <c r="I22" i="2" l="1"/>
  <c r="J22" i="2" l="1"/>
  <c r="E11" i="2" l="1"/>
  <c r="D11" i="2"/>
  <c r="C11" i="2"/>
  <c r="E10" i="2"/>
  <c r="F10" i="2" s="1"/>
  <c r="G10" i="2" s="1"/>
  <c r="H10" i="2" s="1"/>
  <c r="I10" i="2" s="1"/>
  <c r="J10" i="2" s="1"/>
  <c r="D10" i="2"/>
  <c r="C10" i="2"/>
  <c r="E9" i="2"/>
  <c r="D9" i="2"/>
  <c r="D8" i="2"/>
  <c r="E8" i="2" l="1"/>
  <c r="F11" i="2"/>
  <c r="G11" i="2" s="1"/>
  <c r="H11" i="2" s="1"/>
  <c r="I11" i="2" s="1"/>
  <c r="J11" i="2" s="1"/>
  <c r="F8" i="2" l="1"/>
  <c r="G8" i="2" s="1"/>
  <c r="H8" i="2" s="1"/>
  <c r="I8" i="2" s="1"/>
  <c r="J8" i="2" s="1"/>
  <c r="A2" i="2" l="1"/>
  <c r="A2" i="14"/>
  <c r="E25" i="2"/>
  <c r="D25" i="2"/>
  <c r="E132" i="2"/>
  <c r="D132" i="2"/>
  <c r="E144" i="2"/>
  <c r="E143" i="2"/>
  <c r="D19" i="2" l="1"/>
  <c r="E19" i="2"/>
  <c r="F19" i="2" s="1"/>
  <c r="G19" i="2" s="1"/>
  <c r="H19" i="2" s="1"/>
  <c r="I19" i="2" s="1"/>
  <c r="J19" i="2" s="1"/>
  <c r="C19" i="2"/>
  <c r="D20" i="2" l="1"/>
  <c r="E20" i="2"/>
  <c r="F20" i="2" s="1"/>
  <c r="G20" i="2" s="1"/>
  <c r="H20" i="2" s="1"/>
  <c r="I20" i="2" s="1"/>
  <c r="J20" i="2" s="1"/>
  <c r="C20" i="2"/>
  <c r="E2" i="14" l="1"/>
  <c r="F2" i="14" s="1"/>
  <c r="G2" i="14" s="1"/>
  <c r="H2" i="14" s="1"/>
  <c r="I2" i="14" s="1"/>
  <c r="J2" i="14" s="1"/>
  <c r="D2" i="14" l="1"/>
  <c r="C2" i="14" s="1"/>
  <c r="A7" i="1" l="1"/>
  <c r="E84" i="2" l="1"/>
  <c r="E91" i="2" s="1"/>
  <c r="D76" i="2" l="1"/>
  <c r="D23" i="2" s="1"/>
  <c r="C76" i="2"/>
  <c r="C23" i="2" s="1"/>
  <c r="D140" i="2"/>
  <c r="E140" i="2"/>
  <c r="C140" i="2"/>
  <c r="D24" i="2"/>
  <c r="E24" i="2"/>
  <c r="F24" i="2" s="1"/>
  <c r="G24" i="2" s="1"/>
  <c r="H24" i="2" s="1"/>
  <c r="I24" i="2" s="1"/>
  <c r="J24" i="2" s="1"/>
  <c r="C24" i="2"/>
  <c r="E21" i="2"/>
  <c r="D21" i="2"/>
  <c r="E18" i="2"/>
  <c r="D18" i="2"/>
  <c r="D95" i="2"/>
  <c r="C95" i="2"/>
  <c r="C99" i="2" s="1"/>
  <c r="C102" i="2" s="1"/>
  <c r="D84" i="2"/>
  <c r="D91" i="2" s="1"/>
  <c r="C84" i="2"/>
  <c r="C91" i="2" s="1"/>
  <c r="E145" i="2" l="1"/>
  <c r="E95" i="2"/>
  <c r="C77" i="2"/>
  <c r="C138" i="2" s="1"/>
  <c r="C139" i="2" s="1"/>
  <c r="D77" i="2"/>
  <c r="D138" i="2" s="1"/>
  <c r="D139" i="2" s="1"/>
  <c r="C104" i="2"/>
  <c r="D99" i="2"/>
  <c r="E146" i="2" l="1"/>
  <c r="E148" i="2" s="1"/>
  <c r="E147" i="2"/>
  <c r="D40" i="2"/>
  <c r="D42" i="2" s="1"/>
  <c r="C40" i="2"/>
  <c r="C42" i="2" s="1"/>
  <c r="E151" i="2"/>
  <c r="C7" i="2"/>
  <c r="D7" i="2"/>
  <c r="D102" i="2"/>
  <c r="D104" i="2" s="1"/>
  <c r="E40" i="2"/>
  <c r="E42" i="2" s="1"/>
  <c r="E99" i="2"/>
  <c r="E76" i="2"/>
  <c r="E7" i="2" l="1"/>
  <c r="E77" i="2"/>
  <c r="E138" i="2" s="1"/>
  <c r="E139" i="2" s="1"/>
  <c r="E23" i="2"/>
  <c r="F23" i="2" s="1"/>
  <c r="G23" i="2" s="1"/>
  <c r="H23" i="2" s="1"/>
  <c r="I23" i="2" s="1"/>
  <c r="J23" i="2" s="1"/>
  <c r="E102" i="2"/>
  <c r="E104" i="2" s="1"/>
  <c r="E2" i="2" l="1"/>
  <c r="A1" i="6"/>
  <c r="D2" i="2" l="1"/>
  <c r="C2" i="2" s="1"/>
  <c r="F2" i="2" l="1"/>
  <c r="G2" i="2" s="1"/>
  <c r="H2" i="2" s="1"/>
  <c r="I2" i="2" s="1"/>
  <c r="J2" i="2" s="1"/>
  <c r="C135" i="2" l="1"/>
  <c r="D135" i="2"/>
  <c r="E47" i="2"/>
  <c r="C47" i="2" l="1"/>
  <c r="D47" i="2"/>
  <c r="E13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Debs Taylor</author>
    <author>Financial Edge</author>
  </authors>
  <commentList>
    <comment ref="D9" authorId="0" shapeId="0" xr:uid="{528776AE-0346-4631-8F73-CC50D53B1C0B}">
      <text>
        <r>
          <rPr>
            <b/>
            <sz val="9"/>
            <color indexed="81"/>
            <rFont val="Tahoma"/>
            <family val="2"/>
          </rPr>
          <t>FE:</t>
        </r>
        <r>
          <rPr>
            <sz val="9"/>
            <color indexed="81"/>
            <rFont val="Tahoma"/>
            <family val="2"/>
          </rPr>
          <t xml:space="preserve">
Supply chain issues caused acceleration of orders in 2022. Customers rushed to get orders in anticipating problems getting their trucks on time. They also anticipated rising costs/prices and wanted to get orders in before this.</t>
        </r>
      </text>
    </comment>
    <comment ref="E9" authorId="0" shapeId="0" xr:uid="{A3771342-6477-418D-BD4E-A6EE7D88DD81}">
      <text>
        <r>
          <rPr>
            <b/>
            <sz val="9"/>
            <color indexed="81"/>
            <rFont val="Tahoma"/>
            <family val="2"/>
          </rPr>
          <t>FE:</t>
        </r>
        <r>
          <rPr>
            <sz val="9"/>
            <color indexed="81"/>
            <rFont val="Tahoma"/>
            <family val="2"/>
          </rPr>
          <t xml:space="preserve">Reduction due to accelerated orders in 2022. This was partially offset by price increases.
</t>
        </r>
      </text>
    </comment>
    <comment ref="G13" authorId="0" shapeId="0" xr:uid="{270E5FC2-1062-4E4F-A5D3-CC5F69BFFDA7}">
      <text>
        <r>
          <rPr>
            <b/>
            <sz val="9"/>
            <color indexed="81"/>
            <rFont val="Tahoma"/>
            <family val="2"/>
          </rPr>
          <t>FE:</t>
        </r>
        <r>
          <rPr>
            <sz val="9"/>
            <color indexed="81"/>
            <rFont val="Tahoma"/>
            <family val="2"/>
          </rPr>
          <t xml:space="preserve">
2023-5 sees a reduction in backlog clearing time from 6 to 4 months. This means a large conversion of backlog to revenue, and growth in revenue. The revenue growth is particularly pronounced vs order growth because it's not orders driving revenue but clearing backlog. It can be observed in the book to bill being very low in 23. 
2025 revenue growth suffers from the backlog shortening process coming to an end. The business is no longer consuming backlog into revenue and revenue growth goes negative as a result. The book to bill shows that the business is predicted to return to a more 'normal' state where new orders are at inflated prices, leading to a book to bill of slightly above 100%.</t>
        </r>
      </text>
    </comment>
    <comment ref="F17" authorId="1" shapeId="0" xr:uid="{AA6C54F8-6BFD-4E5B-8634-C757E3619226}">
      <text>
        <r>
          <rPr>
            <b/>
            <sz val="9"/>
            <color indexed="81"/>
            <rFont val="Tahoma"/>
            <family val="2"/>
          </rPr>
          <t>Financial Edge:</t>
        </r>
        <r>
          <rPr>
            <sz val="9"/>
            <color indexed="81"/>
            <rFont val="Tahoma"/>
            <family val="2"/>
          </rPr>
          <t xml:space="preserve">
Services orders lag new business. Services would include maintaining sold trucks. This would take place some time after purchase.
Apps and other subscription services are also sold, which would help smooth revenue and reduce the impact of lower orders.</t>
        </r>
      </text>
    </comment>
    <comment ref="D30" authorId="0" shapeId="0" xr:uid="{DB6DDFBA-72AE-4D7D-ACFD-9D7C9EEBF27A}">
      <text>
        <r>
          <rPr>
            <b/>
            <sz val="9"/>
            <color indexed="81"/>
            <rFont val="Tahoma"/>
            <family val="2"/>
          </rPr>
          <t>FE:</t>
        </r>
        <r>
          <rPr>
            <sz val="9"/>
            <color indexed="81"/>
            <rFont val="Tahoma"/>
            <family val="2"/>
          </rPr>
          <t xml:space="preserve">
Significant cost inflation</t>
        </r>
      </text>
    </comment>
    <comment ref="E30" authorId="0" shapeId="0" xr:uid="{5F2B223D-CAAF-4128-9D8B-8A186DD523CC}">
      <text>
        <r>
          <rPr>
            <b/>
            <sz val="9"/>
            <color indexed="81"/>
            <rFont val="Tahoma"/>
            <family val="2"/>
          </rPr>
          <t>FE:</t>
        </r>
        <r>
          <rPr>
            <sz val="9"/>
            <color indexed="81"/>
            <rFont val="Tahoma"/>
            <family val="2"/>
          </rPr>
          <t xml:space="preserve">
Benefit from price increases </t>
        </r>
      </text>
    </comment>
    <comment ref="E36" authorId="1" shapeId="0" xr:uid="{AFCEA847-E408-4B5C-B30D-25439A57410B}">
      <text>
        <r>
          <rPr>
            <b/>
            <sz val="9"/>
            <color indexed="81"/>
            <rFont val="Tahoma"/>
            <family val="2"/>
          </rPr>
          <t>Financial Edge:</t>
        </r>
        <r>
          <rPr>
            <sz val="9"/>
            <color indexed="81"/>
            <rFont val="Tahoma"/>
            <family val="2"/>
          </rPr>
          <t xml:space="preserve">
Adjusted EBIT is from segmental reporting. This totals differently to the EBIT/operating profits reported on the annual report P&amp;L. This is due to the treatment of unusual/non-recurring costs being different between segmental and overall P&amp;L reporting. This model uses segmental as its EBIT/cleaning basis as it's more consistent with the segmental forecast approach and estimates used from Factset.</t>
        </r>
      </text>
    </comment>
    <comment ref="I47" authorId="1" shapeId="0" xr:uid="{544F287B-8C8E-4560-9C72-B7B776193EC2}">
      <text>
        <r>
          <rPr>
            <b/>
            <sz val="9"/>
            <color indexed="81"/>
            <rFont val="Tahoma"/>
            <family val="2"/>
          </rPr>
          <t>Financial Edge:</t>
        </r>
        <r>
          <rPr>
            <sz val="9"/>
            <color indexed="81"/>
            <rFont val="Tahoma"/>
            <family val="2"/>
          </rPr>
          <t xml:space="preserve">
factset</t>
        </r>
      </text>
    </comment>
    <comment ref="D51" authorId="0" shapeId="0" xr:uid="{70409C9D-6E2F-4E9D-943C-0379160CF6AA}">
      <text>
        <r>
          <rPr>
            <b/>
            <sz val="9"/>
            <color indexed="81"/>
            <rFont val="Tahoma"/>
            <family val="2"/>
          </rPr>
          <t>Debs Taylor:</t>
        </r>
        <r>
          <rPr>
            <sz val="9"/>
            <color indexed="81"/>
            <rFont val="Tahoma"/>
            <family val="2"/>
          </rPr>
          <t xml:space="preserve">
Supply chain disruption plus significant cost inflation</t>
        </r>
      </text>
    </comment>
    <comment ref="F51" authorId="0" shapeId="0" xr:uid="{53D29B9A-62AE-4D71-9D8D-10747F1EBCA5}">
      <text>
        <r>
          <rPr>
            <b/>
            <sz val="9"/>
            <color indexed="81"/>
            <rFont val="Tahoma"/>
            <family val="2"/>
          </rPr>
          <t>FE:</t>
        </r>
        <r>
          <rPr>
            <sz val="9"/>
            <color indexed="81"/>
            <rFont val="Tahoma"/>
            <family val="2"/>
          </rPr>
          <t xml:space="preserve">
Recovery from supply chain disruption and increase in higher margin business</t>
        </r>
      </text>
    </comment>
    <comment ref="E62" authorId="1" shapeId="0" xr:uid="{E3AAD412-25A7-44ED-950E-174A1650C57C}">
      <text>
        <r>
          <rPr>
            <b/>
            <sz val="9"/>
            <color indexed="81"/>
            <rFont val="Tahoma"/>
            <family val="2"/>
          </rPr>
          <t>Financial Edge:</t>
        </r>
        <r>
          <rPr>
            <sz val="9"/>
            <color indexed="81"/>
            <rFont val="Tahoma"/>
            <family val="2"/>
          </rPr>
          <t xml:space="preserve">
This contains intersegment sales that need to be removed in consolidation. External sales are given in segmental reporting, but EBIT and estimates are more consistent with total sales.</t>
        </r>
      </text>
    </comment>
    <comment ref="C63" authorId="1" shapeId="0" xr:uid="{411C2F80-8ECD-4650-B3FE-ABE3745F9471}">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D63" authorId="1" shapeId="0" xr:uid="{71B9384C-AF86-433E-BF2D-4DAD265FDC0D}">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E63" authorId="1" shapeId="0" xr:uid="{D58DD6AD-9035-4D0E-B779-7FB6FC4B765F}">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I69" authorId="1" shapeId="0" xr:uid="{12A62EF1-B409-4842-B8E6-89B136EB2DA2}">
      <text>
        <r>
          <rPr>
            <b/>
            <sz val="9"/>
            <color indexed="81"/>
            <rFont val="Tahoma"/>
            <family val="2"/>
          </rPr>
          <t>Financial Edge:</t>
        </r>
        <r>
          <rPr>
            <sz val="9"/>
            <color indexed="81"/>
            <rFont val="Tahoma"/>
            <family val="2"/>
          </rPr>
          <t xml:space="preserve">
factset until 27</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Financial Edge</author>
    <author>Debs Taylor</author>
  </authors>
  <commentList>
    <comment ref="I7" authorId="0" shapeId="0" xr:uid="{E375E311-4018-48A2-A04C-6FF9C0CC2EF2}">
      <text>
        <r>
          <rPr>
            <b/>
            <sz val="9"/>
            <color indexed="81"/>
            <rFont val="Tahoma"/>
            <family val="2"/>
          </rPr>
          <t>Financial Edge:</t>
        </r>
        <r>
          <rPr>
            <sz val="9"/>
            <color indexed="81"/>
            <rFont val="Tahoma"/>
            <family val="2"/>
          </rPr>
          <t xml:space="preserve">
Factset until 27</t>
        </r>
      </text>
    </comment>
    <comment ref="J9" authorId="0" shapeId="0" xr:uid="{074DBFD4-7719-45B4-B0B0-DC2318C1F843}">
      <text>
        <r>
          <rPr>
            <b/>
            <sz val="9"/>
            <color indexed="81"/>
            <rFont val="Tahoma"/>
            <family val="2"/>
          </rPr>
          <t>Financial Edge:</t>
        </r>
        <r>
          <rPr>
            <sz val="9"/>
            <color indexed="81"/>
            <rFont val="Tahoma"/>
            <family val="2"/>
          </rPr>
          <t xml:space="preserve">
factset</t>
        </r>
      </text>
    </comment>
    <comment ref="H25" authorId="0" shapeId="0" xr:uid="{FD9F377B-9127-441D-AAC1-5FBF929369A0}">
      <text>
        <r>
          <rPr>
            <b/>
            <sz val="9"/>
            <color indexed="81"/>
            <rFont val="Tahoma"/>
            <family val="2"/>
          </rPr>
          <t>Financial Edge:</t>
        </r>
        <r>
          <rPr>
            <sz val="9"/>
            <color indexed="81"/>
            <rFont val="Tahoma"/>
            <family val="2"/>
          </rPr>
          <t xml:space="preserve">
Factset until 26</t>
        </r>
      </text>
    </comment>
    <comment ref="C65" authorId="1" shapeId="0" xr:uid="{E8A07CE0-994A-41E2-8D7C-1E8CB31667E9}">
      <text>
        <r>
          <rPr>
            <b/>
            <sz val="9"/>
            <color indexed="81"/>
            <rFont val="Tahoma"/>
            <family val="2"/>
          </rPr>
          <t>FE:</t>
        </r>
        <r>
          <rPr>
            <sz val="9"/>
            <color indexed="81"/>
            <rFont val="Tahoma"/>
            <family val="2"/>
          </rPr>
          <t xml:space="preserve">
Estimated as split not provided in 2021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Financial Edge</author>
  </authors>
  <commentList>
    <comment ref="C26" authorId="0" shapeId="0" xr:uid="{A957ED03-33BC-45B9-9480-48420B64A644}">
      <text>
        <r>
          <rPr>
            <b/>
            <sz val="9"/>
            <color indexed="81"/>
            <rFont val="Tahoma"/>
            <family val="2"/>
          </rPr>
          <t>Financial Edge:</t>
        </r>
        <r>
          <rPr>
            <sz val="9"/>
            <color indexed="81"/>
            <rFont val="Tahoma"/>
            <family val="2"/>
          </rPr>
          <t xml:space="preserve">
As an IFRS company Kion could put some of its non-service costs in operating costs, causing comparision problems with GAAP companies. This isn't the case, Kion only puts service cost in operating</t>
        </r>
      </text>
    </comment>
  </commentList>
</comments>
</file>

<file path=xl/sharedStrings.xml><?xml version="1.0" encoding="utf-8"?>
<sst xmlns="http://schemas.openxmlformats.org/spreadsheetml/2006/main" count="265" uniqueCount="225">
  <si>
    <t>This document is for training purposes only. Financial Edge accepts no responsibility or liability for any other purpose or usage.</t>
  </si>
  <si>
    <t>Workout Information</t>
  </si>
  <si>
    <t>Features</t>
  </si>
  <si>
    <t>Model Details</t>
  </si>
  <si>
    <t>◦</t>
  </si>
  <si>
    <t>Modeling an income statement</t>
  </si>
  <si>
    <t>Company name</t>
  </si>
  <si>
    <t>Modeling a balance sheet</t>
  </si>
  <si>
    <t>Date</t>
  </si>
  <si>
    <t>Modeling a cash flow statement</t>
  </si>
  <si>
    <t>Currency</t>
  </si>
  <si>
    <t>Units</t>
  </si>
  <si>
    <t>Millions</t>
  </si>
  <si>
    <t>Analyst Name</t>
  </si>
  <si>
    <t>Firstname Lastname</t>
  </si>
  <si>
    <t>Circular Switch</t>
  </si>
  <si>
    <t>Tab Structure</t>
  </si>
  <si>
    <t>Formatting</t>
  </si>
  <si>
    <t>Input</t>
  </si>
  <si>
    <t>Hard coded</t>
  </si>
  <si>
    <t>Formulas</t>
  </si>
  <si>
    <t>Hist.</t>
  </si>
  <si>
    <t>Proj.</t>
  </si>
  <si>
    <t>Income Statement Assumptions</t>
  </si>
  <si>
    <t>Effective tax rate</t>
  </si>
  <si>
    <t>Marginal tax rate</t>
  </si>
  <si>
    <t>Dividends per share growth</t>
  </si>
  <si>
    <t>Basic WASO</t>
  </si>
  <si>
    <t>Diluted WASO</t>
  </si>
  <si>
    <t>Income Statement</t>
  </si>
  <si>
    <t>Earnings before tax</t>
  </si>
  <si>
    <t>Income tax expense</t>
  </si>
  <si>
    <t>Net income</t>
  </si>
  <si>
    <t>Recurring diluted EPS</t>
  </si>
  <si>
    <t>Dividends per share</t>
  </si>
  <si>
    <t>Balance Sheet Assumptions</t>
  </si>
  <si>
    <t>Change in long term investments amount</t>
  </si>
  <si>
    <t>Other non current liabilities % revenues</t>
  </si>
  <si>
    <t>Balance Sheet Calculations</t>
  </si>
  <si>
    <t>Beginning equity</t>
  </si>
  <si>
    <t>Dividends</t>
  </si>
  <si>
    <t>Ending equity</t>
  </si>
  <si>
    <t>Current operating assets</t>
  </si>
  <si>
    <t>Current operating liabilities</t>
  </si>
  <si>
    <t>Operating working capital</t>
  </si>
  <si>
    <t>Balance Sheet</t>
  </si>
  <si>
    <t>Total current assets</t>
  </si>
  <si>
    <t>Goodwill</t>
  </si>
  <si>
    <t>Other long term assets</t>
  </si>
  <si>
    <t>Total assets</t>
  </si>
  <si>
    <t>Short term borrowings</t>
  </si>
  <si>
    <t>Total current liabilities</t>
  </si>
  <si>
    <t>Other non current liabilities</t>
  </si>
  <si>
    <t>Total liabilities</t>
  </si>
  <si>
    <t>Total liabilities and equity</t>
  </si>
  <si>
    <t>Check?</t>
  </si>
  <si>
    <t>Cash Flow Statement</t>
  </si>
  <si>
    <t>Change in OWC</t>
  </si>
  <si>
    <t>Change in other long term assets</t>
  </si>
  <si>
    <t>Change in other non current liabilities</t>
  </si>
  <si>
    <t>Cash flow from operations</t>
  </si>
  <si>
    <t>Change in long term investments</t>
  </si>
  <si>
    <t>Cash from investing activities</t>
  </si>
  <si>
    <t>Change in long term debt</t>
  </si>
  <si>
    <t>(Dividends)</t>
  </si>
  <si>
    <t>Cash from financing</t>
  </si>
  <si>
    <t>Net change in cash</t>
  </si>
  <si>
    <t>Income Statement Operating Statistics</t>
  </si>
  <si>
    <t>EBIT margin</t>
  </si>
  <si>
    <t>EBITDA margin</t>
  </si>
  <si>
    <t>Recurring NI margin</t>
  </si>
  <si>
    <t>Balance Sheet Operating Statistics</t>
  </si>
  <si>
    <t>OWC</t>
  </si>
  <si>
    <t>OWC % revenues</t>
  </si>
  <si>
    <t>PP&amp;E % revenue</t>
  </si>
  <si>
    <t>Net Debt and Interest Statistics</t>
  </si>
  <si>
    <t>Long term debt</t>
  </si>
  <si>
    <t>Total debt</t>
  </si>
  <si>
    <t>Net debt</t>
  </si>
  <si>
    <t>Total debt / EBITDA</t>
  </si>
  <si>
    <t>Net debt / EBITDA</t>
  </si>
  <si>
    <t>Total interest expense</t>
  </si>
  <si>
    <t>EBITDA / interest expense</t>
  </si>
  <si>
    <t>Net debt / net debt + equity</t>
  </si>
  <si>
    <t>End</t>
  </si>
  <si>
    <t>Segmental forecasting</t>
  </si>
  <si>
    <t>Revenue</t>
  </si>
  <si>
    <t>€</t>
  </si>
  <si>
    <t xml:space="preserve">Long-Term Investments </t>
  </si>
  <si>
    <t>ST Debt &amp; Curr. Portion LT Debt</t>
  </si>
  <si>
    <t>Long-Term Debt</t>
  </si>
  <si>
    <t>Cash &amp; Short-Term Investments</t>
  </si>
  <si>
    <t>Receivables</t>
  </si>
  <si>
    <t>Inventories</t>
  </si>
  <si>
    <t>Other Current Assets</t>
  </si>
  <si>
    <t>Total Equity</t>
  </si>
  <si>
    <t>Depreciation and amortization</t>
  </si>
  <si>
    <t xml:space="preserve">Beginning cash net of short term debt </t>
  </si>
  <si>
    <t>Model</t>
  </si>
  <si>
    <t>Total revenue</t>
  </si>
  <si>
    <t>Total EBIT</t>
  </si>
  <si>
    <t>Total revenue growth</t>
  </si>
  <si>
    <t xml:space="preserve">Ending cash net of short term debt </t>
  </si>
  <si>
    <t>Long term debt issuance/repayment</t>
  </si>
  <si>
    <t>Receivables days</t>
  </si>
  <si>
    <t>Inventory days</t>
  </si>
  <si>
    <t>Current operating liabilities as a% of operating costs</t>
  </si>
  <si>
    <t>Interest rate on short term debt</t>
  </si>
  <si>
    <t>Interest rate on long term debt</t>
  </si>
  <si>
    <t>Interest rate on cash</t>
  </si>
  <si>
    <t>Interest</t>
  </si>
  <si>
    <t>Interest on short term debt</t>
  </si>
  <si>
    <t>Interest on long term debt</t>
  </si>
  <si>
    <t>Interest on cash</t>
  </si>
  <si>
    <t>Kion group</t>
  </si>
  <si>
    <t>Calculations</t>
  </si>
  <si>
    <t>Opening backlog</t>
  </si>
  <si>
    <t>Closing backlog</t>
  </si>
  <si>
    <t>Revenue recognised</t>
  </si>
  <si>
    <t>Orders and backlog</t>
  </si>
  <si>
    <t>PP&amp;E</t>
  </si>
  <si>
    <t>Beginning PP&amp;E</t>
  </si>
  <si>
    <t xml:space="preserve">Ending PP&amp;E </t>
  </si>
  <si>
    <t>Beginning intangibles</t>
  </si>
  <si>
    <t>Depreciation</t>
  </si>
  <si>
    <t>Intangibles</t>
  </si>
  <si>
    <t>Total</t>
  </si>
  <si>
    <t>Net financial expenses</t>
  </si>
  <si>
    <t>Other long term assets as a % of revenues</t>
  </si>
  <si>
    <t>Depreciation as a % of opening PP&amp;E</t>
  </si>
  <si>
    <t>Ending intangibles</t>
  </si>
  <si>
    <t>Order to revenue to backlog</t>
  </si>
  <si>
    <t>Pension liability</t>
  </si>
  <si>
    <t>Equity</t>
  </si>
  <si>
    <t>Diluted shares outstanding</t>
  </si>
  <si>
    <t>Implied share price</t>
  </si>
  <si>
    <t>Share price (30 Dec 23)</t>
  </si>
  <si>
    <t>Discount/premium to share price</t>
  </si>
  <si>
    <t>Kion 24E EBITDA</t>
  </si>
  <si>
    <t>Implied EV</t>
  </si>
  <si>
    <t>Defined benefit pensions and OPEBS</t>
  </si>
  <si>
    <t>Valuation</t>
  </si>
  <si>
    <t>Pension non-service costs to be adjusted for</t>
  </si>
  <si>
    <t>PV of obligations</t>
  </si>
  <si>
    <t>FV of assets</t>
  </si>
  <si>
    <t>After tax at MTR</t>
  </si>
  <si>
    <t>Germany</t>
  </si>
  <si>
    <t>UK</t>
  </si>
  <si>
    <t>Other</t>
  </si>
  <si>
    <t>Adjustment for R&amp;D cost capitalized</t>
  </si>
  <si>
    <t>IFRS EBITDA</t>
  </si>
  <si>
    <t>Comparable US GAAP EBITDA</t>
  </si>
  <si>
    <t>US GAAP vs IFRS comparability calculations</t>
  </si>
  <si>
    <t>Recurring net income</t>
  </si>
  <si>
    <t>Comparable 24E EV/EBITDA</t>
  </si>
  <si>
    <t>Total net obligation</t>
  </si>
  <si>
    <t>Book to bill</t>
  </si>
  <si>
    <t>New business opening backlog</t>
  </si>
  <si>
    <t>Order intake</t>
  </si>
  <si>
    <t>Revenue recognized</t>
  </si>
  <si>
    <t>New business closing backlog</t>
  </si>
  <si>
    <t>New business revenue growth</t>
  </si>
  <si>
    <t>New business order intake growth</t>
  </si>
  <si>
    <t>New business revenue</t>
  </si>
  <si>
    <t>Order intake growth</t>
  </si>
  <si>
    <t>New business book to bill</t>
  </si>
  <si>
    <t>SCS revenue growth</t>
  </si>
  <si>
    <t>SCS revenue</t>
  </si>
  <si>
    <t>ITS revenue</t>
  </si>
  <si>
    <t>ITS revenue growth</t>
  </si>
  <si>
    <t>Backlog analysis</t>
  </si>
  <si>
    <t>Backlog analysis (OE only)</t>
  </si>
  <si>
    <t>Total order intake</t>
  </si>
  <si>
    <t>Less new business order intake</t>
  </si>
  <si>
    <t>Services business (AM) order intake</t>
  </si>
  <si>
    <t>Services business revenue</t>
  </si>
  <si>
    <t>Services business order intake growth</t>
  </si>
  <si>
    <t>Services business book to bill</t>
  </si>
  <si>
    <t>% revenue new business</t>
  </si>
  <si>
    <t>Services business revenue growth</t>
  </si>
  <si>
    <t>Industrial Trucks &amp; Services (ITS)</t>
  </si>
  <si>
    <t>Supply Chain Solutions (SCS)</t>
  </si>
  <si>
    <t>SCS adjusted EBITDA</t>
  </si>
  <si>
    <t>SCS adjusted EBITDA margin</t>
  </si>
  <si>
    <t>ITS adjusted EBITDA</t>
  </si>
  <si>
    <t>ITS adjusted EBITDA margin</t>
  </si>
  <si>
    <t>ITS adjusted EBIT</t>
  </si>
  <si>
    <t>ITS adjusted EBIT margin</t>
  </si>
  <si>
    <t>SCS adjusted EBIT</t>
  </si>
  <si>
    <t>SCS adjusted EBIT margin</t>
  </si>
  <si>
    <t>Non-recurring items</t>
  </si>
  <si>
    <t>Total adjusted EBIT</t>
  </si>
  <si>
    <t>Reported EBIT</t>
  </si>
  <si>
    <t>PPA adjustments</t>
  </si>
  <si>
    <t>Adjusted EBIT margin</t>
  </si>
  <si>
    <t>Corporate/consolidation % segment revenue</t>
  </si>
  <si>
    <t>Corporate revenue/eliminations</t>
  </si>
  <si>
    <t>Corporate EBIT/eliminations</t>
  </si>
  <si>
    <t>Corporate EBIT % segment EBIT</t>
  </si>
  <si>
    <t>PP&amp;E purchases as a % of revenues</t>
  </si>
  <si>
    <t>Additions</t>
  </si>
  <si>
    <t>Amortization as a % of opening PP&amp;E</t>
  </si>
  <si>
    <t>Capitalized R&amp;D</t>
  </si>
  <si>
    <t>R&amp;D costs in EBITDA</t>
  </si>
  <si>
    <t>R&amp;D spend</t>
  </si>
  <si>
    <t>R&amp;D spend % revenue</t>
  </si>
  <si>
    <t>% R&amp;D spend capitalized</t>
  </si>
  <si>
    <t>Other additions</t>
  </si>
  <si>
    <t>Other intangible asset purchases as a % of revenues</t>
  </si>
  <si>
    <t>Amortization (inc PPA adjustment)</t>
  </si>
  <si>
    <t>Adjusted EBIT</t>
  </si>
  <si>
    <t>Adjusted operating expenses</t>
  </si>
  <si>
    <t>Operating profit</t>
  </si>
  <si>
    <t xml:space="preserve">% YoY change </t>
  </si>
  <si>
    <t>D&amp;A ex PPA adjustment</t>
  </si>
  <si>
    <t>Total D&amp;A</t>
  </si>
  <si>
    <t>SCS D&amp;A (ex PPA)</t>
  </si>
  <si>
    <t>ITS D&amp;A (ex PPA)</t>
  </si>
  <si>
    <t>% consolidated D&amp;A (ex PPA)</t>
  </si>
  <si>
    <t>Adjusted EBITDA</t>
  </si>
  <si>
    <t>Purchases of PP&amp;E and intangibles</t>
  </si>
  <si>
    <t>ITS and SCS adjusted EBIT</t>
  </si>
  <si>
    <t>ITS and SCS revenue</t>
  </si>
  <si>
    <t>Industrial company case study</t>
  </si>
  <si>
    <t xml:space="preserve">Change in other current assets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</si>
</sst>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 #,##0_);_(* \(#,##0\);_(* &quot;-&quot;_);_(@_)"/>
    <numFmt numFmtId="165" formatCode="_(* #,##0.00_);_(* \(#,##0.00\);_(* &quot;-&quot;??_);_(@_)"/>
    <numFmt numFmtId="166" formatCode="_(&quot;£&quot;* #,##0_);_(&quot;£&quot;* \(#,##0\);_(&quot;£&quot;* &quot;-&quot;_);_(@_)"/>
    <numFmt numFmtId="167" formatCode="_(&quot;£&quot;* #,##0.00_);_(&quot;£&quot;* \(#,##0.00\);_(&quot;£&quot;* &quot;-&quot;??_);_(@_)"/>
    <numFmt numFmtId="168" formatCode="[$-409]d\-mmm\-yy;@"/>
    <numFmt numFmtId="169" formatCode="0.0"/>
    <numFmt numFmtId="170" formatCode="#,##0.0_);\(#,##0.0\)\,0.0_);@_)"/>
    <numFmt numFmtId="171" formatCode="#,##0.0\ \x_);\(#,##0.0\ \x\);"/>
    <numFmt numFmtId="172" formatCode="0.0%_);\(0.0%\)"/>
    <numFmt numFmtId="173" formatCode=";;;"/>
    <numFmt numFmtId="174" formatCode="#,##0.0_);\(#,##0.0\);0.0_);@_)"/>
    <numFmt numFmtId="175" formatCode="#,##0.0_);\(#,##0.0\)"/>
    <numFmt numFmtId="176" formatCode="#,##0.00_);\(#,##0.00\);0.00_);@_)"/>
    <numFmt numFmtId="177" formatCode="#,##0.0\ \x_);\(#,##0.0\ \x\)"/>
    <numFmt numFmtId="178" formatCode="0.00%_);\(0.00%\)"/>
  </numFmts>
  <fonts count="39" x14ac:knownFonts="1">
    <font>
      <sz val="11"/>
      <name val="Calibri"/>
      <family val="2"/>
      <scheme val="minor"/>
    </font>
    <font>
      <sz val="18"/>
      <color theme="1"/>
      <name val="Calibri"/>
      <family val="2"/>
      <scheme val="minor"/>
    </font>
    <font>
      <sz val="11"/>
      <color theme="1" tint="0.249977111117893"/>
      <name val="Calibri"/>
      <family val="2"/>
      <scheme val="minor"/>
    </font>
    <font>
      <sz val="11"/>
      <color rgb="FF085393"/>
      <name val="Calibri"/>
      <family val="2"/>
      <scheme val="minor"/>
    </font>
    <font>
      <b/>
      <sz val="12"/>
      <color rgb="FF163260"/>
      <name val="Calibri"/>
      <family val="2"/>
      <scheme val="minor"/>
    </font>
    <font>
      <sz val="10"/>
      <color rgb="FF085393"/>
      <name val="Calibri"/>
      <family val="2"/>
      <scheme val="minor"/>
    </font>
    <font>
      <u/>
      <sz val="11"/>
      <color rgb="FF085393"/>
      <name val="Calibri"/>
      <family val="2"/>
      <scheme val="minor"/>
    </font>
    <font>
      <u/>
      <sz val="14"/>
      <color rgb="FF085393"/>
      <name val="Calibri"/>
      <family val="2"/>
      <scheme val="minor"/>
    </font>
    <font>
      <sz val="16"/>
      <color theme="0"/>
      <name val="Calibri Light"/>
      <family val="2"/>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8"/>
      <color rgb="FF006100"/>
      <name val="Calibri"/>
      <family val="2"/>
      <scheme val="minor"/>
    </font>
    <font>
      <sz val="18"/>
      <color rgb="FF9C0006"/>
      <name val="Calibri"/>
      <family val="2"/>
      <scheme val="minor"/>
    </font>
    <font>
      <sz val="18"/>
      <color rgb="FF9C6500"/>
      <name val="Calibri"/>
      <family val="2"/>
      <scheme val="minor"/>
    </font>
    <font>
      <sz val="18"/>
      <color rgb="FF3F3F76"/>
      <name val="Calibri"/>
      <family val="2"/>
      <scheme val="minor"/>
    </font>
    <font>
      <b/>
      <sz val="18"/>
      <color rgb="FF3F3F3F"/>
      <name val="Calibri"/>
      <family val="2"/>
      <scheme val="minor"/>
    </font>
    <font>
      <b/>
      <sz val="18"/>
      <color rgb="FFFA7D00"/>
      <name val="Calibri"/>
      <family val="2"/>
      <scheme val="minor"/>
    </font>
    <font>
      <sz val="18"/>
      <color rgb="FFFA7D00"/>
      <name val="Calibri"/>
      <family val="2"/>
      <scheme val="minor"/>
    </font>
    <font>
      <b/>
      <sz val="18"/>
      <color theme="0"/>
      <name val="Calibri"/>
      <family val="2"/>
      <scheme val="minor"/>
    </font>
    <font>
      <sz val="18"/>
      <color rgb="FFFF0000"/>
      <name val="Calibri"/>
      <family val="2"/>
      <scheme val="minor"/>
    </font>
    <font>
      <i/>
      <sz val="18"/>
      <color rgb="FF7F7F7F"/>
      <name val="Calibri"/>
      <family val="2"/>
      <scheme val="minor"/>
    </font>
    <font>
      <b/>
      <sz val="18"/>
      <color theme="1"/>
      <name val="Calibri"/>
      <family val="2"/>
      <scheme val="minor"/>
    </font>
    <font>
      <sz val="18"/>
      <color theme="0"/>
      <name val="Calibri"/>
      <family val="2"/>
      <scheme val="minor"/>
    </font>
    <font>
      <sz val="14"/>
      <color theme="0"/>
      <name val="Calibri"/>
      <family val="2"/>
      <scheme val="minor"/>
    </font>
    <font>
      <sz val="11"/>
      <color theme="0"/>
      <name val="Calibri"/>
      <family val="2"/>
      <scheme val="minor"/>
    </font>
    <font>
      <sz val="9"/>
      <color theme="0"/>
      <name val="Calibri"/>
      <family val="2"/>
      <scheme val="minor"/>
    </font>
    <font>
      <sz val="11"/>
      <name val="Calibri"/>
      <family val="2"/>
      <scheme val="minor"/>
    </font>
    <font>
      <sz val="11"/>
      <color rgb="FF0000FF"/>
      <name val="Calibri"/>
      <family val="2"/>
      <scheme val="minor"/>
    </font>
    <font>
      <sz val="9"/>
      <color rgb="FF085393"/>
      <name val="Calibri"/>
      <family val="2"/>
      <scheme val="minor"/>
    </font>
    <font>
      <sz val="22"/>
      <color theme="0"/>
      <name val="Calibri Light"/>
      <family val="2"/>
      <scheme val="major"/>
    </font>
    <font>
      <sz val="11"/>
      <color rgb="FFFF0000"/>
      <name val="Calibri"/>
      <family val="2"/>
      <scheme val="minor"/>
    </font>
    <font>
      <b/>
      <sz val="11"/>
      <name val="Calibri"/>
      <family val="2"/>
      <scheme val="minor"/>
    </font>
    <font>
      <sz val="9"/>
      <color indexed="81"/>
      <name val="Tahoma"/>
      <family val="2"/>
    </font>
    <font>
      <b/>
      <sz val="9"/>
      <color indexed="81"/>
      <name val="Tahoma"/>
      <family val="2"/>
    </font>
    <font>
      <sz val="9"/>
      <color theme="1"/>
      <name val="Arial"/>
      <family val="2"/>
    </font>
    <font>
      <sz val="8"/>
      <name val="Arial"/>
      <family val="2"/>
    </font>
  </fonts>
  <fills count="38">
    <fill>
      <patternFill patternType="none"/>
    </fill>
    <fill>
      <patternFill patternType="gray125"/>
    </fill>
    <fill>
      <patternFill patternType="solid">
        <fgColor rgb="FF163260"/>
        <bgColor indexed="64"/>
      </patternFill>
    </fill>
    <fill>
      <patternFill patternType="solid">
        <fgColor rgb="FF085393"/>
        <bgColor indexed="64"/>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8FE"/>
        <bgColor indexed="64"/>
      </patternFill>
    </fill>
  </fills>
  <borders count="13">
    <border>
      <left/>
      <right/>
      <top/>
      <bottom/>
      <diagonal/>
    </border>
    <border>
      <left/>
      <right/>
      <top/>
      <bottom style="medium">
        <color theme="0" tint="-0.149998474074526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BBDEFB"/>
      </left>
      <right style="thin">
        <color rgb="FFBBDEFB"/>
      </right>
      <top style="thin">
        <color rgb="FFBBDEFB"/>
      </top>
      <bottom style="thin">
        <color rgb="FFBBDEFB"/>
      </bottom>
      <diagonal/>
    </border>
    <border>
      <left/>
      <right/>
      <top/>
      <bottom style="medium">
        <color theme="0" tint="-0.14996795556505021"/>
      </bottom>
      <diagonal/>
    </border>
  </borders>
  <cellStyleXfs count="66">
    <xf numFmtId="174" fontId="0" fillId="0" borderId="0"/>
    <xf numFmtId="0" fontId="6" fillId="0" borderId="0" applyNumberForma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9" fontId="9" fillId="0" borderId="0" applyFont="0" applyFill="0" applyBorder="0" applyAlignment="0" applyProtection="0"/>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6" borderId="0" applyNumberFormat="0" applyBorder="0" applyAlignment="0" applyProtection="0"/>
    <xf numFmtId="0" fontId="15" fillId="7" borderId="0" applyNumberFormat="0" applyBorder="0" applyAlignment="0" applyProtection="0"/>
    <xf numFmtId="0" fontId="16" fillId="8" borderId="0" applyNumberFormat="0" applyBorder="0" applyAlignment="0" applyProtection="0"/>
    <xf numFmtId="0" fontId="17" fillId="9" borderId="5" applyNumberFormat="0" applyAlignment="0" applyProtection="0"/>
    <xf numFmtId="0" fontId="18" fillId="10" borderId="6" applyNumberFormat="0" applyAlignment="0" applyProtection="0"/>
    <xf numFmtId="0" fontId="19" fillId="10" borderId="5" applyNumberFormat="0" applyAlignment="0" applyProtection="0"/>
    <xf numFmtId="0" fontId="20" fillId="0" borderId="7" applyNumberFormat="0" applyFill="0" applyAlignment="0" applyProtection="0"/>
    <xf numFmtId="0" fontId="21" fillId="11" borderId="8" applyNumberFormat="0" applyAlignment="0" applyProtection="0"/>
    <xf numFmtId="0" fontId="22" fillId="0" borderId="0" applyNumberFormat="0" applyFill="0" applyBorder="0" applyAlignment="0" applyProtection="0"/>
    <xf numFmtId="0" fontId="9" fillId="12" borderId="9" applyNumberFormat="0" applyFon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5" fillId="36" borderId="0" applyNumberFormat="0" applyBorder="0" applyAlignment="0" applyProtection="0"/>
    <xf numFmtId="0" fontId="32" fillId="2" borderId="0" applyNumberFormat="0">
      <alignment horizontal="left"/>
    </xf>
    <xf numFmtId="0" fontId="8" fillId="3" borderId="0" applyNumberFormat="0" applyAlignment="0">
      <alignment horizontal="left"/>
    </xf>
    <xf numFmtId="0" fontId="4" fillId="0" borderId="0" applyNumberFormat="0" applyFill="0" applyBorder="0">
      <alignment horizontal="left" vertical="center"/>
    </xf>
    <xf numFmtId="0" fontId="2" fillId="5" borderId="0" applyNumberFormat="0" applyFont="0" applyAlignment="0" applyProtection="0">
      <alignment vertical="top"/>
    </xf>
    <xf numFmtId="168" fontId="28" fillId="3" borderId="0">
      <alignment horizontal="center"/>
    </xf>
    <xf numFmtId="170" fontId="27" fillId="2" borderId="0">
      <alignment horizontal="center"/>
    </xf>
    <xf numFmtId="168" fontId="29" fillId="0" borderId="0" applyFont="0" applyFill="0" applyBorder="0" applyAlignment="0" applyProtection="0"/>
    <xf numFmtId="177" fontId="9" fillId="0" borderId="0" applyFont="0" applyFill="0" applyBorder="0" applyAlignment="0" applyProtection="0"/>
    <xf numFmtId="172" fontId="29" fillId="2" borderId="0" applyFont="0" applyFill="0" applyBorder="0" applyAlignment="0" applyProtection="0"/>
    <xf numFmtId="170" fontId="30" fillId="2" borderId="0" applyNumberFormat="0" applyFill="0" applyBorder="0" applyAlignment="0" applyProtection="0"/>
    <xf numFmtId="170" fontId="31" fillId="0" borderId="0" applyNumberFormat="0" applyFill="0" applyBorder="0" applyAlignment="0">
      <alignment vertical="top"/>
    </xf>
    <xf numFmtId="173" fontId="29" fillId="2" borderId="0" applyFont="0" applyFill="0" applyBorder="0" applyAlignment="0" applyProtection="0"/>
    <xf numFmtId="171" fontId="30" fillId="37" borderId="11" applyNumberFormat="0">
      <protection locked="0"/>
    </xf>
    <xf numFmtId="0" fontId="2" fillId="5" borderId="12" applyFont="0" applyAlignment="0" applyProtection="0">
      <alignment vertical="top"/>
    </xf>
    <xf numFmtId="170" fontId="32" fillId="3" borderId="0" applyNumberFormat="0" applyBorder="0">
      <alignment horizontal="center" vertical="top"/>
    </xf>
    <xf numFmtId="0" fontId="37" fillId="0" borderId="0"/>
    <xf numFmtId="9" fontId="37" fillId="0" borderId="0" applyFont="0" applyFill="0" applyBorder="0" applyAlignment="0" applyProtection="0"/>
    <xf numFmtId="0" fontId="38" fillId="0" borderId="0"/>
  </cellStyleXfs>
  <cellXfs count="88">
    <xf numFmtId="174" fontId="0" fillId="0" borderId="0" xfId="0"/>
    <xf numFmtId="174" fontId="2" fillId="5" borderId="0" xfId="0" applyFont="1" applyFill="1"/>
    <xf numFmtId="174" fontId="2" fillId="4" borderId="0" xfId="0" applyFont="1" applyFill="1"/>
    <xf numFmtId="174" fontId="2" fillId="5" borderId="0" xfId="0" applyFont="1" applyFill="1" applyAlignment="1">
      <alignment vertical="top" wrapText="1"/>
    </xf>
    <xf numFmtId="174" fontId="2" fillId="5" borderId="1" xfId="0" applyFont="1" applyFill="1" applyBorder="1" applyAlignment="1">
      <alignment vertical="top"/>
    </xf>
    <xf numFmtId="170" fontId="32" fillId="2" borderId="0" xfId="48" applyNumberFormat="1">
      <alignment horizontal="left"/>
    </xf>
    <xf numFmtId="174" fontId="25" fillId="2" borderId="0" xfId="0" applyFont="1" applyFill="1"/>
    <xf numFmtId="174" fontId="26" fillId="3" borderId="0" xfId="0" applyFont="1" applyFill="1"/>
    <xf numFmtId="174" fontId="3" fillId="5" borderId="0" xfId="0" applyFont="1" applyFill="1" applyAlignment="1">
      <alignment horizontal="center" vertical="top"/>
    </xf>
    <xf numFmtId="174" fontId="3" fillId="5" borderId="0" xfId="0" applyFont="1" applyFill="1" applyAlignment="1">
      <alignment vertical="top"/>
    </xf>
    <xf numFmtId="174" fontId="25" fillId="2" borderId="0" xfId="0" applyFont="1" applyFill="1" applyAlignment="1">
      <alignment vertical="center"/>
    </xf>
    <xf numFmtId="168" fontId="28" fillId="3" borderId="0" xfId="52">
      <alignment horizontal="center"/>
    </xf>
    <xf numFmtId="170" fontId="27" fillId="2" borderId="0" xfId="53">
      <alignment horizontal="center"/>
    </xf>
    <xf numFmtId="170" fontId="32" fillId="2" borderId="0" xfId="48" applyNumberFormat="1" applyAlignment="1"/>
    <xf numFmtId="170" fontId="8" fillId="3" borderId="0" xfId="49" applyNumberFormat="1" applyAlignment="1"/>
    <xf numFmtId="170" fontId="4" fillId="0" borderId="0" xfId="50" applyNumberFormat="1">
      <alignment horizontal="left" vertical="center"/>
    </xf>
    <xf numFmtId="174" fontId="2" fillId="5" borderId="0" xfId="0" applyFont="1" applyFill="1" applyAlignment="1">
      <alignment horizontal="left" vertical="top"/>
    </xf>
    <xf numFmtId="174" fontId="2" fillId="5" borderId="0" xfId="0" applyFont="1" applyFill="1" applyAlignment="1">
      <alignment vertical="top"/>
    </xf>
    <xf numFmtId="174" fontId="2" fillId="0" borderId="0" xfId="0" applyFont="1" applyAlignment="1">
      <alignment vertical="top" wrapText="1"/>
    </xf>
    <xf numFmtId="174" fontId="3" fillId="0" borderId="0" xfId="0" applyFont="1" applyAlignment="1">
      <alignment vertical="top"/>
    </xf>
    <xf numFmtId="174" fontId="2" fillId="0" borderId="0" xfId="0" applyFont="1" applyAlignment="1">
      <alignment horizontal="left" wrapText="1"/>
    </xf>
    <xf numFmtId="174" fontId="2" fillId="0" borderId="0" xfId="0" applyFont="1" applyAlignment="1">
      <alignment vertical="top"/>
    </xf>
    <xf numFmtId="174" fontId="2" fillId="0" borderId="0" xfId="0" applyFont="1"/>
    <xf numFmtId="174" fontId="4" fillId="0" borderId="0" xfId="0" applyFont="1" applyAlignment="1">
      <alignment vertical="center"/>
    </xf>
    <xf numFmtId="174" fontId="5" fillId="0" borderId="0" xfId="0" applyFont="1" applyAlignment="1">
      <alignment vertical="center" wrapText="1"/>
    </xf>
    <xf numFmtId="174" fontId="2" fillId="0" borderId="0" xfId="0" applyFont="1" applyAlignment="1">
      <alignment horizontal="left" vertical="top"/>
    </xf>
    <xf numFmtId="174" fontId="3" fillId="0" borderId="0" xfId="0" applyFont="1" applyAlignment="1">
      <alignment horizontal="center" vertical="top"/>
    </xf>
    <xf numFmtId="174" fontId="7" fillId="0" borderId="0" xfId="0" applyFont="1" applyAlignment="1">
      <alignment vertical="center" wrapText="1"/>
    </xf>
    <xf numFmtId="168" fontId="2" fillId="0" borderId="0" xfId="0" applyNumberFormat="1" applyFont="1" applyAlignment="1">
      <alignment horizontal="left"/>
    </xf>
    <xf numFmtId="174" fontId="2" fillId="0" borderId="0" xfId="0" applyFont="1" applyAlignment="1">
      <alignment horizontal="left"/>
    </xf>
    <xf numFmtId="169" fontId="2" fillId="0" borderId="0" xfId="0" applyNumberFormat="1" applyFont="1" applyAlignment="1">
      <alignment horizontal="left"/>
    </xf>
    <xf numFmtId="174" fontId="3" fillId="0" borderId="0" xfId="0" applyFont="1" applyAlignment="1">
      <alignment horizontal="left" vertical="top"/>
    </xf>
    <xf numFmtId="174" fontId="3" fillId="0" borderId="0" xfId="0" applyFont="1"/>
    <xf numFmtId="174" fontId="25" fillId="0" borderId="0" xfId="0" applyFont="1"/>
    <xf numFmtId="174" fontId="26" fillId="0" borderId="0" xfId="0" applyFont="1"/>
    <xf numFmtId="170" fontId="30" fillId="0" borderId="0" xfId="57" applyFill="1" applyBorder="1" applyAlignment="1">
      <alignment vertical="top"/>
    </xf>
    <xf numFmtId="170" fontId="2" fillId="5" borderId="0" xfId="51" applyNumberFormat="1" applyFont="1" applyAlignment="1">
      <alignment horizontal="left" vertical="top"/>
    </xf>
    <xf numFmtId="170" fontId="3" fillId="5" borderId="0" xfId="51" applyNumberFormat="1" applyFont="1" applyAlignment="1">
      <alignment horizontal="center" vertical="top"/>
    </xf>
    <xf numFmtId="170" fontId="2" fillId="5" borderId="0" xfId="51" applyNumberFormat="1" applyFont="1" applyAlignment="1"/>
    <xf numFmtId="170" fontId="5" fillId="5" borderId="0" xfId="51" applyNumberFormat="1" applyFont="1" applyAlignment="1">
      <alignment vertical="center" wrapText="1"/>
    </xf>
    <xf numFmtId="170" fontId="2" fillId="5" borderId="0" xfId="51" applyNumberFormat="1" applyFont="1" applyAlignment="1">
      <alignment vertical="top"/>
    </xf>
    <xf numFmtId="0" fontId="2" fillId="5" borderId="12" xfId="61" applyFont="1" applyAlignment="1">
      <alignment vertical="top"/>
    </xf>
    <xf numFmtId="0" fontId="3" fillId="5" borderId="12" xfId="61" applyFont="1" applyAlignment="1">
      <alignment horizontal="center" vertical="top"/>
    </xf>
    <xf numFmtId="0" fontId="2" fillId="5" borderId="12" xfId="61" applyFont="1" applyAlignment="1"/>
    <xf numFmtId="0" fontId="5" fillId="5" borderId="12" xfId="61" applyFont="1" applyAlignment="1">
      <alignment vertical="center" wrapText="1"/>
    </xf>
    <xf numFmtId="174" fontId="25" fillId="0" borderId="0" xfId="0" applyFont="1" applyAlignment="1">
      <alignment vertical="center"/>
    </xf>
    <xf numFmtId="170" fontId="7" fillId="5" borderId="0" xfId="51" applyNumberFormat="1" applyFont="1" applyAlignment="1">
      <alignment vertical="center" wrapText="1"/>
    </xf>
    <xf numFmtId="0" fontId="3" fillId="5" borderId="12" xfId="61" applyFont="1" applyAlignment="1"/>
    <xf numFmtId="0" fontId="2" fillId="5" borderId="12" xfId="61" applyFont="1" applyAlignment="1">
      <alignment horizontal="left"/>
    </xf>
    <xf numFmtId="0" fontId="7" fillId="5" borderId="12" xfId="61" applyFont="1" applyAlignment="1">
      <alignment horizontal="center" vertical="center" wrapText="1"/>
    </xf>
    <xf numFmtId="0" fontId="7" fillId="5" borderId="12" xfId="61" applyFont="1" applyAlignment="1">
      <alignment vertical="center" wrapText="1"/>
    </xf>
    <xf numFmtId="170" fontId="30" fillId="37" borderId="11" xfId="60" applyNumberFormat="1">
      <protection locked="0"/>
    </xf>
    <xf numFmtId="170" fontId="2" fillId="0" borderId="0" xfId="51" applyNumberFormat="1" applyFont="1" applyFill="1" applyAlignment="1"/>
    <xf numFmtId="0" fontId="2" fillId="0" borderId="0" xfId="61" applyFont="1" applyFill="1" applyBorder="1" applyAlignment="1"/>
    <xf numFmtId="174" fontId="0" fillId="5" borderId="0" xfId="51" applyNumberFormat="1" applyFont="1" applyAlignment="1"/>
    <xf numFmtId="174" fontId="2" fillId="5" borderId="0" xfId="51" applyNumberFormat="1" applyFont="1" applyAlignment="1">
      <alignment vertical="top"/>
    </xf>
    <xf numFmtId="0" fontId="0" fillId="5" borderId="12" xfId="61" applyFont="1" applyAlignment="1"/>
    <xf numFmtId="174" fontId="4" fillId="5" borderId="0" xfId="51" applyNumberFormat="1" applyFont="1" applyAlignment="1">
      <alignment vertical="center"/>
    </xf>
    <xf numFmtId="0" fontId="3" fillId="5" borderId="12" xfId="61" applyFont="1" applyAlignment="1">
      <alignment horizontal="left" vertical="top"/>
    </xf>
    <xf numFmtId="174" fontId="30" fillId="0" borderId="0" xfId="57" applyNumberFormat="1" applyFill="1"/>
    <xf numFmtId="172" fontId="0" fillId="0" borderId="0" xfId="56" applyFont="1" applyFill="1"/>
    <xf numFmtId="172" fontId="30" fillId="37" borderId="11" xfId="60" applyNumberFormat="1">
      <protection locked="0"/>
    </xf>
    <xf numFmtId="177" fontId="0" fillId="0" borderId="0" xfId="55" applyFont="1"/>
    <xf numFmtId="175" fontId="30" fillId="37" borderId="11" xfId="60" applyNumberFormat="1">
      <protection locked="0"/>
    </xf>
    <xf numFmtId="39" fontId="0" fillId="0" borderId="0" xfId="0" applyNumberFormat="1"/>
    <xf numFmtId="174" fontId="9" fillId="0" borderId="0" xfId="0" applyFont="1"/>
    <xf numFmtId="175" fontId="30" fillId="0" borderId="0" xfId="57" applyNumberFormat="1" applyFill="1"/>
    <xf numFmtId="176" fontId="0" fillId="0" borderId="0" xfId="0" applyNumberFormat="1"/>
    <xf numFmtId="172" fontId="30" fillId="37" borderId="11" xfId="56" applyFont="1" applyFill="1" applyBorder="1" applyProtection="1">
      <protection locked="0"/>
    </xf>
    <xf numFmtId="174" fontId="0" fillId="0" borderId="0" xfId="0" applyAlignment="1">
      <alignment horizontal="right"/>
    </xf>
    <xf numFmtId="172" fontId="30" fillId="0" borderId="0" xfId="56" applyFont="1" applyFill="1"/>
    <xf numFmtId="174" fontId="33" fillId="0" borderId="0" xfId="0" applyFont="1"/>
    <xf numFmtId="174" fontId="34" fillId="0" borderId="0" xfId="0" applyFont="1"/>
    <xf numFmtId="174" fontId="30" fillId="37" borderId="11" xfId="60" applyNumberFormat="1">
      <protection locked="0"/>
    </xf>
    <xf numFmtId="178" fontId="0" fillId="0" borderId="0" xfId="56" applyNumberFormat="1" applyFont="1" applyFill="1"/>
    <xf numFmtId="177" fontId="30" fillId="37" borderId="11" xfId="55" applyFont="1" applyFill="1" applyBorder="1" applyProtection="1">
      <protection locked="0"/>
    </xf>
    <xf numFmtId="170" fontId="32" fillId="2" borderId="0" xfId="48" applyNumberFormat="1" applyAlignment="1">
      <alignment horizontal="center"/>
    </xf>
    <xf numFmtId="174" fontId="5" fillId="0" borderId="0" xfId="0" applyFont="1" applyAlignment="1">
      <alignment horizontal="center" vertical="center" wrapText="1"/>
    </xf>
    <xf numFmtId="170" fontId="2" fillId="5" borderId="0" xfId="51" applyNumberFormat="1" applyFont="1" applyAlignment="1">
      <alignment horizontal="left" vertical="top"/>
    </xf>
    <xf numFmtId="170" fontId="32" fillId="3" borderId="0" xfId="49" applyNumberFormat="1" applyFont="1" applyAlignment="1">
      <alignment horizontal="center" vertical="center"/>
    </xf>
    <xf numFmtId="170" fontId="31" fillId="5" borderId="0" xfId="58" applyNumberFormat="1" applyFill="1" applyBorder="1" applyAlignment="1">
      <alignment horizontal="center" vertical="center" wrapText="1"/>
    </xf>
    <xf numFmtId="174" fontId="7" fillId="0" borderId="0" xfId="0" applyFont="1" applyAlignment="1">
      <alignment horizontal="center" vertical="center" wrapText="1"/>
    </xf>
    <xf numFmtId="174" fontId="0" fillId="5" borderId="0" xfId="51" applyNumberFormat="1" applyFont="1" applyAlignment="1">
      <alignment horizontal="left"/>
    </xf>
    <xf numFmtId="170" fontId="2" fillId="5" borderId="0" xfId="51" applyNumberFormat="1" applyFont="1" applyAlignment="1">
      <alignment horizontal="left"/>
    </xf>
    <xf numFmtId="168" fontId="2" fillId="5" borderId="0" xfId="51" applyNumberFormat="1" applyFont="1" applyAlignment="1">
      <alignment horizontal="left"/>
    </xf>
    <xf numFmtId="0" fontId="2" fillId="5" borderId="0" xfId="51" applyNumberFormat="1" applyFont="1" applyAlignment="1">
      <alignment horizontal="left"/>
    </xf>
    <xf numFmtId="174" fontId="4" fillId="5" borderId="0" xfId="0" applyFont="1" applyFill="1" applyAlignment="1">
      <alignment horizontal="left" vertical="center"/>
    </xf>
    <xf numFmtId="174" fontId="4" fillId="5" borderId="0" xfId="50" applyNumberFormat="1" applyFill="1">
      <alignment horizontal="left" vertical="center"/>
    </xf>
  </cellXfs>
  <cellStyles count="66">
    <cellStyle name="=C:\WINNT35\SYSTEM32\COMMAND.COM" xfId="65" xr:uid="{3142FFC9-C9E3-474C-B911-408884C3D7EC}"/>
    <cellStyle name="20% - Accent1" xfId="25" builtinId="30" hidden="1"/>
    <cellStyle name="20% - Accent2" xfId="29" builtinId="34" hidden="1"/>
    <cellStyle name="20% - Accent3" xfId="33" builtinId="38" hidden="1"/>
    <cellStyle name="20% - Accent4" xfId="37" builtinId="42" hidden="1"/>
    <cellStyle name="20% - Accent5" xfId="41" builtinId="46" hidden="1"/>
    <cellStyle name="20% - Accent6" xfId="45" builtinId="50" hidden="1"/>
    <cellStyle name="40% - Accent1" xfId="26" builtinId="31" hidden="1"/>
    <cellStyle name="40% - Accent2" xfId="30" builtinId="35" hidden="1"/>
    <cellStyle name="40% - Accent3" xfId="34" builtinId="39" hidden="1"/>
    <cellStyle name="40% - Accent4" xfId="38" builtinId="43" hidden="1"/>
    <cellStyle name="40% - Accent5" xfId="42" builtinId="47" hidden="1"/>
    <cellStyle name="40% - Accent6" xfId="46" builtinId="51" hidden="1"/>
    <cellStyle name="60% - Accent1" xfId="27" builtinId="32" hidden="1"/>
    <cellStyle name="60% - Accent2" xfId="31" builtinId="36" hidden="1"/>
    <cellStyle name="60% - Accent3" xfId="35" builtinId="40" hidden="1"/>
    <cellStyle name="60% - Accent4" xfId="39" builtinId="44" hidden="1"/>
    <cellStyle name="60% - Accent5" xfId="43" builtinId="48" hidden="1"/>
    <cellStyle name="60% - Accent6" xfId="47" builtinId="52" hidden="1"/>
    <cellStyle name="Accent1" xfId="24" builtinId="29" hidden="1"/>
    <cellStyle name="Accent2" xfId="28" builtinId="33" hidden="1"/>
    <cellStyle name="Accent3" xfId="32" builtinId="37" hidden="1"/>
    <cellStyle name="Accent4" xfId="36" builtinId="41" hidden="1"/>
    <cellStyle name="Accent5" xfId="40" builtinId="45" hidden="1"/>
    <cellStyle name="Accent6" xfId="44" builtinId="49" hidden="1"/>
    <cellStyle name="Background Fill" xfId="51" xr:uid="{00000000-0005-0000-0000-000019000000}"/>
    <cellStyle name="Bad" xfId="13" builtinId="27" hidden="1"/>
    <cellStyle name="BG Border" xfId="61" xr:uid="{00000000-0005-0000-0000-00001B000000}"/>
    <cellStyle name="Blank" xfId="59" xr:uid="{00000000-0005-0000-0000-00001C000000}"/>
    <cellStyle name="Calculation" xfId="17" builtinId="22" hidden="1"/>
    <cellStyle name="Check Cell" xfId="19" builtinId="23" hidden="1"/>
    <cellStyle name="Comma" xfId="2" builtinId="3" hidden="1"/>
    <cellStyle name="Comma [0]" xfId="3" builtinId="6" hidden="1"/>
    <cellStyle name="Cover Title" xfId="62" xr:uid="{00000000-0005-0000-0000-000021000000}"/>
    <cellStyle name="Currency" xfId="4" builtinId="4" hidden="1"/>
    <cellStyle name="Currency [0]" xfId="5" builtinId="7" hidden="1"/>
    <cellStyle name="Date" xfId="54" xr:uid="{00000000-0005-0000-0000-000024000000}"/>
    <cellStyle name="Date Heading" xfId="52" xr:uid="{00000000-0005-0000-0000-000025000000}"/>
    <cellStyle name="Explanatory Text" xfId="22" builtinId="53" hidden="1"/>
    <cellStyle name="Good" xfId="12" builtinId="26" hidden="1"/>
    <cellStyle name="Hard Coded Number" xfId="57" xr:uid="{00000000-0005-0000-0000-000028000000}"/>
    <cellStyle name="Heading 1" xfId="8" builtinId="16" hidden="1"/>
    <cellStyle name="Heading 2" xfId="9" builtinId="17" hidden="1"/>
    <cellStyle name="Heading 3" xfId="10" builtinId="18" hidden="1"/>
    <cellStyle name="Heading 4" xfId="11" builtinId="19" hidden="1"/>
    <cellStyle name="Hist Proj Title" xfId="53" xr:uid="{00000000-0005-0000-0000-00002E000000}"/>
    <cellStyle name="Hyperlink" xfId="1" builtinId="8" hidden="1" customBuiltin="1"/>
    <cellStyle name="Input" xfId="15" builtinId="20" hidden="1"/>
    <cellStyle name="Input" xfId="60" builtinId="20" customBuiltin="1"/>
    <cellStyle name="Linked Cell" xfId="18" builtinId="24" hidden="1"/>
    <cellStyle name="Multiple" xfId="55" xr:uid="{00000000-0005-0000-0000-000033000000}"/>
    <cellStyle name="Neutral" xfId="14" builtinId="28" hidden="1"/>
    <cellStyle name="Normal" xfId="0" builtinId="0" customBuiltin="1"/>
    <cellStyle name="Normal 10" xfId="63" xr:uid="{531D5640-245B-4ABB-BE20-478BC8AA3F13}"/>
    <cellStyle name="Note" xfId="21" builtinId="10" hidden="1"/>
    <cellStyle name="Notes and Comments" xfId="58" xr:uid="{00000000-0005-0000-0000-000037000000}"/>
    <cellStyle name="Output" xfId="16" builtinId="21" hidden="1"/>
    <cellStyle name="Percent" xfId="6" builtinId="5" hidden="1"/>
    <cellStyle name="Percent" xfId="56" builtinId="5" customBuiltin="1"/>
    <cellStyle name="Percent 12" xfId="64" xr:uid="{1C5B5FCB-1D7E-4D65-847D-577020DD4906}"/>
    <cellStyle name="Primary Title" xfId="48" xr:uid="{00000000-0005-0000-0000-00003C000000}"/>
    <cellStyle name="Secondary Title" xfId="49" xr:uid="{00000000-0005-0000-0000-00003E000000}"/>
    <cellStyle name="Tertiary Title" xfId="50" xr:uid="{00000000-0005-0000-0000-00003F000000}"/>
    <cellStyle name="Title" xfId="7" builtinId="15" hidden="1"/>
    <cellStyle name="Total" xfId="23" builtinId="25" hidden="1"/>
    <cellStyle name="Warning Text" xfId="20" builtinId="11" hidden="1"/>
  </cellStyles>
  <dxfs count="0"/>
  <tableStyles count="0" defaultTableStyle="TableStyleMedium2" defaultPivotStyle="PivotStyleLight16"/>
  <colors>
    <mruColors>
      <color rgb="FF163260"/>
      <color rgb="FF085393"/>
      <color rgb="FFBBDEFB"/>
      <color rgb="FFF0F8FE"/>
      <color rgb="FF0000FF"/>
      <color rgb="FFEBF1FB"/>
      <color rgb="FFD3E0F5"/>
      <color rgb="FFC9D9F3"/>
      <color rgb="FFE2F1FE"/>
      <color rgb="FFC4E3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19050</xdr:colOff>
      <xdr:row>0</xdr:row>
      <xdr:rowOff>1019175</xdr:rowOff>
    </xdr:from>
    <xdr:to>
      <xdr:col>9</xdr:col>
      <xdr:colOff>457200</xdr:colOff>
      <xdr:row>0</xdr:row>
      <xdr:rowOff>1503980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95550" y="1019175"/>
          <a:ext cx="3533775" cy="4848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1931713</xdr:colOff>
      <xdr:row>0</xdr:row>
      <xdr:rowOff>123826</xdr:rowOff>
    </xdr:from>
    <xdr:to>
      <xdr:col>16</xdr:col>
      <xdr:colOff>158039</xdr:colOff>
      <xdr:row>0</xdr:row>
      <xdr:rowOff>462916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27738" y="123826"/>
          <a:ext cx="401836" cy="342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8"/>
  <sheetViews>
    <sheetView showGridLines="0" zoomScaleNormal="100" workbookViewId="0">
      <selection activeCell="A2" sqref="A2:N2"/>
    </sheetView>
  </sheetViews>
  <sheetFormatPr defaultColWidth="9.140625" defaultRowHeight="15" x14ac:dyDescent="0.25"/>
  <cols>
    <col min="1" max="1" width="9.85546875" customWidth="1"/>
    <col min="2" max="13" width="9.28515625" customWidth="1"/>
    <col min="14" max="14" width="9.85546875" customWidth="1"/>
    <col min="15" max="26" width="9.140625" customWidth="1"/>
  </cols>
  <sheetData>
    <row r="1" spans="1:14" s="33" customFormat="1" ht="189.75" customHeight="1" x14ac:dyDescent="0.45">
      <c r="A1" s="76"/>
      <c r="B1" s="76"/>
      <c r="C1" s="76"/>
      <c r="D1" s="76"/>
      <c r="E1" s="76"/>
      <c r="F1" s="76"/>
      <c r="G1" s="76"/>
      <c r="H1" s="76"/>
      <c r="I1" s="76"/>
      <c r="J1" s="76"/>
      <c r="K1" s="76"/>
      <c r="L1" s="76"/>
      <c r="M1" s="76"/>
      <c r="N1" s="76"/>
    </row>
    <row r="2" spans="1:14" s="21" customFormat="1" ht="75" customHeight="1" x14ac:dyDescent="0.25">
      <c r="A2" s="79" t="s">
        <v>223</v>
      </c>
      <c r="B2" s="79"/>
      <c r="C2" s="79"/>
      <c r="D2" s="79"/>
      <c r="E2" s="79"/>
      <c r="F2" s="79"/>
      <c r="G2" s="79"/>
      <c r="H2" s="79"/>
      <c r="I2" s="79"/>
      <c r="J2" s="79"/>
      <c r="K2" s="79"/>
      <c r="L2" s="79"/>
      <c r="M2" s="79"/>
      <c r="N2" s="79"/>
    </row>
    <row r="3" spans="1:14" s="22" customFormat="1" ht="7.5" customHeight="1" x14ac:dyDescent="0.25">
      <c r="B3" s="23"/>
      <c r="C3" s="23"/>
      <c r="F3" s="24"/>
      <c r="G3" s="24"/>
      <c r="H3" s="24"/>
      <c r="I3" s="24"/>
      <c r="J3" s="24"/>
      <c r="K3" s="24"/>
    </row>
    <row r="4" spans="1:14" s="22" customFormat="1" ht="15" customHeight="1" x14ac:dyDescent="0.25">
      <c r="A4" s="36"/>
      <c r="B4" s="37"/>
      <c r="C4" s="78"/>
      <c r="D4" s="78"/>
      <c r="E4" s="38"/>
      <c r="F4" s="39"/>
      <c r="G4" s="39"/>
      <c r="H4" s="39"/>
      <c r="I4" s="39"/>
      <c r="J4" s="39"/>
      <c r="K4" s="39"/>
      <c r="L4" s="38"/>
      <c r="M4" s="38"/>
      <c r="N4" s="38"/>
    </row>
    <row r="5" spans="1:14" s="22" customFormat="1" ht="15" customHeight="1" x14ac:dyDescent="0.25">
      <c r="A5" s="80" t="s">
        <v>0</v>
      </c>
      <c r="B5" s="80"/>
      <c r="C5" s="80"/>
      <c r="D5" s="80"/>
      <c r="E5" s="80"/>
      <c r="F5" s="80"/>
      <c r="G5" s="80"/>
      <c r="H5" s="80"/>
      <c r="I5" s="80"/>
      <c r="J5" s="80"/>
      <c r="K5" s="80"/>
      <c r="L5" s="80"/>
      <c r="M5" s="80"/>
      <c r="N5" s="80"/>
    </row>
    <row r="6" spans="1:14" s="22" customFormat="1" ht="15" customHeight="1" x14ac:dyDescent="0.25">
      <c r="A6" s="80"/>
      <c r="B6" s="80"/>
      <c r="C6" s="80"/>
      <c r="D6" s="80"/>
      <c r="E6" s="80"/>
      <c r="F6" s="80"/>
      <c r="G6" s="80"/>
      <c r="H6" s="80"/>
      <c r="I6" s="80"/>
      <c r="J6" s="80"/>
      <c r="K6" s="80"/>
      <c r="L6" s="80"/>
      <c r="M6" s="80"/>
      <c r="N6" s="80"/>
    </row>
    <row r="7" spans="1:14" s="22" customFormat="1" ht="15" customHeight="1" x14ac:dyDescent="0.25">
      <c r="A7" s="80" t="str">
        <f ca="1">"© "&amp;YEAR(TODAY())&amp;" Financial Edge Training "</f>
        <v xml:space="preserve">© 2025 Financial Edge Training </v>
      </c>
      <c r="B7" s="80"/>
      <c r="C7" s="80"/>
      <c r="D7" s="80"/>
      <c r="E7" s="80"/>
      <c r="F7" s="80"/>
      <c r="G7" s="80"/>
      <c r="H7" s="80"/>
      <c r="I7" s="80"/>
      <c r="J7" s="80"/>
      <c r="K7" s="80"/>
      <c r="L7" s="80"/>
      <c r="M7" s="80"/>
      <c r="N7" s="80"/>
    </row>
    <row r="8" spans="1:14" s="22" customFormat="1" ht="15" customHeight="1" thickBot="1" x14ac:dyDescent="0.3">
      <c r="A8" s="41"/>
      <c r="B8" s="42"/>
      <c r="C8" s="41"/>
      <c r="D8" s="41"/>
      <c r="E8" s="43"/>
      <c r="F8" s="44"/>
      <c r="G8" s="44"/>
      <c r="H8" s="44"/>
      <c r="I8" s="44"/>
      <c r="J8" s="44"/>
      <c r="K8" s="44"/>
      <c r="L8" s="43"/>
      <c r="M8" s="43"/>
      <c r="N8" s="43"/>
    </row>
    <row r="9" spans="1:14" s="22" customFormat="1" ht="15" customHeight="1" x14ac:dyDescent="0.25">
      <c r="F9" s="27"/>
      <c r="G9" s="81"/>
      <c r="H9" s="81"/>
      <c r="I9" s="81"/>
      <c r="J9" s="81"/>
      <c r="K9" s="27"/>
    </row>
    <row r="10" spans="1:14" s="22" customFormat="1" ht="15" customHeight="1" x14ac:dyDescent="0.25">
      <c r="B10" s="23"/>
      <c r="C10" s="23"/>
      <c r="F10" s="27"/>
      <c r="G10" s="81"/>
      <c r="H10" s="81"/>
      <c r="I10" s="81"/>
      <c r="J10" s="81"/>
      <c r="K10" s="27"/>
    </row>
    <row r="11" spans="1:14" s="22" customFormat="1" ht="15" customHeight="1" x14ac:dyDescent="0.25">
      <c r="B11" s="19"/>
      <c r="C11" s="19"/>
      <c r="D11" s="20"/>
      <c r="F11" s="24"/>
      <c r="G11" s="24"/>
      <c r="H11" s="24"/>
      <c r="I11" s="24"/>
      <c r="J11" s="24"/>
      <c r="K11" s="24"/>
    </row>
    <row r="12" spans="1:14" s="22" customFormat="1" ht="15" customHeight="1" x14ac:dyDescent="0.25">
      <c r="A12" s="25"/>
      <c r="B12" s="19"/>
      <c r="C12" s="19"/>
      <c r="D12" s="28"/>
      <c r="F12" s="24"/>
      <c r="G12" s="77"/>
      <c r="H12" s="77"/>
      <c r="I12" s="77"/>
      <c r="J12" s="77"/>
      <c r="K12" s="24"/>
    </row>
    <row r="13" spans="1:14" s="22" customFormat="1" ht="15" customHeight="1" x14ac:dyDescent="0.25">
      <c r="A13" s="18"/>
      <c r="B13" s="19"/>
      <c r="C13" s="19"/>
      <c r="D13" s="29"/>
      <c r="F13" s="24"/>
      <c r="G13" s="77"/>
      <c r="H13" s="77"/>
      <c r="I13" s="77"/>
      <c r="J13" s="77"/>
      <c r="K13" s="24"/>
    </row>
    <row r="14" spans="1:14" s="22" customFormat="1" ht="15" customHeight="1" x14ac:dyDescent="0.25">
      <c r="A14" s="21"/>
      <c r="B14" s="19"/>
      <c r="C14" s="19"/>
      <c r="D14" s="29"/>
      <c r="F14" s="24"/>
      <c r="G14" s="77"/>
      <c r="H14" s="77"/>
      <c r="I14" s="77"/>
      <c r="J14" s="77"/>
      <c r="K14" s="24"/>
    </row>
    <row r="15" spans="1:14" s="22" customFormat="1" ht="15" customHeight="1" x14ac:dyDescent="0.25">
      <c r="A15" s="21"/>
      <c r="B15" s="19"/>
      <c r="C15" s="19"/>
      <c r="D15" s="29"/>
      <c r="F15" s="24"/>
      <c r="G15" s="24"/>
      <c r="H15" s="24"/>
      <c r="I15" s="24"/>
      <c r="J15" s="24"/>
      <c r="K15" s="24"/>
    </row>
    <row r="16" spans="1:14" s="22" customFormat="1" ht="15" customHeight="1" x14ac:dyDescent="0.25">
      <c r="A16" s="21"/>
      <c r="B16" s="19"/>
      <c r="C16" s="19"/>
      <c r="D16" s="30"/>
      <c r="F16" s="24"/>
      <c r="G16" s="77"/>
      <c r="H16" s="77"/>
      <c r="I16" s="77"/>
      <c r="J16" s="77"/>
      <c r="K16" s="24"/>
    </row>
    <row r="17" spans="1:11" s="22" customFormat="1" ht="15" customHeight="1" x14ac:dyDescent="0.25">
      <c r="A17" s="21"/>
      <c r="B17" s="31"/>
      <c r="C17" s="32"/>
      <c r="D17" s="30"/>
      <c r="F17" s="24"/>
      <c r="G17" s="24"/>
      <c r="H17" s="24"/>
      <c r="I17" s="24"/>
      <c r="J17" s="24"/>
      <c r="K17" s="24"/>
    </row>
    <row r="18" spans="1:11" ht="15" customHeight="1" x14ac:dyDescent="0.25"/>
  </sheetData>
  <mergeCells count="8">
    <mergeCell ref="A1:N1"/>
    <mergeCell ref="G16:J16"/>
    <mergeCell ref="G12:J14"/>
    <mergeCell ref="C4:D4"/>
    <mergeCell ref="A2:N2"/>
    <mergeCell ref="A5:N6"/>
    <mergeCell ref="A7:N7"/>
    <mergeCell ref="G9:J10"/>
  </mergeCells>
  <printOptions horizontalCentered="1"/>
  <pageMargins left="0.31496062992125984" right="0.31496062992125984" top="0.55118110236220474" bottom="0.55118110236220474" header="0.31496062992125984" footer="0.31496062992125984"/>
  <pageSetup paperSize="9" orientation="landscape" verticalDpi="1200" r:id="rId1"/>
  <headerFooter>
    <oddHeader xml:space="preserve">&amp;R&amp;10&amp;F 
&amp;A
</oddHeader>
    <oddFooter>&amp;L&amp;10© 2018&amp;C&amp;10Page &amp;P of &amp;N&amp;R&amp;G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0"/>
  <sheetViews>
    <sheetView showGridLines="0" zoomScale="130" zoomScaleNormal="130" workbookViewId="0">
      <selection activeCell="N10" sqref="N10:Q10"/>
    </sheetView>
  </sheetViews>
  <sheetFormatPr defaultColWidth="9.140625" defaultRowHeight="15" x14ac:dyDescent="0.25"/>
  <cols>
    <col min="1" max="1" width="1.42578125" customWidth="1"/>
    <col min="2" max="2" width="2.85546875" customWidth="1"/>
    <col min="3" max="3" width="13.28515625" customWidth="1"/>
    <col min="4" max="4" width="2.85546875" customWidth="1"/>
    <col min="5" max="7" width="1.42578125" customWidth="1"/>
    <col min="8" max="8" width="2.85546875" customWidth="1"/>
    <col min="9" max="9" width="42.7109375" customWidth="1"/>
    <col min="10" max="11" width="1.42578125" customWidth="1"/>
    <col min="12" max="12" width="15.5703125" customWidth="1"/>
    <col min="13" max="14" width="1.42578125" customWidth="1"/>
    <col min="15" max="15" width="2.85546875" customWidth="1"/>
    <col min="16" max="16" width="32.5703125" customWidth="1"/>
    <col min="17" max="17" width="2.85546875" customWidth="1"/>
    <col min="18" max="18" width="1.42578125" customWidth="1"/>
    <col min="23" max="23" width="17.7109375" bestFit="1" customWidth="1"/>
  </cols>
  <sheetData>
    <row r="1" spans="1:18" s="33" customFormat="1" ht="45" customHeight="1" x14ac:dyDescent="0.45">
      <c r="A1" s="13" t="str">
        <f>Welcome!A2</f>
        <v>Industrial company case study</v>
      </c>
      <c r="B1" s="13"/>
      <c r="C1" s="13"/>
      <c r="D1" s="13"/>
      <c r="E1" s="13"/>
      <c r="F1" s="13"/>
      <c r="G1" s="13"/>
      <c r="H1" s="13"/>
      <c r="I1" s="13"/>
      <c r="J1" s="6"/>
      <c r="K1" s="6"/>
      <c r="L1" s="6"/>
      <c r="M1" s="6"/>
      <c r="N1" s="6"/>
      <c r="O1" s="6"/>
      <c r="P1" s="6"/>
      <c r="Q1" s="6"/>
      <c r="R1" s="6"/>
    </row>
    <row r="2" spans="1:18" s="34" customFormat="1" ht="30" customHeight="1" x14ac:dyDescent="0.35">
      <c r="A2" s="14" t="s">
        <v>1</v>
      </c>
      <c r="B2" s="14"/>
      <c r="C2" s="14"/>
      <c r="D2" s="14"/>
      <c r="E2" s="14"/>
      <c r="F2" s="14"/>
      <c r="G2" s="14"/>
      <c r="H2" s="14"/>
      <c r="I2" s="14"/>
      <c r="J2" s="7"/>
      <c r="K2" s="7"/>
      <c r="L2" s="7"/>
      <c r="M2" s="7"/>
      <c r="N2" s="7"/>
      <c r="O2" s="7"/>
      <c r="P2" s="7"/>
      <c r="Q2" s="7"/>
      <c r="R2" s="7"/>
    </row>
    <row r="3" spans="1:18" s="2" customFormat="1" ht="7.5" customHeight="1" x14ac:dyDescent="0.25"/>
    <row r="4" spans="1:18" s="2" customFormat="1" ht="22.5" customHeight="1" x14ac:dyDescent="0.25">
      <c r="A4" s="1"/>
      <c r="B4" s="86" t="s">
        <v>2</v>
      </c>
      <c r="C4" s="86"/>
      <c r="D4" s="86"/>
      <c r="E4" s="86"/>
      <c r="F4" s="86"/>
      <c r="G4" s="86"/>
      <c r="H4" s="86"/>
      <c r="I4" s="86"/>
      <c r="K4" s="1"/>
      <c r="L4" s="86" t="s">
        <v>3</v>
      </c>
      <c r="M4" s="86"/>
      <c r="N4" s="86"/>
      <c r="O4" s="86"/>
      <c r="P4" s="86"/>
      <c r="Q4" s="39"/>
      <c r="R4" s="39"/>
    </row>
    <row r="5" spans="1:18" s="2" customFormat="1" ht="15" customHeight="1" x14ac:dyDescent="0.25">
      <c r="A5" s="16"/>
      <c r="B5" s="8" t="s">
        <v>4</v>
      </c>
      <c r="C5" s="54" t="s">
        <v>5</v>
      </c>
      <c r="D5" s="17"/>
      <c r="E5" s="17"/>
      <c r="F5" s="17"/>
      <c r="G5" s="17"/>
      <c r="H5" s="17"/>
      <c r="I5" s="17"/>
      <c r="K5" s="1"/>
      <c r="L5" s="9" t="s">
        <v>6</v>
      </c>
      <c r="M5" s="9"/>
      <c r="N5" s="83" t="s">
        <v>114</v>
      </c>
      <c r="O5" s="83"/>
      <c r="P5" s="83"/>
      <c r="Q5" s="83"/>
      <c r="R5" s="39"/>
    </row>
    <row r="6" spans="1:18" s="2" customFormat="1" ht="15" customHeight="1" x14ac:dyDescent="0.25">
      <c r="A6" s="3"/>
      <c r="B6" s="8" t="s">
        <v>4</v>
      </c>
      <c r="C6" s="17" t="s">
        <v>7</v>
      </c>
      <c r="D6" s="17"/>
      <c r="E6" s="17"/>
      <c r="F6" s="17"/>
      <c r="G6" s="17"/>
      <c r="H6" s="17"/>
      <c r="I6" s="17"/>
      <c r="K6" s="16"/>
      <c r="L6" s="9" t="s">
        <v>8</v>
      </c>
      <c r="M6" s="9"/>
      <c r="N6" s="84">
        <v>45291</v>
      </c>
      <c r="O6" s="84"/>
      <c r="P6" s="84"/>
      <c r="Q6" s="84"/>
      <c r="R6" s="39"/>
    </row>
    <row r="7" spans="1:18" s="2" customFormat="1" ht="15" customHeight="1" x14ac:dyDescent="0.25">
      <c r="A7" s="17"/>
      <c r="B7" s="8" t="s">
        <v>4</v>
      </c>
      <c r="C7" s="17" t="s">
        <v>9</v>
      </c>
      <c r="D7" s="17"/>
      <c r="E7" s="17"/>
      <c r="F7" s="17"/>
      <c r="G7" s="17"/>
      <c r="H7" s="17"/>
      <c r="I7" s="17"/>
      <c r="K7" s="3"/>
      <c r="L7" s="9" t="s">
        <v>10</v>
      </c>
      <c r="M7" s="9"/>
      <c r="N7" s="83" t="s">
        <v>87</v>
      </c>
      <c r="O7" s="83"/>
      <c r="P7" s="83"/>
      <c r="Q7" s="83"/>
      <c r="R7" s="39"/>
    </row>
    <row r="8" spans="1:18" s="2" customFormat="1" ht="15" customHeight="1" x14ac:dyDescent="0.25">
      <c r="A8" s="17"/>
      <c r="B8" s="8" t="s">
        <v>4</v>
      </c>
      <c r="C8" s="17" t="s">
        <v>85</v>
      </c>
      <c r="D8" s="17"/>
      <c r="E8" s="17"/>
      <c r="F8" s="17"/>
      <c r="G8" s="17"/>
      <c r="H8" s="17"/>
      <c r="I8" s="17"/>
      <c r="K8" s="17"/>
      <c r="L8" s="9" t="s">
        <v>11</v>
      </c>
      <c r="M8" s="9"/>
      <c r="N8" s="83" t="s">
        <v>12</v>
      </c>
      <c r="O8" s="83"/>
      <c r="P8" s="83"/>
      <c r="Q8" s="83"/>
      <c r="R8" s="39"/>
    </row>
    <row r="9" spans="1:18" s="2" customFormat="1" ht="15" customHeight="1" x14ac:dyDescent="0.25">
      <c r="A9" s="40"/>
      <c r="B9" s="8" t="s">
        <v>4</v>
      </c>
      <c r="C9" s="17" t="s">
        <v>131</v>
      </c>
      <c r="D9" s="40"/>
      <c r="E9" s="40"/>
      <c r="F9" s="40"/>
      <c r="G9" s="40"/>
      <c r="H9" s="40"/>
      <c r="I9" s="40"/>
      <c r="K9" s="17"/>
      <c r="L9" s="9" t="s">
        <v>13</v>
      </c>
      <c r="M9" s="9"/>
      <c r="N9" s="83" t="s">
        <v>14</v>
      </c>
      <c r="O9" s="83"/>
      <c r="P9" s="83"/>
      <c r="Q9" s="83"/>
      <c r="R9" s="39"/>
    </row>
    <row r="10" spans="1:18" s="2" customFormat="1" ht="15" customHeight="1" x14ac:dyDescent="0.25">
      <c r="A10" s="38"/>
      <c r="B10" s="38"/>
      <c r="C10" s="38"/>
      <c r="D10" s="38"/>
      <c r="E10" s="38"/>
      <c r="F10" s="38"/>
      <c r="G10" s="38"/>
      <c r="H10" s="38"/>
      <c r="I10" s="38"/>
      <c r="K10" s="17"/>
      <c r="L10" s="9" t="s">
        <v>15</v>
      </c>
      <c r="M10" s="9"/>
      <c r="N10" s="85">
        <v>0</v>
      </c>
      <c r="O10" s="85"/>
      <c r="P10" s="85"/>
      <c r="Q10" s="85"/>
      <c r="R10" s="46"/>
    </row>
    <row r="11" spans="1:18" s="2" customFormat="1" ht="15" customHeight="1" thickBot="1" x14ac:dyDescent="0.3">
      <c r="A11" s="43"/>
      <c r="B11" s="43"/>
      <c r="C11" s="43"/>
      <c r="D11" s="43"/>
      <c r="E11" s="43"/>
      <c r="F11" s="43"/>
      <c r="G11" s="43"/>
      <c r="H11" s="43"/>
      <c r="I11" s="43"/>
      <c r="K11" s="4"/>
      <c r="L11" s="58"/>
      <c r="M11" s="58"/>
      <c r="N11" s="47"/>
      <c r="O11" s="48"/>
      <c r="P11" s="48"/>
      <c r="Q11" s="49"/>
      <c r="R11" s="50"/>
    </row>
    <row r="12" spans="1:18" s="2" customFormat="1" ht="7.5" customHeight="1" x14ac:dyDescent="0.25">
      <c r="K12" s="24"/>
      <c r="L12" s="24"/>
      <c r="M12" s="24"/>
      <c r="N12" s="24"/>
      <c r="O12" s="24"/>
      <c r="P12" s="24"/>
      <c r="Q12" s="24"/>
      <c r="R12" s="24"/>
    </row>
    <row r="13" spans="1:18" s="2" customFormat="1" ht="22.5" customHeight="1" x14ac:dyDescent="0.25">
      <c r="A13" s="54"/>
      <c r="B13" s="87" t="s">
        <v>16</v>
      </c>
      <c r="C13" s="87"/>
      <c r="D13" s="87"/>
      <c r="E13" s="87"/>
      <c r="F13" s="87"/>
      <c r="G13" s="87"/>
      <c r="H13" s="87"/>
      <c r="I13" s="87"/>
      <c r="J13" s="87"/>
      <c r="K13" s="87"/>
      <c r="L13" s="87"/>
      <c r="N13" s="1"/>
      <c r="O13" s="86" t="s">
        <v>17</v>
      </c>
      <c r="P13" s="86"/>
      <c r="Q13" s="86"/>
      <c r="R13" s="57"/>
    </row>
    <row r="14" spans="1:18" s="2" customFormat="1" ht="15" customHeight="1" x14ac:dyDescent="0.25">
      <c r="A14" s="55"/>
      <c r="B14" s="82"/>
      <c r="C14" s="82"/>
      <c r="D14" s="82"/>
      <c r="E14" s="82"/>
      <c r="F14" s="82"/>
      <c r="G14" s="82"/>
      <c r="H14" s="82"/>
      <c r="I14" s="82"/>
      <c r="J14" s="82"/>
      <c r="K14" s="82"/>
      <c r="L14" s="82"/>
      <c r="N14" s="16"/>
      <c r="O14" s="26"/>
      <c r="P14" s="21"/>
      <c r="Q14" s="21"/>
      <c r="R14" s="55"/>
    </row>
    <row r="15" spans="1:18" s="2" customFormat="1" ht="15" customHeight="1" x14ac:dyDescent="0.25">
      <c r="A15" s="55"/>
      <c r="B15" s="82"/>
      <c r="C15" s="82"/>
      <c r="D15" s="82"/>
      <c r="E15" s="82"/>
      <c r="F15" s="82"/>
      <c r="G15" s="82"/>
      <c r="H15" s="82"/>
      <c r="I15" s="82"/>
      <c r="J15" s="82"/>
      <c r="K15" s="82"/>
      <c r="L15" s="82"/>
      <c r="N15" s="3"/>
      <c r="O15" s="26"/>
      <c r="P15" s="51" t="s">
        <v>18</v>
      </c>
      <c r="Q15" s="21"/>
      <c r="R15" s="55"/>
    </row>
    <row r="16" spans="1:18" s="2" customFormat="1" ht="15" customHeight="1" x14ac:dyDescent="0.25">
      <c r="A16" s="55"/>
      <c r="B16" s="82"/>
      <c r="C16" s="82"/>
      <c r="D16" s="82"/>
      <c r="E16" s="82"/>
      <c r="F16" s="82"/>
      <c r="G16" s="82"/>
      <c r="H16" s="82"/>
      <c r="I16" s="82"/>
      <c r="J16" s="82"/>
      <c r="K16" s="82"/>
      <c r="L16" s="82"/>
      <c r="N16" s="17"/>
      <c r="O16" s="26"/>
      <c r="P16" s="35" t="s">
        <v>19</v>
      </c>
      <c r="Q16" s="21"/>
      <c r="R16" s="55"/>
    </row>
    <row r="17" spans="1:18" s="2" customFormat="1" ht="15" customHeight="1" x14ac:dyDescent="0.25">
      <c r="A17" s="55"/>
      <c r="B17" s="82"/>
      <c r="C17" s="82"/>
      <c r="D17" s="82"/>
      <c r="E17" s="82"/>
      <c r="F17" s="82"/>
      <c r="G17" s="82"/>
      <c r="H17" s="82"/>
      <c r="I17" s="82"/>
      <c r="J17" s="82"/>
      <c r="K17" s="82"/>
      <c r="L17" s="82"/>
      <c r="N17" s="17"/>
      <c r="O17" s="26"/>
      <c r="P17" t="s">
        <v>20</v>
      </c>
      <c r="Q17" s="21"/>
      <c r="R17" s="55"/>
    </row>
    <row r="18" spans="1:18" s="2" customFormat="1" ht="15" customHeight="1" x14ac:dyDescent="0.25">
      <c r="A18" s="38"/>
      <c r="B18" s="82"/>
      <c r="C18" s="82"/>
      <c r="D18" s="82"/>
      <c r="E18" s="82"/>
      <c r="F18" s="82"/>
      <c r="G18" s="82"/>
      <c r="H18" s="82"/>
      <c r="I18" s="82"/>
      <c r="J18" s="82"/>
      <c r="K18" s="82"/>
      <c r="L18" s="82"/>
      <c r="N18" s="38"/>
      <c r="O18" s="52"/>
      <c r="P18" s="52"/>
      <c r="Q18" s="52"/>
      <c r="R18" s="38"/>
    </row>
    <row r="19" spans="1:18" ht="15.75" thickBot="1" x14ac:dyDescent="0.3">
      <c r="A19" s="43"/>
      <c r="B19" s="43"/>
      <c r="C19" s="43"/>
      <c r="D19" s="56"/>
      <c r="E19" s="56"/>
      <c r="F19" s="56"/>
      <c r="G19" s="56"/>
      <c r="H19" s="56"/>
      <c r="I19" s="56"/>
      <c r="J19" s="56"/>
      <c r="K19" s="56"/>
      <c r="L19" s="56"/>
      <c r="N19" s="43"/>
      <c r="O19" s="43"/>
      <c r="P19" s="43"/>
      <c r="Q19" s="43"/>
      <c r="R19" s="43"/>
    </row>
    <row r="20" spans="1:18" x14ac:dyDescent="0.25">
      <c r="Q20" s="53"/>
    </row>
  </sheetData>
  <mergeCells count="20">
    <mergeCell ref="B17:C17"/>
    <mergeCell ref="L4:P4"/>
    <mergeCell ref="B4:I4"/>
    <mergeCell ref="B13:L13"/>
    <mergeCell ref="B18:C18"/>
    <mergeCell ref="D16:L16"/>
    <mergeCell ref="D17:L17"/>
    <mergeCell ref="D18:L18"/>
    <mergeCell ref="N5:Q5"/>
    <mergeCell ref="N6:Q6"/>
    <mergeCell ref="N7:Q7"/>
    <mergeCell ref="N8:Q8"/>
    <mergeCell ref="N9:Q9"/>
    <mergeCell ref="N10:Q10"/>
    <mergeCell ref="O13:Q13"/>
    <mergeCell ref="D14:L14"/>
    <mergeCell ref="D15:L15"/>
    <mergeCell ref="B14:C14"/>
    <mergeCell ref="B15:C15"/>
    <mergeCell ref="B16:C16"/>
  </mergeCells>
  <printOptions horizontalCentered="1"/>
  <pageMargins left="0.31496062992125984" right="0.31496062992125984" top="0.55118110236220474" bottom="0.55118110236220474" header="0.31496062992125984" footer="0.31496062992125984"/>
  <pageSetup paperSize="9" orientation="landscape" verticalDpi="1200" r:id="rId1"/>
  <headerFooter>
    <oddHeader xml:space="preserve">&amp;R&amp;10&amp;F 
&amp;A
</oddHeader>
    <oddFooter>&amp;L&amp;10© 2018&amp;C&amp;10Page &amp;P of &amp;N&amp;R&amp;G</oddFooter>
  </headerFooter>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0AC9A-4EBB-469D-B539-1F2A910B5344}">
  <sheetPr>
    <pageSetUpPr fitToPage="1"/>
  </sheetPr>
  <dimension ref="A1:N190"/>
  <sheetViews>
    <sheetView tabSelected="1" zoomScale="130" zoomScaleNormal="130" workbookViewId="0">
      <pane xSplit="2" ySplit="2" topLeftCell="D22" activePane="bottomRight" state="frozen"/>
      <selection activeCell="C7" sqref="C7"/>
      <selection pane="topRight" activeCell="C7" sqref="C7"/>
      <selection pane="bottomLeft" activeCell="C7" sqref="C7"/>
      <selection pane="bottomRight" activeCell="E34" sqref="E34"/>
    </sheetView>
  </sheetViews>
  <sheetFormatPr defaultColWidth="9.140625" defaultRowHeight="15" customHeight="1" outlineLevelRow="1" x14ac:dyDescent="0.25"/>
  <cols>
    <col min="1" max="1" width="1.42578125" style="15" customWidth="1"/>
    <col min="2" max="2" width="41.7109375" customWidth="1"/>
    <col min="3" max="10" width="11" customWidth="1"/>
    <col min="12" max="14" width="11" customWidth="1"/>
  </cols>
  <sheetData>
    <row r="1" spans="1:13" s="45" customFormat="1" ht="45" customHeight="1" x14ac:dyDescent="0.45">
      <c r="A1" s="5" t="s">
        <v>115</v>
      </c>
      <c r="B1" s="10"/>
      <c r="C1" s="12" t="s">
        <v>21</v>
      </c>
      <c r="D1" s="12" t="s">
        <v>21</v>
      </c>
      <c r="E1" s="12" t="s">
        <v>21</v>
      </c>
      <c r="F1" s="12" t="s">
        <v>22</v>
      </c>
      <c r="G1" s="12" t="s">
        <v>22</v>
      </c>
      <c r="H1" s="12" t="s">
        <v>22</v>
      </c>
      <c r="I1" s="12" t="s">
        <v>22</v>
      </c>
      <c r="J1" s="12" t="s">
        <v>22</v>
      </c>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L2"/>
      <c r="M2"/>
    </row>
    <row r="4" spans="1:13" ht="15" customHeight="1" x14ac:dyDescent="0.25">
      <c r="A4" s="15" t="s">
        <v>119</v>
      </c>
      <c r="F4" s="60"/>
      <c r="G4" s="60"/>
      <c r="H4" s="60"/>
      <c r="I4" s="60"/>
    </row>
    <row r="5" spans="1:13" ht="15" customHeight="1" x14ac:dyDescent="0.25">
      <c r="B5" s="72" t="s">
        <v>180</v>
      </c>
    </row>
    <row r="6" spans="1:13" ht="15" customHeight="1" outlineLevel="1" x14ac:dyDescent="0.25">
      <c r="B6" t="s">
        <v>171</v>
      </c>
    </row>
    <row r="7" spans="1:13" ht="15.75" customHeight="1" outlineLevel="1" x14ac:dyDescent="0.25">
      <c r="B7" t="s">
        <v>162</v>
      </c>
      <c r="D7" s="60"/>
      <c r="E7" s="60">
        <f>E9/D9-1</f>
        <v>-0.15747720897615702</v>
      </c>
      <c r="F7" s="61">
        <v>1.6E-2</v>
      </c>
      <c r="G7" s="61">
        <v>0.05</v>
      </c>
      <c r="H7" s="61">
        <v>0.05</v>
      </c>
      <c r="I7" s="61">
        <v>0.04</v>
      </c>
      <c r="J7" s="61">
        <v>0.04</v>
      </c>
    </row>
    <row r="8" spans="1:13" ht="15" customHeight="1" outlineLevel="1" x14ac:dyDescent="0.25">
      <c r="B8" t="s">
        <v>157</v>
      </c>
      <c r="D8">
        <f>C11</f>
        <v>2878</v>
      </c>
      <c r="E8">
        <f>D11</f>
        <v>3818</v>
      </c>
      <c r="F8">
        <f>E11</f>
        <v>3197.4</v>
      </c>
      <c r="G8">
        <f t="shared" ref="G8:J8" si="0">F11</f>
        <v>2624.9180000000006</v>
      </c>
      <c r="H8">
        <f t="shared" si="0"/>
        <v>2695.6012400000009</v>
      </c>
      <c r="I8">
        <f t="shared" si="0"/>
        <v>2810.1260024000012</v>
      </c>
      <c r="J8">
        <f t="shared" si="0"/>
        <v>2929.2317552960012</v>
      </c>
    </row>
    <row r="9" spans="1:13" ht="15" customHeight="1" outlineLevel="1" x14ac:dyDescent="0.25">
      <c r="B9" t="s">
        <v>158</v>
      </c>
      <c r="D9">
        <f>D11-D8-D10</f>
        <v>4563.2</v>
      </c>
      <c r="E9">
        <f>E11-E8-E10</f>
        <v>3844.6</v>
      </c>
      <c r="F9">
        <f>(1+F7)*E9</f>
        <v>3906.1136000000001</v>
      </c>
      <c r="G9">
        <f t="shared" ref="G9:J9" si="1">(1+G7)*F9</f>
        <v>4101.4192800000001</v>
      </c>
      <c r="H9">
        <f t="shared" si="1"/>
        <v>4306.4902440000005</v>
      </c>
      <c r="I9">
        <f t="shared" si="1"/>
        <v>4478.7498537600004</v>
      </c>
      <c r="J9">
        <f t="shared" si="1"/>
        <v>4657.8998479104002</v>
      </c>
    </row>
    <row r="10" spans="1:13" ht="15" customHeight="1" outlineLevel="1" x14ac:dyDescent="0.25">
      <c r="B10" t="s">
        <v>159</v>
      </c>
      <c r="C10">
        <f>C14*-1</f>
        <v>-3104.7</v>
      </c>
      <c r="D10">
        <f>D14*-1</f>
        <v>-3623.2</v>
      </c>
      <c r="E10">
        <f>E14*-1</f>
        <v>-4465.2</v>
      </c>
      <c r="F10">
        <f>F14*-1</f>
        <v>-4478.5955999999996</v>
      </c>
      <c r="G10">
        <f t="shared" ref="G10:J10" si="2">G14*-1</f>
        <v>-4030.7360399999998</v>
      </c>
      <c r="H10">
        <f t="shared" si="2"/>
        <v>-4191.9654816000002</v>
      </c>
      <c r="I10">
        <f t="shared" si="2"/>
        <v>-4359.6441008640004</v>
      </c>
      <c r="J10">
        <f t="shared" si="2"/>
        <v>-4534.0298648985608</v>
      </c>
    </row>
    <row r="11" spans="1:13" ht="15" customHeight="1" outlineLevel="1" x14ac:dyDescent="0.25">
      <c r="B11" t="s">
        <v>160</v>
      </c>
      <c r="C11" s="59">
        <v>2878</v>
      </c>
      <c r="D11" s="59">
        <v>3818</v>
      </c>
      <c r="E11" s="59">
        <v>3197.4</v>
      </c>
      <c r="F11">
        <f>SUM(F8:F10)</f>
        <v>2624.9180000000006</v>
      </c>
      <c r="G11">
        <f t="shared" ref="G11:J11" si="3">SUM(G8:G10)</f>
        <v>2695.6012400000009</v>
      </c>
      <c r="H11">
        <f t="shared" si="3"/>
        <v>2810.1260024000012</v>
      </c>
      <c r="I11">
        <f t="shared" si="3"/>
        <v>2929.2317552960012</v>
      </c>
      <c r="J11">
        <f t="shared" si="3"/>
        <v>3053.1017383078406</v>
      </c>
    </row>
    <row r="12" spans="1:13" ht="15.75" customHeight="1" outlineLevel="1" x14ac:dyDescent="0.25">
      <c r="D12" s="60"/>
      <c r="E12" s="60"/>
    </row>
    <row r="13" spans="1:13" ht="15" customHeight="1" x14ac:dyDescent="0.25">
      <c r="B13" t="s">
        <v>161</v>
      </c>
      <c r="D13" s="60">
        <f>D14/C14-1</f>
        <v>0.16700486359390609</v>
      </c>
      <c r="E13" s="60">
        <f>E14/D14-1</f>
        <v>0.23239125634797975</v>
      </c>
      <c r="F13" s="61">
        <v>3.0000000000000001E-3</v>
      </c>
      <c r="G13" s="61">
        <v>-0.1</v>
      </c>
      <c r="H13" s="61">
        <v>0.04</v>
      </c>
      <c r="I13" s="61">
        <v>0.04</v>
      </c>
      <c r="J13" s="61">
        <v>0.04</v>
      </c>
    </row>
    <row r="14" spans="1:13" ht="15" customHeight="1" x14ac:dyDescent="0.25">
      <c r="B14" t="s">
        <v>163</v>
      </c>
      <c r="C14" s="59">
        <v>3104.7</v>
      </c>
      <c r="D14" s="59">
        <v>3623.2</v>
      </c>
      <c r="E14" s="59">
        <v>4465.2</v>
      </c>
      <c r="F14">
        <f>(1+F13)*E14</f>
        <v>4478.5955999999996</v>
      </c>
      <c r="G14">
        <f t="shared" ref="G14:J14" si="4">(1+G13)*F14</f>
        <v>4030.7360399999998</v>
      </c>
      <c r="H14">
        <f t="shared" si="4"/>
        <v>4191.9654816000002</v>
      </c>
      <c r="I14">
        <f t="shared" si="4"/>
        <v>4359.6441008640004</v>
      </c>
      <c r="J14">
        <f t="shared" si="4"/>
        <v>4534.0298648985608</v>
      </c>
    </row>
    <row r="15" spans="1:13" ht="15" customHeight="1" x14ac:dyDescent="0.25">
      <c r="B15" t="s">
        <v>165</v>
      </c>
      <c r="C15" s="60"/>
      <c r="D15" s="60">
        <f>D9/D10*-1</f>
        <v>1.2594391697946568</v>
      </c>
      <c r="E15" s="60">
        <f>E9/E10*-1</f>
        <v>0.86101406431962735</v>
      </c>
      <c r="F15" s="60">
        <f>F9/F10*-1</f>
        <v>0.87217376804460767</v>
      </c>
      <c r="G15" s="60">
        <f t="shared" ref="G15:J15" si="5">G9/G10*-1</f>
        <v>1.0175360627187089</v>
      </c>
      <c r="H15" s="60">
        <f t="shared" si="5"/>
        <v>1.0273200633217734</v>
      </c>
      <c r="I15" s="60">
        <f t="shared" si="5"/>
        <v>1.0273200633217734</v>
      </c>
      <c r="J15" s="60">
        <f t="shared" si="5"/>
        <v>1.0273200633217732</v>
      </c>
    </row>
    <row r="16" spans="1:13" ht="15" customHeight="1" x14ac:dyDescent="0.25">
      <c r="A16"/>
      <c r="F16" s="60"/>
    </row>
    <row r="17" spans="1:10" ht="15" customHeight="1" outlineLevel="1" x14ac:dyDescent="0.25">
      <c r="A17"/>
      <c r="B17" t="s">
        <v>176</v>
      </c>
      <c r="E17" s="60">
        <f>E20/D20-1</f>
        <v>4.7431648715824171E-2</v>
      </c>
      <c r="F17" s="68">
        <v>-4.4999999999999998E-2</v>
      </c>
      <c r="G17" s="68">
        <v>0.08</v>
      </c>
      <c r="H17" s="68">
        <v>0.05</v>
      </c>
      <c r="I17" s="68">
        <v>0.02</v>
      </c>
      <c r="J17" s="68">
        <v>0.02</v>
      </c>
    </row>
    <row r="18" spans="1:10" ht="15" customHeight="1" outlineLevel="1" x14ac:dyDescent="0.25">
      <c r="A18"/>
      <c r="B18" t="s">
        <v>172</v>
      </c>
      <c r="C18" s="59">
        <v>8166.3</v>
      </c>
      <c r="D18" s="59">
        <v>8425.6</v>
      </c>
      <c r="E18" s="59">
        <v>7890.2</v>
      </c>
      <c r="G18" t="str">
        <f t="shared" ref="G18:G19" ca="1" si="6">IF(ISBLANK(F18),"",_xlfn.FORMULATEXT(F18))</f>
        <v/>
      </c>
    </row>
    <row r="19" spans="1:10" ht="15" customHeight="1" outlineLevel="1" x14ac:dyDescent="0.25">
      <c r="A19"/>
      <c r="B19" t="s">
        <v>173</v>
      </c>
      <c r="D19">
        <f>-D9</f>
        <v>-4563.2</v>
      </c>
      <c r="E19">
        <f>-E9</f>
        <v>-3844.6</v>
      </c>
      <c r="F19" s="54"/>
      <c r="G19" s="54" t="str">
        <f t="shared" ca="1" si="6"/>
        <v/>
      </c>
      <c r="H19" s="54"/>
      <c r="I19" s="54"/>
      <c r="J19" s="54"/>
    </row>
    <row r="20" spans="1:10" ht="15" customHeight="1" outlineLevel="1" x14ac:dyDescent="0.25">
      <c r="A20"/>
      <c r="B20" t="s">
        <v>174</v>
      </c>
      <c r="D20">
        <f>SUM(D18:D19)</f>
        <v>3862.4000000000005</v>
      </c>
      <c r="E20">
        <f>SUM(E18:E19)</f>
        <v>4045.6</v>
      </c>
      <c r="F20">
        <f>(1+F17)*E20</f>
        <v>3863.5479999999998</v>
      </c>
      <c r="G20">
        <f t="shared" ref="G20:J20" si="7">(1+G17)*F20</f>
        <v>4172.63184</v>
      </c>
      <c r="H20">
        <f t="shared" si="7"/>
        <v>4381.2634320000006</v>
      </c>
      <c r="I20">
        <f t="shared" si="7"/>
        <v>4468.8887006400009</v>
      </c>
      <c r="J20">
        <f t="shared" si="7"/>
        <v>4558.2664746528008</v>
      </c>
    </row>
    <row r="21" spans="1:10" ht="15" customHeight="1" outlineLevel="1" x14ac:dyDescent="0.25">
      <c r="A21"/>
      <c r="E21" s="60"/>
    </row>
    <row r="22" spans="1:10" ht="15" customHeight="1" x14ac:dyDescent="0.25">
      <c r="B22" t="s">
        <v>179</v>
      </c>
      <c r="D22" s="60">
        <f>D23/C23-1</f>
        <v>9.4798164057902756E-2</v>
      </c>
      <c r="E22" s="60">
        <f>E23/D23-1</f>
        <v>7.4711099166890671E-2</v>
      </c>
      <c r="F22" s="61">
        <v>0.03</v>
      </c>
      <c r="G22" s="61">
        <v>2.5000000000000001E-2</v>
      </c>
      <c r="H22" s="61">
        <v>0.02</v>
      </c>
      <c r="I22" s="61">
        <v>0.02</v>
      </c>
      <c r="J22" s="61">
        <v>0.02</v>
      </c>
    </row>
    <row r="23" spans="1:10" ht="15.75" x14ac:dyDescent="0.25">
      <c r="B23" t="s">
        <v>175</v>
      </c>
      <c r="C23" s="59">
        <v>3398.8</v>
      </c>
      <c r="D23" s="59">
        <v>3721</v>
      </c>
      <c r="E23" s="59">
        <v>3999</v>
      </c>
      <c r="F23">
        <f>(1+F22)*E23</f>
        <v>4118.97</v>
      </c>
      <c r="G23">
        <f t="shared" ref="G23:J23" si="8">(1+G22)*F23</f>
        <v>4221.9442499999996</v>
      </c>
      <c r="H23">
        <f t="shared" si="8"/>
        <v>4306.383135</v>
      </c>
      <c r="I23">
        <f t="shared" si="8"/>
        <v>4392.5107976999998</v>
      </c>
      <c r="J23">
        <f t="shared" si="8"/>
        <v>4480.3610136540001</v>
      </c>
    </row>
    <row r="24" spans="1:10" ht="15" customHeight="1" x14ac:dyDescent="0.25">
      <c r="A24"/>
      <c r="B24" t="s">
        <v>177</v>
      </c>
      <c r="D24" s="60">
        <f>D20/D23</f>
        <v>1.0380005374899222</v>
      </c>
      <c r="E24" s="60">
        <f>E20/E23</f>
        <v>1.011652913228307</v>
      </c>
      <c r="F24" s="60">
        <f>F20/F23</f>
        <v>0.93798886614857591</v>
      </c>
      <c r="G24" s="60">
        <f t="shared" ref="G24:J24" si="9">G20/G23</f>
        <v>0.9883199760394753</v>
      </c>
      <c r="H24" s="60">
        <f t="shared" si="9"/>
        <v>1.0173882106288716</v>
      </c>
      <c r="I24" s="60">
        <f t="shared" si="9"/>
        <v>1.0173882106288719</v>
      </c>
      <c r="J24" s="60">
        <f t="shared" si="9"/>
        <v>1.0173882106288716</v>
      </c>
    </row>
    <row r="25" spans="1:10" ht="15" customHeight="1" x14ac:dyDescent="0.25">
      <c r="A25"/>
      <c r="G25" t="str">
        <f t="shared" ref="G25" ca="1" si="10">IF(ISBLANK(F25),"",_xlfn.FORMULATEXT(F25))</f>
        <v/>
      </c>
    </row>
    <row r="26" spans="1:10" ht="15" customHeight="1" x14ac:dyDescent="0.25">
      <c r="B26" t="s">
        <v>168</v>
      </c>
      <c r="C26">
        <f>C14+C23</f>
        <v>6503.5</v>
      </c>
      <c r="D26">
        <f>D14+D23</f>
        <v>7344.2</v>
      </c>
      <c r="E26">
        <f>E14+E23</f>
        <v>8464.2000000000007</v>
      </c>
      <c r="F26">
        <f>F14+F23</f>
        <v>8597.5655999999999</v>
      </c>
      <c r="G26">
        <f t="shared" ref="G26:J26" si="11">G14+G23</f>
        <v>8252.6802900000002</v>
      </c>
      <c r="H26">
        <f t="shared" si="11"/>
        <v>8498.3486166000002</v>
      </c>
      <c r="I26">
        <f t="shared" si="11"/>
        <v>8752.1548985640002</v>
      </c>
      <c r="J26">
        <f t="shared" si="11"/>
        <v>9014.39087855256</v>
      </c>
    </row>
    <row r="27" spans="1:10" ht="15" customHeight="1" x14ac:dyDescent="0.25">
      <c r="B27" t="s">
        <v>169</v>
      </c>
      <c r="D27" s="60">
        <f>D26/C26-1</f>
        <v>0.12926885523179821</v>
      </c>
      <c r="E27" s="60">
        <f>E26/D26-1</f>
        <v>0.15250129353775788</v>
      </c>
      <c r="F27" s="60">
        <f>F26/E26-1</f>
        <v>1.5756432976536283E-2</v>
      </c>
      <c r="G27" s="60">
        <f t="shared" ref="G27:J27" si="12">G26/F26-1</f>
        <v>-4.0114298168309359E-2</v>
      </c>
      <c r="H27" s="60">
        <f t="shared" si="12"/>
        <v>2.9768307745749345E-2</v>
      </c>
      <c r="I27" s="60">
        <f t="shared" si="12"/>
        <v>2.986536483902702E-2</v>
      </c>
      <c r="J27" s="60">
        <f t="shared" si="12"/>
        <v>2.9962447309014761E-2</v>
      </c>
    </row>
    <row r="28" spans="1:10" ht="15" customHeight="1" x14ac:dyDescent="0.25">
      <c r="B28" t="s">
        <v>178</v>
      </c>
      <c r="C28" s="60">
        <f>C14/C26</f>
        <v>0.4773890981779042</v>
      </c>
      <c r="D28" s="60">
        <f>D14/D26</f>
        <v>0.49334168459464611</v>
      </c>
      <c r="E28" s="60">
        <f>E14/E26</f>
        <v>0.52753951938753807</v>
      </c>
      <c r="F28" s="60">
        <f>F14/F26</f>
        <v>0.52091438534647527</v>
      </c>
      <c r="G28" s="60">
        <f t="shared" ref="G28:J28" si="13">G14/G26</f>
        <v>0.48841538728746753</v>
      </c>
      <c r="H28" s="60">
        <f t="shared" si="13"/>
        <v>0.4932682419513536</v>
      </c>
      <c r="I28" s="60">
        <f t="shared" si="13"/>
        <v>0.49812236545074218</v>
      </c>
      <c r="J28" s="60">
        <f t="shared" si="13"/>
        <v>0.50297684291526856</v>
      </c>
    </row>
    <row r="30" spans="1:10" ht="15" customHeight="1" x14ac:dyDescent="0.25">
      <c r="B30" t="s">
        <v>185</v>
      </c>
      <c r="C30" s="60">
        <f>C31/C26</f>
        <v>0.19956946259706312</v>
      </c>
      <c r="D30" s="60">
        <f>D31/D26</f>
        <v>0.16907219302306584</v>
      </c>
      <c r="E30" s="60">
        <f>E31/E26</f>
        <v>0.20095224592991659</v>
      </c>
      <c r="F30" s="61">
        <v>0.21</v>
      </c>
      <c r="G30" s="61">
        <v>0.20499999999999999</v>
      </c>
      <c r="H30" s="61">
        <v>0.2</v>
      </c>
      <c r="I30" s="61">
        <v>0.2</v>
      </c>
      <c r="J30" s="61">
        <v>0.2</v>
      </c>
    </row>
    <row r="31" spans="1:10" ht="15" customHeight="1" x14ac:dyDescent="0.25">
      <c r="B31" t="s">
        <v>184</v>
      </c>
      <c r="C31" s="59">
        <v>1297.9000000000001</v>
      </c>
      <c r="D31" s="59">
        <v>1241.7</v>
      </c>
      <c r="E31" s="59">
        <v>1700.9</v>
      </c>
      <c r="F31">
        <f>F26*F30</f>
        <v>1805.4887759999999</v>
      </c>
      <c r="G31">
        <f t="shared" ref="G31:J31" si="14">G26*G30</f>
        <v>1691.7994594499999</v>
      </c>
      <c r="H31">
        <f t="shared" si="14"/>
        <v>1699.6697233200002</v>
      </c>
      <c r="I31">
        <f t="shared" si="14"/>
        <v>1750.4309797128001</v>
      </c>
      <c r="J31">
        <f t="shared" si="14"/>
        <v>1802.8781757105121</v>
      </c>
    </row>
    <row r="32" spans="1:10" ht="15" customHeight="1" x14ac:dyDescent="0.25">
      <c r="D32" s="60"/>
      <c r="E32" s="60"/>
    </row>
    <row r="33" spans="1:10" ht="15" customHeight="1" x14ac:dyDescent="0.25">
      <c r="A33"/>
      <c r="B33" t="s">
        <v>218</v>
      </c>
      <c r="C33" s="60">
        <f>C34/Model!C50</f>
        <v>0.89205011122819355</v>
      </c>
      <c r="D33" s="60">
        <f>D34/Model!D50</f>
        <v>0.89138698816118178</v>
      </c>
      <c r="E33" s="60">
        <f>E34/Model!E50</f>
        <v>0.89368840427762652</v>
      </c>
      <c r="F33" s="68">
        <v>0.89400000000000002</v>
      </c>
      <c r="G33" s="68">
        <v>0.89400000000000002</v>
      </c>
      <c r="H33" s="68">
        <v>0.89400000000000002</v>
      </c>
      <c r="I33" s="68">
        <v>0.89400000000000002</v>
      </c>
      <c r="J33" s="68">
        <v>0.89400000000000002</v>
      </c>
    </row>
    <row r="34" spans="1:10" ht="15" customHeight="1" x14ac:dyDescent="0.25">
      <c r="A34"/>
      <c r="B34" t="s">
        <v>217</v>
      </c>
      <c r="C34">
        <f>C31-C36</f>
        <v>761.90000000000009</v>
      </c>
      <c r="D34">
        <f>D31-D36</f>
        <v>820.7</v>
      </c>
      <c r="E34">
        <f>E31-E36</f>
        <v>852.40000000000009</v>
      </c>
      <c r="G34" t="str">
        <f ca="1">IF(ISBLANK(F34),"",_xlfn.FORMULATEXT(F34))</f>
        <v/>
      </c>
    </row>
    <row r="35" spans="1:10" ht="15" customHeight="1" x14ac:dyDescent="0.25">
      <c r="A35"/>
    </row>
    <row r="36" spans="1:10" ht="15" customHeight="1" x14ac:dyDescent="0.25">
      <c r="B36" t="s">
        <v>186</v>
      </c>
      <c r="C36" s="59">
        <v>536</v>
      </c>
      <c r="D36" s="59">
        <v>421</v>
      </c>
      <c r="E36" s="59">
        <v>848.5</v>
      </c>
    </row>
    <row r="37" spans="1:10" ht="15" customHeight="1" x14ac:dyDescent="0.25">
      <c r="B37" t="s">
        <v>187</v>
      </c>
      <c r="C37" s="60">
        <f>C36/C26</f>
        <v>8.2417159990774203E-2</v>
      </c>
      <c r="D37" s="60">
        <f>D36/D26</f>
        <v>5.7324146945889276E-2</v>
      </c>
      <c r="E37" s="60">
        <f>E36/E26</f>
        <v>0.10024574088513975</v>
      </c>
      <c r="F37" s="60"/>
      <c r="G37" s="60" t="str">
        <f ca="1">IF(ISBLANK(F37),"",_xlfn.FORMULATEXT(F37))</f>
        <v/>
      </c>
      <c r="H37" s="60"/>
      <c r="I37" s="60"/>
      <c r="J37" s="60"/>
    </row>
    <row r="38" spans="1:10" ht="15" customHeight="1" x14ac:dyDescent="0.25">
      <c r="A38"/>
    </row>
    <row r="39" spans="1:10" ht="15" customHeight="1" x14ac:dyDescent="0.25">
      <c r="B39" s="72" t="s">
        <v>181</v>
      </c>
    </row>
    <row r="40" spans="1:10" ht="15" customHeight="1" outlineLevel="1" x14ac:dyDescent="0.25">
      <c r="B40" t="s">
        <v>170</v>
      </c>
      <c r="D40" s="60"/>
      <c r="E40" s="60"/>
    </row>
    <row r="41" spans="1:10" ht="15" customHeight="1" outlineLevel="1" x14ac:dyDescent="0.25">
      <c r="B41" t="s">
        <v>164</v>
      </c>
      <c r="C41" s="60"/>
      <c r="D41" s="60">
        <f>D43/C43-1</f>
        <v>-0.22337722337722332</v>
      </c>
      <c r="E41" s="60">
        <f>E43/D43-1</f>
        <v>-9.8155859607376605E-2</v>
      </c>
      <c r="F41" s="68">
        <v>-0.16</v>
      </c>
      <c r="G41" s="68">
        <v>0.1</v>
      </c>
      <c r="H41" s="68">
        <v>0.14000000000000001</v>
      </c>
      <c r="I41" s="68">
        <v>0.12</v>
      </c>
      <c r="J41" s="68">
        <v>0.08</v>
      </c>
    </row>
    <row r="42" spans="1:10" ht="15" customHeight="1" outlineLevel="1" x14ac:dyDescent="0.25">
      <c r="B42" t="s">
        <v>116</v>
      </c>
    </row>
    <row r="43" spans="1:10" ht="15" customHeight="1" outlineLevel="1" x14ac:dyDescent="0.25">
      <c r="B43" t="s">
        <v>158</v>
      </c>
      <c r="C43" s="59">
        <v>4329</v>
      </c>
      <c r="D43" s="59">
        <v>3362</v>
      </c>
      <c r="E43" s="59">
        <v>3032</v>
      </c>
      <c r="G43" t="str">
        <f t="shared" ref="G43:G45" ca="1" si="15">IF(ISBLANK(F43),"",_xlfn.FORMULATEXT(F43))</f>
        <v/>
      </c>
    </row>
    <row r="44" spans="1:10" ht="15" customHeight="1" outlineLevel="1" x14ac:dyDescent="0.25">
      <c r="B44" t="s">
        <v>118</v>
      </c>
      <c r="C44" s="59">
        <v>-3796</v>
      </c>
      <c r="D44" s="59">
        <v>-3807</v>
      </c>
      <c r="E44" s="59">
        <v>-2997</v>
      </c>
      <c r="G44" t="str">
        <f t="shared" ca="1" si="15"/>
        <v/>
      </c>
    </row>
    <row r="45" spans="1:10" ht="15" customHeight="1" outlineLevel="1" x14ac:dyDescent="0.25">
      <c r="B45" t="s">
        <v>117</v>
      </c>
      <c r="C45" s="59">
        <v>3792</v>
      </c>
      <c r="D45" s="59">
        <v>3327</v>
      </c>
      <c r="E45" s="59">
        <v>3238</v>
      </c>
      <c r="G45" t="str">
        <f t="shared" ca="1" si="15"/>
        <v/>
      </c>
    </row>
    <row r="46" spans="1:10" ht="15" customHeight="1" outlineLevel="1" x14ac:dyDescent="0.25">
      <c r="C46" s="60"/>
      <c r="D46" s="60"/>
      <c r="E46" s="60"/>
    </row>
    <row r="47" spans="1:10" ht="15" customHeight="1" x14ac:dyDescent="0.25">
      <c r="B47" t="s">
        <v>166</v>
      </c>
      <c r="D47" s="60">
        <f>D48/C48-1</f>
        <v>2.897787144362507E-3</v>
      </c>
      <c r="E47" s="60">
        <f>E48/D48-1</f>
        <v>-0.21276595744680848</v>
      </c>
      <c r="F47" s="68">
        <v>-0.02</v>
      </c>
      <c r="G47" s="68">
        <v>-0.01</v>
      </c>
      <c r="H47" s="68">
        <v>8.5999999999999993E-2</v>
      </c>
      <c r="I47" s="68">
        <v>6.3E-2</v>
      </c>
      <c r="J47" s="68">
        <v>0.09</v>
      </c>
    </row>
    <row r="48" spans="1:10" ht="15" customHeight="1" x14ac:dyDescent="0.25">
      <c r="B48" t="s">
        <v>167</v>
      </c>
      <c r="C48" s="59">
        <v>3796</v>
      </c>
      <c r="D48" s="59">
        <v>3807</v>
      </c>
      <c r="E48" s="59">
        <v>2997</v>
      </c>
      <c r="G48" t="str">
        <f t="shared" ref="G48:G49" ca="1" si="16">IF(ISBLANK(F48),"",_xlfn.FORMULATEXT(F48))</f>
        <v/>
      </c>
    </row>
    <row r="49" spans="1:10" ht="15" customHeight="1" x14ac:dyDescent="0.25">
      <c r="B49" t="s">
        <v>156</v>
      </c>
      <c r="C49" s="60">
        <f>C43/C44*-1</f>
        <v>1.1404109589041096</v>
      </c>
      <c r="D49" s="60">
        <f t="shared" ref="D49:E49" si="17">D43/D44*-1</f>
        <v>0.88311006041502493</v>
      </c>
      <c r="E49" s="60">
        <f t="shared" si="17"/>
        <v>1.0116783450116784</v>
      </c>
      <c r="F49" s="60"/>
      <c r="G49" s="60" t="str">
        <f t="shared" ca="1" si="16"/>
        <v/>
      </c>
      <c r="H49" s="60"/>
      <c r="I49" s="60"/>
      <c r="J49" s="60"/>
    </row>
    <row r="50" spans="1:10" ht="15" customHeight="1" x14ac:dyDescent="0.25">
      <c r="C50" s="60"/>
      <c r="D50" s="60"/>
      <c r="E50" s="60"/>
      <c r="F50" s="60"/>
      <c r="G50" s="60"/>
      <c r="H50" s="60"/>
      <c r="I50" s="60"/>
      <c r="J50" s="60"/>
    </row>
    <row r="51" spans="1:10" ht="15" customHeight="1" x14ac:dyDescent="0.25">
      <c r="B51" t="s">
        <v>183</v>
      </c>
      <c r="C51" s="60">
        <f>C52/C48</f>
        <v>0.12555321390937829</v>
      </c>
      <c r="D51" s="60">
        <f>D52/D48</f>
        <v>8.4581034935644877E-3</v>
      </c>
      <c r="E51" s="60">
        <f>E52/E48</f>
        <v>4.1541541541541542E-2</v>
      </c>
      <c r="F51" s="61">
        <v>6.5000000000000002E-2</v>
      </c>
      <c r="G51" s="61">
        <v>7.0000000000000007E-2</v>
      </c>
      <c r="H51" s="61">
        <v>7.4999999999999997E-2</v>
      </c>
      <c r="I51" s="61">
        <v>7.4999999999999997E-2</v>
      </c>
      <c r="J51" s="61">
        <v>7.4999999999999997E-2</v>
      </c>
    </row>
    <row r="52" spans="1:10" ht="15" customHeight="1" x14ac:dyDescent="0.25">
      <c r="B52" t="s">
        <v>182</v>
      </c>
      <c r="C52" s="59">
        <v>476.6</v>
      </c>
      <c r="D52" s="59">
        <v>32.200000000000003</v>
      </c>
      <c r="E52" s="59">
        <v>124.5</v>
      </c>
      <c r="G52" t="str">
        <f ca="1">IF(ISBLANK(F52),"",_xlfn.FORMULATEXT(F52))</f>
        <v/>
      </c>
    </row>
    <row r="53" spans="1:10" ht="15" customHeight="1" x14ac:dyDescent="0.25">
      <c r="C53" s="60"/>
      <c r="D53" s="60"/>
      <c r="E53" s="60"/>
      <c r="F53" s="60"/>
      <c r="G53" s="60"/>
      <c r="H53" s="60"/>
      <c r="I53" s="60"/>
    </row>
    <row r="54" spans="1:10" ht="15" customHeight="1" x14ac:dyDescent="0.25">
      <c r="B54" t="s">
        <v>218</v>
      </c>
      <c r="C54" s="60">
        <f>C55/Model!C50</f>
        <v>7.7976817702845119E-2</v>
      </c>
      <c r="D54" s="60">
        <f>D55/Model!D50</f>
        <v>8.4935375257955914E-2</v>
      </c>
      <c r="E54" s="60">
        <f>E55/Model!E50</f>
        <v>8.4084713776473058E-2</v>
      </c>
      <c r="F54" s="68">
        <v>0.08</v>
      </c>
      <c r="G54" s="68">
        <v>0.08</v>
      </c>
      <c r="H54" s="68">
        <v>0.08</v>
      </c>
      <c r="I54" s="68">
        <v>0.08</v>
      </c>
      <c r="J54" s="68">
        <v>0.08</v>
      </c>
    </row>
    <row r="55" spans="1:10" ht="15" customHeight="1" x14ac:dyDescent="0.25">
      <c r="B55" t="s">
        <v>216</v>
      </c>
      <c r="C55">
        <f>C52-C57</f>
        <v>66.600000000000023</v>
      </c>
      <c r="D55">
        <f>D52-D57</f>
        <v>78.2</v>
      </c>
      <c r="E55">
        <f>E52-E57</f>
        <v>80.2</v>
      </c>
      <c r="G55" t="str">
        <f ca="1">IF(ISBLANK(F55),"",_xlfn.FORMULATEXT(F55))</f>
        <v/>
      </c>
    </row>
    <row r="56" spans="1:10" ht="15" customHeight="1" x14ac:dyDescent="0.25">
      <c r="C56" s="60"/>
      <c r="D56" s="60"/>
      <c r="E56" s="60"/>
      <c r="F56" s="60"/>
      <c r="G56" s="60"/>
      <c r="H56" s="60"/>
      <c r="I56" s="60"/>
      <c r="J56" s="60"/>
    </row>
    <row r="57" spans="1:10" ht="15" customHeight="1" x14ac:dyDescent="0.25">
      <c r="B57" t="s">
        <v>188</v>
      </c>
      <c r="C57" s="59">
        <v>410</v>
      </c>
      <c r="D57" s="59">
        <v>-46</v>
      </c>
      <c r="E57" s="59">
        <v>44.3</v>
      </c>
      <c r="G57" t="str">
        <f t="shared" ref="G57:G58" ca="1" si="18">IF(ISBLANK(F57),"",_xlfn.FORMULATEXT(F57))</f>
        <v/>
      </c>
    </row>
    <row r="58" spans="1:10" ht="15" customHeight="1" x14ac:dyDescent="0.25">
      <c r="B58" t="s">
        <v>189</v>
      </c>
      <c r="C58" s="60">
        <f>C57/C44*-1</f>
        <v>0.10800842992623814</v>
      </c>
      <c r="D58" s="60">
        <f>D57/D44*-1</f>
        <v>-1.2083004990806409E-2</v>
      </c>
      <c r="E58" s="60">
        <f>E57/E44*-1</f>
        <v>1.4781448114781447E-2</v>
      </c>
      <c r="F58" s="60"/>
      <c r="G58" s="60" t="str">
        <f t="shared" ca="1" si="18"/>
        <v/>
      </c>
      <c r="H58" s="60"/>
      <c r="I58" s="60"/>
      <c r="J58" s="60"/>
    </row>
    <row r="59" spans="1:10" ht="15" customHeight="1" x14ac:dyDescent="0.25">
      <c r="C59" s="59"/>
      <c r="D59" s="59"/>
      <c r="E59" s="59"/>
    </row>
    <row r="60" spans="1:10" ht="15" customHeight="1" x14ac:dyDescent="0.25">
      <c r="A60" s="15" t="s">
        <v>99</v>
      </c>
      <c r="C60" s="59"/>
      <c r="D60" s="59"/>
      <c r="E60" s="59"/>
    </row>
    <row r="61" spans="1:10" ht="15" customHeight="1" x14ac:dyDescent="0.25">
      <c r="B61" t="s">
        <v>195</v>
      </c>
      <c r="C61" s="60">
        <f>C63/C62</f>
        <v>-5.0487887761548891E-4</v>
      </c>
      <c r="D61" s="60">
        <f>D63/D62</f>
        <v>-1.3989525790946591E-3</v>
      </c>
      <c r="E61" s="60">
        <f>E63/E62</f>
        <v>-2.3993997138170523E-3</v>
      </c>
      <c r="F61" s="61">
        <v>-1E-3</v>
      </c>
      <c r="G61" s="61">
        <v>-1E-3</v>
      </c>
      <c r="H61" s="61">
        <v>-1E-3</v>
      </c>
      <c r="I61" s="61">
        <v>-1E-3</v>
      </c>
      <c r="J61" s="61">
        <v>-1E-3</v>
      </c>
    </row>
    <row r="62" spans="1:10" ht="15" customHeight="1" x14ac:dyDescent="0.25">
      <c r="B62" t="s">
        <v>222</v>
      </c>
      <c r="C62">
        <f>C26+C48</f>
        <v>10299.5</v>
      </c>
      <c r="D62">
        <f>D26+D48</f>
        <v>11151.2</v>
      </c>
      <c r="E62">
        <f>E26+E48</f>
        <v>11461.2</v>
      </c>
      <c r="G62" t="str">
        <f t="shared" ref="G62:G64" ca="1" si="19">IF(ISBLANK(F62),"",_xlfn.FORMULATEXT(F62))</f>
        <v/>
      </c>
    </row>
    <row r="63" spans="1:10" ht="15" customHeight="1" x14ac:dyDescent="0.25">
      <c r="B63" t="s">
        <v>196</v>
      </c>
      <c r="C63" s="59">
        <f>C64-C62</f>
        <v>-5.2000000000007276</v>
      </c>
      <c r="D63" s="59">
        <f>D64-D62</f>
        <v>-15.600000000000364</v>
      </c>
      <c r="E63" s="59">
        <f>E64-E62</f>
        <v>-27.5</v>
      </c>
      <c r="G63" t="str">
        <f t="shared" ca="1" si="19"/>
        <v/>
      </c>
    </row>
    <row r="64" spans="1:10" ht="15" customHeight="1" x14ac:dyDescent="0.25">
      <c r="B64" t="s">
        <v>99</v>
      </c>
      <c r="C64" s="59">
        <v>10294.299999999999</v>
      </c>
      <c r="D64" s="59">
        <v>11135.6</v>
      </c>
      <c r="E64" s="59">
        <v>11433.7</v>
      </c>
      <c r="G64" t="str">
        <f t="shared" ca="1" si="19"/>
        <v/>
      </c>
    </row>
    <row r="66" spans="1:10" ht="15" customHeight="1" x14ac:dyDescent="0.25">
      <c r="A66" s="15" t="s">
        <v>100</v>
      </c>
    </row>
    <row r="67" spans="1:10" ht="15" customHeight="1" x14ac:dyDescent="0.25">
      <c r="B67" t="s">
        <v>198</v>
      </c>
      <c r="C67" s="70">
        <f>C69/C68</f>
        <v>-0.11014799154334043</v>
      </c>
      <c r="D67" s="70">
        <f>D69/D68</f>
        <v>-0.22026666666666672</v>
      </c>
      <c r="E67" s="70">
        <f>E69/E68</f>
        <v>-0.11458333333333329</v>
      </c>
      <c r="F67" s="61">
        <v>-0.115</v>
      </c>
      <c r="G67" s="61">
        <v>-0.115</v>
      </c>
      <c r="H67" s="61">
        <v>-0.115</v>
      </c>
      <c r="I67" s="61">
        <v>-0.115</v>
      </c>
      <c r="J67" s="61">
        <v>-0.115</v>
      </c>
    </row>
    <row r="68" spans="1:10" ht="15" customHeight="1" x14ac:dyDescent="0.25">
      <c r="B68" t="s">
        <v>221</v>
      </c>
      <c r="C68">
        <f>C36+C57</f>
        <v>946</v>
      </c>
      <c r="D68">
        <f>D36+D57</f>
        <v>375</v>
      </c>
      <c r="E68">
        <f>E36+E57</f>
        <v>892.8</v>
      </c>
      <c r="G68" t="str">
        <f t="shared" ref="G68:G71" ca="1" si="20">IF(ISBLANK(F68),"",_xlfn.FORMULATEXT(F68))</f>
        <v/>
      </c>
    </row>
    <row r="69" spans="1:10" ht="15" customHeight="1" x14ac:dyDescent="0.25">
      <c r="B69" t="s">
        <v>197</v>
      </c>
      <c r="C69">
        <f>C70-C68</f>
        <v>-104.20000000000005</v>
      </c>
      <c r="D69">
        <f>D70-D68</f>
        <v>-82.600000000000023</v>
      </c>
      <c r="E69">
        <f>E70-E68</f>
        <v>-102.29999999999995</v>
      </c>
      <c r="G69" t="str">
        <f t="shared" ca="1" si="20"/>
        <v/>
      </c>
    </row>
    <row r="70" spans="1:10" ht="15" customHeight="1" x14ac:dyDescent="0.25">
      <c r="B70" t="s">
        <v>191</v>
      </c>
      <c r="C70" s="59">
        <v>841.8</v>
      </c>
      <c r="D70" s="59">
        <v>292.39999999999998</v>
      </c>
      <c r="E70" s="59">
        <v>790.5</v>
      </c>
      <c r="G70" t="str">
        <f t="shared" ca="1" si="20"/>
        <v/>
      </c>
    </row>
    <row r="71" spans="1:10" ht="15" customHeight="1" x14ac:dyDescent="0.25">
      <c r="B71" t="s">
        <v>194</v>
      </c>
      <c r="C71" s="60">
        <f>C70/C64</f>
        <v>8.1773408585333635E-2</v>
      </c>
      <c r="D71" s="60">
        <f>D70/D64</f>
        <v>2.6258127087898268E-2</v>
      </c>
      <c r="E71" s="60">
        <f>E70/E64</f>
        <v>6.9137724446154777E-2</v>
      </c>
      <c r="F71" s="60"/>
      <c r="G71" s="60" t="str">
        <f t="shared" ca="1" si="20"/>
        <v/>
      </c>
      <c r="H71" s="60"/>
      <c r="I71" s="60"/>
      <c r="J71" s="60"/>
    </row>
    <row r="72" spans="1:10" ht="15" customHeight="1" x14ac:dyDescent="0.25">
      <c r="C72" s="59"/>
      <c r="D72" s="59"/>
      <c r="E72" s="59"/>
    </row>
    <row r="73" spans="1:10" ht="15" customHeight="1" x14ac:dyDescent="0.25">
      <c r="C73" s="59"/>
      <c r="D73" s="59"/>
      <c r="E73" s="59"/>
    </row>
    <row r="74" spans="1:10" ht="15" customHeight="1" x14ac:dyDescent="0.25">
      <c r="B74" t="s">
        <v>190</v>
      </c>
      <c r="C74" s="59">
        <v>-37.799999999999997</v>
      </c>
      <c r="D74" s="59">
        <v>31.5</v>
      </c>
      <c r="E74" s="59">
        <v>37.200000000000003</v>
      </c>
      <c r="F74" s="73">
        <v>0</v>
      </c>
      <c r="G74" s="73">
        <v>0</v>
      </c>
      <c r="H74" s="73">
        <v>0</v>
      </c>
      <c r="I74" s="73">
        <v>0</v>
      </c>
      <c r="J74" s="73">
        <v>0</v>
      </c>
    </row>
    <row r="75" spans="1:10" ht="15" customHeight="1" x14ac:dyDescent="0.25">
      <c r="B75" t="s">
        <v>193</v>
      </c>
      <c r="C75" s="59">
        <v>84.8</v>
      </c>
      <c r="D75" s="59">
        <v>92.7</v>
      </c>
      <c r="E75" s="59">
        <v>92.7</v>
      </c>
      <c r="F75" s="73">
        <f>E75</f>
        <v>92.7</v>
      </c>
      <c r="G75" s="73">
        <f>F75-20</f>
        <v>72.7</v>
      </c>
      <c r="H75" s="73">
        <f>G75-20</f>
        <v>52.7</v>
      </c>
      <c r="I75" s="73">
        <f>H75-20</f>
        <v>32.700000000000003</v>
      </c>
      <c r="J75" s="73">
        <f>I75-20</f>
        <v>12.700000000000003</v>
      </c>
    </row>
    <row r="76" spans="1:10" ht="15" customHeight="1" x14ac:dyDescent="0.25">
      <c r="B76" t="s">
        <v>192</v>
      </c>
      <c r="C76">
        <f>C70-C74-C75</f>
        <v>794.8</v>
      </c>
      <c r="D76">
        <f>D70-D74-D75</f>
        <v>168.2</v>
      </c>
      <c r="E76">
        <f>E70-E74-E75</f>
        <v>660.59999999999991</v>
      </c>
      <c r="G76" t="str">
        <f ca="1">IF(ISBLANK(F76),"",_xlfn.FORMULATEXT(F76))</f>
        <v/>
      </c>
    </row>
    <row r="77" spans="1:10" ht="15" customHeight="1" x14ac:dyDescent="0.25">
      <c r="D77" s="60"/>
      <c r="E77" s="60"/>
    </row>
    <row r="78" spans="1:10" ht="15" customHeight="1" x14ac:dyDescent="0.25">
      <c r="A78" s="15" t="s">
        <v>84</v>
      </c>
    </row>
    <row r="100" spans="1:1" ht="15" customHeight="1" x14ac:dyDescent="0.25">
      <c r="A100"/>
    </row>
    <row r="115" spans="1:14" x14ac:dyDescent="0.25">
      <c r="A115"/>
    </row>
    <row r="116" spans="1:14" x14ac:dyDescent="0.25">
      <c r="A116"/>
    </row>
    <row r="117" spans="1:14" x14ac:dyDescent="0.25">
      <c r="A117"/>
    </row>
    <row r="118" spans="1:14" x14ac:dyDescent="0.25">
      <c r="A118"/>
    </row>
    <row r="119" spans="1:14" x14ac:dyDescent="0.25">
      <c r="A119"/>
    </row>
    <row r="120" spans="1:14" x14ac:dyDescent="0.25">
      <c r="A120"/>
    </row>
    <row r="121" spans="1:14" x14ac:dyDescent="0.25">
      <c r="A121"/>
    </row>
    <row r="122" spans="1:14" x14ac:dyDescent="0.25">
      <c r="A122"/>
    </row>
    <row r="123" spans="1:14" x14ac:dyDescent="0.25">
      <c r="A123"/>
    </row>
    <row r="124" spans="1:14" x14ac:dyDescent="0.25">
      <c r="A124"/>
    </row>
    <row r="125" spans="1:14" x14ac:dyDescent="0.25">
      <c r="A125"/>
    </row>
    <row r="126" spans="1:14" x14ac:dyDescent="0.25">
      <c r="A126"/>
      <c r="N126" s="60"/>
    </row>
    <row r="127" spans="1:14" x14ac:dyDescent="0.25">
      <c r="A127"/>
    </row>
    <row r="128" spans="1:14"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57" spans="1:1" ht="15" customHeight="1" x14ac:dyDescent="0.25">
      <c r="A157"/>
    </row>
    <row r="184" spans="1:1" ht="15" customHeight="1" x14ac:dyDescent="0.25">
      <c r="A184"/>
    </row>
    <row r="185" spans="1:1" ht="15" customHeight="1" x14ac:dyDescent="0.25">
      <c r="A185"/>
    </row>
    <row r="186" spans="1:1" ht="15" customHeight="1" x14ac:dyDescent="0.25">
      <c r="A186"/>
    </row>
    <row r="187" spans="1:1" ht="15" customHeight="1" x14ac:dyDescent="0.25">
      <c r="A187"/>
    </row>
    <row r="188" spans="1:1" ht="15" customHeight="1" x14ac:dyDescent="0.25">
      <c r="A188"/>
    </row>
    <row r="189" spans="1:1" ht="15" customHeight="1" x14ac:dyDescent="0.25">
      <c r="A189"/>
    </row>
    <row r="190" spans="1:1" ht="15" customHeight="1" x14ac:dyDescent="0.25">
      <c r="A190"/>
    </row>
  </sheetData>
  <printOptions horizontalCentered="1" headings="1" gridLines="1"/>
  <pageMargins left="0.31496062992125984" right="0.31496062992125984" top="0.55118110236220474" bottom="0.55118110236220474" header="0.31496062992125984" footer="0.31496062992125984"/>
  <pageSetup paperSize="9" scale="79" fitToHeight="0" orientation="landscape" cellComments="asDisplayed" horizontalDpi="2400" verticalDpi="2400" r:id="rId1"/>
  <headerFooter>
    <oddHeader xml:space="preserve">&amp;R&amp;10&amp;F 
&amp;A
</oddHeader>
    <oddFooter>&amp;L&amp;10© 2018&amp;C&amp;10Page &amp;P of &amp;N&amp;R&amp;G</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53"/>
  <sheetViews>
    <sheetView zoomScale="130" zoomScaleNormal="130" workbookViewId="0">
      <pane xSplit="2" ySplit="2" topLeftCell="C3" activePane="bottomRight" state="frozen"/>
      <selection activeCell="C5" sqref="C5:E5"/>
      <selection pane="topRight" activeCell="C5" sqref="C5:E5"/>
      <selection pane="bottomLeft" activeCell="C5" sqref="C5:E5"/>
      <selection pane="bottomRight" activeCell="C3" sqref="C3"/>
    </sheetView>
  </sheetViews>
  <sheetFormatPr defaultColWidth="9.140625" defaultRowHeight="15" customHeight="1" x14ac:dyDescent="0.25"/>
  <cols>
    <col min="1" max="1" width="1.42578125" style="15" customWidth="1"/>
    <col min="2" max="2" width="41.7109375" customWidth="1"/>
    <col min="3" max="14" width="11" customWidth="1"/>
  </cols>
  <sheetData>
    <row r="1" spans="1:13" s="45" customFormat="1" ht="45" customHeight="1" x14ac:dyDescent="0.45">
      <c r="A1" s="5" t="s">
        <v>98</v>
      </c>
      <c r="B1" s="10"/>
      <c r="C1" s="12" t="s">
        <v>21</v>
      </c>
      <c r="D1" s="12" t="s">
        <v>21</v>
      </c>
      <c r="E1" s="12" t="s">
        <v>21</v>
      </c>
      <c r="F1" s="12" t="s">
        <v>22</v>
      </c>
      <c r="G1" s="12" t="s">
        <v>22</v>
      </c>
      <c r="H1" s="12" t="s">
        <v>22</v>
      </c>
      <c r="I1" s="12" t="s">
        <v>22</v>
      </c>
      <c r="J1" s="12" t="s">
        <v>22</v>
      </c>
      <c r="K1"/>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K2"/>
      <c r="L2"/>
      <c r="M2"/>
    </row>
    <row r="4" spans="1:13" ht="15" customHeight="1" x14ac:dyDescent="0.25">
      <c r="A4" s="15" t="s">
        <v>23</v>
      </c>
    </row>
    <row r="5" spans="1:13" ht="15" customHeight="1" x14ac:dyDescent="0.25">
      <c r="B5" t="s">
        <v>205</v>
      </c>
      <c r="D5" s="60">
        <f>D62/Segment!D64</f>
        <v>2.885340709077194E-2</v>
      </c>
      <c r="E5" s="60">
        <f>E62/Segment!E64</f>
        <v>3.0707470022827255E-2</v>
      </c>
      <c r="F5" s="61">
        <v>3.3000000000000002E-2</v>
      </c>
      <c r="G5" s="61">
        <v>3.3000000000000002E-2</v>
      </c>
      <c r="H5" s="61">
        <v>3.3000000000000002E-2</v>
      </c>
      <c r="I5" s="61">
        <v>0.03</v>
      </c>
      <c r="J5" s="61">
        <v>0.03</v>
      </c>
    </row>
    <row r="6" spans="1:13" ht="15" customHeight="1" x14ac:dyDescent="0.25">
      <c r="B6" t="s">
        <v>206</v>
      </c>
      <c r="D6" s="60">
        <f>D61/D62</f>
        <v>0.36725801431683786</v>
      </c>
      <c r="E6" s="60">
        <f>E61/E62</f>
        <v>0.33039020222158927</v>
      </c>
      <c r="F6" s="61">
        <v>0.35</v>
      </c>
      <c r="G6" s="61">
        <v>0.35</v>
      </c>
      <c r="H6" s="61">
        <v>0.35</v>
      </c>
      <c r="I6" s="61">
        <v>0.35</v>
      </c>
      <c r="J6" s="61">
        <v>0.35</v>
      </c>
    </row>
    <row r="7" spans="1:13" ht="15" customHeight="1" x14ac:dyDescent="0.25">
      <c r="B7" t="s">
        <v>24</v>
      </c>
      <c r="C7" s="60">
        <f>C39/C38</f>
        <v>-0.25233644859813087</v>
      </c>
      <c r="D7" s="60">
        <f>D39/D38</f>
        <v>-0.23333333333333336</v>
      </c>
      <c r="E7" s="60">
        <f>E39/E38</f>
        <v>-0.31622444541104838</v>
      </c>
      <c r="F7" s="61">
        <v>-0.34</v>
      </c>
      <c r="G7" s="61">
        <v>-0.26</v>
      </c>
      <c r="H7" s="61">
        <v>-0.31</v>
      </c>
      <c r="I7" s="61">
        <v>-0.31</v>
      </c>
      <c r="J7" s="61">
        <v>-0.3</v>
      </c>
    </row>
    <row r="8" spans="1:13" ht="15" customHeight="1" x14ac:dyDescent="0.25">
      <c r="B8" t="s">
        <v>25</v>
      </c>
      <c r="C8" s="70">
        <v>-0.3</v>
      </c>
      <c r="D8" s="70">
        <f>C8</f>
        <v>-0.3</v>
      </c>
      <c r="E8" s="70">
        <f>D8</f>
        <v>-0.3</v>
      </c>
      <c r="F8" s="61">
        <f>E8</f>
        <v>-0.3</v>
      </c>
      <c r="G8" s="61">
        <f t="shared" ref="G8:J8" si="0">F8</f>
        <v>-0.3</v>
      </c>
      <c r="H8" s="61">
        <f t="shared" si="0"/>
        <v>-0.3</v>
      </c>
      <c r="I8" s="61">
        <f t="shared" si="0"/>
        <v>-0.3</v>
      </c>
      <c r="J8" s="61">
        <f t="shared" si="0"/>
        <v>-0.3</v>
      </c>
    </row>
    <row r="9" spans="1:13" ht="15" customHeight="1" x14ac:dyDescent="0.25">
      <c r="B9" t="s">
        <v>26</v>
      </c>
      <c r="D9" s="74">
        <f>D44/C44-1</f>
        <v>2.6629422718808189</v>
      </c>
      <c r="E9" s="74">
        <f>E44/D44-1</f>
        <v>-0.87341128622267417</v>
      </c>
      <c r="F9" s="68">
        <v>0.27600000000000002</v>
      </c>
      <c r="G9" s="68">
        <v>-0.30499999999999999</v>
      </c>
      <c r="H9" s="68">
        <v>0.89</v>
      </c>
      <c r="I9" s="68">
        <v>0.25800000000000001</v>
      </c>
      <c r="J9" s="68">
        <v>0.153</v>
      </c>
    </row>
    <row r="10" spans="1:13" ht="15" customHeight="1" x14ac:dyDescent="0.25">
      <c r="B10" t="s">
        <v>27</v>
      </c>
      <c r="C10">
        <f>C45</f>
        <v>131.1</v>
      </c>
      <c r="D10">
        <f t="shared" ref="D10:E11" si="1">D45</f>
        <v>131.1</v>
      </c>
      <c r="E10">
        <f t="shared" si="1"/>
        <v>131.1</v>
      </c>
      <c r="F10" s="63">
        <f>E10</f>
        <v>131.1</v>
      </c>
      <c r="G10" s="63">
        <f t="shared" ref="G10:J10" si="2">F10</f>
        <v>131.1</v>
      </c>
      <c r="H10" s="63">
        <f t="shared" si="2"/>
        <v>131.1</v>
      </c>
      <c r="I10" s="63">
        <f t="shared" si="2"/>
        <v>131.1</v>
      </c>
      <c r="J10" s="63">
        <f t="shared" si="2"/>
        <v>131.1</v>
      </c>
    </row>
    <row r="11" spans="1:13" ht="15" customHeight="1" x14ac:dyDescent="0.25">
      <c r="B11" t="s">
        <v>28</v>
      </c>
      <c r="C11">
        <f>C46</f>
        <v>131.1</v>
      </c>
      <c r="D11">
        <f t="shared" si="1"/>
        <v>131.1</v>
      </c>
      <c r="E11">
        <f t="shared" si="1"/>
        <v>131.1</v>
      </c>
      <c r="F11">
        <f>E11/E10*F10</f>
        <v>131.1</v>
      </c>
      <c r="G11">
        <f t="shared" ref="G11:J11" si="3">F11/F10*G10</f>
        <v>131.1</v>
      </c>
      <c r="H11">
        <f t="shared" si="3"/>
        <v>131.1</v>
      </c>
      <c r="I11">
        <f t="shared" si="3"/>
        <v>131.1</v>
      </c>
      <c r="J11">
        <f t="shared" si="3"/>
        <v>131.1</v>
      </c>
    </row>
    <row r="13" spans="1:13" ht="15" customHeight="1" x14ac:dyDescent="0.25">
      <c r="A13" s="15" t="s">
        <v>35</v>
      </c>
    </row>
    <row r="14" spans="1:13" ht="15" customHeight="1" x14ac:dyDescent="0.25">
      <c r="B14" t="s">
        <v>199</v>
      </c>
      <c r="C14" s="60">
        <f>C56/C31</f>
        <v>8.382308656246662E-2</v>
      </c>
      <c r="D14" s="60">
        <f>D56/D31</f>
        <v>8.058838320341967E-2</v>
      </c>
      <c r="E14" s="60">
        <f>E56/E31</f>
        <v>9.1982472865301687E-2</v>
      </c>
      <c r="F14" s="68">
        <v>8.5000000000000006E-2</v>
      </c>
      <c r="G14" s="68">
        <v>8.5000000000000006E-2</v>
      </c>
      <c r="H14" s="68">
        <v>8.5000000000000006E-2</v>
      </c>
      <c r="I14" s="68">
        <v>8.5000000000000006E-2</v>
      </c>
      <c r="J14" s="68">
        <v>8.5000000000000006E-2</v>
      </c>
      <c r="K14" s="71"/>
    </row>
    <row r="15" spans="1:13" ht="15" customHeight="1" x14ac:dyDescent="0.25">
      <c r="B15" t="s">
        <v>129</v>
      </c>
      <c r="D15" s="60" t="e">
        <f>D57/C58</f>
        <v>#DIV/0!</v>
      </c>
      <c r="E15" s="60" t="e">
        <f>E57/D58</f>
        <v>#DIV/0!</v>
      </c>
      <c r="F15" s="68">
        <v>-0.23</v>
      </c>
      <c r="G15" s="68">
        <v>-0.23</v>
      </c>
      <c r="H15" s="68">
        <v>-0.23</v>
      </c>
      <c r="I15" s="68">
        <v>-0.23</v>
      </c>
      <c r="J15" s="68">
        <v>-0.23</v>
      </c>
      <c r="K15" s="71"/>
    </row>
    <row r="16" spans="1:13" ht="15" customHeight="1" x14ac:dyDescent="0.25">
      <c r="B16" t="s">
        <v>208</v>
      </c>
      <c r="C16" s="60">
        <f>C66/C31</f>
        <v>1.748540454426236E-3</v>
      </c>
      <c r="D16" s="60">
        <f>D66/D31</f>
        <v>2.3977154351808604E-3</v>
      </c>
      <c r="E16" s="60">
        <f>E66/E31</f>
        <v>3.8307809370544976E-3</v>
      </c>
      <c r="F16" s="68">
        <v>3.0000000000000001E-3</v>
      </c>
      <c r="G16" s="68">
        <v>3.0000000000000001E-3</v>
      </c>
      <c r="H16" s="68">
        <v>3.0000000000000001E-3</v>
      </c>
      <c r="I16" s="68">
        <v>3.0000000000000001E-3</v>
      </c>
      <c r="J16" s="68">
        <v>3.0000000000000001E-3</v>
      </c>
      <c r="K16" s="71"/>
    </row>
    <row r="17" spans="1:11" ht="15" customHeight="1" x14ac:dyDescent="0.25">
      <c r="B17" t="s">
        <v>201</v>
      </c>
      <c r="D17" s="60" t="e">
        <f>D67/C68</f>
        <v>#DIV/0!</v>
      </c>
      <c r="E17" s="60" t="e">
        <f>E67/D68</f>
        <v>#DIV/0!</v>
      </c>
      <c r="F17" s="68">
        <v>-8.7999999999999995E-2</v>
      </c>
      <c r="G17" s="68">
        <v>-8.7999999999999995E-2</v>
      </c>
      <c r="H17" s="68">
        <v>-8.5000000000000006E-2</v>
      </c>
      <c r="I17" s="68">
        <v>-0.08</v>
      </c>
      <c r="J17" s="68">
        <v>-7.4999999999999997E-2</v>
      </c>
    </row>
    <row r="18" spans="1:11" ht="15" customHeight="1" x14ac:dyDescent="0.25">
      <c r="B18" t="s">
        <v>224</v>
      </c>
      <c r="D18">
        <f>D83-C83</f>
        <v>45.600000000000009</v>
      </c>
      <c r="E18">
        <f>E83-D83</f>
        <v>23.799999999999983</v>
      </c>
      <c r="F18" s="63">
        <v>0</v>
      </c>
      <c r="G18" s="63">
        <v>0</v>
      </c>
      <c r="H18" s="63">
        <v>0</v>
      </c>
      <c r="I18" s="63">
        <v>0</v>
      </c>
      <c r="J18" s="63">
        <v>0</v>
      </c>
    </row>
    <row r="19" spans="1:11" ht="15" customHeight="1" x14ac:dyDescent="0.25">
      <c r="B19" t="s">
        <v>104</v>
      </c>
      <c r="C19">
        <f t="shared" ref="C19:E20" si="4">C81/C31*365</f>
        <v>87.988887054000756</v>
      </c>
      <c r="D19">
        <f t="shared" si="4"/>
        <v>93.295332088077885</v>
      </c>
      <c r="E19">
        <f t="shared" si="4"/>
        <v>93.33697753133282</v>
      </c>
      <c r="F19" s="73">
        <f>E19</f>
        <v>93.33697753133282</v>
      </c>
      <c r="G19" s="73">
        <f t="shared" ref="G19:J19" si="5">F19</f>
        <v>93.33697753133282</v>
      </c>
      <c r="H19" s="73">
        <f t="shared" si="5"/>
        <v>93.33697753133282</v>
      </c>
      <c r="I19" s="73">
        <f t="shared" si="5"/>
        <v>93.33697753133282</v>
      </c>
      <c r="J19" s="73">
        <f t="shared" si="5"/>
        <v>93.33697753133282</v>
      </c>
    </row>
    <row r="20" spans="1:11" ht="15" customHeight="1" x14ac:dyDescent="0.25">
      <c r="B20" t="s">
        <v>105</v>
      </c>
      <c r="C20">
        <f t="shared" si="4"/>
        <v>-63.022110552763813</v>
      </c>
      <c r="D20">
        <f t="shared" si="4"/>
        <v>-60.745813044119807</v>
      </c>
      <c r="E20">
        <f t="shared" si="4"/>
        <v>-62.315985793746236</v>
      </c>
      <c r="F20" s="73">
        <f>E20</f>
        <v>-62.315985793746236</v>
      </c>
      <c r="G20" s="73">
        <f t="shared" ref="G20:J20" si="6">F20</f>
        <v>-62.315985793746236</v>
      </c>
      <c r="H20" s="73">
        <f t="shared" si="6"/>
        <v>-62.315985793746236</v>
      </c>
      <c r="I20" s="73">
        <f t="shared" si="6"/>
        <v>-62.315985793746236</v>
      </c>
      <c r="J20" s="73">
        <f t="shared" si="6"/>
        <v>-62.315985793746236</v>
      </c>
    </row>
    <row r="21" spans="1:11" ht="15" customHeight="1" x14ac:dyDescent="0.25">
      <c r="B21" t="s">
        <v>36</v>
      </c>
      <c r="D21">
        <f>D87-C87</f>
        <v>144.5</v>
      </c>
      <c r="E21">
        <f>E87-D87</f>
        <v>342</v>
      </c>
      <c r="F21" s="63">
        <v>0</v>
      </c>
      <c r="G21" s="63">
        <v>0</v>
      </c>
      <c r="H21" s="63">
        <v>0</v>
      </c>
      <c r="I21" s="63">
        <v>0</v>
      </c>
      <c r="J21" s="63">
        <v>0</v>
      </c>
    </row>
    <row r="22" spans="1:11" ht="15" customHeight="1" x14ac:dyDescent="0.25">
      <c r="B22" t="s">
        <v>128</v>
      </c>
      <c r="C22" s="60">
        <f>C90/C31</f>
        <v>0.149539065307986</v>
      </c>
      <c r="D22" s="60">
        <f>D90/D31</f>
        <v>0.13753187973705952</v>
      </c>
      <c r="E22" s="60">
        <f>E90/E31</f>
        <v>0.15647603138091778</v>
      </c>
      <c r="F22" s="68">
        <f>E22</f>
        <v>0.15647603138091778</v>
      </c>
      <c r="G22" s="68">
        <f t="shared" ref="G22:J22" si="7">F22</f>
        <v>0.15647603138091778</v>
      </c>
      <c r="H22" s="68">
        <f t="shared" si="7"/>
        <v>0.15647603138091778</v>
      </c>
      <c r="I22" s="68">
        <f t="shared" si="7"/>
        <v>0.15647603138091778</v>
      </c>
      <c r="J22" s="68">
        <f t="shared" si="7"/>
        <v>0.15647603138091778</v>
      </c>
    </row>
    <row r="23" spans="1:11" ht="15" customHeight="1" x14ac:dyDescent="0.25">
      <c r="B23" t="s">
        <v>106</v>
      </c>
      <c r="C23" s="60">
        <f>C76/C32</f>
        <v>-0.35888918275588472</v>
      </c>
      <c r="D23" s="60">
        <f>D76/D32</f>
        <v>-0.28080271506566329</v>
      </c>
      <c r="E23" s="60">
        <f>E76/E32</f>
        <v>-0.31620189416716771</v>
      </c>
      <c r="F23" s="68">
        <f>E23</f>
        <v>-0.31620189416716771</v>
      </c>
      <c r="G23" s="68">
        <f t="shared" ref="G23:J23" si="8">F23</f>
        <v>-0.31620189416716771</v>
      </c>
      <c r="H23" s="68">
        <f t="shared" si="8"/>
        <v>-0.31620189416716771</v>
      </c>
      <c r="I23" s="68">
        <f t="shared" si="8"/>
        <v>-0.31620189416716771</v>
      </c>
      <c r="J23" s="68">
        <f t="shared" si="8"/>
        <v>-0.31620189416716771</v>
      </c>
    </row>
    <row r="24" spans="1:11" ht="15" customHeight="1" x14ac:dyDescent="0.25">
      <c r="B24" t="s">
        <v>37</v>
      </c>
      <c r="C24" s="60">
        <f>C98/C31</f>
        <v>0.30482888588830714</v>
      </c>
      <c r="D24" s="60">
        <f>D98/D31</f>
        <v>0.23949315708179172</v>
      </c>
      <c r="E24" s="60">
        <f>E98/E31</f>
        <v>0.24991035272921275</v>
      </c>
      <c r="F24" s="61">
        <f>E24</f>
        <v>0.24991035272921275</v>
      </c>
      <c r="G24" s="61">
        <f t="shared" ref="G24:J24" si="9">F24</f>
        <v>0.24991035272921275</v>
      </c>
      <c r="H24" s="61">
        <f t="shared" si="9"/>
        <v>0.24991035272921275</v>
      </c>
      <c r="I24" s="61">
        <f t="shared" si="9"/>
        <v>0.24991035272921275</v>
      </c>
      <c r="J24" s="61">
        <f t="shared" si="9"/>
        <v>0.24991035272921275</v>
      </c>
    </row>
    <row r="25" spans="1:11" ht="15" customHeight="1" x14ac:dyDescent="0.25">
      <c r="B25" t="s">
        <v>103</v>
      </c>
      <c r="D25">
        <f>D97-C97</f>
        <v>1056.0000000000005</v>
      </c>
      <c r="E25">
        <f>E97-D97</f>
        <v>529.79999999999927</v>
      </c>
      <c r="F25" s="63">
        <v>700</v>
      </c>
      <c r="G25" s="63">
        <v>-500</v>
      </c>
      <c r="H25" s="63">
        <v>-200</v>
      </c>
      <c r="I25" s="63">
        <v>0</v>
      </c>
      <c r="J25" s="63">
        <v>0</v>
      </c>
    </row>
    <row r="26" spans="1:11" ht="15" customHeight="1" x14ac:dyDescent="0.25">
      <c r="B26" t="s">
        <v>107</v>
      </c>
      <c r="D26" s="60"/>
      <c r="E26" s="60"/>
      <c r="F26" s="61">
        <v>0.05</v>
      </c>
      <c r="G26" s="61">
        <v>0.05</v>
      </c>
      <c r="H26" s="61">
        <v>0.05</v>
      </c>
      <c r="I26" s="61">
        <v>0.05</v>
      </c>
      <c r="J26" s="61">
        <v>0.05</v>
      </c>
    </row>
    <row r="27" spans="1:11" ht="15" customHeight="1" x14ac:dyDescent="0.25">
      <c r="B27" t="s">
        <v>108</v>
      </c>
      <c r="D27" s="60"/>
      <c r="E27" s="60"/>
      <c r="F27" s="61">
        <v>0.06</v>
      </c>
      <c r="G27" s="61">
        <v>0.06</v>
      </c>
      <c r="H27" s="61">
        <v>0.06</v>
      </c>
      <c r="I27" s="61">
        <v>0.06</v>
      </c>
      <c r="J27" s="61">
        <v>0.06</v>
      </c>
    </row>
    <row r="28" spans="1:11" ht="15" customHeight="1" x14ac:dyDescent="0.25">
      <c r="B28" t="s">
        <v>109</v>
      </c>
      <c r="D28" s="60"/>
      <c r="E28" s="60"/>
      <c r="F28" s="61">
        <v>0.03</v>
      </c>
      <c r="G28" s="61">
        <v>0.03</v>
      </c>
      <c r="H28" s="61">
        <v>0.03</v>
      </c>
      <c r="I28" s="61">
        <v>0.03</v>
      </c>
      <c r="J28" s="61">
        <v>0.03</v>
      </c>
    </row>
    <row r="29" spans="1:11" ht="15" customHeight="1" x14ac:dyDescent="0.25">
      <c r="D29" s="60"/>
      <c r="E29" s="60"/>
    </row>
    <row r="30" spans="1:11" ht="15" customHeight="1" x14ac:dyDescent="0.25">
      <c r="A30" s="15" t="s">
        <v>29</v>
      </c>
    </row>
    <row r="31" spans="1:11" ht="15" customHeight="1" x14ac:dyDescent="0.25">
      <c r="B31" t="s">
        <v>86</v>
      </c>
      <c r="C31">
        <f>Segment!C64</f>
        <v>10294.299999999999</v>
      </c>
      <c r="D31">
        <f>Segment!D64</f>
        <v>11135.6</v>
      </c>
      <c r="E31">
        <f>Segment!E64</f>
        <v>11433.7</v>
      </c>
    </row>
    <row r="32" spans="1:11" ht="15" customHeight="1" x14ac:dyDescent="0.25">
      <c r="B32" t="s">
        <v>211</v>
      </c>
      <c r="C32">
        <f>C33-C31</f>
        <v>-9452.5</v>
      </c>
      <c r="D32">
        <f t="shared" ref="D32:E32" si="10">D33-D31</f>
        <v>-10843.2</v>
      </c>
      <c r="E32">
        <f t="shared" si="10"/>
        <v>-10643.2</v>
      </c>
      <c r="K32" s="71"/>
    </row>
    <row r="33" spans="2:13" ht="15" customHeight="1" x14ac:dyDescent="0.25">
      <c r="B33" t="s">
        <v>210</v>
      </c>
      <c r="C33">
        <f>Segment!C70</f>
        <v>841.8</v>
      </c>
      <c r="D33">
        <f>Segment!D70</f>
        <v>292.39999999999998</v>
      </c>
      <c r="E33">
        <f>Segment!E70</f>
        <v>790.5</v>
      </c>
      <c r="K33" s="71"/>
    </row>
    <row r="34" spans="2:13" ht="15" customHeight="1" x14ac:dyDescent="0.25">
      <c r="B34" t="s">
        <v>190</v>
      </c>
      <c r="C34">
        <f>Segment!C74*-1</f>
        <v>37.799999999999997</v>
      </c>
      <c r="D34">
        <f>Segment!D74*-1</f>
        <v>-31.5</v>
      </c>
      <c r="E34">
        <f>Segment!E74*-1</f>
        <v>-37.200000000000003</v>
      </c>
      <c r="K34" s="71"/>
    </row>
    <row r="35" spans="2:13" ht="15" customHeight="1" x14ac:dyDescent="0.25">
      <c r="B35" t="s">
        <v>193</v>
      </c>
      <c r="C35">
        <f>Segment!C75*-1</f>
        <v>-84.8</v>
      </c>
      <c r="D35">
        <f>Segment!D75*-1</f>
        <v>-92.7</v>
      </c>
      <c r="E35">
        <f>Segment!E75*-1</f>
        <v>-92.7</v>
      </c>
      <c r="K35" s="71"/>
    </row>
    <row r="36" spans="2:13" ht="15" customHeight="1" x14ac:dyDescent="0.25">
      <c r="B36" t="s">
        <v>212</v>
      </c>
      <c r="C36">
        <f>C33+C34+C35</f>
        <v>794.8</v>
      </c>
      <c r="D36">
        <f t="shared" ref="D36:E36" si="11">D33+D34+D35</f>
        <v>168.2</v>
      </c>
      <c r="E36">
        <f t="shared" si="11"/>
        <v>660.59999999999991</v>
      </c>
      <c r="K36" s="71"/>
      <c r="M36" s="65"/>
    </row>
    <row r="37" spans="2:13" ht="15" customHeight="1" x14ac:dyDescent="0.25">
      <c r="B37" t="s">
        <v>127</v>
      </c>
      <c r="C37" s="59">
        <v>-35.1</v>
      </c>
      <c r="D37" s="59">
        <v>-30.2</v>
      </c>
      <c r="E37" s="59">
        <v>-200.8</v>
      </c>
    </row>
    <row r="38" spans="2:13" ht="15" customHeight="1" x14ac:dyDescent="0.25">
      <c r="B38" t="s">
        <v>30</v>
      </c>
      <c r="C38">
        <f>SUM(C36:C37)</f>
        <v>759.69999999999993</v>
      </c>
      <c r="D38">
        <f>SUM(D36:D37)</f>
        <v>138</v>
      </c>
      <c r="E38">
        <f>SUM(E36:E37)</f>
        <v>459.7999999999999</v>
      </c>
      <c r="M38" s="65"/>
    </row>
    <row r="39" spans="2:13" ht="15" customHeight="1" x14ac:dyDescent="0.25">
      <c r="B39" t="s">
        <v>31</v>
      </c>
      <c r="C39" s="59">
        <v>-191.7</v>
      </c>
      <c r="D39" s="66">
        <v>-32.200000000000003</v>
      </c>
      <c r="E39" s="66">
        <v>-145.4</v>
      </c>
    </row>
    <row r="40" spans="2:13" ht="15" customHeight="1" x14ac:dyDescent="0.25">
      <c r="B40" t="s">
        <v>32</v>
      </c>
      <c r="C40">
        <f t="shared" ref="C40:E40" si="12">SUM(C38:C39)</f>
        <v>568</v>
      </c>
      <c r="D40">
        <f t="shared" si="12"/>
        <v>105.8</v>
      </c>
      <c r="E40">
        <f t="shared" si="12"/>
        <v>314.39999999999986</v>
      </c>
      <c r="M40" s="65"/>
    </row>
    <row r="42" spans="2:13" ht="15" customHeight="1" x14ac:dyDescent="0.25">
      <c r="B42" t="s">
        <v>153</v>
      </c>
      <c r="C42">
        <f>C40+(Segment!C74+Segment!C75)*(1+C8)</f>
        <v>600.9</v>
      </c>
      <c r="D42">
        <f>D40+(Segment!D74+Segment!D75)*(1+D8)</f>
        <v>192.74</v>
      </c>
      <c r="E42">
        <f>E40+(Segment!E74+Segment!E75)*(1+E8)</f>
        <v>405.32999999999987</v>
      </c>
    </row>
    <row r="43" spans="2:13" ht="15" customHeight="1" x14ac:dyDescent="0.25">
      <c r="D43" s="64"/>
      <c r="E43" s="64"/>
    </row>
    <row r="44" spans="2:13" ht="15" customHeight="1" x14ac:dyDescent="0.25">
      <c r="B44" t="s">
        <v>34</v>
      </c>
      <c r="C44" s="67">
        <f>C72/C45*-1</f>
        <v>0.40961098398169338</v>
      </c>
      <c r="D44" s="67">
        <f>D72/D45*-1</f>
        <v>1.5003813882532417</v>
      </c>
      <c r="E44" s="67">
        <f>E72/E45*-1</f>
        <v>0.18993135011441648</v>
      </c>
      <c r="F44" s="67"/>
      <c r="G44" s="67"/>
      <c r="H44" s="67"/>
      <c r="I44" s="67"/>
      <c r="J44" s="67"/>
      <c r="M44" s="67"/>
    </row>
    <row r="45" spans="2:13" ht="15" customHeight="1" x14ac:dyDescent="0.25">
      <c r="B45" t="s">
        <v>27</v>
      </c>
      <c r="C45" s="59">
        <v>131.1</v>
      </c>
      <c r="D45" s="66">
        <v>131.1</v>
      </c>
      <c r="E45" s="66">
        <v>131.1</v>
      </c>
    </row>
    <row r="46" spans="2:13" ht="15" customHeight="1" x14ac:dyDescent="0.25">
      <c r="B46" t="s">
        <v>28</v>
      </c>
      <c r="C46" s="59">
        <v>131.1</v>
      </c>
      <c r="D46" s="66">
        <v>131.1</v>
      </c>
      <c r="E46" s="66">
        <v>131.1</v>
      </c>
    </row>
    <row r="47" spans="2:13" ht="15" customHeight="1" x14ac:dyDescent="0.25">
      <c r="B47" t="s">
        <v>33</v>
      </c>
      <c r="C47">
        <f t="shared" ref="C47:E47" si="13">C42/C46</f>
        <v>4.583524027459954</v>
      </c>
      <c r="D47" s="64">
        <f t="shared" si="13"/>
        <v>1.4701754385964914</v>
      </c>
      <c r="E47" s="64">
        <f t="shared" si="13"/>
        <v>3.0917620137299764</v>
      </c>
      <c r="F47" s="67"/>
      <c r="G47" s="67"/>
      <c r="H47" s="67"/>
      <c r="I47" s="67"/>
      <c r="J47" s="67"/>
      <c r="M47" s="67"/>
    </row>
    <row r="49" spans="1:10" ht="15" customHeight="1" x14ac:dyDescent="0.25">
      <c r="B49" t="s">
        <v>215</v>
      </c>
      <c r="C49">
        <f>(C57+C67)*-1</f>
        <v>938.9</v>
      </c>
      <c r="D49">
        <f>(D57+D67)*-1</f>
        <v>1013.4</v>
      </c>
      <c r="E49">
        <f>(E57+E67)*-1</f>
        <v>1046.5</v>
      </c>
    </row>
    <row r="50" spans="1:10" ht="15" customHeight="1" x14ac:dyDescent="0.25">
      <c r="B50" t="s">
        <v>214</v>
      </c>
      <c r="C50">
        <f t="shared" ref="C50:E50" si="14">C49+C35</f>
        <v>854.1</v>
      </c>
      <c r="D50">
        <f t="shared" si="14"/>
        <v>920.69999999999993</v>
      </c>
      <c r="E50">
        <f t="shared" si="14"/>
        <v>953.8</v>
      </c>
    </row>
    <row r="51" spans="1:10" ht="15" customHeight="1" x14ac:dyDescent="0.25">
      <c r="B51" t="s">
        <v>213</v>
      </c>
      <c r="D51" s="60">
        <f>D50/C50-1</f>
        <v>7.7976817702845036E-2</v>
      </c>
      <c r="E51" s="60">
        <f t="shared" ref="E51" si="15">E50/D50-1</f>
        <v>3.5950906918648773E-2</v>
      </c>
      <c r="F51" s="60"/>
      <c r="G51" s="60"/>
      <c r="H51" s="60"/>
      <c r="I51" s="60"/>
      <c r="J51" s="60"/>
    </row>
    <row r="52" spans="1:10" ht="15" customHeight="1" x14ac:dyDescent="0.25">
      <c r="B52" t="s">
        <v>219</v>
      </c>
      <c r="C52">
        <f t="shared" ref="C52:E52" si="16">C33+C50</f>
        <v>1695.9</v>
      </c>
      <c r="D52">
        <f t="shared" si="16"/>
        <v>1213.0999999999999</v>
      </c>
      <c r="E52">
        <f t="shared" si="16"/>
        <v>1744.3</v>
      </c>
    </row>
    <row r="54" spans="1:10" ht="15" customHeight="1" x14ac:dyDescent="0.25">
      <c r="A54" s="15" t="s">
        <v>38</v>
      </c>
    </row>
    <row r="55" spans="1:10" ht="15" customHeight="1" x14ac:dyDescent="0.25">
      <c r="B55" t="s">
        <v>121</v>
      </c>
      <c r="D55" s="59"/>
      <c r="E55" s="59"/>
    </row>
    <row r="56" spans="1:10" ht="15" customHeight="1" x14ac:dyDescent="0.25">
      <c r="B56" t="s">
        <v>200</v>
      </c>
      <c r="C56" s="59">
        <f>333.8+529.1</f>
        <v>862.90000000000009</v>
      </c>
      <c r="D56" s="59">
        <f>382.7+514.7</f>
        <v>897.40000000000009</v>
      </c>
      <c r="E56" s="59">
        <f>442.8+608.9</f>
        <v>1051.7</v>
      </c>
    </row>
    <row r="57" spans="1:10" ht="15" customHeight="1" x14ac:dyDescent="0.25">
      <c r="B57" t="s">
        <v>124</v>
      </c>
      <c r="C57" s="66">
        <v>-768.4</v>
      </c>
      <c r="D57" s="66">
        <v>-824.4</v>
      </c>
      <c r="E57" s="66">
        <v>-854.3</v>
      </c>
    </row>
    <row r="58" spans="1:10" ht="15" customHeight="1" x14ac:dyDescent="0.25">
      <c r="B58" t="s">
        <v>122</v>
      </c>
    </row>
    <row r="60" spans="1:10" ht="15" customHeight="1" x14ac:dyDescent="0.25">
      <c r="B60" t="s">
        <v>203</v>
      </c>
      <c r="D60" s="59">
        <v>203.3</v>
      </c>
      <c r="E60" s="59">
        <v>235.1</v>
      </c>
    </row>
    <row r="61" spans="1:10" ht="15.75" customHeight="1" x14ac:dyDescent="0.25">
      <c r="B61" t="s">
        <v>202</v>
      </c>
      <c r="D61" s="59">
        <v>118</v>
      </c>
      <c r="E61" s="59">
        <v>116</v>
      </c>
    </row>
    <row r="62" spans="1:10" ht="15.75" customHeight="1" x14ac:dyDescent="0.25">
      <c r="B62" t="s">
        <v>204</v>
      </c>
      <c r="D62">
        <f>SUM(D60:D61)</f>
        <v>321.3</v>
      </c>
      <c r="E62">
        <f>SUM(E60:E61)</f>
        <v>351.1</v>
      </c>
    </row>
    <row r="64" spans="1:10" ht="15" customHeight="1" x14ac:dyDescent="0.25">
      <c r="B64" t="s">
        <v>123</v>
      </c>
      <c r="D64" s="59"/>
      <c r="E64" s="59"/>
    </row>
    <row r="65" spans="1:5" ht="15" customHeight="1" x14ac:dyDescent="0.25">
      <c r="B65" t="s">
        <v>202</v>
      </c>
      <c r="C65" s="59">
        <v>100</v>
      </c>
      <c r="D65">
        <f>Model!D61</f>
        <v>118</v>
      </c>
      <c r="E65">
        <f>Model!E61</f>
        <v>116</v>
      </c>
    </row>
    <row r="66" spans="1:5" ht="15" customHeight="1" x14ac:dyDescent="0.25">
      <c r="B66" t="s">
        <v>207</v>
      </c>
      <c r="C66" s="59">
        <f>118-C65</f>
        <v>18</v>
      </c>
      <c r="D66" s="59">
        <f>144.7-D65</f>
        <v>26.699999999999989</v>
      </c>
      <c r="E66" s="59">
        <f>159.8-E65</f>
        <v>43.800000000000011</v>
      </c>
    </row>
    <row r="67" spans="1:5" ht="15" customHeight="1" x14ac:dyDescent="0.25">
      <c r="B67" t="s">
        <v>209</v>
      </c>
      <c r="C67" s="66">
        <v>-170.5</v>
      </c>
      <c r="D67" s="66">
        <v>-189</v>
      </c>
      <c r="E67" s="66">
        <v>-192.2</v>
      </c>
    </row>
    <row r="68" spans="1:5" ht="15" customHeight="1" x14ac:dyDescent="0.25">
      <c r="B68" t="s">
        <v>130</v>
      </c>
    </row>
    <row r="70" spans="1:5" ht="15" customHeight="1" x14ac:dyDescent="0.25">
      <c r="B70" t="s">
        <v>39</v>
      </c>
    </row>
    <row r="71" spans="1:5" ht="15" customHeight="1" x14ac:dyDescent="0.25">
      <c r="B71" t="s">
        <v>32</v>
      </c>
    </row>
    <row r="72" spans="1:5" ht="15" customHeight="1" x14ac:dyDescent="0.25">
      <c r="B72" t="s">
        <v>40</v>
      </c>
      <c r="C72" s="59">
        <v>-53.7</v>
      </c>
      <c r="D72" s="59">
        <v>-196.7</v>
      </c>
      <c r="E72" s="59">
        <v>-24.9</v>
      </c>
    </row>
    <row r="73" spans="1:5" ht="15" customHeight="1" x14ac:dyDescent="0.25">
      <c r="B73" t="s">
        <v>41</v>
      </c>
    </row>
    <row r="75" spans="1:5" ht="15" customHeight="1" x14ac:dyDescent="0.25">
      <c r="B75" t="s">
        <v>42</v>
      </c>
      <c r="C75">
        <f>SUM(C81:C83)</f>
        <v>4214.8999999999996</v>
      </c>
      <c r="D75">
        <f t="shared" ref="D75:E75" si="17">SUM(D81:D83)</f>
        <v>4797.7</v>
      </c>
      <c r="E75">
        <f t="shared" si="17"/>
        <v>4911.5</v>
      </c>
    </row>
    <row r="76" spans="1:5" ht="15" customHeight="1" x14ac:dyDescent="0.25">
      <c r="B76" t="s">
        <v>43</v>
      </c>
      <c r="C76">
        <f>C94</f>
        <v>3392.4</v>
      </c>
      <c r="D76">
        <f>D94</f>
        <v>3044.8</v>
      </c>
      <c r="E76">
        <f>E94</f>
        <v>3365.3999999999996</v>
      </c>
    </row>
    <row r="77" spans="1:5" ht="15" customHeight="1" x14ac:dyDescent="0.25">
      <c r="B77" t="s">
        <v>44</v>
      </c>
      <c r="C77">
        <f>C75-C76</f>
        <v>822.49999999999955</v>
      </c>
      <c r="D77">
        <f t="shared" ref="D77:E77" si="18">D75-D76</f>
        <v>1752.8999999999996</v>
      </c>
      <c r="E77">
        <f t="shared" si="18"/>
        <v>1546.1000000000004</v>
      </c>
    </row>
    <row r="79" spans="1:5" ht="15" customHeight="1" x14ac:dyDescent="0.25">
      <c r="A79" s="15" t="s">
        <v>45</v>
      </c>
    </row>
    <row r="80" spans="1:5" ht="15" customHeight="1" x14ac:dyDescent="0.25">
      <c r="B80" t="s">
        <v>91</v>
      </c>
      <c r="C80" s="59">
        <v>483</v>
      </c>
      <c r="D80" s="59">
        <v>318.10000000000002</v>
      </c>
      <c r="E80" s="59">
        <v>311.8</v>
      </c>
    </row>
    <row r="81" spans="2:10" ht="15" customHeight="1" x14ac:dyDescent="0.25">
      <c r="B81" t="s">
        <v>92</v>
      </c>
      <c r="C81" s="59">
        <v>2481.6</v>
      </c>
      <c r="D81" s="59">
        <v>2846.3</v>
      </c>
      <c r="E81" s="59">
        <v>2923.8</v>
      </c>
    </row>
    <row r="82" spans="2:10" ht="15" customHeight="1" x14ac:dyDescent="0.25">
      <c r="B82" t="s">
        <v>93</v>
      </c>
      <c r="C82" s="59">
        <v>1632.1</v>
      </c>
      <c r="D82" s="59">
        <v>1804.6</v>
      </c>
      <c r="E82" s="59">
        <v>1817.1</v>
      </c>
    </row>
    <row r="83" spans="2:10" ht="15" customHeight="1" x14ac:dyDescent="0.25">
      <c r="B83" t="s">
        <v>94</v>
      </c>
      <c r="C83" s="59">
        <v>101.2</v>
      </c>
      <c r="D83" s="59">
        <v>146.80000000000001</v>
      </c>
      <c r="E83" s="59">
        <v>170.6</v>
      </c>
    </row>
    <row r="84" spans="2:10" ht="15" customHeight="1" x14ac:dyDescent="0.25">
      <c r="B84" t="s">
        <v>46</v>
      </c>
      <c r="C84">
        <f t="shared" ref="C84:E84" si="19">SUM(C80:C83)</f>
        <v>4697.8999999999996</v>
      </c>
      <c r="D84" s="65">
        <f t="shared" si="19"/>
        <v>5115.8</v>
      </c>
      <c r="E84" s="65">
        <f t="shared" si="19"/>
        <v>5223.3000000000011</v>
      </c>
      <c r="F84" s="65"/>
      <c r="G84" s="65"/>
      <c r="H84" s="65"/>
      <c r="I84" s="65"/>
      <c r="J84" s="65"/>
    </row>
    <row r="86" spans="2:10" ht="15" customHeight="1" x14ac:dyDescent="0.25">
      <c r="B86" t="s">
        <v>120</v>
      </c>
      <c r="C86" s="59">
        <v>3381.9</v>
      </c>
      <c r="D86" s="59">
        <v>3555</v>
      </c>
      <c r="E86" s="59">
        <v>3942.6</v>
      </c>
    </row>
    <row r="87" spans="2:10" ht="15" customHeight="1" x14ac:dyDescent="0.25">
      <c r="B87" t="s">
        <v>88</v>
      </c>
      <c r="C87" s="59">
        <v>1523.4</v>
      </c>
      <c r="D87" s="59">
        <v>1667.9</v>
      </c>
      <c r="E87" s="59">
        <v>2009.9</v>
      </c>
    </row>
    <row r="88" spans="2:10" ht="15" customHeight="1" x14ac:dyDescent="0.25">
      <c r="B88" t="s">
        <v>47</v>
      </c>
      <c r="C88" s="59">
        <v>3544.8</v>
      </c>
      <c r="D88" s="59">
        <v>3619.4</v>
      </c>
      <c r="E88" s="59">
        <v>3558</v>
      </c>
    </row>
    <row r="89" spans="2:10" ht="15" customHeight="1" x14ac:dyDescent="0.25">
      <c r="B89" t="s">
        <v>125</v>
      </c>
      <c r="C89" s="59">
        <v>2165.9</v>
      </c>
      <c r="D89" s="59">
        <v>2162.1</v>
      </c>
      <c r="E89" s="59">
        <v>2106.9</v>
      </c>
    </row>
    <row r="90" spans="2:10" ht="15" customHeight="1" x14ac:dyDescent="0.25">
      <c r="B90" t="s">
        <v>48</v>
      </c>
      <c r="C90" s="59">
        <v>1539.4</v>
      </c>
      <c r="D90" s="66">
        <v>1531.5</v>
      </c>
      <c r="E90" s="66">
        <v>1789.1</v>
      </c>
    </row>
    <row r="91" spans="2:10" ht="15" customHeight="1" x14ac:dyDescent="0.25">
      <c r="B91" t="s">
        <v>49</v>
      </c>
      <c r="C91">
        <f t="shared" ref="C91:E91" si="20">SUM(C84,C86:C90)</f>
        <v>16853.3</v>
      </c>
      <c r="D91" s="65">
        <f t="shared" si="20"/>
        <v>17651.699999999997</v>
      </c>
      <c r="E91" s="65">
        <f t="shared" si="20"/>
        <v>18629.8</v>
      </c>
      <c r="F91" s="65"/>
      <c r="G91" s="65"/>
      <c r="H91" s="65"/>
      <c r="I91" s="65"/>
      <c r="J91" s="65"/>
    </row>
    <row r="93" spans="2:10" ht="15" customHeight="1" x14ac:dyDescent="0.25">
      <c r="B93" t="s">
        <v>89</v>
      </c>
      <c r="C93" s="59">
        <v>1712.9</v>
      </c>
      <c r="D93" s="59">
        <v>1835.1</v>
      </c>
      <c r="E93" s="59">
        <v>1607.4</v>
      </c>
    </row>
    <row r="94" spans="2:10" ht="15" customHeight="1" x14ac:dyDescent="0.25">
      <c r="B94" t="s">
        <v>43</v>
      </c>
      <c r="C94" s="59">
        <v>3392.4</v>
      </c>
      <c r="D94" s="66">
        <v>3044.8</v>
      </c>
      <c r="E94" s="66">
        <v>3365.3999999999996</v>
      </c>
    </row>
    <row r="95" spans="2:10" ht="15" customHeight="1" x14ac:dyDescent="0.25">
      <c r="B95" t="s">
        <v>51</v>
      </c>
      <c r="C95">
        <f>SUM(C93:C94)</f>
        <v>5105.3</v>
      </c>
      <c r="D95" s="65">
        <f>SUM(D93:D94)</f>
        <v>4879.8999999999996</v>
      </c>
      <c r="E95" s="65">
        <f>SUM(E93:E94)</f>
        <v>4972.7999999999993</v>
      </c>
      <c r="F95" s="65"/>
      <c r="G95" s="65"/>
      <c r="H95" s="65"/>
      <c r="I95" s="65"/>
      <c r="J95" s="65"/>
    </row>
    <row r="97" spans="1:10" ht="15" customHeight="1" x14ac:dyDescent="0.25">
      <c r="B97" t="s">
        <v>90</v>
      </c>
      <c r="C97" s="59">
        <v>3441.1</v>
      </c>
      <c r="D97" s="59">
        <v>4497.1000000000004</v>
      </c>
      <c r="E97" s="59">
        <v>5026.8999999999996</v>
      </c>
    </row>
    <row r="98" spans="1:10" ht="15" customHeight="1" x14ac:dyDescent="0.25">
      <c r="B98" t="s">
        <v>52</v>
      </c>
      <c r="C98" s="59">
        <v>3138</v>
      </c>
      <c r="D98" s="66">
        <v>2666.9</v>
      </c>
      <c r="E98" s="66">
        <v>2857.4</v>
      </c>
    </row>
    <row r="99" spans="1:10" ht="15" customHeight="1" x14ac:dyDescent="0.25">
      <c r="B99" t="s">
        <v>53</v>
      </c>
      <c r="C99">
        <f t="shared" ref="C99:E99" si="21">SUM(C95,C97:C98)</f>
        <v>11684.4</v>
      </c>
      <c r="D99" s="65">
        <f t="shared" si="21"/>
        <v>12043.9</v>
      </c>
      <c r="E99" s="65">
        <f t="shared" si="21"/>
        <v>12857.099999999999</v>
      </c>
      <c r="F99" s="65"/>
      <c r="G99" s="65"/>
      <c r="H99" s="65"/>
      <c r="I99" s="65"/>
      <c r="J99" s="65"/>
    </row>
    <row r="101" spans="1:10" ht="15" customHeight="1" x14ac:dyDescent="0.25">
      <c r="B101" t="s">
        <v>95</v>
      </c>
      <c r="C101" s="59">
        <v>5168.8999999999996</v>
      </c>
      <c r="D101" s="59">
        <v>5607.8</v>
      </c>
      <c r="E101" s="59">
        <v>5772.7</v>
      </c>
    </row>
    <row r="102" spans="1:10" ht="15" customHeight="1" x14ac:dyDescent="0.25">
      <c r="B102" t="s">
        <v>54</v>
      </c>
      <c r="C102">
        <f t="shared" ref="C102:E102" si="22">C99+SUM(C101:C101)</f>
        <v>16853.3</v>
      </c>
      <c r="D102" s="65">
        <f t="shared" si="22"/>
        <v>17651.7</v>
      </c>
      <c r="E102" s="65">
        <f t="shared" si="22"/>
        <v>18629.8</v>
      </c>
      <c r="F102" s="65"/>
      <c r="G102" s="65"/>
      <c r="H102" s="65"/>
      <c r="I102" s="65"/>
      <c r="J102" s="65"/>
    </row>
    <row r="104" spans="1:10" ht="15" customHeight="1" x14ac:dyDescent="0.25">
      <c r="B104" t="s">
        <v>55</v>
      </c>
      <c r="C104">
        <f t="shared" ref="C104:E104" si="23">C102-C91</f>
        <v>0</v>
      </c>
      <c r="D104">
        <f t="shared" si="23"/>
        <v>0</v>
      </c>
      <c r="E104">
        <f t="shared" si="23"/>
        <v>0</v>
      </c>
    </row>
    <row r="106" spans="1:10" ht="15" customHeight="1" x14ac:dyDescent="0.25">
      <c r="A106" s="15" t="s">
        <v>56</v>
      </c>
    </row>
    <row r="107" spans="1:10" ht="15" customHeight="1" x14ac:dyDescent="0.25">
      <c r="B107" t="s">
        <v>32</v>
      </c>
    </row>
    <row r="108" spans="1:10" ht="15" customHeight="1" x14ac:dyDescent="0.25">
      <c r="B108" t="s">
        <v>96</v>
      </c>
    </row>
    <row r="109" spans="1:10" ht="15" customHeight="1" x14ac:dyDescent="0.25">
      <c r="B109" t="s">
        <v>57</v>
      </c>
    </row>
    <row r="110" spans="1:10" ht="15" customHeight="1" x14ac:dyDescent="0.25">
      <c r="B110" t="s">
        <v>58</v>
      </c>
    </row>
    <row r="111" spans="1:10" ht="15" customHeight="1" x14ac:dyDescent="0.25">
      <c r="B111" t="s">
        <v>59</v>
      </c>
    </row>
    <row r="112" spans="1:10" ht="15" customHeight="1" x14ac:dyDescent="0.25">
      <c r="B112" t="s">
        <v>60</v>
      </c>
    </row>
    <row r="114" spans="1:2" ht="15" customHeight="1" x14ac:dyDescent="0.25">
      <c r="B114" t="s">
        <v>220</v>
      </c>
    </row>
    <row r="115" spans="1:2" ht="15" customHeight="1" x14ac:dyDescent="0.25">
      <c r="B115" t="s">
        <v>61</v>
      </c>
    </row>
    <row r="116" spans="1:2" ht="15" customHeight="1" x14ac:dyDescent="0.25">
      <c r="B116" t="s">
        <v>62</v>
      </c>
    </row>
    <row r="118" spans="1:2" ht="15" customHeight="1" x14ac:dyDescent="0.25">
      <c r="B118" t="s">
        <v>63</v>
      </c>
    </row>
    <row r="119" spans="1:2" ht="15" customHeight="1" x14ac:dyDescent="0.25">
      <c r="B119" t="s">
        <v>64</v>
      </c>
    </row>
    <row r="120" spans="1:2" ht="15" customHeight="1" x14ac:dyDescent="0.25">
      <c r="B120" t="s">
        <v>65</v>
      </c>
    </row>
    <row r="122" spans="1:2" ht="15" customHeight="1" x14ac:dyDescent="0.25">
      <c r="B122" t="s">
        <v>97</v>
      </c>
    </row>
    <row r="123" spans="1:2" ht="15" customHeight="1" x14ac:dyDescent="0.25">
      <c r="B123" t="s">
        <v>66</v>
      </c>
    </row>
    <row r="124" spans="1:2" ht="15" customHeight="1" x14ac:dyDescent="0.25">
      <c r="B124" t="s">
        <v>102</v>
      </c>
    </row>
    <row r="126" spans="1:2" ht="15" customHeight="1" x14ac:dyDescent="0.25">
      <c r="A126" s="15" t="s">
        <v>110</v>
      </c>
    </row>
    <row r="127" spans="1:2" ht="15" customHeight="1" x14ac:dyDescent="0.25">
      <c r="B127" t="s">
        <v>111</v>
      </c>
    </row>
    <row r="128" spans="1:2" ht="15" customHeight="1" x14ac:dyDescent="0.25">
      <c r="B128" t="s">
        <v>112</v>
      </c>
    </row>
    <row r="129" spans="1:10" ht="15" customHeight="1" x14ac:dyDescent="0.25">
      <c r="B129" t="s">
        <v>113</v>
      </c>
    </row>
    <row r="131" spans="1:10" ht="15" customHeight="1" x14ac:dyDescent="0.25">
      <c r="A131" s="15" t="s">
        <v>67</v>
      </c>
    </row>
    <row r="132" spans="1:10" ht="15" customHeight="1" x14ac:dyDescent="0.25">
      <c r="B132" t="s">
        <v>101</v>
      </c>
      <c r="D132" s="60">
        <f>D31/C31-1</f>
        <v>8.1724838017155133E-2</v>
      </c>
      <c r="E132" s="60">
        <f>E31/D31-1</f>
        <v>2.6769998922375082E-2</v>
      </c>
      <c r="F132" s="60"/>
      <c r="G132" s="60"/>
      <c r="H132" s="60"/>
      <c r="I132" s="60"/>
      <c r="J132" s="60"/>
    </row>
    <row r="133" spans="1:10" ht="15" customHeight="1" x14ac:dyDescent="0.25">
      <c r="B133" t="s">
        <v>68</v>
      </c>
      <c r="C133" s="60">
        <f>C33/C31</f>
        <v>8.1773408585333635E-2</v>
      </c>
      <c r="D133" s="60">
        <f>D33/D31</f>
        <v>2.6258127087898268E-2</v>
      </c>
      <c r="E133" s="60">
        <f>E33/E31</f>
        <v>6.9137724446154777E-2</v>
      </c>
      <c r="F133" s="60"/>
      <c r="G133" s="60"/>
      <c r="H133" s="60"/>
      <c r="I133" s="60"/>
      <c r="J133" s="60"/>
    </row>
    <row r="134" spans="1:10" ht="15" customHeight="1" x14ac:dyDescent="0.25">
      <c r="B134" t="s">
        <v>69</v>
      </c>
      <c r="C134" s="60">
        <f>C52/C31</f>
        <v>0.16474165314785855</v>
      </c>
      <c r="D134" s="60">
        <f>D52/D31</f>
        <v>0.10893889866733718</v>
      </c>
      <c r="E134" s="60">
        <f>E52/E31</f>
        <v>0.15255778969187575</v>
      </c>
      <c r="F134" s="60"/>
      <c r="G134" s="60"/>
      <c r="H134" s="60"/>
      <c r="I134" s="60"/>
      <c r="J134" s="60"/>
    </row>
    <row r="135" spans="1:10" ht="15" customHeight="1" x14ac:dyDescent="0.25">
      <c r="B135" t="s">
        <v>70</v>
      </c>
      <c r="C135" s="60">
        <f>C42/C31</f>
        <v>5.8372108836929178E-2</v>
      </c>
      <c r="D135" s="60">
        <f>D42/D31</f>
        <v>1.7308452171414204E-2</v>
      </c>
      <c r="E135" s="60">
        <f>E42/E31</f>
        <v>3.5450466603111838E-2</v>
      </c>
      <c r="F135" s="60"/>
      <c r="G135" s="60"/>
      <c r="H135" s="60"/>
      <c r="I135" s="60"/>
      <c r="J135" s="60"/>
    </row>
    <row r="137" spans="1:10" ht="15" customHeight="1" x14ac:dyDescent="0.25">
      <c r="A137" s="15" t="s">
        <v>71</v>
      </c>
    </row>
    <row r="138" spans="1:10" ht="15" customHeight="1" x14ac:dyDescent="0.25">
      <c r="B138" t="s">
        <v>72</v>
      </c>
      <c r="C138">
        <f>C77</f>
        <v>822.49999999999955</v>
      </c>
      <c r="D138">
        <f>D77</f>
        <v>1752.8999999999996</v>
      </c>
      <c r="E138">
        <f>E77</f>
        <v>1546.1000000000004</v>
      </c>
    </row>
    <row r="139" spans="1:10" ht="15" customHeight="1" x14ac:dyDescent="0.25">
      <c r="B139" t="s">
        <v>73</v>
      </c>
      <c r="C139">
        <f>C138/C31</f>
        <v>7.9898584653643245E-2</v>
      </c>
      <c r="D139" s="60">
        <f>D138/D31</f>
        <v>0.15741405941305359</v>
      </c>
      <c r="E139" s="60">
        <f>E138/E31</f>
        <v>0.13522306864794426</v>
      </c>
      <c r="F139" s="60"/>
      <c r="G139" s="60"/>
      <c r="H139" s="60"/>
      <c r="I139" s="60"/>
      <c r="J139" s="60"/>
    </row>
    <row r="140" spans="1:10" ht="15" customHeight="1" x14ac:dyDescent="0.25">
      <c r="B140" t="s">
        <v>74</v>
      </c>
      <c r="C140">
        <f>C86/C31</f>
        <v>0.32852160904578265</v>
      </c>
      <c r="D140" s="60">
        <f>D86/D31</f>
        <v>0.31924638097632818</v>
      </c>
      <c r="E140" s="60">
        <f>E86/E31</f>
        <v>0.34482276078609719</v>
      </c>
      <c r="F140" s="60"/>
      <c r="G140" s="60"/>
      <c r="H140" s="60"/>
      <c r="I140" s="60"/>
      <c r="J140" s="60"/>
    </row>
    <row r="142" spans="1:10" ht="15" customHeight="1" x14ac:dyDescent="0.25">
      <c r="A142" s="15" t="s">
        <v>75</v>
      </c>
    </row>
    <row r="143" spans="1:10" ht="15" customHeight="1" x14ac:dyDescent="0.25">
      <c r="B143" t="s">
        <v>50</v>
      </c>
      <c r="C143">
        <f>C93</f>
        <v>1712.9</v>
      </c>
      <c r="D143">
        <f>D93</f>
        <v>1835.1</v>
      </c>
      <c r="E143">
        <f>E93</f>
        <v>1607.4</v>
      </c>
    </row>
    <row r="144" spans="1:10" ht="15" customHeight="1" x14ac:dyDescent="0.25">
      <c r="B144" t="s">
        <v>76</v>
      </c>
      <c r="C144">
        <f>C97</f>
        <v>3441.1</v>
      </c>
      <c r="D144">
        <f>D97</f>
        <v>4497.1000000000004</v>
      </c>
      <c r="E144">
        <f>E97</f>
        <v>5026.8999999999996</v>
      </c>
    </row>
    <row r="145" spans="1:10" ht="15" customHeight="1" x14ac:dyDescent="0.25">
      <c r="B145" t="s">
        <v>77</v>
      </c>
      <c r="C145">
        <f t="shared" ref="C145:D145" si="24">SUM(C143:C144)</f>
        <v>5154</v>
      </c>
      <c r="D145">
        <f t="shared" si="24"/>
        <v>6332.2000000000007</v>
      </c>
      <c r="E145">
        <f>SUM(E143:E144)</f>
        <v>6634.2999999999993</v>
      </c>
    </row>
    <row r="146" spans="1:10" ht="15" customHeight="1" x14ac:dyDescent="0.25">
      <c r="B146" t="s">
        <v>78</v>
      </c>
      <c r="C146">
        <f>C145-C80</f>
        <v>4671</v>
      </c>
      <c r="D146">
        <f>D145-D80</f>
        <v>6014.1</v>
      </c>
      <c r="E146">
        <f>E145-E80</f>
        <v>6322.4999999999991</v>
      </c>
    </row>
    <row r="147" spans="1:10" ht="15" customHeight="1" x14ac:dyDescent="0.25">
      <c r="B147" t="s">
        <v>79</v>
      </c>
      <c r="C147" s="62">
        <f>C145/C52</f>
        <v>3.0390942862197061</v>
      </c>
      <c r="D147" s="62">
        <f>D145/D52</f>
        <v>5.2198499711482986</v>
      </c>
      <c r="E147" s="62">
        <f>E145/E52</f>
        <v>3.8034168434328954</v>
      </c>
      <c r="F147" s="62"/>
      <c r="G147" s="62"/>
      <c r="H147" s="62"/>
      <c r="I147" s="62"/>
      <c r="J147" s="62"/>
    </row>
    <row r="148" spans="1:10" ht="15" customHeight="1" x14ac:dyDescent="0.25">
      <c r="B148" t="s">
        <v>80</v>
      </c>
      <c r="C148" s="62">
        <f>C146/C52</f>
        <v>2.7542897576508047</v>
      </c>
      <c r="D148" s="62">
        <f>D146/D52</f>
        <v>4.9576292144093648</v>
      </c>
      <c r="E148" s="62">
        <f>E146/E52</f>
        <v>3.6246631886716729</v>
      </c>
      <c r="F148" s="62"/>
      <c r="G148" s="62"/>
      <c r="H148" s="62"/>
      <c r="I148" s="62"/>
      <c r="J148" s="62"/>
    </row>
    <row r="149" spans="1:10" ht="15" customHeight="1" x14ac:dyDescent="0.25">
      <c r="B149" t="s">
        <v>81</v>
      </c>
      <c r="C149">
        <f>C37</f>
        <v>-35.1</v>
      </c>
      <c r="D149">
        <f>D37</f>
        <v>-30.2</v>
      </c>
      <c r="E149">
        <f>E37</f>
        <v>-200.8</v>
      </c>
    </row>
    <row r="150" spans="1:10" ht="15" customHeight="1" x14ac:dyDescent="0.25">
      <c r="B150" t="s">
        <v>82</v>
      </c>
      <c r="C150" s="62">
        <f>IFERROR(C52/C149,"na")</f>
        <v>-48.316239316239319</v>
      </c>
      <c r="D150" s="62">
        <f>IFERROR(D52/D149,"na")</f>
        <v>-40.168874172185426</v>
      </c>
      <c r="E150" s="62">
        <f>IFERROR(E52/E149,"na")</f>
        <v>-8.6867529880478074</v>
      </c>
      <c r="F150" s="62"/>
      <c r="G150" s="62"/>
      <c r="H150" s="62"/>
      <c r="I150" s="62"/>
      <c r="J150" s="62"/>
    </row>
    <row r="151" spans="1:10" ht="15" customHeight="1" x14ac:dyDescent="0.25">
      <c r="B151" t="s">
        <v>83</v>
      </c>
      <c r="C151" s="60">
        <f>C146/(C146+C101)</f>
        <v>0.47469994613766403</v>
      </c>
      <c r="D151" s="60">
        <f>D146/(D146+D101)</f>
        <v>0.51747993013190607</v>
      </c>
      <c r="E151" s="60">
        <f>E146/(E146+E101)</f>
        <v>0.52272802434023413</v>
      </c>
      <c r="F151" s="60"/>
      <c r="G151" s="60"/>
      <c r="H151" s="60"/>
      <c r="I151" s="60"/>
      <c r="J151" s="60"/>
    </row>
    <row r="153" spans="1:10" ht="15" customHeight="1" x14ac:dyDescent="0.25">
      <c r="A153" s="15" t="s">
        <v>84</v>
      </c>
    </row>
  </sheetData>
  <printOptions horizontalCentered="1" headings="1" gridLines="1"/>
  <pageMargins left="0.31496062992125984" right="0.31496062992125984" top="0.55118110236220474" bottom="0.55118110236220474" header="0.31496062992125984" footer="0.31496062992125984"/>
  <pageSetup paperSize="9" scale="78" fitToHeight="0" orientation="landscape" cellComments="asDisplayed" horizontalDpi="2400" verticalDpi="2400" r:id="rId1"/>
  <headerFooter>
    <oddHeader xml:space="preserve">&amp;R&amp;10&amp;F 
&amp;A
</oddHeader>
    <oddFooter>&amp;L&amp;10© 2018&amp;C&amp;10Page &amp;P of &amp;N&amp;R&amp;G</oddFooter>
  </headerFooter>
  <rowBreaks count="3" manualBreakCount="3">
    <brk id="53" max="16383" man="1"/>
    <brk id="105" max="16383" man="1"/>
    <brk id="130" max="16383" man="1"/>
  </rowBreaks>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8E9B5-EB26-4805-9A89-7A824309B566}">
  <sheetPr>
    <pageSetUpPr fitToPage="1"/>
  </sheetPr>
  <dimension ref="A1:M53"/>
  <sheetViews>
    <sheetView zoomScale="130" zoomScaleNormal="130" workbookViewId="0">
      <pane xSplit="2" ySplit="2" topLeftCell="C3" activePane="bottomRight" state="frozen"/>
      <selection activeCell="C5" sqref="C5:E5"/>
      <selection pane="topRight" activeCell="C5" sqref="C5:E5"/>
      <selection pane="bottomLeft" activeCell="C5" sqref="C5:E5"/>
      <selection pane="bottomRight" activeCell="C3" sqref="C3"/>
    </sheetView>
  </sheetViews>
  <sheetFormatPr defaultColWidth="9.140625" defaultRowHeight="15" customHeight="1" x14ac:dyDescent="0.25"/>
  <cols>
    <col min="1" max="1" width="1.42578125" style="15" customWidth="1"/>
    <col min="2" max="2" width="41.7109375" customWidth="1"/>
    <col min="3" max="14" width="11" customWidth="1"/>
  </cols>
  <sheetData>
    <row r="1" spans="1:13" s="45" customFormat="1" ht="45" customHeight="1" x14ac:dyDescent="0.45">
      <c r="A1" s="5" t="s">
        <v>98</v>
      </c>
      <c r="B1" s="10"/>
      <c r="C1" s="12" t="s">
        <v>21</v>
      </c>
      <c r="D1" s="12" t="s">
        <v>21</v>
      </c>
      <c r="E1" s="12" t="s">
        <v>21</v>
      </c>
      <c r="F1" s="12" t="s">
        <v>22</v>
      </c>
      <c r="G1" s="12" t="s">
        <v>22</v>
      </c>
      <c r="H1" s="12" t="s">
        <v>22</v>
      </c>
      <c r="I1" s="12" t="s">
        <v>22</v>
      </c>
      <c r="J1" s="12" t="s">
        <v>22</v>
      </c>
      <c r="K1"/>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K2"/>
      <c r="L2"/>
      <c r="M2"/>
    </row>
    <row r="4" spans="1:13" ht="15" customHeight="1" x14ac:dyDescent="0.25">
      <c r="A4" s="15" t="s">
        <v>140</v>
      </c>
    </row>
    <row r="5" spans="1:13" ht="15" customHeight="1" x14ac:dyDescent="0.25">
      <c r="C5" t="s">
        <v>146</v>
      </c>
      <c r="D5" t="s">
        <v>147</v>
      </c>
      <c r="E5" t="s">
        <v>148</v>
      </c>
      <c r="F5" t="s">
        <v>126</v>
      </c>
    </row>
    <row r="6" spans="1:13" ht="15" customHeight="1" x14ac:dyDescent="0.25">
      <c r="B6" t="s">
        <v>143</v>
      </c>
      <c r="C6" s="59">
        <v>935.6</v>
      </c>
      <c r="D6" s="59">
        <v>257.2</v>
      </c>
      <c r="E6" s="59">
        <v>270.8</v>
      </c>
    </row>
    <row r="7" spans="1:13" ht="15" customHeight="1" x14ac:dyDescent="0.25">
      <c r="B7" t="s">
        <v>144</v>
      </c>
      <c r="C7" s="59">
        <v>200.3</v>
      </c>
      <c r="D7" s="59">
        <v>355.8</v>
      </c>
      <c r="E7" s="59">
        <v>235.9</v>
      </c>
    </row>
    <row r="8" spans="1:13" ht="15" customHeight="1" x14ac:dyDescent="0.25">
      <c r="B8" t="s">
        <v>155</v>
      </c>
    </row>
    <row r="9" spans="1:13" ht="15" customHeight="1" x14ac:dyDescent="0.25">
      <c r="B9" t="s">
        <v>145</v>
      </c>
    </row>
    <row r="11" spans="1:13" ht="15" customHeight="1" x14ac:dyDescent="0.25">
      <c r="A11" s="15" t="s">
        <v>141</v>
      </c>
    </row>
    <row r="12" spans="1:13" ht="15" customHeight="1" x14ac:dyDescent="0.25">
      <c r="B12" s="69" t="s">
        <v>138</v>
      </c>
    </row>
    <row r="13" spans="1:13" ht="15" customHeight="1" x14ac:dyDescent="0.25">
      <c r="B13" s="69" t="s">
        <v>154</v>
      </c>
      <c r="C13" s="75">
        <v>5.5</v>
      </c>
    </row>
    <row r="14" spans="1:13" ht="15" customHeight="1" x14ac:dyDescent="0.25">
      <c r="B14" s="69" t="s">
        <v>139</v>
      </c>
    </row>
    <row r="15" spans="1:13" ht="15" customHeight="1" x14ac:dyDescent="0.25">
      <c r="B15" s="69" t="s">
        <v>78</v>
      </c>
    </row>
    <row r="16" spans="1:13" ht="15" customHeight="1" x14ac:dyDescent="0.25">
      <c r="B16" s="69" t="s">
        <v>132</v>
      </c>
    </row>
    <row r="17" spans="1:3" ht="15" customHeight="1" x14ac:dyDescent="0.25">
      <c r="B17" s="69" t="s">
        <v>133</v>
      </c>
    </row>
    <row r="18" spans="1:3" ht="15" customHeight="1" x14ac:dyDescent="0.25">
      <c r="B18" s="69" t="s">
        <v>134</v>
      </c>
      <c r="C18" s="59">
        <v>131.12</v>
      </c>
    </row>
    <row r="19" spans="1:3" ht="15" customHeight="1" x14ac:dyDescent="0.25">
      <c r="B19" s="69" t="s">
        <v>135</v>
      </c>
    </row>
    <row r="20" spans="1:3" ht="15" customHeight="1" x14ac:dyDescent="0.25">
      <c r="B20" s="69" t="s">
        <v>136</v>
      </c>
      <c r="C20" s="59">
        <v>26.77</v>
      </c>
    </row>
    <row r="21" spans="1:3" ht="15" customHeight="1" x14ac:dyDescent="0.25">
      <c r="B21" s="69" t="s">
        <v>137</v>
      </c>
      <c r="C21" s="60"/>
    </row>
    <row r="23" spans="1:3" ht="15" customHeight="1" x14ac:dyDescent="0.25">
      <c r="A23" s="15" t="s">
        <v>152</v>
      </c>
    </row>
    <row r="25" spans="1:3" ht="15" customHeight="1" x14ac:dyDescent="0.25">
      <c r="B25" t="s">
        <v>150</v>
      </c>
    </row>
    <row r="26" spans="1:3" ht="15" customHeight="1" x14ac:dyDescent="0.25">
      <c r="B26" t="s">
        <v>142</v>
      </c>
      <c r="C26" s="59">
        <v>0</v>
      </c>
    </row>
    <row r="27" spans="1:3" ht="15" customHeight="1" x14ac:dyDescent="0.25">
      <c r="B27" t="s">
        <v>149</v>
      </c>
    </row>
    <row r="28" spans="1:3" ht="15" customHeight="1" x14ac:dyDescent="0.25">
      <c r="B28" t="s">
        <v>151</v>
      </c>
    </row>
    <row r="37" spans="12:13" ht="15" customHeight="1" x14ac:dyDescent="0.25">
      <c r="L37" s="65"/>
      <c r="M37" s="65"/>
    </row>
    <row r="40" spans="12:13" ht="15" customHeight="1" x14ac:dyDescent="0.25">
      <c r="L40" s="65"/>
      <c r="M40" s="65"/>
    </row>
    <row r="43" spans="12:13" ht="15" customHeight="1" x14ac:dyDescent="0.25">
      <c r="L43" s="65"/>
      <c r="M43" s="65"/>
    </row>
    <row r="47" spans="12:13" ht="15" customHeight="1" x14ac:dyDescent="0.25">
      <c r="L47" s="67"/>
      <c r="M47" s="67"/>
    </row>
    <row r="50" spans="12:13" ht="15" customHeight="1" x14ac:dyDescent="0.25">
      <c r="L50" s="67"/>
      <c r="M50" s="67"/>
    </row>
    <row r="53" spans="12:13" ht="15" customHeight="1" x14ac:dyDescent="0.25">
      <c r="L53" s="65"/>
      <c r="M53" s="65"/>
    </row>
  </sheetData>
  <printOptions horizontalCentered="1" headings="1" gridLines="1"/>
  <pageMargins left="0.31496062992125984" right="0.31496062992125984" top="0.55118110236220474" bottom="0.55118110236220474" header="0.31496062992125984" footer="0.31496062992125984"/>
  <pageSetup paperSize="9" scale="78" fitToHeight="0" orientation="landscape" cellComments="asDisplayed" horizontalDpi="2400" verticalDpi="2400" r:id="rId1"/>
  <headerFooter>
    <oddHeader xml:space="preserve">&amp;R&amp;10&amp;F 
&amp;A
</oddHeader>
    <oddFooter>&amp;L&amp;10© 2018&amp;C&amp;10Page &amp;P of &amp;N&amp;R&amp;G</oddFooter>
  </headerFooter>
  <rowBreaks count="3" manualBreakCount="3">
    <brk id="54" max="16383" man="1"/>
    <brk id="107" max="16383" man="1"/>
    <brk id="134" max="16383" man="1"/>
  </rowBreak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F002F8CDD7ACF40A6C36B1C9FA62C55" ma:contentTypeVersion="14" ma:contentTypeDescription="Create a new document." ma:contentTypeScope="" ma:versionID="6c89911dbbba69f85380b0cbe19a7a97">
  <xsd:schema xmlns:xsd="http://www.w3.org/2001/XMLSchema" xmlns:xs="http://www.w3.org/2001/XMLSchema" xmlns:p="http://schemas.microsoft.com/office/2006/metadata/properties" xmlns:ns2="69eded41-6c5d-4718-b7b7-dbfd1652bccf" xmlns:ns3="6ea4884f-dd23-4a9e-9674-e0962577458b" targetNamespace="http://schemas.microsoft.com/office/2006/metadata/properties" ma:root="true" ma:fieldsID="293c7e17b22c7855182087285b20e1b3" ns2:_="" ns3:_="">
    <xsd:import namespace="69eded41-6c5d-4718-b7b7-dbfd1652bccf"/>
    <xsd:import namespace="6ea4884f-dd23-4a9e-9674-e0962577458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eded41-6c5d-4718-b7b7-dbfd1652bc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32ff089-c713-41da-a7f8-7725fa36ebb8"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a4884f-dd23-4a9e-9674-e0962577458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97a576b-233c-4f6a-bc99-79689ae6a87f}" ma:internalName="TaxCatchAll" ma:showField="CatchAllData" ma:web="6ea4884f-dd23-4a9e-9674-e096257745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9eded41-6c5d-4718-b7b7-dbfd1652bccf">
      <Terms xmlns="http://schemas.microsoft.com/office/infopath/2007/PartnerControls"/>
    </lcf76f155ced4ddcb4097134ff3c332f>
    <TaxCatchAll xmlns="6ea4884f-dd23-4a9e-9674-e0962577458b" xsi:nil="true"/>
  </documentManagement>
</p:properties>
</file>

<file path=customXml/itemProps1.xml><?xml version="1.0" encoding="utf-8"?>
<ds:datastoreItem xmlns:ds="http://schemas.openxmlformats.org/officeDocument/2006/customXml" ds:itemID="{993D1AD6-5C90-4382-828C-E3604FF39C63}">
  <ds:schemaRefs>
    <ds:schemaRef ds:uri="http://schemas.microsoft.com/sharepoint/v3/contenttype/forms"/>
  </ds:schemaRefs>
</ds:datastoreItem>
</file>

<file path=customXml/itemProps2.xml><?xml version="1.0" encoding="utf-8"?>
<ds:datastoreItem xmlns:ds="http://schemas.openxmlformats.org/officeDocument/2006/customXml" ds:itemID="{49115BEA-5DF6-46F4-A6BA-33004DF570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eded41-6c5d-4718-b7b7-dbfd1652bccf"/>
    <ds:schemaRef ds:uri="6ea4884f-dd23-4a9e-9674-e096257745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93A9214-ED90-41D3-8610-6862103BFD02}">
  <ds:schemaRefs>
    <ds:schemaRef ds:uri="http://schemas.microsoft.com/office/2006/metadata/properties"/>
    <ds:schemaRef ds:uri="http://schemas.microsoft.com/office/infopath/2007/PartnerControls"/>
    <ds:schemaRef ds:uri="69eded41-6c5d-4718-b7b7-dbfd1652bccf"/>
    <ds:schemaRef ds:uri="6ea4884f-dd23-4a9e-9674-e0962577458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Welcome</vt:lpstr>
      <vt:lpstr>Info</vt:lpstr>
      <vt:lpstr>Segment</vt:lpstr>
      <vt:lpstr>Model</vt:lpstr>
      <vt:lpstr>Valuation</vt:lpstr>
      <vt:lpstr>case_company</vt:lpstr>
      <vt:lpstr>Model!Print_Area</vt:lpstr>
      <vt:lpstr>Segment!Print_Area</vt:lpstr>
      <vt:lpstr>Valuation!Print_Area</vt:lpstr>
      <vt:lpstr>Model!Print_Titles</vt:lpstr>
      <vt:lpstr>Segment!Print_Titles</vt:lpstr>
      <vt:lpstr>Valuation!Print_Titles</vt:lpstr>
      <vt:lpstr>switch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dc:creator>
  <cp:keywords/>
  <dc:description/>
  <cp:lastModifiedBy>Oliver Sealey</cp:lastModifiedBy>
  <cp:revision/>
  <dcterms:created xsi:type="dcterms:W3CDTF">2016-02-03T14:06:14Z</dcterms:created>
  <dcterms:modified xsi:type="dcterms:W3CDTF">2025-05-15T14:40:14Z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0x0101004F002F8CDD7ACF40A6C36B1C9FA62C55</vt:lpwstr>
  </property>
  <property fmtid="{D5CDD505-2E9C-101B-9397-08002B2CF9AE}" pid="3" name="MediaServiceImageTags">
    <vt:lpwstr/>
  </property>
</Properties>
</file>