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ibhero-my.sharepoint.com/personal/andrew_jones_fe_training/Documents/Content/Materials Changes/7080/"/>
    </mc:Choice>
  </mc:AlternateContent>
  <xr:revisionPtr revIDLastSave="0" documentId="8_{8906DEC1-773C-424F-A745-58DF818EE3BF}" xr6:coauthVersionLast="47" xr6:coauthVersionMax="47" xr10:uidLastSave="{00000000-0000-0000-0000-000000000000}"/>
  <bookViews>
    <workbookView xWindow="-98" yWindow="-98" windowWidth="21795" windowHeight="13875" tabRatio="920" xr2:uid="{00000000-000D-0000-FFFF-FFFF00000000}"/>
  </bookViews>
  <sheets>
    <sheet name="Welcome" sheetId="17" r:id="rId1"/>
    <sheet name="Info" sheetId="18" r:id="rId2"/>
    <sheet name="Model intro" sheetId="6" r:id="rId3"/>
    <sheet name="Assumptions" sheetId="1" r:id="rId4"/>
    <sheet name="Acquiror" sheetId="2" r:id="rId5"/>
    <sheet name="Target local FX" sheetId="7" r:id="rId6"/>
    <sheet name="Calendar Target ACQ FX" sheetId="9" r:id="rId7"/>
    <sheet name="Opening BS" sheetId="4" r:id="rId8"/>
    <sheet name="Calcs" sheetId="10" r:id="rId9"/>
    <sheet name="Newco" sheetId="5" r:id="rId10"/>
    <sheet name="Analysis" sheetId="11" r:id="rId11"/>
    <sheet name="Value creation" sheetId="13" r:id="rId12"/>
    <sheet name="DCF" sheetId="15" r:id="rId13"/>
    <sheet name="AVP" sheetId="14" r:id="rId14"/>
    <sheet name="Side by side" sheetId="12" r:id="rId15"/>
  </sheets>
  <definedNames>
    <definedName name="acquiror">Assumptions!$C$4</definedName>
    <definedName name="AcquirorLFY">Acquiror!$C$4</definedName>
    <definedName name="amortize">Assumptions!$C$34</definedName>
    <definedName name="calendar">'Calendar Target ACQ FX'!$G$3</definedName>
    <definedName name="circ">'Model intro'!$C$9</definedName>
    <definedName name="equity">Assumptions!$C$23</definedName>
    <definedName name="FX">Assumptions!$C$18</definedName>
    <definedName name="IQ_DNTM" hidden="1">700000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MTD" hidden="1">800000</definedName>
    <definedName name="IQ_NAMES_REVISION_DATE_" hidden="1">"01/29/2016 15:32:18"</definedName>
    <definedName name="IQ_QTD" hidden="1">750000</definedName>
    <definedName name="IQ_TODAY" hidden="1">0</definedName>
    <definedName name="IQ_YTDMONTH" hidden="1">130000</definedName>
    <definedName name="_xlnm.Print_Area" localSheetId="6">'Calendar Target ACQ FX'!$A$1:$J$119</definedName>
    <definedName name="_xlnm.Print_Area" localSheetId="9">Newco!$A$1:$J$99</definedName>
    <definedName name="_xlnm.Print_Area" localSheetId="7">'Opening BS'!$A$1:$J$53</definedName>
    <definedName name="refinance">Assumptions!$C$35</definedName>
    <definedName name="Switch">Info!$N$10</definedName>
    <definedName name="target">Assumptions!$C$10</definedName>
    <definedName name="TargetLFY">'Target local FX'!$C$4</definedName>
    <definedName name="targetname">Assumptions!$C$10</definedName>
  </definedNames>
  <calcPr calcId="191029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9" i="10" l="1"/>
  <c r="F9" i="10"/>
  <c r="G9" i="10"/>
  <c r="H9" i="10"/>
  <c r="I9" i="10"/>
  <c r="J9" i="10"/>
  <c r="D9" i="10"/>
  <c r="H8" i="10"/>
  <c r="I8" i="10"/>
  <c r="J8" i="10"/>
  <c r="G8" i="10"/>
  <c r="E7" i="10"/>
  <c r="F7" i="10"/>
  <c r="G7" i="10"/>
  <c r="H7" i="10"/>
  <c r="I7" i="10"/>
  <c r="J7" i="10"/>
  <c r="D7" i="10"/>
  <c r="C16" i="1"/>
  <c r="C15" i="1"/>
  <c r="C13" i="1"/>
  <c r="C8" i="1"/>
  <c r="C7" i="1"/>
  <c r="A2" i="14" l="1"/>
  <c r="B115" i="9" l="1"/>
  <c r="B114" i="9"/>
  <c r="B111" i="9"/>
  <c r="B110" i="9"/>
  <c r="B109" i="9"/>
  <c r="B108" i="9"/>
  <c r="B107" i="9"/>
  <c r="B59" i="10"/>
  <c r="B58" i="10"/>
  <c r="B39" i="13" l="1"/>
  <c r="K28" i="12" l="1"/>
  <c r="J28" i="12"/>
  <c r="I28" i="12"/>
  <c r="H28" i="12"/>
  <c r="F28" i="12"/>
  <c r="E28" i="12"/>
  <c r="D28" i="12"/>
  <c r="C28" i="12"/>
  <c r="K24" i="12"/>
  <c r="J24" i="12"/>
  <c r="I24" i="12"/>
  <c r="H24" i="12"/>
  <c r="F24" i="12"/>
  <c r="E24" i="12"/>
  <c r="D24" i="12"/>
  <c r="C24" i="12"/>
  <c r="K23" i="12"/>
  <c r="J23" i="12"/>
  <c r="I23" i="12"/>
  <c r="H23" i="12"/>
  <c r="F23" i="12"/>
  <c r="E23" i="12"/>
  <c r="D23" i="12"/>
  <c r="C23" i="12"/>
  <c r="K18" i="12"/>
  <c r="J18" i="12"/>
  <c r="I18" i="12"/>
  <c r="H18" i="12"/>
  <c r="F18" i="12"/>
  <c r="E18" i="12"/>
  <c r="D18" i="12"/>
  <c r="C18" i="12"/>
  <c r="K17" i="12"/>
  <c r="J17" i="12"/>
  <c r="I17" i="12"/>
  <c r="H17" i="12"/>
  <c r="F17" i="12"/>
  <c r="E17" i="12"/>
  <c r="D17" i="12"/>
  <c r="C17" i="12"/>
  <c r="K15" i="12"/>
  <c r="J15" i="12"/>
  <c r="I15" i="12"/>
  <c r="H15" i="12"/>
  <c r="F15" i="12"/>
  <c r="E15" i="12"/>
  <c r="D15" i="12"/>
  <c r="C15" i="12"/>
  <c r="K14" i="12"/>
  <c r="J14" i="12"/>
  <c r="I14" i="12"/>
  <c r="H14" i="12"/>
  <c r="F14" i="12"/>
  <c r="E14" i="12"/>
  <c r="D14" i="12"/>
  <c r="C14" i="12"/>
  <c r="K12" i="12"/>
  <c r="J12" i="12"/>
  <c r="I12" i="12"/>
  <c r="H12" i="12"/>
  <c r="F12" i="12"/>
  <c r="E12" i="12"/>
  <c r="D12" i="12"/>
  <c r="C12" i="12"/>
  <c r="K11" i="12"/>
  <c r="J11" i="12"/>
  <c r="I11" i="12"/>
  <c r="H11" i="12"/>
  <c r="F11" i="12"/>
  <c r="E11" i="12"/>
  <c r="D11" i="12"/>
  <c r="C11" i="12"/>
  <c r="K9" i="12"/>
  <c r="J9" i="12"/>
  <c r="I9" i="12"/>
  <c r="H9" i="12"/>
  <c r="F9" i="12"/>
  <c r="E9" i="12"/>
  <c r="D9" i="12"/>
  <c r="C9" i="12"/>
  <c r="K8" i="12"/>
  <c r="J8" i="12"/>
  <c r="I8" i="12"/>
  <c r="H8" i="12"/>
  <c r="F8" i="12"/>
  <c r="E8" i="12"/>
  <c r="D8" i="12"/>
  <c r="C8" i="12"/>
  <c r="P6" i="12"/>
  <c r="O6" i="12"/>
  <c r="N6" i="12"/>
  <c r="M6" i="12"/>
  <c r="K6" i="12"/>
  <c r="J6" i="12"/>
  <c r="I6" i="12"/>
  <c r="H6" i="12"/>
  <c r="F6" i="12"/>
  <c r="E6" i="12"/>
  <c r="D6" i="12"/>
  <c r="C6" i="12"/>
  <c r="M5" i="12"/>
  <c r="H5" i="12"/>
  <c r="C5" i="12"/>
  <c r="H4" i="12"/>
  <c r="C4" i="12"/>
  <c r="A2" i="12"/>
  <c r="D5" i="14"/>
  <c r="C5" i="14"/>
  <c r="B76" i="15"/>
  <c r="B75" i="15"/>
  <c r="A35" i="15"/>
  <c r="G33" i="15"/>
  <c r="G32" i="15"/>
  <c r="G30" i="15"/>
  <c r="G29" i="15"/>
  <c r="L28" i="15"/>
  <c r="K28" i="15"/>
  <c r="I28" i="15"/>
  <c r="H28" i="15"/>
  <c r="A4" i="15"/>
  <c r="A2" i="15"/>
  <c r="B48" i="13"/>
  <c r="B37" i="13"/>
  <c r="B36" i="13"/>
  <c r="B34" i="13"/>
  <c r="B18" i="13"/>
  <c r="B17" i="13"/>
  <c r="B16" i="13"/>
  <c r="B15" i="13"/>
  <c r="B14" i="13"/>
  <c r="A2" i="13"/>
  <c r="B39" i="11"/>
  <c r="B22" i="11"/>
  <c r="B21" i="11"/>
  <c r="B11" i="11"/>
  <c r="A2" i="11"/>
  <c r="O23" i="12"/>
  <c r="N23" i="12"/>
  <c r="P28" i="12"/>
  <c r="O28" i="12"/>
  <c r="M28" i="12"/>
  <c r="P11" i="12"/>
  <c r="O11" i="12"/>
  <c r="N11" i="12"/>
  <c r="M11" i="12"/>
  <c r="B6" i="5"/>
  <c r="B5" i="5"/>
  <c r="J2" i="5"/>
  <c r="J2" i="11" s="1"/>
  <c r="I2" i="5"/>
  <c r="I2" i="13" s="1"/>
  <c r="H2" i="5"/>
  <c r="H2" i="13" s="1"/>
  <c r="G2" i="5"/>
  <c r="G2" i="13" s="1"/>
  <c r="F2" i="5"/>
  <c r="E2" i="5"/>
  <c r="D2" i="5"/>
  <c r="A2" i="5"/>
  <c r="J49" i="10"/>
  <c r="I49" i="10"/>
  <c r="H49" i="10"/>
  <c r="G49" i="10"/>
  <c r="B20" i="10"/>
  <c r="B19" i="10"/>
  <c r="B18" i="10"/>
  <c r="B17" i="10"/>
  <c r="J2" i="10"/>
  <c r="I2" i="10"/>
  <c r="H2" i="10"/>
  <c r="G2" i="10"/>
  <c r="F2" i="10"/>
  <c r="E2" i="10"/>
  <c r="D2" i="10"/>
  <c r="A2" i="10"/>
  <c r="D27" i="4"/>
  <c r="C27" i="4"/>
  <c r="D26" i="4"/>
  <c r="C26" i="4"/>
  <c r="D25" i="4"/>
  <c r="C25" i="4"/>
  <c r="D24" i="4"/>
  <c r="C24" i="4"/>
  <c r="D21" i="4"/>
  <c r="C21" i="4"/>
  <c r="D20" i="4"/>
  <c r="C20" i="4"/>
  <c r="D19" i="4"/>
  <c r="C19" i="4"/>
  <c r="D18" i="4"/>
  <c r="C18" i="4"/>
  <c r="D14" i="4"/>
  <c r="C14" i="4"/>
  <c r="D13" i="4"/>
  <c r="C13" i="4"/>
  <c r="D12" i="4"/>
  <c r="C12" i="4"/>
  <c r="D11" i="4"/>
  <c r="C11" i="4"/>
  <c r="D10" i="4"/>
  <c r="C10" i="4"/>
  <c r="D9" i="4"/>
  <c r="C9" i="4"/>
  <c r="D8" i="4"/>
  <c r="C8" i="4"/>
  <c r="C5" i="4"/>
  <c r="D5" i="4" s="1"/>
  <c r="A2" i="4"/>
  <c r="J116" i="9"/>
  <c r="I116" i="9"/>
  <c r="H116" i="9"/>
  <c r="G116" i="9"/>
  <c r="F116" i="9"/>
  <c r="J115" i="9"/>
  <c r="I115" i="9"/>
  <c r="H115" i="9"/>
  <c r="G115" i="9"/>
  <c r="F115" i="9"/>
  <c r="J114" i="9"/>
  <c r="I114" i="9"/>
  <c r="H114" i="9"/>
  <c r="G114" i="9"/>
  <c r="F114" i="9"/>
  <c r="J113" i="9"/>
  <c r="I113" i="9"/>
  <c r="H113" i="9"/>
  <c r="G113" i="9"/>
  <c r="F113" i="9"/>
  <c r="J112" i="9"/>
  <c r="I112" i="9"/>
  <c r="H112" i="9"/>
  <c r="G112" i="9"/>
  <c r="F112" i="9"/>
  <c r="J111" i="9"/>
  <c r="I111" i="9"/>
  <c r="H111" i="9"/>
  <c r="G111" i="9"/>
  <c r="F111" i="9"/>
  <c r="J110" i="9"/>
  <c r="I110" i="9"/>
  <c r="H110" i="9"/>
  <c r="G110" i="9"/>
  <c r="F110" i="9"/>
  <c r="J109" i="9"/>
  <c r="I109" i="9"/>
  <c r="H109" i="9"/>
  <c r="G109" i="9"/>
  <c r="F109" i="9"/>
  <c r="J108" i="9"/>
  <c r="I108" i="9"/>
  <c r="H108" i="9"/>
  <c r="G108" i="9"/>
  <c r="F108" i="9"/>
  <c r="J107" i="9"/>
  <c r="I107" i="9"/>
  <c r="H107" i="9"/>
  <c r="G107" i="9"/>
  <c r="F107" i="9"/>
  <c r="A103" i="9"/>
  <c r="J98" i="9"/>
  <c r="I98" i="9"/>
  <c r="H98" i="9"/>
  <c r="G98" i="9"/>
  <c r="F98" i="9"/>
  <c r="E98" i="9"/>
  <c r="D98" i="9"/>
  <c r="J91" i="9"/>
  <c r="I91" i="9"/>
  <c r="H91" i="9"/>
  <c r="G91" i="9"/>
  <c r="F91" i="9"/>
  <c r="E91" i="9"/>
  <c r="D91" i="9"/>
  <c r="J90" i="9"/>
  <c r="I90" i="9"/>
  <c r="H90" i="9"/>
  <c r="G90" i="9"/>
  <c r="F90" i="9"/>
  <c r="E90" i="9"/>
  <c r="D90" i="9"/>
  <c r="J89" i="9"/>
  <c r="I89" i="9"/>
  <c r="H89" i="9"/>
  <c r="G89" i="9"/>
  <c r="F89" i="9"/>
  <c r="E89" i="9"/>
  <c r="D89" i="9"/>
  <c r="J87" i="9"/>
  <c r="I87" i="9"/>
  <c r="H87" i="9"/>
  <c r="G87" i="9"/>
  <c r="F87" i="9"/>
  <c r="E87" i="9"/>
  <c r="D87" i="9"/>
  <c r="J86" i="9"/>
  <c r="I86" i="9"/>
  <c r="H86" i="9"/>
  <c r="G86" i="9"/>
  <c r="F86" i="9"/>
  <c r="E86" i="9"/>
  <c r="D86" i="9"/>
  <c r="J85" i="9"/>
  <c r="I85" i="9"/>
  <c r="H85" i="9"/>
  <c r="G85" i="9"/>
  <c r="F85" i="9"/>
  <c r="E85" i="9"/>
  <c r="D85" i="9"/>
  <c r="J84" i="9"/>
  <c r="I84" i="9"/>
  <c r="H84" i="9"/>
  <c r="G84" i="9"/>
  <c r="F84" i="9"/>
  <c r="E84" i="9"/>
  <c r="D84" i="9"/>
  <c r="J83" i="9"/>
  <c r="I83" i="9"/>
  <c r="H83" i="9"/>
  <c r="G83" i="9"/>
  <c r="F83" i="9"/>
  <c r="E83" i="9"/>
  <c r="D83" i="9"/>
  <c r="J82" i="9"/>
  <c r="I82" i="9"/>
  <c r="H82" i="9"/>
  <c r="G82" i="9"/>
  <c r="F82" i="9"/>
  <c r="E82" i="9"/>
  <c r="J81" i="9"/>
  <c r="I81" i="9"/>
  <c r="H81" i="9"/>
  <c r="G81" i="9"/>
  <c r="F81" i="9"/>
  <c r="E81" i="9"/>
  <c r="D81" i="9"/>
  <c r="J80" i="9"/>
  <c r="I80" i="9"/>
  <c r="H80" i="9"/>
  <c r="G80" i="9"/>
  <c r="F80" i="9"/>
  <c r="E80" i="9"/>
  <c r="D80" i="9"/>
  <c r="J79" i="9"/>
  <c r="I79" i="9"/>
  <c r="H79" i="9"/>
  <c r="G79" i="9"/>
  <c r="F79" i="9"/>
  <c r="E79" i="9"/>
  <c r="D79" i="9"/>
  <c r="J78" i="9"/>
  <c r="I78" i="9"/>
  <c r="H78" i="9"/>
  <c r="G78" i="9"/>
  <c r="F78" i="9"/>
  <c r="E78" i="9"/>
  <c r="D78" i="9"/>
  <c r="E75" i="9"/>
  <c r="D75" i="9"/>
  <c r="E73" i="9"/>
  <c r="D73" i="9"/>
  <c r="E72" i="9"/>
  <c r="D72" i="9"/>
  <c r="J71" i="9"/>
  <c r="I71" i="9"/>
  <c r="H71" i="9"/>
  <c r="G71" i="9"/>
  <c r="F71" i="9"/>
  <c r="E71" i="9"/>
  <c r="D71" i="9"/>
  <c r="J70" i="9"/>
  <c r="I70" i="9"/>
  <c r="H70" i="9"/>
  <c r="G70" i="9"/>
  <c r="F70" i="9"/>
  <c r="E70" i="9"/>
  <c r="D70" i="9"/>
  <c r="J69" i="9"/>
  <c r="I69" i="9"/>
  <c r="H69" i="9"/>
  <c r="G69" i="9"/>
  <c r="F69" i="9"/>
  <c r="E69" i="9"/>
  <c r="D69" i="9"/>
  <c r="J68" i="9"/>
  <c r="I68" i="9"/>
  <c r="H68" i="9"/>
  <c r="G68" i="9"/>
  <c r="F68" i="9"/>
  <c r="E68" i="9"/>
  <c r="D68" i="9"/>
  <c r="J67" i="9"/>
  <c r="I67" i="9"/>
  <c r="H67" i="9"/>
  <c r="G67" i="9"/>
  <c r="F67" i="9"/>
  <c r="E67" i="9"/>
  <c r="D67" i="9"/>
  <c r="J66" i="9"/>
  <c r="I66" i="9"/>
  <c r="H66" i="9"/>
  <c r="G66" i="9"/>
  <c r="F66" i="9"/>
  <c r="E66" i="9"/>
  <c r="D66" i="9"/>
  <c r="J65" i="9"/>
  <c r="I65" i="9"/>
  <c r="H65" i="9"/>
  <c r="G65" i="9"/>
  <c r="F65" i="9"/>
  <c r="E65" i="9"/>
  <c r="D65" i="9"/>
  <c r="J64" i="9"/>
  <c r="I64" i="9"/>
  <c r="H64" i="9"/>
  <c r="G64" i="9"/>
  <c r="F64" i="9"/>
  <c r="E64" i="9"/>
  <c r="D64" i="9"/>
  <c r="E63" i="9"/>
  <c r="D63" i="9"/>
  <c r="E61" i="9"/>
  <c r="D61" i="9"/>
  <c r="J60" i="9"/>
  <c r="I60" i="9"/>
  <c r="H60" i="9"/>
  <c r="G60" i="9"/>
  <c r="F60" i="9"/>
  <c r="E60" i="9"/>
  <c r="D60" i="9"/>
  <c r="J59" i="9"/>
  <c r="I59" i="9"/>
  <c r="H59" i="9"/>
  <c r="G59" i="9"/>
  <c r="F59" i="9"/>
  <c r="E59" i="9"/>
  <c r="D59" i="9"/>
  <c r="J58" i="9"/>
  <c r="I58" i="9"/>
  <c r="H58" i="9"/>
  <c r="G58" i="9"/>
  <c r="F58" i="9"/>
  <c r="E58" i="9"/>
  <c r="D58" i="9"/>
  <c r="J57" i="9"/>
  <c r="I57" i="9"/>
  <c r="H57" i="9"/>
  <c r="G57" i="9"/>
  <c r="F57" i="9"/>
  <c r="E57" i="9"/>
  <c r="D57" i="9"/>
  <c r="J56" i="9"/>
  <c r="I56" i="9"/>
  <c r="H56" i="9"/>
  <c r="G56" i="9"/>
  <c r="F56" i="9"/>
  <c r="E56" i="9"/>
  <c r="D56" i="9"/>
  <c r="J55" i="9"/>
  <c r="I55" i="9"/>
  <c r="H55" i="9"/>
  <c r="G55" i="9"/>
  <c r="F55" i="9"/>
  <c r="E55" i="9"/>
  <c r="D55" i="9"/>
  <c r="J54" i="9"/>
  <c r="I54" i="9"/>
  <c r="H54" i="9"/>
  <c r="G54" i="9"/>
  <c r="F54" i="9"/>
  <c r="E54" i="9"/>
  <c r="D54" i="9"/>
  <c r="E53" i="9"/>
  <c r="D53" i="9"/>
  <c r="A52" i="9"/>
  <c r="E50" i="9"/>
  <c r="D50" i="9"/>
  <c r="J49" i="9"/>
  <c r="I49" i="9"/>
  <c r="H49" i="9"/>
  <c r="G49" i="9"/>
  <c r="F49" i="9"/>
  <c r="E49" i="9"/>
  <c r="D49" i="9"/>
  <c r="J48" i="9"/>
  <c r="I48" i="9"/>
  <c r="H48" i="9"/>
  <c r="G48" i="9"/>
  <c r="F48" i="9"/>
  <c r="E48" i="9"/>
  <c r="D48" i="9"/>
  <c r="J47" i="9"/>
  <c r="I47" i="9"/>
  <c r="H47" i="9"/>
  <c r="G47" i="9"/>
  <c r="F47" i="9"/>
  <c r="E47" i="9"/>
  <c r="D47" i="9"/>
  <c r="E46" i="9"/>
  <c r="D46" i="9"/>
  <c r="J45" i="9"/>
  <c r="I45" i="9"/>
  <c r="H45" i="9"/>
  <c r="G45" i="9"/>
  <c r="F45" i="9"/>
  <c r="E45" i="9"/>
  <c r="D45" i="9"/>
  <c r="J44" i="9"/>
  <c r="I44" i="9"/>
  <c r="H44" i="9"/>
  <c r="G44" i="9"/>
  <c r="F44" i="9"/>
  <c r="E44" i="9"/>
  <c r="D44" i="9"/>
  <c r="J43" i="9"/>
  <c r="I43" i="9"/>
  <c r="H43" i="9"/>
  <c r="G43" i="9"/>
  <c r="F43" i="9"/>
  <c r="E43" i="9"/>
  <c r="D43" i="9"/>
  <c r="J42" i="9"/>
  <c r="I42" i="9"/>
  <c r="H42" i="9"/>
  <c r="G42" i="9"/>
  <c r="F42" i="9"/>
  <c r="E42" i="9"/>
  <c r="D42" i="9"/>
  <c r="J41" i="9"/>
  <c r="I41" i="9"/>
  <c r="H41" i="9"/>
  <c r="G41" i="9"/>
  <c r="F41" i="9"/>
  <c r="E41" i="9"/>
  <c r="D41" i="9"/>
  <c r="J40" i="9"/>
  <c r="I40" i="9"/>
  <c r="H40" i="9"/>
  <c r="G40" i="9"/>
  <c r="F40" i="9"/>
  <c r="E40" i="9"/>
  <c r="E37" i="9"/>
  <c r="D37" i="9"/>
  <c r="E36" i="9"/>
  <c r="D36" i="9"/>
  <c r="J35" i="9"/>
  <c r="I35" i="9"/>
  <c r="H35" i="9"/>
  <c r="G35" i="9"/>
  <c r="F35" i="9"/>
  <c r="E35" i="9"/>
  <c r="D35" i="9"/>
  <c r="E34" i="9"/>
  <c r="D34" i="9"/>
  <c r="E33" i="9"/>
  <c r="D33" i="9"/>
  <c r="J32" i="9"/>
  <c r="I32" i="9"/>
  <c r="H32" i="9"/>
  <c r="G32" i="9"/>
  <c r="F32" i="9"/>
  <c r="E32" i="9"/>
  <c r="D32" i="9"/>
  <c r="E31" i="9"/>
  <c r="D31" i="9"/>
  <c r="E30" i="9"/>
  <c r="D30" i="9"/>
  <c r="E28" i="9"/>
  <c r="D28" i="9"/>
  <c r="J27" i="9"/>
  <c r="I27" i="9"/>
  <c r="H27" i="9"/>
  <c r="G27" i="9"/>
  <c r="F27" i="9"/>
  <c r="E27" i="9"/>
  <c r="D27" i="9"/>
  <c r="E26" i="9"/>
  <c r="D26" i="9"/>
  <c r="E25" i="9"/>
  <c r="D25" i="9"/>
  <c r="J24" i="9"/>
  <c r="I24" i="9"/>
  <c r="H24" i="9"/>
  <c r="G24" i="9"/>
  <c r="F24" i="9"/>
  <c r="E24" i="9"/>
  <c r="D24" i="9"/>
  <c r="J23" i="9"/>
  <c r="I23" i="9"/>
  <c r="H23" i="9"/>
  <c r="G23" i="9"/>
  <c r="F23" i="9"/>
  <c r="E23" i="9"/>
  <c r="D23" i="9"/>
  <c r="J21" i="9"/>
  <c r="I21" i="9"/>
  <c r="H21" i="9"/>
  <c r="G21" i="9"/>
  <c r="F21" i="9"/>
  <c r="E21" i="9"/>
  <c r="D21" i="9"/>
  <c r="J20" i="9"/>
  <c r="I20" i="9"/>
  <c r="H20" i="9"/>
  <c r="G20" i="9"/>
  <c r="F20" i="9"/>
  <c r="E20" i="9"/>
  <c r="D20" i="9"/>
  <c r="J19" i="9"/>
  <c r="I19" i="9"/>
  <c r="H19" i="9"/>
  <c r="G19" i="9"/>
  <c r="F19" i="9"/>
  <c r="E19" i="9"/>
  <c r="D19" i="9"/>
  <c r="J18" i="9"/>
  <c r="I18" i="9"/>
  <c r="H18" i="9"/>
  <c r="G18" i="9"/>
  <c r="F18" i="9"/>
  <c r="E18" i="9"/>
  <c r="D18" i="9"/>
  <c r="J16" i="9"/>
  <c r="I16" i="9"/>
  <c r="H16" i="9"/>
  <c r="G16" i="9"/>
  <c r="F16" i="9"/>
  <c r="E16" i="9"/>
  <c r="J15" i="9"/>
  <c r="I15" i="9"/>
  <c r="H15" i="9"/>
  <c r="G15" i="9"/>
  <c r="F15" i="9"/>
  <c r="E15" i="9"/>
  <c r="D15" i="9"/>
  <c r="J14" i="9"/>
  <c r="I14" i="9"/>
  <c r="H14" i="9"/>
  <c r="G14" i="9"/>
  <c r="F14" i="9"/>
  <c r="E14" i="9"/>
  <c r="D14" i="9"/>
  <c r="J13" i="9"/>
  <c r="I13" i="9"/>
  <c r="H13" i="9"/>
  <c r="G13" i="9"/>
  <c r="F13" i="9"/>
  <c r="E13" i="9"/>
  <c r="D13" i="9"/>
  <c r="J12" i="9"/>
  <c r="I12" i="9"/>
  <c r="H12" i="9"/>
  <c r="G12" i="9"/>
  <c r="F12" i="9"/>
  <c r="E12" i="9"/>
  <c r="D12" i="9"/>
  <c r="J10" i="9"/>
  <c r="I10" i="9"/>
  <c r="H10" i="9"/>
  <c r="G10" i="9"/>
  <c r="F10" i="9"/>
  <c r="E10" i="9"/>
  <c r="D10" i="9"/>
  <c r="J9" i="9"/>
  <c r="I9" i="9"/>
  <c r="H9" i="9"/>
  <c r="G9" i="9"/>
  <c r="F9" i="9"/>
  <c r="E9" i="9"/>
  <c r="D9" i="9"/>
  <c r="J8" i="9"/>
  <c r="I8" i="9"/>
  <c r="H8" i="9"/>
  <c r="G8" i="9"/>
  <c r="F8" i="9"/>
  <c r="E8" i="9"/>
  <c r="D8" i="9"/>
  <c r="J7" i="9"/>
  <c r="I7" i="9"/>
  <c r="H7" i="9"/>
  <c r="G7" i="9"/>
  <c r="F7" i="9"/>
  <c r="E7" i="9"/>
  <c r="D7" i="9"/>
  <c r="C6" i="9"/>
  <c r="A6" i="9"/>
  <c r="C4" i="9"/>
  <c r="G3" i="9"/>
  <c r="C3" i="9"/>
  <c r="J2" i="9"/>
  <c r="I2" i="9"/>
  <c r="H2" i="9"/>
  <c r="G2" i="9"/>
  <c r="F2" i="9"/>
  <c r="E2" i="9"/>
  <c r="D2" i="9"/>
  <c r="A2" i="9"/>
  <c r="F129" i="7"/>
  <c r="G128" i="7"/>
  <c r="L122" i="7"/>
  <c r="K122" i="7"/>
  <c r="J122" i="7"/>
  <c r="I122" i="7"/>
  <c r="H122" i="7"/>
  <c r="G122" i="7"/>
  <c r="L120" i="7"/>
  <c r="K120" i="7"/>
  <c r="J120" i="7"/>
  <c r="I120" i="7"/>
  <c r="H120" i="7"/>
  <c r="G120" i="7"/>
  <c r="L119" i="7"/>
  <c r="K119" i="7"/>
  <c r="J119" i="7"/>
  <c r="I119" i="7"/>
  <c r="H119" i="7"/>
  <c r="G119" i="7"/>
  <c r="L116" i="7"/>
  <c r="K116" i="7"/>
  <c r="J116" i="7"/>
  <c r="I116" i="7"/>
  <c r="H116" i="7"/>
  <c r="G116" i="7"/>
  <c r="L115" i="7"/>
  <c r="K115" i="7"/>
  <c r="J115" i="7"/>
  <c r="I115" i="7"/>
  <c r="H115" i="7"/>
  <c r="G115" i="7"/>
  <c r="B115" i="7"/>
  <c r="L114" i="7"/>
  <c r="K114" i="7"/>
  <c r="J114" i="7"/>
  <c r="I114" i="7"/>
  <c r="H114" i="7"/>
  <c r="G114" i="7"/>
  <c r="B114" i="7"/>
  <c r="L113" i="7"/>
  <c r="K113" i="7"/>
  <c r="J113" i="7"/>
  <c r="I113" i="7"/>
  <c r="H113" i="7"/>
  <c r="G113" i="7"/>
  <c r="L112" i="7"/>
  <c r="K112" i="7"/>
  <c r="J112" i="7"/>
  <c r="I112" i="7"/>
  <c r="H112" i="7"/>
  <c r="G112" i="7"/>
  <c r="L111" i="7"/>
  <c r="K111" i="7"/>
  <c r="J111" i="7"/>
  <c r="I111" i="7"/>
  <c r="H111" i="7"/>
  <c r="G111" i="7"/>
  <c r="B111" i="7"/>
  <c r="L110" i="7"/>
  <c r="K110" i="7"/>
  <c r="J110" i="7"/>
  <c r="I110" i="7"/>
  <c r="H110" i="7"/>
  <c r="G110" i="7"/>
  <c r="B110" i="7"/>
  <c r="L109" i="7"/>
  <c r="K109" i="7"/>
  <c r="J109" i="7"/>
  <c r="I109" i="7"/>
  <c r="H109" i="7"/>
  <c r="G109" i="7"/>
  <c r="B109" i="7"/>
  <c r="L108" i="7"/>
  <c r="K108" i="7"/>
  <c r="J108" i="7"/>
  <c r="I108" i="7"/>
  <c r="H108" i="7"/>
  <c r="G108" i="7"/>
  <c r="B108" i="7"/>
  <c r="L107" i="7"/>
  <c r="K107" i="7"/>
  <c r="J107" i="7"/>
  <c r="I107" i="7"/>
  <c r="H107" i="7"/>
  <c r="G107" i="7"/>
  <c r="B107" i="7"/>
  <c r="L106" i="7"/>
  <c r="K106" i="7"/>
  <c r="J106" i="7"/>
  <c r="I106" i="7"/>
  <c r="H106" i="7"/>
  <c r="G106" i="7"/>
  <c r="L105" i="7"/>
  <c r="K105" i="7"/>
  <c r="J105" i="7"/>
  <c r="I105" i="7"/>
  <c r="H105" i="7"/>
  <c r="G105" i="7"/>
  <c r="A103" i="7"/>
  <c r="L100" i="7"/>
  <c r="K100" i="7"/>
  <c r="J100" i="7"/>
  <c r="I100" i="7"/>
  <c r="H100" i="7"/>
  <c r="G100" i="7"/>
  <c r="F100" i="7"/>
  <c r="L99" i="7"/>
  <c r="K99" i="7"/>
  <c r="J99" i="7"/>
  <c r="I99" i="7"/>
  <c r="H99" i="7"/>
  <c r="G99" i="7"/>
  <c r="L98" i="7"/>
  <c r="K98" i="7"/>
  <c r="J98" i="7"/>
  <c r="I98" i="7"/>
  <c r="H98" i="7"/>
  <c r="G98" i="7"/>
  <c r="L97" i="7"/>
  <c r="K97" i="7"/>
  <c r="J97" i="7"/>
  <c r="I97" i="7"/>
  <c r="H97" i="7"/>
  <c r="G97" i="7"/>
  <c r="F91" i="7"/>
  <c r="E91" i="7"/>
  <c r="D91" i="7"/>
  <c r="L90" i="7"/>
  <c r="K90" i="7"/>
  <c r="J90" i="7"/>
  <c r="I90" i="7"/>
  <c r="H90" i="7"/>
  <c r="G90" i="7"/>
  <c r="F90" i="7"/>
  <c r="E90" i="7"/>
  <c r="D90" i="7"/>
  <c r="F89" i="7"/>
  <c r="E89" i="7"/>
  <c r="D89" i="7"/>
  <c r="H88" i="7"/>
  <c r="F87" i="7"/>
  <c r="E87" i="7"/>
  <c r="D87" i="7"/>
  <c r="F86" i="7"/>
  <c r="E86" i="7"/>
  <c r="D86" i="7"/>
  <c r="F85" i="7"/>
  <c r="E85" i="7"/>
  <c r="D85" i="7"/>
  <c r="L84" i="7"/>
  <c r="K84" i="7"/>
  <c r="J84" i="7"/>
  <c r="I84" i="7"/>
  <c r="H84" i="7"/>
  <c r="G84" i="7"/>
  <c r="F84" i="7"/>
  <c r="E84" i="7"/>
  <c r="D84" i="7"/>
  <c r="L83" i="7"/>
  <c r="K83" i="7"/>
  <c r="J83" i="7"/>
  <c r="I83" i="7"/>
  <c r="H83" i="7"/>
  <c r="G83" i="7"/>
  <c r="F83" i="7"/>
  <c r="E83" i="7"/>
  <c r="D83" i="7"/>
  <c r="L82" i="7"/>
  <c r="K82" i="7"/>
  <c r="J82" i="7"/>
  <c r="I82" i="7"/>
  <c r="H82" i="7"/>
  <c r="G82" i="7"/>
  <c r="F82" i="7"/>
  <c r="E82" i="7"/>
  <c r="F81" i="7"/>
  <c r="E81" i="7"/>
  <c r="D81" i="7"/>
  <c r="F80" i="7"/>
  <c r="E80" i="7"/>
  <c r="D80" i="7"/>
  <c r="F79" i="7"/>
  <c r="E79" i="7"/>
  <c r="D79" i="7"/>
  <c r="L78" i="7"/>
  <c r="K78" i="7"/>
  <c r="J78" i="7"/>
  <c r="I78" i="7"/>
  <c r="H78" i="7"/>
  <c r="F78" i="7"/>
  <c r="E78" i="7"/>
  <c r="D78" i="7"/>
  <c r="F75" i="7"/>
  <c r="E75" i="7"/>
  <c r="D75" i="7"/>
  <c r="F73" i="7"/>
  <c r="E73" i="7"/>
  <c r="D73" i="7"/>
  <c r="L71" i="7"/>
  <c r="K71" i="7"/>
  <c r="J71" i="7"/>
  <c r="I71" i="7"/>
  <c r="H71" i="7"/>
  <c r="G71" i="7"/>
  <c r="L70" i="7"/>
  <c r="K70" i="7"/>
  <c r="J70" i="7"/>
  <c r="I70" i="7"/>
  <c r="H70" i="7"/>
  <c r="G70" i="7"/>
  <c r="F70" i="7"/>
  <c r="E70" i="7"/>
  <c r="D70" i="7"/>
  <c r="L69" i="7"/>
  <c r="K69" i="7"/>
  <c r="J69" i="7"/>
  <c r="I69" i="7"/>
  <c r="H69" i="7"/>
  <c r="G69" i="7"/>
  <c r="L68" i="7"/>
  <c r="K68" i="7"/>
  <c r="J68" i="7"/>
  <c r="I68" i="7"/>
  <c r="H68" i="7"/>
  <c r="G68" i="7"/>
  <c r="L67" i="7"/>
  <c r="K67" i="7"/>
  <c r="J67" i="7"/>
  <c r="I67" i="7"/>
  <c r="H67" i="7"/>
  <c r="G67" i="7"/>
  <c r="L66" i="7"/>
  <c r="K66" i="7"/>
  <c r="J66" i="7"/>
  <c r="I66" i="7"/>
  <c r="H66" i="7"/>
  <c r="G66" i="7"/>
  <c r="L65" i="7"/>
  <c r="K65" i="7"/>
  <c r="J65" i="7"/>
  <c r="I65" i="7"/>
  <c r="H65" i="7"/>
  <c r="G65" i="7"/>
  <c r="F65" i="7"/>
  <c r="E65" i="7"/>
  <c r="D65" i="7"/>
  <c r="L64" i="7"/>
  <c r="K64" i="7"/>
  <c r="J64" i="7"/>
  <c r="I64" i="7"/>
  <c r="H64" i="7"/>
  <c r="G64" i="7"/>
  <c r="F61" i="7"/>
  <c r="E61" i="7"/>
  <c r="D61" i="7"/>
  <c r="L60" i="7"/>
  <c r="K60" i="7"/>
  <c r="J60" i="7"/>
  <c r="I60" i="7"/>
  <c r="H60" i="7"/>
  <c r="G60" i="7"/>
  <c r="F60" i="7"/>
  <c r="E60" i="7"/>
  <c r="D60" i="7"/>
  <c r="L59" i="7"/>
  <c r="K59" i="7"/>
  <c r="J59" i="7"/>
  <c r="I59" i="7"/>
  <c r="H59" i="7"/>
  <c r="G59" i="7"/>
  <c r="L58" i="7"/>
  <c r="K58" i="7"/>
  <c r="J58" i="7"/>
  <c r="I58" i="7"/>
  <c r="H58" i="7"/>
  <c r="G58" i="7"/>
  <c r="L57" i="7"/>
  <c r="K57" i="7"/>
  <c r="J57" i="7"/>
  <c r="I57" i="7"/>
  <c r="H57" i="7"/>
  <c r="G57" i="7"/>
  <c r="L56" i="7"/>
  <c r="K56" i="7"/>
  <c r="J56" i="7"/>
  <c r="I56" i="7"/>
  <c r="H56" i="7"/>
  <c r="G56" i="7"/>
  <c r="F56" i="7"/>
  <c r="E56" i="7"/>
  <c r="D56" i="7"/>
  <c r="L55" i="7"/>
  <c r="K55" i="7"/>
  <c r="J55" i="7"/>
  <c r="I55" i="7"/>
  <c r="H55" i="7"/>
  <c r="G55" i="7"/>
  <c r="L54" i="7"/>
  <c r="K54" i="7"/>
  <c r="J54" i="7"/>
  <c r="I54" i="7"/>
  <c r="H54" i="7"/>
  <c r="G54" i="7"/>
  <c r="F53" i="7"/>
  <c r="E53" i="7"/>
  <c r="D53" i="7"/>
  <c r="A52" i="7"/>
  <c r="F50" i="7"/>
  <c r="E50" i="7"/>
  <c r="D50" i="7"/>
  <c r="L49" i="7"/>
  <c r="K49" i="7"/>
  <c r="J49" i="7"/>
  <c r="I49" i="7"/>
  <c r="H49" i="7"/>
  <c r="G49" i="7"/>
  <c r="F49" i="7"/>
  <c r="E49" i="7"/>
  <c r="D49" i="7"/>
  <c r="F48" i="7"/>
  <c r="E48" i="7"/>
  <c r="D48" i="7"/>
  <c r="F47" i="7"/>
  <c r="E47" i="7"/>
  <c r="D47" i="7"/>
  <c r="F46" i="7"/>
  <c r="E46" i="7"/>
  <c r="D46" i="7"/>
  <c r="F45" i="7"/>
  <c r="E45" i="7"/>
  <c r="D45" i="7"/>
  <c r="F44" i="7"/>
  <c r="E44" i="7"/>
  <c r="D44" i="7"/>
  <c r="F43" i="7"/>
  <c r="E43" i="7"/>
  <c r="D43" i="7"/>
  <c r="F42" i="7"/>
  <c r="E42" i="7"/>
  <c r="D42" i="7"/>
  <c r="F41" i="7"/>
  <c r="E41" i="7"/>
  <c r="D41" i="7"/>
  <c r="F40" i="7"/>
  <c r="E40" i="7"/>
  <c r="F36" i="7"/>
  <c r="E36" i="7"/>
  <c r="D36" i="7"/>
  <c r="L35" i="7"/>
  <c r="K35" i="7"/>
  <c r="J35" i="7"/>
  <c r="I35" i="7"/>
  <c r="H35" i="7"/>
  <c r="G35" i="7"/>
  <c r="F34" i="7"/>
  <c r="E34" i="7"/>
  <c r="D34" i="7"/>
  <c r="F33" i="7"/>
  <c r="E33" i="7"/>
  <c r="D33" i="7"/>
  <c r="L32" i="7"/>
  <c r="K32" i="7"/>
  <c r="J32" i="7"/>
  <c r="I32" i="7"/>
  <c r="H32" i="7"/>
  <c r="G32" i="7"/>
  <c r="F31" i="7"/>
  <c r="E31" i="7"/>
  <c r="D31" i="7"/>
  <c r="F28" i="7"/>
  <c r="E28" i="7"/>
  <c r="D28" i="7"/>
  <c r="L27" i="7"/>
  <c r="K27" i="7"/>
  <c r="J27" i="7"/>
  <c r="I27" i="7"/>
  <c r="H27" i="7"/>
  <c r="G27" i="7"/>
  <c r="L24" i="7"/>
  <c r="K24" i="7"/>
  <c r="J24" i="7"/>
  <c r="I24" i="7"/>
  <c r="H24" i="7"/>
  <c r="G24" i="7"/>
  <c r="L23" i="7"/>
  <c r="K23" i="7"/>
  <c r="J23" i="7"/>
  <c r="I23" i="7"/>
  <c r="H23" i="7"/>
  <c r="G23" i="7"/>
  <c r="L21" i="7"/>
  <c r="K21" i="7"/>
  <c r="J21" i="7"/>
  <c r="I21" i="7"/>
  <c r="H21" i="7"/>
  <c r="G21" i="7"/>
  <c r="F21" i="7"/>
  <c r="E21" i="7"/>
  <c r="D21" i="7"/>
  <c r="L20" i="7"/>
  <c r="K20" i="7"/>
  <c r="J20" i="7"/>
  <c r="I20" i="7"/>
  <c r="H20" i="7"/>
  <c r="G20" i="7"/>
  <c r="F20" i="7"/>
  <c r="E20" i="7"/>
  <c r="D20" i="7"/>
  <c r="L19" i="7"/>
  <c r="K19" i="7"/>
  <c r="J19" i="7"/>
  <c r="I19" i="7"/>
  <c r="H19" i="7"/>
  <c r="G19" i="7"/>
  <c r="L18" i="7"/>
  <c r="K18" i="7"/>
  <c r="J18" i="7"/>
  <c r="I18" i="7"/>
  <c r="H18" i="7"/>
  <c r="G18" i="7"/>
  <c r="F18" i="7"/>
  <c r="E18" i="7"/>
  <c r="D18" i="7"/>
  <c r="L16" i="7"/>
  <c r="K16" i="7"/>
  <c r="J16" i="7"/>
  <c r="I16" i="7"/>
  <c r="H16" i="7"/>
  <c r="G16" i="7"/>
  <c r="F16" i="7"/>
  <c r="L15" i="7"/>
  <c r="K15" i="7"/>
  <c r="J15" i="7"/>
  <c r="I15" i="7"/>
  <c r="H15" i="7"/>
  <c r="G15" i="7"/>
  <c r="F15" i="7"/>
  <c r="E15" i="7"/>
  <c r="D15" i="7"/>
  <c r="L14" i="7"/>
  <c r="K14" i="7"/>
  <c r="J14" i="7"/>
  <c r="I14" i="7"/>
  <c r="H14" i="7"/>
  <c r="G14" i="7"/>
  <c r="F14" i="7"/>
  <c r="E14" i="7"/>
  <c r="D14" i="7"/>
  <c r="L13" i="7"/>
  <c r="K13" i="7"/>
  <c r="J13" i="7"/>
  <c r="I13" i="7"/>
  <c r="H13" i="7"/>
  <c r="G13" i="7"/>
  <c r="D13" i="7"/>
  <c r="L12" i="7"/>
  <c r="K12" i="7"/>
  <c r="J12" i="7"/>
  <c r="I12" i="7"/>
  <c r="H12" i="7"/>
  <c r="G12" i="7"/>
  <c r="D12" i="7"/>
  <c r="L10" i="7"/>
  <c r="K10" i="7"/>
  <c r="J10" i="7"/>
  <c r="I10" i="7"/>
  <c r="H10" i="7"/>
  <c r="G10" i="7"/>
  <c r="F10" i="7"/>
  <c r="E10" i="7"/>
  <c r="D10" i="7"/>
  <c r="L9" i="7"/>
  <c r="K9" i="7"/>
  <c r="J9" i="7"/>
  <c r="I9" i="7"/>
  <c r="H9" i="7"/>
  <c r="G9" i="7"/>
  <c r="F9" i="7"/>
  <c r="E9" i="7"/>
  <c r="D9" i="7"/>
  <c r="L8" i="7"/>
  <c r="K8" i="7"/>
  <c r="J8" i="7"/>
  <c r="I8" i="7"/>
  <c r="H8" i="7"/>
  <c r="G8" i="7"/>
  <c r="F8" i="7"/>
  <c r="E8" i="7"/>
  <c r="D8" i="7"/>
  <c r="L7" i="7"/>
  <c r="K7" i="7"/>
  <c r="J7" i="7"/>
  <c r="I7" i="7"/>
  <c r="H7" i="7"/>
  <c r="G7" i="7"/>
  <c r="A6" i="7"/>
  <c r="C3" i="7"/>
  <c r="L2" i="7"/>
  <c r="K2" i="7"/>
  <c r="J2" i="7"/>
  <c r="I2" i="7"/>
  <c r="H2" i="7"/>
  <c r="G2" i="7"/>
  <c r="F2" i="7"/>
  <c r="E2" i="7"/>
  <c r="D2" i="7"/>
  <c r="A2" i="7"/>
  <c r="C143" i="2"/>
  <c r="E129" i="2"/>
  <c r="F128" i="2"/>
  <c r="J122" i="2"/>
  <c r="I122" i="2"/>
  <c r="H122" i="2"/>
  <c r="G122" i="2"/>
  <c r="F122" i="2"/>
  <c r="J120" i="2"/>
  <c r="I120" i="2"/>
  <c r="H120" i="2"/>
  <c r="G120" i="2"/>
  <c r="F120" i="2"/>
  <c r="J119" i="2"/>
  <c r="I119" i="2"/>
  <c r="H119" i="2"/>
  <c r="G119" i="2"/>
  <c r="F119" i="2"/>
  <c r="J116" i="2"/>
  <c r="I116" i="2"/>
  <c r="H116" i="2"/>
  <c r="G116" i="2"/>
  <c r="F116" i="2"/>
  <c r="J115" i="2"/>
  <c r="I115" i="2"/>
  <c r="H115" i="2"/>
  <c r="G115" i="2"/>
  <c r="F115" i="2"/>
  <c r="J114" i="2"/>
  <c r="I114" i="2"/>
  <c r="H114" i="2"/>
  <c r="G114" i="2"/>
  <c r="F114" i="2"/>
  <c r="J113" i="2"/>
  <c r="I113" i="2"/>
  <c r="H113" i="2"/>
  <c r="G113" i="2"/>
  <c r="F113" i="2"/>
  <c r="J112" i="2"/>
  <c r="I112" i="2"/>
  <c r="H112" i="2"/>
  <c r="G112" i="2"/>
  <c r="F112" i="2"/>
  <c r="J111" i="2"/>
  <c r="I111" i="2"/>
  <c r="H111" i="2"/>
  <c r="G111" i="2"/>
  <c r="F111" i="2"/>
  <c r="J110" i="2"/>
  <c r="I110" i="2"/>
  <c r="H110" i="2"/>
  <c r="G110" i="2"/>
  <c r="F110" i="2"/>
  <c r="J109" i="2"/>
  <c r="I109" i="2"/>
  <c r="H109" i="2"/>
  <c r="G109" i="2"/>
  <c r="F109" i="2"/>
  <c r="J108" i="2"/>
  <c r="I108" i="2"/>
  <c r="H108" i="2"/>
  <c r="G108" i="2"/>
  <c r="F108" i="2"/>
  <c r="J107" i="2"/>
  <c r="I107" i="2"/>
  <c r="H107" i="2"/>
  <c r="G107" i="2"/>
  <c r="F107" i="2"/>
  <c r="J106" i="2"/>
  <c r="I106" i="2"/>
  <c r="H106" i="2"/>
  <c r="G106" i="2"/>
  <c r="F106" i="2"/>
  <c r="J105" i="2"/>
  <c r="I105" i="2"/>
  <c r="H105" i="2"/>
  <c r="G105" i="2"/>
  <c r="F105" i="2"/>
  <c r="A103" i="2"/>
  <c r="J100" i="2"/>
  <c r="I100" i="2"/>
  <c r="H100" i="2"/>
  <c r="G100" i="2"/>
  <c r="F100" i="2"/>
  <c r="E100" i="2"/>
  <c r="J99" i="2"/>
  <c r="I99" i="2"/>
  <c r="H99" i="2"/>
  <c r="G99" i="2"/>
  <c r="F99" i="2"/>
  <c r="J98" i="2"/>
  <c r="I98" i="2"/>
  <c r="H98" i="2"/>
  <c r="G98" i="2"/>
  <c r="F98" i="2"/>
  <c r="J97" i="2"/>
  <c r="I97" i="2"/>
  <c r="H97" i="2"/>
  <c r="G97" i="2"/>
  <c r="F97" i="2"/>
  <c r="E91" i="2"/>
  <c r="D91" i="2"/>
  <c r="J90" i="2"/>
  <c r="I90" i="2"/>
  <c r="H90" i="2"/>
  <c r="G90" i="2"/>
  <c r="F90" i="2"/>
  <c r="E90" i="2"/>
  <c r="D90" i="2"/>
  <c r="E89" i="2"/>
  <c r="D89" i="2"/>
  <c r="E87" i="2"/>
  <c r="D87" i="2"/>
  <c r="E86" i="2"/>
  <c r="D86" i="2"/>
  <c r="E85" i="2"/>
  <c r="D85" i="2"/>
  <c r="J84" i="2"/>
  <c r="I84" i="2"/>
  <c r="H84" i="2"/>
  <c r="G84" i="2"/>
  <c r="F84" i="2"/>
  <c r="E84" i="2"/>
  <c r="D84" i="2"/>
  <c r="J83" i="2"/>
  <c r="I83" i="2"/>
  <c r="H83" i="2"/>
  <c r="G83" i="2"/>
  <c r="F83" i="2"/>
  <c r="E83" i="2"/>
  <c r="D83" i="2"/>
  <c r="J82" i="2"/>
  <c r="I82" i="2"/>
  <c r="H82" i="2"/>
  <c r="G82" i="2"/>
  <c r="F82" i="2"/>
  <c r="E82" i="2"/>
  <c r="E81" i="2"/>
  <c r="D81" i="2"/>
  <c r="E80" i="2"/>
  <c r="D80" i="2"/>
  <c r="E79" i="2"/>
  <c r="D79" i="2"/>
  <c r="J78" i="2"/>
  <c r="I78" i="2"/>
  <c r="H78" i="2"/>
  <c r="G78" i="2"/>
  <c r="E78" i="2"/>
  <c r="D78" i="2"/>
  <c r="E75" i="2"/>
  <c r="D75" i="2"/>
  <c r="E73" i="2"/>
  <c r="D73" i="2"/>
  <c r="J71" i="2"/>
  <c r="I71" i="2"/>
  <c r="H71" i="2"/>
  <c r="G71" i="2"/>
  <c r="F71" i="2"/>
  <c r="J70" i="2"/>
  <c r="I70" i="2"/>
  <c r="H70" i="2"/>
  <c r="G70" i="2"/>
  <c r="F70" i="2"/>
  <c r="E70" i="2"/>
  <c r="D70" i="2"/>
  <c r="J69" i="2"/>
  <c r="I69" i="2"/>
  <c r="H69" i="2"/>
  <c r="G69" i="2"/>
  <c r="F69" i="2"/>
  <c r="J68" i="2"/>
  <c r="I68" i="2"/>
  <c r="H68" i="2"/>
  <c r="G68" i="2"/>
  <c r="F68" i="2"/>
  <c r="J67" i="2"/>
  <c r="I67" i="2"/>
  <c r="H67" i="2"/>
  <c r="G67" i="2"/>
  <c r="F67" i="2"/>
  <c r="J66" i="2"/>
  <c r="I66" i="2"/>
  <c r="H66" i="2"/>
  <c r="G66" i="2"/>
  <c r="F66" i="2"/>
  <c r="E66" i="2"/>
  <c r="D66" i="2"/>
  <c r="J65" i="2"/>
  <c r="I65" i="2"/>
  <c r="H65" i="2"/>
  <c r="G65" i="2"/>
  <c r="F65" i="2"/>
  <c r="J64" i="2"/>
  <c r="I64" i="2"/>
  <c r="H64" i="2"/>
  <c r="G64" i="2"/>
  <c r="F64" i="2"/>
  <c r="E61" i="2"/>
  <c r="D61" i="2"/>
  <c r="J60" i="2"/>
  <c r="I60" i="2"/>
  <c r="H60" i="2"/>
  <c r="G60" i="2"/>
  <c r="F60" i="2"/>
  <c r="E60" i="2"/>
  <c r="D60" i="2"/>
  <c r="J59" i="2"/>
  <c r="I59" i="2"/>
  <c r="H59" i="2"/>
  <c r="G59" i="2"/>
  <c r="F59" i="2"/>
  <c r="J58" i="2"/>
  <c r="I58" i="2"/>
  <c r="H58" i="2"/>
  <c r="G58" i="2"/>
  <c r="F58" i="2"/>
  <c r="J57" i="2"/>
  <c r="I57" i="2"/>
  <c r="H57" i="2"/>
  <c r="G57" i="2"/>
  <c r="F57" i="2"/>
  <c r="J56" i="2"/>
  <c r="I56" i="2"/>
  <c r="H56" i="2"/>
  <c r="G56" i="2"/>
  <c r="F56" i="2"/>
  <c r="E56" i="2"/>
  <c r="D56" i="2"/>
  <c r="J55" i="2"/>
  <c r="I55" i="2"/>
  <c r="H55" i="2"/>
  <c r="G55" i="2"/>
  <c r="F55" i="2"/>
  <c r="J54" i="2"/>
  <c r="I54" i="2"/>
  <c r="H54" i="2"/>
  <c r="G54" i="2"/>
  <c r="F54" i="2"/>
  <c r="A52" i="2"/>
  <c r="E50" i="2"/>
  <c r="D50" i="2"/>
  <c r="J49" i="2"/>
  <c r="I49" i="2"/>
  <c r="H49" i="2"/>
  <c r="G49" i="2"/>
  <c r="F49" i="2"/>
  <c r="E49" i="2"/>
  <c r="D49" i="2"/>
  <c r="E48" i="2"/>
  <c r="D48" i="2"/>
  <c r="E47" i="2"/>
  <c r="D47" i="2"/>
  <c r="E46" i="2"/>
  <c r="D46" i="2"/>
  <c r="E45" i="2"/>
  <c r="D45" i="2"/>
  <c r="E44" i="2"/>
  <c r="D44" i="2"/>
  <c r="E43" i="2"/>
  <c r="D43" i="2"/>
  <c r="E42" i="2"/>
  <c r="D42" i="2"/>
  <c r="E41" i="2"/>
  <c r="D41" i="2"/>
  <c r="E40" i="2"/>
  <c r="E36" i="2"/>
  <c r="D36" i="2"/>
  <c r="J35" i="2"/>
  <c r="I35" i="2"/>
  <c r="H35" i="2"/>
  <c r="G35" i="2"/>
  <c r="F35" i="2"/>
  <c r="E34" i="2"/>
  <c r="D34" i="2"/>
  <c r="E33" i="2"/>
  <c r="D33" i="2"/>
  <c r="J32" i="2"/>
  <c r="I32" i="2"/>
  <c r="H32" i="2"/>
  <c r="G32" i="2"/>
  <c r="F32" i="2"/>
  <c r="E31" i="2"/>
  <c r="D31" i="2"/>
  <c r="E28" i="2"/>
  <c r="D28" i="2"/>
  <c r="J27" i="2"/>
  <c r="I27" i="2"/>
  <c r="H27" i="2"/>
  <c r="G27" i="2"/>
  <c r="F27" i="2"/>
  <c r="E27" i="2"/>
  <c r="D27" i="2"/>
  <c r="E26" i="2"/>
  <c r="D26" i="2"/>
  <c r="E25" i="2"/>
  <c r="D25" i="2"/>
  <c r="J24" i="2"/>
  <c r="I24" i="2"/>
  <c r="H24" i="2"/>
  <c r="G24" i="2"/>
  <c r="F24" i="2"/>
  <c r="J23" i="2"/>
  <c r="I23" i="2"/>
  <c r="H23" i="2"/>
  <c r="G23" i="2"/>
  <c r="F23" i="2"/>
  <c r="E23" i="2"/>
  <c r="D23" i="2"/>
  <c r="J21" i="2"/>
  <c r="I21" i="2"/>
  <c r="H21" i="2"/>
  <c r="G21" i="2"/>
  <c r="F21" i="2"/>
  <c r="E21" i="2"/>
  <c r="D21" i="2"/>
  <c r="J20" i="2"/>
  <c r="I20" i="2"/>
  <c r="H20" i="2"/>
  <c r="G20" i="2"/>
  <c r="F20" i="2"/>
  <c r="E20" i="2"/>
  <c r="D20" i="2"/>
  <c r="J19" i="2"/>
  <c r="I19" i="2"/>
  <c r="H19" i="2"/>
  <c r="G19" i="2"/>
  <c r="F19" i="2"/>
  <c r="J18" i="2"/>
  <c r="I18" i="2"/>
  <c r="H18" i="2"/>
  <c r="G18" i="2"/>
  <c r="F18" i="2"/>
  <c r="E18" i="2"/>
  <c r="D18" i="2"/>
  <c r="J16" i="2"/>
  <c r="I16" i="2"/>
  <c r="H16" i="2"/>
  <c r="G16" i="2"/>
  <c r="F16" i="2"/>
  <c r="E16" i="2"/>
  <c r="J15" i="2"/>
  <c r="I15" i="2"/>
  <c r="H15" i="2"/>
  <c r="G15" i="2"/>
  <c r="F15" i="2"/>
  <c r="E15" i="2"/>
  <c r="D15" i="2"/>
  <c r="J14" i="2"/>
  <c r="I14" i="2"/>
  <c r="H14" i="2"/>
  <c r="G14" i="2"/>
  <c r="F14" i="2"/>
  <c r="E14" i="2"/>
  <c r="D14" i="2"/>
  <c r="J13" i="2"/>
  <c r="I13" i="2"/>
  <c r="H13" i="2"/>
  <c r="G13" i="2"/>
  <c r="F13" i="2"/>
  <c r="J12" i="2"/>
  <c r="I12" i="2"/>
  <c r="H12" i="2"/>
  <c r="G12" i="2"/>
  <c r="F12" i="2"/>
  <c r="E12" i="2"/>
  <c r="D12" i="2"/>
  <c r="J10" i="2"/>
  <c r="I10" i="2"/>
  <c r="H10" i="2"/>
  <c r="G10" i="2"/>
  <c r="F10" i="2"/>
  <c r="E10" i="2"/>
  <c r="D10" i="2"/>
  <c r="J9" i="2"/>
  <c r="I9" i="2"/>
  <c r="H9" i="2"/>
  <c r="G9" i="2"/>
  <c r="F9" i="2"/>
  <c r="E9" i="2"/>
  <c r="D9" i="2"/>
  <c r="J8" i="2"/>
  <c r="I8" i="2"/>
  <c r="H8" i="2"/>
  <c r="G8" i="2"/>
  <c r="F8" i="2"/>
  <c r="E8" i="2"/>
  <c r="D8" i="2"/>
  <c r="J7" i="2"/>
  <c r="I7" i="2"/>
  <c r="H7" i="2"/>
  <c r="G7" i="2"/>
  <c r="F7" i="2"/>
  <c r="A6" i="2"/>
  <c r="C3" i="2"/>
  <c r="J2" i="2"/>
  <c r="I2" i="2"/>
  <c r="H2" i="2"/>
  <c r="G2" i="2"/>
  <c r="F2" i="2"/>
  <c r="E2" i="2"/>
  <c r="D2" i="2"/>
  <c r="A2" i="2"/>
  <c r="B37" i="1"/>
  <c r="K33" i="1"/>
  <c r="K32" i="1"/>
  <c r="K30" i="1"/>
  <c r="K29" i="1"/>
  <c r="K28" i="1"/>
  <c r="K27" i="1"/>
  <c r="F24" i="1"/>
  <c r="F22" i="1"/>
  <c r="B18" i="1"/>
  <c r="A1" i="18"/>
  <c r="A7" i="17"/>
  <c r="G2" i="15" l="1"/>
  <c r="M8" i="12"/>
  <c r="M12" i="12" s="1"/>
  <c r="M9" i="12"/>
  <c r="H2" i="15"/>
  <c r="N8" i="12"/>
  <c r="N12" i="12" s="1"/>
  <c r="N9" i="12"/>
  <c r="I2" i="15"/>
  <c r="O9" i="12"/>
  <c r="O8" i="12"/>
  <c r="O12" i="12" s="1"/>
  <c r="N24" i="12"/>
  <c r="P8" i="12"/>
  <c r="P12" i="12" s="1"/>
  <c r="O24" i="12"/>
  <c r="G2" i="11"/>
  <c r="J2" i="13"/>
  <c r="P23" i="12"/>
  <c r="P24" i="12" s="1"/>
  <c r="N28" i="12"/>
  <c r="H2" i="11"/>
  <c r="M23" i="12"/>
  <c r="I2" i="11"/>
  <c r="D137" i="7"/>
  <c r="P9" i="12" l="1"/>
  <c r="M24" i="12"/>
  <c r="J2" i="15"/>
  <c r="D142" i="7"/>
  <c r="O14" i="12" l="1"/>
  <c r="O15" i="12" s="1"/>
  <c r="N14" i="12"/>
  <c r="N15" i="12" s="1"/>
  <c r="P14" i="12"/>
  <c r="P15" i="12" s="1"/>
  <c r="M14" i="12"/>
  <c r="M15" i="12" l="1"/>
  <c r="P17" i="12"/>
  <c r="P18" i="12" s="1"/>
  <c r="M17" i="12"/>
  <c r="N17" i="12"/>
  <c r="N18" i="12" s="1"/>
  <c r="O17" i="12"/>
  <c r="O18" i="12" s="1"/>
  <c r="M18" i="12" l="1"/>
  <c r="C30" i="1"/>
  <c r="G36" i="1" l="1"/>
  <c r="N25" i="1" s="1"/>
  <c r="F26" i="2" l="1"/>
  <c r="L25" i="7"/>
  <c r="L28" i="7" s="1"/>
  <c r="L26" i="7"/>
  <c r="I26" i="7"/>
  <c r="H26" i="9" s="1"/>
  <c r="H26" i="7"/>
  <c r="J26" i="2"/>
  <c r="G26" i="2"/>
  <c r="K26" i="7"/>
  <c r="G26" i="7"/>
  <c r="F26" i="9" s="1"/>
  <c r="K25" i="7"/>
  <c r="K28" i="7"/>
  <c r="I26" i="2"/>
  <c r="J26" i="7"/>
  <c r="J25" i="2"/>
  <c r="J28" i="2"/>
  <c r="H25" i="7"/>
  <c r="I25" i="7"/>
  <c r="J25" i="7"/>
  <c r="G25" i="7"/>
  <c r="I25" i="2"/>
  <c r="I28" i="2"/>
  <c r="H26" i="2"/>
  <c r="F25" i="2"/>
  <c r="F28" i="2" s="1"/>
  <c r="F30" i="2" s="1"/>
  <c r="G25" i="2"/>
  <c r="H25" i="2"/>
  <c r="J30" i="2" l="1"/>
  <c r="J31" i="2"/>
  <c r="I26" i="9"/>
  <c r="J26" i="9"/>
  <c r="G28" i="2"/>
  <c r="F25" i="9"/>
  <c r="F28" i="9" s="1"/>
  <c r="G28" i="7"/>
  <c r="H25" i="9"/>
  <c r="H28" i="9" s="1"/>
  <c r="I28" i="7"/>
  <c r="J25" i="9"/>
  <c r="J28" i="9" s="1"/>
  <c r="I25" i="9"/>
  <c r="J28" i="7"/>
  <c r="G25" i="9"/>
  <c r="H28" i="7"/>
  <c r="H28" i="2"/>
  <c r="F31" i="2"/>
  <c r="I30" i="2"/>
  <c r="I31" i="2" s="1"/>
  <c r="K30" i="7"/>
  <c r="K31" i="7"/>
  <c r="G26" i="9"/>
  <c r="L30" i="7"/>
  <c r="L31" i="7" s="1"/>
  <c r="I33" i="2" l="1"/>
  <c r="I34" i="2" s="1"/>
  <c r="I37" i="2" s="1"/>
  <c r="I123" i="2" s="1"/>
  <c r="I124" i="2" s="1"/>
  <c r="E20" i="12"/>
  <c r="E21" i="12" s="1"/>
  <c r="I36" i="2"/>
  <c r="I104" i="2"/>
  <c r="L33" i="7"/>
  <c r="L34" i="7" s="1"/>
  <c r="L37" i="7" s="1"/>
  <c r="L123" i="7" s="1"/>
  <c r="L124" i="7" s="1"/>
  <c r="L36" i="7"/>
  <c r="L104" i="7"/>
  <c r="L117" i="7" s="1"/>
  <c r="L126" i="7" s="1"/>
  <c r="I28" i="9"/>
  <c r="F20" i="12"/>
  <c r="F21" i="12" s="1"/>
  <c r="J33" i="2"/>
  <c r="J34" i="2" s="1"/>
  <c r="J37" i="2" s="1"/>
  <c r="J123" i="2" s="1"/>
  <c r="J124" i="2" s="1"/>
  <c r="J36" i="2"/>
  <c r="J104" i="2"/>
  <c r="J30" i="7"/>
  <c r="J31" i="7"/>
  <c r="G30" i="2"/>
  <c r="K104" i="7"/>
  <c r="K117" i="7" s="1"/>
  <c r="K36" i="7"/>
  <c r="K33" i="7"/>
  <c r="K34" i="7" s="1"/>
  <c r="H30" i="7"/>
  <c r="G30" i="9" s="1"/>
  <c r="G46" i="9" s="1"/>
  <c r="J31" i="9"/>
  <c r="G30" i="7"/>
  <c r="F30" i="9" s="1"/>
  <c r="G31" i="7"/>
  <c r="H30" i="2"/>
  <c r="H31" i="2"/>
  <c r="I30" i="7"/>
  <c r="I31" i="7"/>
  <c r="J30" i="9"/>
  <c r="J46" i="9" s="1"/>
  <c r="F104" i="2"/>
  <c r="F33" i="2"/>
  <c r="F36" i="2"/>
  <c r="G28" i="9"/>
  <c r="F31" i="9"/>
  <c r="F33" i="9" s="1"/>
  <c r="I36" i="7" l="1"/>
  <c r="I104" i="7"/>
  <c r="I117" i="7" s="1"/>
  <c r="I33" i="7"/>
  <c r="I34" i="7" s="1"/>
  <c r="K37" i="7"/>
  <c r="I117" i="2"/>
  <c r="I126" i="2" s="1"/>
  <c r="F34" i="2"/>
  <c r="H30" i="9"/>
  <c r="H31" i="7"/>
  <c r="J36" i="7"/>
  <c r="J33" i="7"/>
  <c r="J34" i="7" s="1"/>
  <c r="J104" i="7"/>
  <c r="J117" i="7" s="1"/>
  <c r="I30" i="9"/>
  <c r="K20" i="12"/>
  <c r="K21" i="12" s="1"/>
  <c r="J33" i="9"/>
  <c r="F117" i="2"/>
  <c r="D20" i="12"/>
  <c r="D21" i="12" s="1"/>
  <c r="H36" i="2"/>
  <c r="H104" i="2"/>
  <c r="H33" i="2"/>
  <c r="H34" i="2" s="1"/>
  <c r="H37" i="2" s="1"/>
  <c r="H123" i="2" s="1"/>
  <c r="H124" i="2" s="1"/>
  <c r="G36" i="7"/>
  <c r="G33" i="7"/>
  <c r="G104" i="7"/>
  <c r="G117" i="7" s="1"/>
  <c r="G31" i="9"/>
  <c r="F46" i="9"/>
  <c r="G31" i="2"/>
  <c r="J117" i="2"/>
  <c r="J126" i="2" s="1"/>
  <c r="F37" i="2" l="1"/>
  <c r="J37" i="7"/>
  <c r="I34" i="9"/>
  <c r="I36" i="9" s="1"/>
  <c r="I37" i="7"/>
  <c r="G34" i="7"/>
  <c r="H46" i="9"/>
  <c r="H31" i="9"/>
  <c r="K123" i="7"/>
  <c r="K124" i="7" s="1"/>
  <c r="K126" i="7" s="1"/>
  <c r="J37" i="9"/>
  <c r="C20" i="12"/>
  <c r="C21" i="12" s="1"/>
  <c r="G104" i="2"/>
  <c r="G33" i="2"/>
  <c r="G34" i="2" s="1"/>
  <c r="G37" i="2" s="1"/>
  <c r="G123" i="2" s="1"/>
  <c r="G124" i="2" s="1"/>
  <c r="G36" i="2"/>
  <c r="H20" i="12"/>
  <c r="H21" i="12" s="1"/>
  <c r="G33" i="9"/>
  <c r="H117" i="2"/>
  <c r="H126" i="2" s="1"/>
  <c r="I46" i="9"/>
  <c r="H33" i="7"/>
  <c r="H34" i="7" s="1"/>
  <c r="H36" i="7"/>
  <c r="H104" i="7"/>
  <c r="H117" i="7" s="1"/>
  <c r="I31" i="9"/>
  <c r="J34" i="9"/>
  <c r="J36" i="9" s="1"/>
  <c r="J50" i="9" l="1"/>
  <c r="F34" i="9"/>
  <c r="G37" i="7"/>
  <c r="J123" i="7"/>
  <c r="J124" i="7" s="1"/>
  <c r="J126" i="7" s="1"/>
  <c r="I37" i="9"/>
  <c r="I50" i="9" s="1"/>
  <c r="J20" i="12"/>
  <c r="J21" i="12" s="1"/>
  <c r="I33" i="9"/>
  <c r="F123" i="2"/>
  <c r="F124" i="2" s="1"/>
  <c r="F126" i="2" s="1"/>
  <c r="F129" i="2" s="1"/>
  <c r="F72" i="2"/>
  <c r="H37" i="7"/>
  <c r="G34" i="9"/>
  <c r="G36" i="9" s="1"/>
  <c r="H34" i="9"/>
  <c r="H36" i="9" s="1"/>
  <c r="G117" i="2"/>
  <c r="G126" i="2" s="1"/>
  <c r="H33" i="9"/>
  <c r="I20" i="12"/>
  <c r="I21" i="12" s="1"/>
  <c r="I123" i="7"/>
  <c r="I124" i="7" s="1"/>
  <c r="I126" i="7" s="1"/>
  <c r="H37" i="9"/>
  <c r="H50" i="9" s="1"/>
  <c r="G72" i="2" l="1"/>
  <c r="C28" i="4"/>
  <c r="G123" i="7"/>
  <c r="G124" i="7" s="1"/>
  <c r="G126" i="7" s="1"/>
  <c r="G129" i="7" s="1"/>
  <c r="F37" i="9"/>
  <c r="G72" i="7"/>
  <c r="H123" i="7"/>
  <c r="H124" i="7" s="1"/>
  <c r="H126" i="7" s="1"/>
  <c r="G37" i="9"/>
  <c r="G50" i="9" s="1"/>
  <c r="F53" i="2"/>
  <c r="F63" i="2"/>
  <c r="G128" i="2"/>
  <c r="G129" i="2" s="1"/>
  <c r="F36" i="9"/>
  <c r="G63" i="2" l="1"/>
  <c r="H128" i="2"/>
  <c r="H129" i="2" s="1"/>
  <c r="G53" i="2"/>
  <c r="G61" i="2" s="1"/>
  <c r="F61" i="2"/>
  <c r="F75" i="2" s="1"/>
  <c r="C7" i="4"/>
  <c r="H72" i="7"/>
  <c r="F72" i="9"/>
  <c r="D28" i="4" s="1"/>
  <c r="F50" i="9"/>
  <c r="F73" i="2"/>
  <c r="C17" i="4"/>
  <c r="H128" i="7"/>
  <c r="H129" i="7" s="1"/>
  <c r="G53" i="7"/>
  <c r="G63" i="7"/>
  <c r="C27" i="12"/>
  <c r="H72" i="2"/>
  <c r="I128" i="7" l="1"/>
  <c r="I129" i="7" s="1"/>
  <c r="H53" i="7"/>
  <c r="H63" i="7"/>
  <c r="I72" i="2"/>
  <c r="D27" i="12"/>
  <c r="G75" i="2"/>
  <c r="C29" i="4"/>
  <c r="G72" i="9"/>
  <c r="H27" i="12" s="1"/>
  <c r="I72" i="7"/>
  <c r="I128" i="2"/>
  <c r="I129" i="2" s="1"/>
  <c r="H63" i="2"/>
  <c r="H53" i="2"/>
  <c r="H61" i="2" s="1"/>
  <c r="C30" i="12"/>
  <c r="C33" i="12" s="1"/>
  <c r="G73" i="7"/>
  <c r="F63" i="9"/>
  <c r="G61" i="7"/>
  <c r="G75" i="7" s="1"/>
  <c r="F53" i="9"/>
  <c r="C15" i="4"/>
  <c r="C31" i="4" s="1"/>
  <c r="G73" i="2"/>
  <c r="C29" i="12"/>
  <c r="C32" i="12" s="1"/>
  <c r="J72" i="2" l="1"/>
  <c r="F27" i="12" s="1"/>
  <c r="E27" i="12"/>
  <c r="D7" i="4"/>
  <c r="F61" i="9"/>
  <c r="J72" i="7"/>
  <c r="H72" i="9"/>
  <c r="I27" i="12" s="1"/>
  <c r="H73" i="7"/>
  <c r="G63" i="9"/>
  <c r="I63" i="2"/>
  <c r="J128" i="2"/>
  <c r="J129" i="2" s="1"/>
  <c r="I53" i="2"/>
  <c r="I61" i="2" s="1"/>
  <c r="H61" i="7"/>
  <c r="H75" i="7" s="1"/>
  <c r="G53" i="9"/>
  <c r="G61" i="9" s="1"/>
  <c r="F73" i="9"/>
  <c r="D17" i="4"/>
  <c r="D29" i="12"/>
  <c r="D32" i="12" s="1"/>
  <c r="H73" i="2"/>
  <c r="H75" i="2" s="1"/>
  <c r="D30" i="12"/>
  <c r="D33" i="12" s="1"/>
  <c r="J128" i="7"/>
  <c r="J129" i="7" s="1"/>
  <c r="I63" i="7"/>
  <c r="I53" i="7"/>
  <c r="G28" i="15" l="1"/>
  <c r="H29" i="12"/>
  <c r="G73" i="9"/>
  <c r="G75" i="9" s="1"/>
  <c r="F75" i="9"/>
  <c r="K128" i="7"/>
  <c r="K129" i="7" s="1"/>
  <c r="J53" i="7"/>
  <c r="J63" i="7"/>
  <c r="I72" i="9"/>
  <c r="J27" i="12" s="1"/>
  <c r="K72" i="7"/>
  <c r="D15" i="4"/>
  <c r="E29" i="12"/>
  <c r="E32" i="12" s="1"/>
  <c r="I73" i="2"/>
  <c r="I75" i="2" s="1"/>
  <c r="H53" i="9"/>
  <c r="H61" i="9" s="1"/>
  <c r="I61" i="7"/>
  <c r="I75" i="7" s="1"/>
  <c r="I73" i="7"/>
  <c r="H63" i="9"/>
  <c r="D29" i="4"/>
  <c r="J63" i="2"/>
  <c r="J53" i="2"/>
  <c r="J61" i="2" s="1"/>
  <c r="E30" i="12"/>
  <c r="E33" i="12" s="1"/>
  <c r="I63" i="9" l="1"/>
  <c r="J73" i="7"/>
  <c r="F29" i="12"/>
  <c r="J73" i="2"/>
  <c r="J61" i="7"/>
  <c r="J75" i="7" s="1"/>
  <c r="I53" i="9"/>
  <c r="I61" i="9" s="1"/>
  <c r="H32" i="12"/>
  <c r="H30" i="12"/>
  <c r="H33" i="12" s="1"/>
  <c r="J75" i="2"/>
  <c r="J72" i="9"/>
  <c r="K27" i="12" s="1"/>
  <c r="L72" i="7"/>
  <c r="K63" i="7"/>
  <c r="L128" i="7"/>
  <c r="L129" i="7" s="1"/>
  <c r="K53" i="7"/>
  <c r="I29" i="12"/>
  <c r="H73" i="9"/>
  <c r="H75" i="9"/>
  <c r="D31" i="4"/>
  <c r="K61" i="7" l="1"/>
  <c r="J53" i="9"/>
  <c r="J61" i="9" s="1"/>
  <c r="F32" i="12"/>
  <c r="F30" i="12"/>
  <c r="F33" i="12" s="1"/>
  <c r="I32" i="12"/>
  <c r="I30" i="12"/>
  <c r="I33" i="12" s="1"/>
  <c r="L63" i="7"/>
  <c r="L73" i="7" s="1"/>
  <c r="L53" i="7"/>
  <c r="L61" i="7" s="1"/>
  <c r="L75" i="7" s="1"/>
  <c r="J63" i="9"/>
  <c r="K73" i="7"/>
  <c r="J29" i="12"/>
  <c r="I73" i="9"/>
  <c r="I75" i="9" s="1"/>
  <c r="J73" i="9" l="1"/>
  <c r="J75" i="9" s="1"/>
  <c r="K29" i="12"/>
  <c r="K75" i="7"/>
  <c r="J32" i="12"/>
  <c r="J30" i="12"/>
  <c r="J33" i="12" s="1"/>
  <c r="G37" i="1"/>
  <c r="O25" i="1" s="1"/>
  <c r="K32" i="12" l="1"/>
  <c r="K30" i="12"/>
  <c r="K33" i="12" s="1"/>
  <c r="M20" i="12" l="1"/>
  <c r="M21" i="12" s="1"/>
  <c r="N20" i="12" l="1"/>
  <c r="N21" i="12" s="1"/>
  <c r="M27" i="12" l="1"/>
  <c r="N27" i="12" l="1"/>
  <c r="G35" i="1"/>
  <c r="M25" i="1" s="1"/>
  <c r="M29" i="12"/>
  <c r="M32" i="12" s="1"/>
  <c r="O20" i="12" l="1"/>
  <c r="O21" i="12" s="1"/>
  <c r="M30" i="12"/>
  <c r="M33" i="12" s="1"/>
  <c r="N29" i="12" l="1"/>
  <c r="N32" i="12" l="1"/>
  <c r="N30" i="12"/>
  <c r="N33" i="12" s="1"/>
  <c r="P20" i="12" l="1"/>
  <c r="P21" i="12" s="1"/>
  <c r="O27" i="12" l="1"/>
  <c r="P27" i="12" l="1"/>
  <c r="O29" i="12"/>
  <c r="O32" i="12" s="1"/>
  <c r="G34" i="1" l="1"/>
  <c r="L25" i="1" s="1"/>
  <c r="O30" i="12"/>
  <c r="O33" i="12" s="1"/>
  <c r="P29" i="12" l="1"/>
  <c r="P32" i="12" l="1"/>
  <c r="P30" i="12"/>
  <c r="P33" i="1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Andrea Ward</author>
  </authors>
  <commentList>
    <comment ref="B8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assumed that all D&amp;A sits within COGS</t>
        </r>
      </text>
    </comment>
    <comment ref="B23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Other income/expense shown above EBIT in audited financials.
</t>
        </r>
      </text>
    </comment>
    <comment ref="B26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adjusted for non financial income, reflected in non recurring income - related to settlements
</t>
        </r>
      </text>
    </comment>
    <comment ref="B134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Andrea Ward
pdf 73, AR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Andrea Ward</author>
  </authors>
  <commentList>
    <comment ref="B8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assumed that all D&amp;A sits within COGS</t>
        </r>
      </text>
    </comment>
    <comment ref="B23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Other income/expense shown above EBIT in audited financials.
</t>
        </r>
      </text>
    </comment>
    <comment ref="B40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from Monsanto offer document, pdf 50</t>
        </r>
      </text>
    </comment>
    <comment ref="B43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from Monsanto offer document, pdf 50</t>
        </r>
      </text>
    </comment>
    <comment ref="B88" authorId="0" shapeId="0" xr:uid="{00000000-0006-0000-0300-000005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pdf 70
</t>
        </r>
      </text>
    </comment>
    <comment ref="B133" authorId="0" shapeId="0" xr:uid="{00000000-0006-0000-0300-000006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cover of latest 10Q
</t>
        </r>
      </text>
    </comment>
    <comment ref="B135" authorId="0" shapeId="0" xr:uid="{00000000-0006-0000-0300-000007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pdf 96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Andrea Ward</author>
    <author>Gerard Kelly</author>
  </authors>
  <commentList>
    <comment ref="B8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assumed that all D&amp;A sits within COGS</t>
        </r>
      </text>
    </comment>
    <comment ref="B23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Other income/expense shown above EBIT in audited financials.
</t>
        </r>
      </text>
    </comment>
    <comment ref="B35" authorId="1" shapeId="0" xr:uid="{ED7A542F-A2B6-4A5D-A4EF-28DD730886E9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use financial year WASO as approximation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Andrea Ward</author>
    <author>Andrew Jones</author>
  </authors>
  <commentList>
    <comment ref="B5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assumption</t>
        </r>
      </text>
    </comment>
    <comment ref="B9" authorId="1" shapeId="0" xr:uid="{92C655C7-A7F5-4BBE-944C-F79C2A178833}">
      <text>
        <r>
          <rPr>
            <b/>
            <sz val="9"/>
            <color indexed="81"/>
            <rFont val="Tahoma"/>
            <charset val="1"/>
          </rPr>
          <t xml:space="preserve">Financial Edge: 
</t>
        </r>
        <r>
          <rPr>
            <sz val="9"/>
            <color indexed="81"/>
            <rFont val="Tahoma"/>
            <family val="2"/>
          </rPr>
          <t>Assume that this all flows through into EBITDA, based on Bayer synergy assumptions</t>
        </r>
      </text>
    </comment>
    <comment ref="B11" authorId="0" shapeId="0" xr:uid="{00000000-0006-0000-0600-000002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Assumption</t>
        </r>
      </text>
    </comment>
    <comment ref="B13" authorId="0" shapeId="0" xr:uid="{00000000-0006-0000-0600-000003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Assumption</t>
        </r>
      </text>
    </comment>
    <comment ref="B49" authorId="0" shapeId="0" xr:uid="{00000000-0006-0000-0600-000004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assumption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Andrea Ward</author>
  </authors>
  <commentList>
    <comment ref="B18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excluding CBs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Gerard Kelly</author>
  </authors>
  <commentList>
    <comment ref="B17" authorId="0" shapeId="0" xr:uid="{EF9F7B4B-3F1C-4EC6-8D50-D58028B5D11E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Less depreciation is added back in DCF
</t>
        </r>
      </text>
    </comment>
    <comment ref="B37" authorId="0" shapeId="0" xr:uid="{ED31BE1E-95A2-466D-998C-F536D2FBF902}">
      <text>
        <r>
          <rPr>
            <b/>
            <sz val="9"/>
            <color indexed="81"/>
            <rFont val="Tahoma"/>
            <family val="2"/>
          </rPr>
          <t>FE:
T</t>
        </r>
        <r>
          <rPr>
            <sz val="9"/>
            <color indexed="81"/>
            <rFont val="Tahoma"/>
            <family val="2"/>
          </rPr>
          <t>arget MTR used, could use effective tax rate</t>
        </r>
      </text>
    </comment>
    <comment ref="B42" authorId="0" shapeId="0" xr:uid="{A7BD51A2-B579-4928-A4A5-91C498330ACE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do not forget to take capex synergies into account</t>
        </r>
      </text>
    </comment>
    <comment ref="B43" authorId="0" shapeId="0" xr:uid="{8D8AA4E1-44A4-40FC-A977-920DF7E16F0E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adjusted for depreciation savings due to capex synergies</t>
        </r>
      </text>
    </comment>
    <comment ref="B44" authorId="0" shapeId="0" xr:uid="{CF95EE35-DEB9-4D42-887B-C7560FCD60D7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represent investment from perspective of acquiror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Gerard Kelly</author>
  </authors>
  <commentList>
    <comment ref="B47" authorId="0" shapeId="0" xr:uid="{B08DE7DF-6D04-43E6-AC2D-45DAC38BD1D2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assumed MTR of Newco, could use ETR of NewCo but only woeks if iteration is on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Andrea Ward</author>
    <author>Gerard Kelly</author>
  </authors>
  <commentList>
    <comment ref="B21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due to small number of options, no recalculation of FD shares</t>
        </r>
      </text>
    </comment>
    <comment ref="B22" authorId="1" shapeId="0" xr:uid="{DDD5F3AC-467E-4220-BBE3-CFC01574EEE9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based on latest actual net debt</t>
        </r>
      </text>
    </comment>
  </commentList>
</comments>
</file>

<file path=xl/sharedStrings.xml><?xml version="1.0" encoding="utf-8"?>
<sst xmlns="http://schemas.openxmlformats.org/spreadsheetml/2006/main" count="790" uniqueCount="377">
  <si>
    <t>Acquisition modelling</t>
  </si>
  <si>
    <t>Assumptions</t>
  </si>
  <si>
    <t>Acquiror</t>
  </si>
  <si>
    <t>Target</t>
  </si>
  <si>
    <t>Sales</t>
  </si>
  <si>
    <t>Growth rate</t>
  </si>
  <si>
    <t>COGS</t>
  </si>
  <si>
    <t>Margin</t>
  </si>
  <si>
    <t>Gross profit</t>
  </si>
  <si>
    <t>SG&amp;A</t>
  </si>
  <si>
    <t>EBITDA</t>
  </si>
  <si>
    <t>Growth</t>
  </si>
  <si>
    <t>EBIT</t>
  </si>
  <si>
    <t>Profit before tax</t>
  </si>
  <si>
    <t>Tax</t>
  </si>
  <si>
    <t>Net income</t>
  </si>
  <si>
    <t>Currency</t>
  </si>
  <si>
    <t>Last financial year</t>
  </si>
  <si>
    <t>Cash</t>
  </si>
  <si>
    <t>PP&amp;E</t>
  </si>
  <si>
    <t>Goodwill</t>
  </si>
  <si>
    <t>Other intangible assets</t>
  </si>
  <si>
    <t>Total assets</t>
  </si>
  <si>
    <t>Noncontrolling interest</t>
  </si>
  <si>
    <t>Shareholders' equity</t>
  </si>
  <si>
    <t>Dividend payout ratio</t>
  </si>
  <si>
    <t>Balance check</t>
  </si>
  <si>
    <t>Capex</t>
  </si>
  <si>
    <t>Dividends</t>
  </si>
  <si>
    <t>Net cash flow</t>
  </si>
  <si>
    <t>Share price</t>
  </si>
  <si>
    <t>Offer premium</t>
  </si>
  <si>
    <t>Offer price</t>
  </si>
  <si>
    <t>Acquisition terms</t>
  </si>
  <si>
    <t>Debt issuance fees</t>
  </si>
  <si>
    <t>Equity issuance discount</t>
  </si>
  <si>
    <t>Equity fees</t>
  </si>
  <si>
    <t>Target equity</t>
  </si>
  <si>
    <t>Debt fees</t>
  </si>
  <si>
    <t>Total</t>
  </si>
  <si>
    <t>Advisory fees (on equity value)</t>
  </si>
  <si>
    <t>Debt issuance</t>
  </si>
  <si>
    <t>Equity issuance</t>
  </si>
  <si>
    <t>Debt portion of financing</t>
  </si>
  <si>
    <t>Shares issued</t>
  </si>
  <si>
    <t>Equity purchase price</t>
  </si>
  <si>
    <t>Brand value</t>
  </si>
  <si>
    <t>Existing goodwill</t>
  </si>
  <si>
    <t>Income statement</t>
  </si>
  <si>
    <t xml:space="preserve">  Synergies</t>
  </si>
  <si>
    <t>NewCo sales</t>
  </si>
  <si>
    <t>Interest on acquisition debt</t>
  </si>
  <si>
    <t>Secondary issue?</t>
  </si>
  <si>
    <t>Balance sheet</t>
  </si>
  <si>
    <t>Cash flow</t>
  </si>
  <si>
    <t>Output</t>
  </si>
  <si>
    <t>Bayer</t>
  </si>
  <si>
    <t>Monsanto</t>
  </si>
  <si>
    <t>Euro</t>
  </si>
  <si>
    <t>USD</t>
  </si>
  <si>
    <t>Income statement assumptions</t>
  </si>
  <si>
    <t>COGS margin</t>
  </si>
  <si>
    <t>SG&amp;A/sales</t>
  </si>
  <si>
    <t>Depreciation</t>
  </si>
  <si>
    <t>Research and development</t>
  </si>
  <si>
    <t>Income from associates</t>
  </si>
  <si>
    <t>Interest expense</t>
  </si>
  <si>
    <t>Interest income</t>
  </si>
  <si>
    <t>Nonrecurring income/(expense)</t>
  </si>
  <si>
    <t>Other financial (expense)/income</t>
  </si>
  <si>
    <t>Reported net income to common</t>
  </si>
  <si>
    <t>Tax rate</t>
  </si>
  <si>
    <t>R&amp;D/sales</t>
  </si>
  <si>
    <t>Inventory</t>
  </si>
  <si>
    <t>Accounts receivable</t>
  </si>
  <si>
    <t>Other ST operating assets</t>
  </si>
  <si>
    <t>Deferred taxes</t>
  </si>
  <si>
    <t>Accounts payable</t>
  </si>
  <si>
    <t>Short term provisions</t>
  </si>
  <si>
    <t>Pension liabilities</t>
  </si>
  <si>
    <t>Balance sheet assumptions</t>
  </si>
  <si>
    <t>Inventory days</t>
  </si>
  <si>
    <t>Accounts receivable days</t>
  </si>
  <si>
    <t>Capex/sales</t>
  </si>
  <si>
    <t>Depreciation/opening PP&amp;E</t>
  </si>
  <si>
    <t>Accounts payable days</t>
  </si>
  <si>
    <t>Short term provisions/sales</t>
  </si>
  <si>
    <t>Deferred taxes/sales</t>
  </si>
  <si>
    <t>Balance sheet side calculations</t>
  </si>
  <si>
    <t>PP&amp;E - beginning balance</t>
  </si>
  <si>
    <t>PP&amp;E - ending balance</t>
  </si>
  <si>
    <t>Operating cash flow</t>
  </si>
  <si>
    <t>Investing cash flow</t>
  </si>
  <si>
    <t>Financing cash flow</t>
  </si>
  <si>
    <t>Beginning cash/(short term debt)</t>
  </si>
  <si>
    <t>Ending cash/(short term debt)</t>
  </si>
  <si>
    <t>Interest rate on cash</t>
  </si>
  <si>
    <t>Circ switch</t>
  </si>
  <si>
    <t>Fully diluted shares calculation</t>
  </si>
  <si>
    <t>Options</t>
  </si>
  <si>
    <t>Strike</t>
  </si>
  <si>
    <t>Treasury stock</t>
  </si>
  <si>
    <t>Restricted stock units</t>
  </si>
  <si>
    <t>Restricted stock</t>
  </si>
  <si>
    <t>Convertible bond issue</t>
  </si>
  <si>
    <t>Convertible coupon</t>
  </si>
  <si>
    <t>Excess cash</t>
  </si>
  <si>
    <t>Convertible bond fees</t>
  </si>
  <si>
    <t>Deferred tax liability on step up</t>
  </si>
  <si>
    <t>PP&amp;E step up</t>
  </si>
  <si>
    <t>Target marginal tax rate</t>
  </si>
  <si>
    <t>NewCo proforma financials</t>
  </si>
  <si>
    <t>Synergy assumptions</t>
  </si>
  <si>
    <t>Total synergies</t>
  </si>
  <si>
    <t>Runrate of synergies</t>
  </si>
  <si>
    <t>Of which cost synergies</t>
  </si>
  <si>
    <t>Cost synergies</t>
  </si>
  <si>
    <t>Of which revenue synergies</t>
  </si>
  <si>
    <t>Revenue synergies</t>
  </si>
  <si>
    <t>Restructuring costs</t>
  </si>
  <si>
    <t>Capital expenditure synergies</t>
  </si>
  <si>
    <t>Combined cost of goods sold</t>
  </si>
  <si>
    <t>Synergies</t>
  </si>
  <si>
    <t>Beginning balance</t>
  </si>
  <si>
    <t>Ending balance</t>
  </si>
  <si>
    <t>PP&amp;E step up depreciation period</t>
  </si>
  <si>
    <t>PP&amp;E step up - depreciation</t>
  </si>
  <si>
    <t>Deferred tax liability - unwinding</t>
  </si>
  <si>
    <t>Unwinding</t>
  </si>
  <si>
    <t>Balance sheet ratios</t>
  </si>
  <si>
    <t>Repayment</t>
  </si>
  <si>
    <t>Amortising debt</t>
  </si>
  <si>
    <t>Change in inventory</t>
  </si>
  <si>
    <t>Change in accounts receivable</t>
  </si>
  <si>
    <t>Change in accounts payable</t>
  </si>
  <si>
    <t>Change in short term provisions</t>
  </si>
  <si>
    <t>Change in deferred taxes</t>
  </si>
  <si>
    <t>Change in pension liabilities</t>
  </si>
  <si>
    <t>NewCo dividend payout ratio</t>
  </si>
  <si>
    <t>Interest calculations</t>
  </si>
  <si>
    <t>NewCo cash interest rate</t>
  </si>
  <si>
    <t>NewCo ST interest rate</t>
  </si>
  <si>
    <t>Acquisition debt interest rate</t>
  </si>
  <si>
    <t>Convertible bond interest rate</t>
  </si>
  <si>
    <t>Acquisition debt interest expense</t>
  </si>
  <si>
    <t>NewCo interest income</t>
  </si>
  <si>
    <t>NewCo net interest expense</t>
  </si>
  <si>
    <t>Tax calculations</t>
  </si>
  <si>
    <t>NewCo MTR assumption</t>
  </si>
  <si>
    <t>Stand alone combined net interest expense</t>
  </si>
  <si>
    <t>Stand alone combined tax expense</t>
  </si>
  <si>
    <t>Impact of financing</t>
  </si>
  <si>
    <t>NewCo tax expense</t>
  </si>
  <si>
    <t>M&amp;A modelling - notes</t>
  </si>
  <si>
    <t>Acquiror projections source</t>
  </si>
  <si>
    <t>Target projections source</t>
  </si>
  <si>
    <t>Acquiror interest income &amp; expense</t>
  </si>
  <si>
    <t>Target interest income &amp; expense</t>
  </si>
  <si>
    <t>NewCo interest income &amp; expense</t>
  </si>
  <si>
    <t>Date of last model update</t>
  </si>
  <si>
    <t>ACW</t>
  </si>
  <si>
    <t>Circularities</t>
  </si>
  <si>
    <t>Switches</t>
  </si>
  <si>
    <t>Secondary issue - equity funding of deal</t>
  </si>
  <si>
    <t>equity</t>
  </si>
  <si>
    <t>Refinance target net debt?</t>
  </si>
  <si>
    <t>NewCo Net PP&amp;E</t>
  </si>
  <si>
    <t>NewCo ending balance</t>
  </si>
  <si>
    <t>NewCo beginning balance</t>
  </si>
  <si>
    <t>Stand alone capex</t>
  </si>
  <si>
    <t>Capex synergies</t>
  </si>
  <si>
    <t>Stand alone depreciation</t>
  </si>
  <si>
    <t>Depreciation savings from capex synergies</t>
  </si>
  <si>
    <t>Depreciation on capex synergies</t>
  </si>
  <si>
    <t>Year</t>
  </si>
  <si>
    <t>Total depreciation savings</t>
  </si>
  <si>
    <t>Step up depreciation</t>
  </si>
  <si>
    <t>Target net debt refinancing</t>
  </si>
  <si>
    <t>Refinance target net debt</t>
  </si>
  <si>
    <t>refinance</t>
  </si>
  <si>
    <t>circ</t>
  </si>
  <si>
    <t>PP&amp;E step up depreciation post tax</t>
  </si>
  <si>
    <t>NewCo weighted average shares outstanding</t>
  </si>
  <si>
    <t>NewCo Fully diluted Cash EPS</t>
  </si>
  <si>
    <t>Accretion/dilution</t>
  </si>
  <si>
    <t>Additional pretax synergies to breakeven</t>
  </si>
  <si>
    <t>Transaction P/E</t>
  </si>
  <si>
    <t>Acquiror P/E</t>
  </si>
  <si>
    <t>Debt P/E</t>
  </si>
  <si>
    <t>Relative P/E analysis</t>
  </si>
  <si>
    <t>EPS accretion/dilution</t>
  </si>
  <si>
    <t>Credit analysis</t>
  </si>
  <si>
    <t>Total debt (interest bearing)</t>
  </si>
  <si>
    <t>Cash &amp; equivalents</t>
  </si>
  <si>
    <t>Book value of equity</t>
  </si>
  <si>
    <t>Proforma credit statistics incl. synergies</t>
  </si>
  <si>
    <t>Total debt/EBITDA</t>
  </si>
  <si>
    <t>EBITDA/interest expense</t>
  </si>
  <si>
    <t xml:space="preserve">EBIT </t>
  </si>
  <si>
    <t>Research &amp; development</t>
  </si>
  <si>
    <t>Capital expenditure</t>
  </si>
  <si>
    <t>as % of sales</t>
  </si>
  <si>
    <t>Net debt</t>
  </si>
  <si>
    <t>NewCo</t>
  </si>
  <si>
    <t>Reduction in depreciation due to capex synergies</t>
  </si>
  <si>
    <t>Tax impact excluding capex synergies</t>
  </si>
  <si>
    <t>Long term growth rate</t>
  </si>
  <si>
    <t>Free cash flow</t>
  </si>
  <si>
    <t>Terminal value</t>
  </si>
  <si>
    <t>Net present value of synergies</t>
  </si>
  <si>
    <t>Net present value of TV</t>
  </si>
  <si>
    <t>Total NPV of synergies</t>
  </si>
  <si>
    <t>Value created/(destroyed)</t>
  </si>
  <si>
    <t>Return on invested capital</t>
  </si>
  <si>
    <t>Discount rate including risk premium</t>
  </si>
  <si>
    <t>FFO/debt</t>
  </si>
  <si>
    <t>Synergies excl capex synergies</t>
  </si>
  <si>
    <t>Tax on synergies</t>
  </si>
  <si>
    <t>Beginning invested capital</t>
  </si>
  <si>
    <t>+ Capital expenditure (PP&amp;E &amp; intangibles)</t>
  </si>
  <si>
    <t>Ending invested capital</t>
  </si>
  <si>
    <t>ROIC</t>
  </si>
  <si>
    <t xml:space="preserve">Synergy analysis </t>
  </si>
  <si>
    <t>Offer price (Euro)</t>
  </si>
  <si>
    <t>Equity value</t>
  </si>
  <si>
    <t>Enterprise value</t>
  </si>
  <si>
    <t>LTM net debt</t>
  </si>
  <si>
    <t>Implied LTM P/E</t>
  </si>
  <si>
    <t>Implied LTM EV/EBITDA</t>
  </si>
  <si>
    <t>Equity ownership</t>
  </si>
  <si>
    <t>M&amp;A fees (net of tax shield)</t>
  </si>
  <si>
    <t>Debt fees (net of tax shield)</t>
  </si>
  <si>
    <t>Convertible bond fees (net of tax shield)</t>
  </si>
  <si>
    <t>Equity fees (net of tax shield)</t>
  </si>
  <si>
    <t>Control premium in Euro millions</t>
  </si>
  <si>
    <t>Impact of reduced depreciation</t>
  </si>
  <si>
    <t>Implied forward P/E</t>
  </si>
  <si>
    <t>Implied forward EV/EBITDA</t>
  </si>
  <si>
    <t>Tax on EBIT</t>
  </si>
  <si>
    <t>NOPAT</t>
  </si>
  <si>
    <t xml:space="preserve">Change in working capital </t>
  </si>
  <si>
    <t>Change in LT operating assets</t>
  </si>
  <si>
    <t>Change in LT operating liabilities</t>
  </si>
  <si>
    <t>WACC</t>
  </si>
  <si>
    <t>LT growth</t>
  </si>
  <si>
    <t>Future value of TV</t>
  </si>
  <si>
    <t>Implied value per share</t>
  </si>
  <si>
    <t>Implied value per share in USD</t>
  </si>
  <si>
    <t>Standalone share price in USD</t>
  </si>
  <si>
    <t>Premium/(discount) to standalone share price</t>
  </si>
  <si>
    <t>Equity value standalone based on DCF</t>
  </si>
  <si>
    <t>NPV of synergies</t>
  </si>
  <si>
    <t>Equity value including synergies</t>
  </si>
  <si>
    <t>Equity value including synergies in USD</t>
  </si>
  <si>
    <t>Implied value per share including synergies in USD</t>
  </si>
  <si>
    <t>Offer price in USD</t>
  </si>
  <si>
    <t>Premium/(discount) to share price incl synergies</t>
  </si>
  <si>
    <t>Discounted Cash Flow Analysis</t>
  </si>
  <si>
    <t>NewCo discounted cash flow analysis</t>
  </si>
  <si>
    <t>NewCo combined tax rate</t>
  </si>
  <si>
    <t>Value creation</t>
  </si>
  <si>
    <t>EPS accretion Year 2</t>
  </si>
  <si>
    <t>ROIC Yr 4</t>
  </si>
  <si>
    <t>Sensitivity of transaction to control premium</t>
  </si>
  <si>
    <t>EPS accretion</t>
  </si>
  <si>
    <t>Year 2</t>
  </si>
  <si>
    <t>Value</t>
  </si>
  <si>
    <t>Yr 4</t>
  </si>
  <si>
    <t>Goodwill on acquisition in Euro</t>
  </si>
  <si>
    <t>Premium</t>
  </si>
  <si>
    <t>Valuation multiples</t>
  </si>
  <si>
    <t>LTM EBITDA</t>
  </si>
  <si>
    <t>EBITDA +1</t>
  </si>
  <si>
    <t>ex synergies</t>
  </si>
  <si>
    <t>DCF</t>
  </si>
  <si>
    <t>EV/LTM EBITDA</t>
  </si>
  <si>
    <t>PP&amp;E step up in USD</t>
  </si>
  <si>
    <t>EURO</t>
  </si>
  <si>
    <t>Net interest expense</t>
  </si>
  <si>
    <t>Free cash flow impact</t>
  </si>
  <si>
    <t>Delta in cash flow</t>
  </si>
  <si>
    <t>assumption</t>
  </si>
  <si>
    <t>Sensitivity</t>
  </si>
  <si>
    <t>Sensitivity of standalone DCF value to WACC and long term growth rate - Premium/(discount to pre deal share price)</t>
  </si>
  <si>
    <t>Implied NewCo enterprise value</t>
  </si>
  <si>
    <t>NewCo net debt</t>
  </si>
  <si>
    <t>Equity at book value</t>
  </si>
  <si>
    <t>Net debt/EBITDA</t>
  </si>
  <si>
    <t>Deal Analysis</t>
  </si>
  <si>
    <t>This document is for training purposes only. Financial Edge accepts no responsibility or liability for any other purpose or usage.</t>
  </si>
  <si>
    <t>www.fe.training</t>
  </si>
  <si>
    <t>Workout Information</t>
  </si>
  <si>
    <t>Features</t>
  </si>
  <si>
    <t>Model Details</t>
  </si>
  <si>
    <t>Company name</t>
  </si>
  <si>
    <t>Date</t>
  </si>
  <si>
    <t>Units</t>
  </si>
  <si>
    <t>Millions</t>
  </si>
  <si>
    <t>Analyst Name</t>
  </si>
  <si>
    <t>Firstname Lastname</t>
  </si>
  <si>
    <t>Circular Switch</t>
  </si>
  <si>
    <t>Tab Structure</t>
  </si>
  <si>
    <t>Formatting</t>
  </si>
  <si>
    <t>Input</t>
  </si>
  <si>
    <t>Hard coded</t>
  </si>
  <si>
    <t>Formulas</t>
  </si>
  <si>
    <t>Project details</t>
  </si>
  <si>
    <t>Cell name</t>
  </si>
  <si>
    <t>Detail</t>
  </si>
  <si>
    <t>Total uses</t>
  </si>
  <si>
    <t>Total sources</t>
  </si>
  <si>
    <t>Diluted equity</t>
  </si>
  <si>
    <t>Number of diluted shares</t>
  </si>
  <si>
    <t>Diluted equity at offer price</t>
  </si>
  <si>
    <t>Equity portion of financing incl convertible bonds</t>
  </si>
  <si>
    <t>Debt / EBITDA Yr 2</t>
  </si>
  <si>
    <t>Creation / destruction</t>
  </si>
  <si>
    <t>Fair value of identifiable book value</t>
  </si>
  <si>
    <t>NewCo total debt / EBITDA Yr 2</t>
  </si>
  <si>
    <t>Value creation / (destruction)</t>
  </si>
  <si>
    <t>NewCo marginal tax rate</t>
  </si>
  <si>
    <t>Diluted WASO</t>
  </si>
  <si>
    <t>Diluted EPS</t>
  </si>
  <si>
    <t>Diluted shares outstanding</t>
  </si>
  <si>
    <t>Total liabilities and equity</t>
  </si>
  <si>
    <t>Amortization</t>
  </si>
  <si>
    <t>Shareholders equity</t>
  </si>
  <si>
    <t>Reported net income to common shareholders</t>
  </si>
  <si>
    <t>Sales growth</t>
  </si>
  <si>
    <t>Depreciation years</t>
  </si>
  <si>
    <t>End</t>
  </si>
  <si>
    <t>Future value of terminal value</t>
  </si>
  <si>
    <t>PV of terminal value</t>
  </si>
  <si>
    <t>PV of free cash flow</t>
  </si>
  <si>
    <t>Debt fee amortization period</t>
  </si>
  <si>
    <t>Calendarization</t>
  </si>
  <si>
    <t>Proforma capitalization</t>
  </si>
  <si>
    <t>Total capitalization</t>
  </si>
  <si>
    <t>Total debt/total capitalization</t>
  </si>
  <si>
    <t>- Depreciation &amp; amortization</t>
  </si>
  <si>
    <t>Equity/total capitalization</t>
  </si>
  <si>
    <t>amortize</t>
  </si>
  <si>
    <t>Normalized net income to common shareholders</t>
  </si>
  <si>
    <t>Calendarized to</t>
  </si>
  <si>
    <t>Normalized net income to common</t>
  </si>
  <si>
    <t>Proforma NewCo normalized net income</t>
  </si>
  <si>
    <t>Proforma NewCo normalized cash net income</t>
  </si>
  <si>
    <t>ACW / offer document</t>
  </si>
  <si>
    <t>Convertible bond</t>
  </si>
  <si>
    <t>Amortization of debt fees</t>
  </si>
  <si>
    <t>Convertible bond interest expense</t>
  </si>
  <si>
    <t>Long term debt</t>
  </si>
  <si>
    <t>Operating costs related to restructuring</t>
  </si>
  <si>
    <t>Change in convertible bond</t>
  </si>
  <si>
    <t>Impact of cost &amp; revenue synergies, net of restructuring costs</t>
  </si>
  <si>
    <t>EV/EBITDA +1</t>
  </si>
  <si>
    <t>Other short term operating assets</t>
  </si>
  <si>
    <t>Other long term assets</t>
  </si>
  <si>
    <t>Short term debt</t>
  </si>
  <si>
    <t>Other short term operating liabilities</t>
  </si>
  <si>
    <t>Other long term liabilities</t>
  </si>
  <si>
    <t>Change in other short term operating assets</t>
  </si>
  <si>
    <t>Change in other short term operating liabilities</t>
  </si>
  <si>
    <t>Change in other long term assets</t>
  </si>
  <si>
    <t>Change in other long term liabilities</t>
  </si>
  <si>
    <t>Change in long term debt</t>
  </si>
  <si>
    <t>NewCo short term interest expense</t>
  </si>
  <si>
    <t>Other short term operating assets/sales</t>
  </si>
  <si>
    <t>Other short term operating liabilities/sales</t>
  </si>
  <si>
    <t>Other long term liabilities/sales</t>
  </si>
  <si>
    <t>Interest rate on long term debt</t>
  </si>
  <si>
    <t>Interest rate on short term debt</t>
  </si>
  <si>
    <t>Long term debt repayment</t>
  </si>
  <si>
    <t>Latest number of shares</t>
  </si>
  <si>
    <t>Uses &amp; sources in US$</t>
  </si>
  <si>
    <t>Analysis at various prices</t>
  </si>
  <si>
    <t>- Change in working capital, other LT assets and other LT liabilities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</si>
</sst>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64" formatCode="_(&quot;£&quot;* #,##0_);_(&quot;£&quot;* \(#,##0\);_(&quot;£&quot;* &quot;-&quot;_);_(@_)"/>
    <numFmt numFmtId="165" formatCode="_(* #,##0_);_(* \(#,##0\);_(* &quot;-&quot;_);_(@_)"/>
    <numFmt numFmtId="166" formatCode="_(&quot;£&quot;* #,##0.00_);_(&quot;£&quot;* \(#,##0.00\);_(&quot;£&quot;* &quot;-&quot;??_);_(@_)"/>
    <numFmt numFmtId="167" formatCode="_(* #,##0.00_);_(* \(#,##0.00\);_(* &quot;-&quot;??_);_(@_)"/>
    <numFmt numFmtId="168" formatCode="0.0%_);\(0.0%\)"/>
    <numFmt numFmtId="169" formatCode="#,##0.0_);\(#,##0.0\)"/>
    <numFmt numFmtId="170" formatCode="yyyy\F"/>
    <numFmt numFmtId="171" formatCode="yyyy\A"/>
    <numFmt numFmtId="172" formatCode="#,##0.00_);\(#,##0.00\)"/>
    <numFmt numFmtId="173" formatCode="#,##0.0_);\(#,##0.0\)\,0.0_);@_)"/>
    <numFmt numFmtId="174" formatCode="#,##0.0_);\(#,##0.0\);0.0_);@_)"/>
    <numFmt numFmtId="175" formatCode="[$-409]d\-mmm\-yy;@"/>
    <numFmt numFmtId="176" formatCode="#,##0.0\ \x_);\(#,##0.0\ \x\);"/>
    <numFmt numFmtId="177" formatCode="#,##0.0\ \x_);\(#,##0.0\ \x\)"/>
  </numFmts>
  <fonts count="41" x14ac:knownFonts="1">
    <font>
      <sz val="11"/>
      <name val="Calibri"/>
      <family val="2"/>
      <scheme val="minor"/>
    </font>
    <font>
      <sz val="24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57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0"/>
      <name val="Calibri"/>
      <family val="2"/>
      <scheme val="minor"/>
    </font>
    <font>
      <sz val="22"/>
      <color theme="0"/>
      <name val="Calibri Light"/>
      <family val="2"/>
      <scheme val="major"/>
    </font>
    <font>
      <sz val="18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6"/>
      <color theme="0"/>
      <name val="Calibri Light"/>
      <family val="2"/>
      <scheme val="major"/>
    </font>
    <font>
      <sz val="14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2"/>
      <color rgb="FF163260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11"/>
      <color theme="1" tint="0.249977111117893"/>
      <name val="Calibri"/>
      <family val="2"/>
      <scheme val="minor"/>
    </font>
    <font>
      <sz val="10"/>
      <color rgb="FF085393"/>
      <name val="Calibri"/>
      <family val="2"/>
      <scheme val="minor"/>
    </font>
    <font>
      <sz val="11"/>
      <color rgb="FF085393"/>
      <name val="Calibri"/>
      <family val="2"/>
      <scheme val="minor"/>
    </font>
    <font>
      <u/>
      <sz val="14"/>
      <color rgb="FF085393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name val="Calibri"/>
      <family val="2"/>
      <scheme val="minor"/>
    </font>
    <font>
      <sz val="12"/>
      <color theme="0"/>
      <name val="Calibri Light"/>
      <family val="2"/>
      <scheme val="major"/>
    </font>
    <font>
      <b/>
      <sz val="9"/>
      <color indexed="81"/>
      <name val="Tahoma"/>
      <charset val="1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163260"/>
        <bgColor indexed="64"/>
      </patternFill>
    </fill>
    <fill>
      <patternFill patternType="solid">
        <fgColor rgb="FF0853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BEEFD"/>
        <bgColor indexed="64"/>
      </patternFill>
    </fill>
  </fills>
  <borders count="1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0" tint="-0.14996795556505021"/>
      </bottom>
      <diagonal/>
    </border>
    <border>
      <left style="thin">
        <color rgb="FFBBDEFB"/>
      </left>
      <right style="thin">
        <color rgb="FFBBDEFB"/>
      </right>
      <top style="thin">
        <color rgb="FFBBDEFB"/>
      </top>
      <bottom style="thin">
        <color rgb="FFBBDEFB"/>
      </bottom>
      <diagonal/>
    </border>
  </borders>
  <cellStyleXfs count="62">
    <xf numFmtId="174" fontId="0" fillId="0" borderId="0"/>
    <xf numFmtId="168" fontId="2" fillId="0" borderId="0" applyFont="0" applyFill="0" applyBorder="0" applyAlignment="0" applyProtection="0"/>
    <xf numFmtId="169" fontId="2" fillId="0" borderId="0" applyNumberFormat="0" applyFont="0" applyAlignment="0" applyProtection="0"/>
    <xf numFmtId="177" fontId="2" fillId="0" borderId="0" applyFont="0" applyFill="0" applyBorder="0" applyAlignment="0" applyProtection="0"/>
    <xf numFmtId="175" fontId="3" fillId="0" borderId="0" applyFon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1" applyNumberFormat="0" applyAlignment="0" applyProtection="0"/>
    <xf numFmtId="0" fontId="10" fillId="6" borderId="2" applyNumberFormat="0" applyAlignment="0" applyProtection="0"/>
    <xf numFmtId="0" fontId="11" fillId="6" borderId="1" applyNumberFormat="0" applyAlignment="0" applyProtection="0"/>
    <xf numFmtId="0" fontId="12" fillId="0" borderId="3" applyNumberFormat="0" applyFill="0" applyAlignment="0" applyProtection="0"/>
    <xf numFmtId="0" fontId="13" fillId="7" borderId="4" applyNumberFormat="0" applyAlignment="0" applyProtection="0"/>
    <xf numFmtId="0" fontId="3" fillId="8" borderId="5" applyNumberFormat="0" applyFont="0" applyAlignment="0" applyProtection="0"/>
    <xf numFmtId="0" fontId="14" fillId="0" borderId="0" applyNumberFormat="0" applyFill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167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0" borderId="8" applyNumberFormat="0" applyFill="0" applyAlignment="0" applyProtection="0"/>
    <xf numFmtId="0" fontId="20" fillId="0" borderId="9" applyNumberFormat="0" applyFill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10" applyNumberFormat="0" applyFill="0" applyAlignment="0" applyProtection="0"/>
    <xf numFmtId="0" fontId="2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3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3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4" fillId="34" borderId="0" applyNumberFormat="0">
      <alignment horizontal="left"/>
    </xf>
    <xf numFmtId="173" fontId="26" fillId="34" borderId="0" applyNumberFormat="0" applyBorder="0" applyProtection="0">
      <alignment horizontal="center"/>
    </xf>
    <xf numFmtId="0" fontId="27" fillId="35" borderId="0" applyNumberFormat="0" applyAlignment="0">
      <alignment horizontal="left"/>
    </xf>
    <xf numFmtId="175" fontId="29" fillId="35" borderId="0">
      <alignment horizontal="center"/>
    </xf>
    <xf numFmtId="0" fontId="30" fillId="0" borderId="0" applyNumberFormat="0" applyFill="0" applyBorder="0">
      <alignment horizontal="left" vertical="center"/>
    </xf>
    <xf numFmtId="169" fontId="31" fillId="0" borderId="0" applyNumberFormat="0" applyFill="0" applyBorder="0" applyAlignment="0" applyProtection="0"/>
    <xf numFmtId="169" fontId="32" fillId="0" borderId="0" applyNumberFormat="0" applyFill="0" applyBorder="0" applyAlignment="0" applyProtection="0"/>
    <xf numFmtId="0" fontId="33" fillId="14" borderId="0" applyNumberFormat="0" applyFont="0" applyAlignment="0" applyProtection="0">
      <alignment vertical="top"/>
    </xf>
    <xf numFmtId="176" fontId="37" fillId="37" borderId="12" applyNumberFormat="0">
      <protection locked="0"/>
    </xf>
    <xf numFmtId="173" fontId="37" fillId="34" borderId="0" applyNumberFormat="0" applyFill="0" applyBorder="0" applyAlignment="0" applyProtection="0"/>
    <xf numFmtId="171" fontId="38" fillId="0" borderId="0" applyFont="0" applyFill="0" applyBorder="0" applyAlignment="0" applyProtection="0"/>
    <xf numFmtId="170" fontId="38" fillId="0" borderId="0" applyFont="0" applyFill="0" applyBorder="0" applyAlignment="0" applyProtection="0"/>
  </cellStyleXfs>
  <cellXfs count="86">
    <xf numFmtId="174" fontId="0" fillId="0" borderId="0" xfId="0"/>
    <xf numFmtId="174" fontId="5" fillId="0" borderId="0" xfId="0" applyFont="1"/>
    <xf numFmtId="168" fontId="0" fillId="0" borderId="0" xfId="1" applyFont="1"/>
    <xf numFmtId="174" fontId="4" fillId="0" borderId="0" xfId="0" applyFont="1"/>
    <xf numFmtId="170" fontId="4" fillId="0" borderId="0" xfId="0" applyNumberFormat="1" applyFont="1"/>
    <xf numFmtId="168" fontId="2" fillId="0" borderId="0" xfId="0" applyNumberFormat="1" applyFont="1"/>
    <xf numFmtId="174" fontId="0" fillId="0" borderId="0" xfId="0" applyAlignment="1">
      <alignment horizontal="right"/>
    </xf>
    <xf numFmtId="174" fontId="2" fillId="0" borderId="0" xfId="0" applyFont="1"/>
    <xf numFmtId="174" fontId="0" fillId="0" borderId="0" xfId="0" quotePrefix="1"/>
    <xf numFmtId="173" fontId="27" fillId="35" borderId="0" xfId="52" applyNumberFormat="1" applyAlignment="1"/>
    <xf numFmtId="174" fontId="28" fillId="35" borderId="0" xfId="0" applyFont="1" applyFill="1"/>
    <xf numFmtId="174" fontId="25" fillId="0" borderId="0" xfId="0" applyFont="1"/>
    <xf numFmtId="174" fontId="33" fillId="0" borderId="0" xfId="0" applyFont="1" applyAlignment="1">
      <alignment vertical="top"/>
    </xf>
    <xf numFmtId="174" fontId="33" fillId="0" borderId="0" xfId="0" applyFont="1"/>
    <xf numFmtId="174" fontId="30" fillId="0" borderId="0" xfId="0" applyFont="1" applyAlignment="1">
      <alignment vertical="center"/>
    </xf>
    <xf numFmtId="174" fontId="34" fillId="0" borderId="0" xfId="0" applyFont="1" applyAlignment="1">
      <alignment vertical="center" wrapText="1"/>
    </xf>
    <xf numFmtId="173" fontId="33" fillId="14" borderId="0" xfId="57" applyNumberFormat="1" applyAlignment="1">
      <alignment horizontal="left" vertical="top"/>
    </xf>
    <xf numFmtId="173" fontId="35" fillId="14" borderId="0" xfId="57" applyNumberFormat="1" applyFont="1" applyAlignment="1">
      <alignment horizontal="center" vertical="top"/>
    </xf>
    <xf numFmtId="173" fontId="33" fillId="14" borderId="0" xfId="57" applyNumberFormat="1" applyAlignment="1"/>
    <xf numFmtId="173" fontId="34" fillId="14" borderId="0" xfId="57" applyNumberFormat="1" applyFont="1" applyAlignment="1">
      <alignment vertical="center" wrapText="1"/>
    </xf>
    <xf numFmtId="174" fontId="33" fillId="14" borderId="11" xfId="57" applyNumberFormat="1" applyBorder="1">
      <alignment vertical="top"/>
    </xf>
    <xf numFmtId="174" fontId="35" fillId="14" borderId="11" xfId="57" applyNumberFormat="1" applyFont="1" applyBorder="1" applyAlignment="1">
      <alignment horizontal="center" vertical="top"/>
    </xf>
    <xf numFmtId="174" fontId="33" fillId="14" borderId="11" xfId="57" applyNumberFormat="1" applyBorder="1" applyAlignment="1"/>
    <xf numFmtId="174" fontId="34" fillId="14" borderId="11" xfId="57" applyNumberFormat="1" applyFont="1" applyBorder="1" applyAlignment="1">
      <alignment vertical="center" wrapText="1"/>
    </xf>
    <xf numFmtId="173" fontId="24" fillId="34" borderId="0" xfId="50" applyNumberFormat="1" applyAlignment="1"/>
    <xf numFmtId="174" fontId="25" fillId="34" borderId="0" xfId="0" applyFont="1" applyFill="1"/>
    <xf numFmtId="174" fontId="33" fillId="36" borderId="0" xfId="0" applyFont="1" applyFill="1"/>
    <xf numFmtId="174" fontId="33" fillId="14" borderId="0" xfId="57" applyNumberFormat="1" applyAlignment="1"/>
    <xf numFmtId="174" fontId="33" fillId="14" borderId="0" xfId="57" applyNumberFormat="1" applyAlignment="1">
      <alignment horizontal="left" vertical="top"/>
    </xf>
    <xf numFmtId="174" fontId="35" fillId="14" borderId="0" xfId="57" applyNumberFormat="1" applyFont="1" applyAlignment="1">
      <alignment horizontal="center" vertical="top"/>
    </xf>
    <xf numFmtId="174" fontId="0" fillId="14" borderId="0" xfId="57" applyNumberFormat="1" applyFont="1" applyAlignment="1"/>
    <xf numFmtId="174" fontId="33" fillId="14" borderId="0" xfId="57" applyNumberFormat="1">
      <alignment vertical="top"/>
    </xf>
    <xf numFmtId="174" fontId="35" fillId="14" borderId="0" xfId="57" applyNumberFormat="1" applyFont="1">
      <alignment vertical="top"/>
    </xf>
    <xf numFmtId="174" fontId="33" fillId="14" borderId="0" xfId="57" applyNumberFormat="1" applyAlignment="1">
      <alignment vertical="top" wrapText="1"/>
    </xf>
    <xf numFmtId="173" fontId="33" fillId="14" borderId="0" xfId="57" applyNumberFormat="1">
      <alignment vertical="top"/>
    </xf>
    <xf numFmtId="173" fontId="36" fillId="14" borderId="0" xfId="57" applyNumberFormat="1" applyFont="1" applyAlignment="1">
      <alignment vertical="center" wrapText="1"/>
    </xf>
    <xf numFmtId="174" fontId="30" fillId="14" borderId="0" xfId="57" applyNumberFormat="1" applyFont="1" applyAlignment="1">
      <alignment vertical="center"/>
    </xf>
    <xf numFmtId="174" fontId="35" fillId="0" borderId="0" xfId="0" applyFont="1" applyAlignment="1">
      <alignment horizontal="center" vertical="top"/>
    </xf>
    <xf numFmtId="173" fontId="37" fillId="37" borderId="12" xfId="58" applyNumberFormat="1">
      <protection locked="0"/>
    </xf>
    <xf numFmtId="173" fontId="37" fillId="0" borderId="0" xfId="59" applyFill="1" applyAlignment="1">
      <alignment vertical="top"/>
    </xf>
    <xf numFmtId="173" fontId="33" fillId="0" borderId="0" xfId="57" applyNumberFormat="1" applyFill="1" applyAlignment="1"/>
    <xf numFmtId="174" fontId="24" fillId="34" borderId="0" xfId="50" applyNumberFormat="1">
      <alignment horizontal="left"/>
    </xf>
    <xf numFmtId="174" fontId="27" fillId="35" borderId="0" xfId="52" applyNumberFormat="1" applyAlignment="1"/>
    <xf numFmtId="169" fontId="37" fillId="0" borderId="0" xfId="59" applyNumberFormat="1" applyFill="1"/>
    <xf numFmtId="168" fontId="37" fillId="0" borderId="0" xfId="59" applyNumberFormat="1" applyFill="1"/>
    <xf numFmtId="172" fontId="37" fillId="0" borderId="0" xfId="59" applyNumberFormat="1" applyFill="1"/>
    <xf numFmtId="174" fontId="30" fillId="0" borderId="0" xfId="54" applyNumberFormat="1">
      <alignment horizontal="left" vertical="center"/>
    </xf>
    <xf numFmtId="174" fontId="3" fillId="0" borderId="0" xfId="0" applyFont="1"/>
    <xf numFmtId="174" fontId="3" fillId="0" borderId="0" xfId="0" applyFont="1" applyAlignment="1">
      <alignment horizontal="right"/>
    </xf>
    <xf numFmtId="174" fontId="3" fillId="0" borderId="0" xfId="0" applyFont="1" applyAlignment="1">
      <alignment horizontal="center"/>
    </xf>
    <xf numFmtId="168" fontId="3" fillId="0" borderId="0" xfId="1" applyFont="1" applyAlignment="1">
      <alignment horizontal="center"/>
    </xf>
    <xf numFmtId="168" fontId="38" fillId="0" borderId="0" xfId="1" applyFont="1"/>
    <xf numFmtId="168" fontId="0" fillId="0" borderId="0" xfId="0" applyNumberFormat="1"/>
    <xf numFmtId="168" fontId="3" fillId="0" borderId="0" xfId="1" applyFont="1"/>
    <xf numFmtId="15" fontId="0" fillId="0" borderId="0" xfId="0" applyNumberFormat="1"/>
    <xf numFmtId="175" fontId="29" fillId="35" borderId="0" xfId="53">
      <alignment horizontal="center"/>
    </xf>
    <xf numFmtId="174" fontId="37" fillId="0" borderId="0" xfId="59" applyNumberFormat="1" applyFill="1"/>
    <xf numFmtId="174" fontId="39" fillId="35" borderId="0" xfId="52" applyNumberFormat="1" applyFont="1" applyAlignment="1"/>
    <xf numFmtId="174" fontId="37" fillId="37" borderId="12" xfId="58" applyNumberFormat="1">
      <protection locked="0"/>
    </xf>
    <xf numFmtId="168" fontId="37" fillId="37" borderId="12" xfId="1" applyFont="1" applyFill="1" applyBorder="1" applyProtection="1">
      <protection locked="0"/>
    </xf>
    <xf numFmtId="170" fontId="3" fillId="0" borderId="0" xfId="0" applyNumberFormat="1" applyFont="1"/>
    <xf numFmtId="175" fontId="0" fillId="0" borderId="0" xfId="4" applyFont="1"/>
    <xf numFmtId="168" fontId="37" fillId="37" borderId="12" xfId="58" applyNumberFormat="1">
      <protection locked="0"/>
    </xf>
    <xf numFmtId="171" fontId="29" fillId="35" borderId="0" xfId="60" applyFont="1" applyFill="1" applyAlignment="1">
      <alignment horizontal="center"/>
    </xf>
    <xf numFmtId="170" fontId="29" fillId="35" borderId="0" xfId="61" applyFont="1" applyFill="1" applyAlignment="1">
      <alignment horizontal="center"/>
    </xf>
    <xf numFmtId="170" fontId="0" fillId="0" borderId="0" xfId="61" applyFont="1" applyAlignment="1">
      <alignment horizontal="left"/>
    </xf>
    <xf numFmtId="177" fontId="2" fillId="0" borderId="0" xfId="3"/>
    <xf numFmtId="168" fontId="37" fillId="0" borderId="0" xfId="1" applyFont="1"/>
    <xf numFmtId="168" fontId="26" fillId="34" borderId="0" xfId="1" applyFont="1" applyFill="1" applyAlignment="1">
      <alignment horizontal="center"/>
    </xf>
    <xf numFmtId="175" fontId="37" fillId="0" borderId="0" xfId="59" applyNumberFormat="1" applyFill="1"/>
    <xf numFmtId="177" fontId="0" fillId="0" borderId="0" xfId="3" applyFont="1"/>
    <xf numFmtId="177" fontId="2" fillId="0" borderId="0" xfId="3" applyFill="1"/>
    <xf numFmtId="174" fontId="37" fillId="0" borderId="12" xfId="58" applyNumberFormat="1" applyFill="1">
      <protection locked="0"/>
    </xf>
    <xf numFmtId="168" fontId="37" fillId="0" borderId="12" xfId="58" applyNumberFormat="1" applyFill="1">
      <protection locked="0"/>
    </xf>
    <xf numFmtId="174" fontId="0" fillId="0" borderId="0" xfId="0"/>
    <xf numFmtId="173" fontId="24" fillId="34" borderId="0" xfId="50" applyNumberFormat="1" applyAlignment="1">
      <alignment horizontal="center"/>
    </xf>
    <xf numFmtId="173" fontId="24" fillId="35" borderId="0" xfId="52" applyNumberFormat="1" applyFont="1" applyAlignment="1">
      <alignment horizontal="center" vertical="center"/>
    </xf>
    <xf numFmtId="173" fontId="33" fillId="14" borderId="0" xfId="57" applyNumberFormat="1" applyAlignment="1">
      <alignment horizontal="left" vertical="top"/>
    </xf>
    <xf numFmtId="173" fontId="0" fillId="14" borderId="0" xfId="0" applyNumberFormat="1" applyFill="1" applyAlignment="1">
      <alignment horizontal="center" vertical="center" wrapText="1"/>
    </xf>
    <xf numFmtId="174" fontId="0" fillId="14" borderId="0" xfId="57" applyNumberFormat="1" applyFont="1" applyAlignment="1">
      <alignment horizontal="left"/>
    </xf>
    <xf numFmtId="174" fontId="0" fillId="14" borderId="0" xfId="57" applyNumberFormat="1" applyFont="1" applyAlignment="1"/>
    <xf numFmtId="174" fontId="30" fillId="14" borderId="0" xfId="57" applyNumberFormat="1" applyFont="1" applyAlignment="1">
      <alignment horizontal="left" vertical="center"/>
    </xf>
    <xf numFmtId="175" fontId="0" fillId="14" borderId="0" xfId="57" applyNumberFormat="1" applyFont="1" applyAlignment="1">
      <alignment horizontal="left"/>
    </xf>
    <xf numFmtId="174" fontId="0" fillId="0" borderId="0" xfId="0" applyAlignment="1">
      <alignment horizontal="center"/>
    </xf>
    <xf numFmtId="174" fontId="0" fillId="0" borderId="6" xfId="0" applyBorder="1" applyAlignment="1">
      <alignment horizontal="center"/>
    </xf>
    <xf numFmtId="174" fontId="3" fillId="0" borderId="0" xfId="0" applyFont="1" applyAlignment="1">
      <alignment horizontal="center"/>
    </xf>
  </cellXfs>
  <cellStyles count="62">
    <cellStyle name="20% - Accent1" xfId="15" builtinId="30" hidden="1"/>
    <cellStyle name="20% - Accent2" xfId="16" builtinId="34" hidden="1"/>
    <cellStyle name="20% - Accent3" xfId="17" builtinId="38" hidden="1"/>
    <cellStyle name="20% - Accent4" xfId="18" builtinId="42" hidden="1"/>
    <cellStyle name="20% - Accent5" xfId="19" builtinId="46" hidden="1"/>
    <cellStyle name="20% - Accent6" xfId="47" builtinId="50" hidden="1"/>
    <cellStyle name="40% - Accent1" xfId="32" builtinId="31" hidden="1"/>
    <cellStyle name="40% - Accent2" xfId="35" builtinId="35" hidden="1"/>
    <cellStyle name="40% - Accent3" xfId="38" builtinId="39" hidden="1"/>
    <cellStyle name="40% - Accent4" xfId="41" builtinId="43" hidden="1"/>
    <cellStyle name="40% - Accent5" xfId="44" builtinId="47" hidden="1"/>
    <cellStyle name="40% - Accent6" xfId="48" builtinId="51" hidden="1"/>
    <cellStyle name="60% - Accent1" xfId="33" builtinId="32" hidden="1"/>
    <cellStyle name="60% - Accent2" xfId="36" builtinId="36" hidden="1"/>
    <cellStyle name="60% - Accent3" xfId="39" builtinId="40" hidden="1"/>
    <cellStyle name="60% - Accent4" xfId="42" builtinId="44" hidden="1"/>
    <cellStyle name="60% - Accent5" xfId="45" builtinId="48" hidden="1"/>
    <cellStyle name="60% - Accent6" xfId="49" builtinId="52" hidden="1"/>
    <cellStyle name="Accent1" xfId="31" builtinId="29" hidden="1"/>
    <cellStyle name="Accent2" xfId="34" builtinId="33" hidden="1"/>
    <cellStyle name="Accent3" xfId="37" builtinId="37" hidden="1"/>
    <cellStyle name="Accent4" xfId="40" builtinId="41" hidden="1"/>
    <cellStyle name="Accent5" xfId="43" builtinId="45" hidden="1"/>
    <cellStyle name="Accent6" xfId="46" builtinId="49" hidden="1"/>
    <cellStyle name="Actual" xfId="60" xr:uid="{8172DDA7-89F9-41CE-B03C-1AF7D81E7F6F}"/>
    <cellStyle name="Background Fill" xfId="57" xr:uid="{A5EACED6-5F15-448F-8116-F0A4F18165F9}"/>
    <cellStyle name="Bad" xfId="6" builtinId="27" hidden="1"/>
    <cellStyle name="blank" xfId="2" xr:uid="{00000000-0005-0000-0000-000007000000}"/>
    <cellStyle name="Calculation" xfId="10" builtinId="22" hidden="1"/>
    <cellStyle name="Check Cell" xfId="12" builtinId="23" hidden="1"/>
    <cellStyle name="Column Heading" xfId="51" xr:uid="{A56E15E3-C796-47B3-8814-14BD3AF2495F}"/>
    <cellStyle name="Comma" xfId="20" builtinId="3" hidden="1"/>
    <cellStyle name="Comma [0]" xfId="21" builtinId="6" hidden="1"/>
    <cellStyle name="Currency" xfId="22" builtinId="4" hidden="1"/>
    <cellStyle name="Currency [0]" xfId="23" builtinId="7" hidden="1"/>
    <cellStyle name="Date" xfId="4" xr:uid="{00000000-0005-0000-0000-00000C000000}"/>
    <cellStyle name="Date Heading" xfId="53" xr:uid="{534518F4-C10E-4787-AEBC-38EEBCFD0970}"/>
    <cellStyle name="Explanatory Text" xfId="14" builtinId="53" hidden="1"/>
    <cellStyle name="Followed Hyperlink" xfId="56" builtinId="9" hidden="1"/>
    <cellStyle name="Forecast" xfId="61" xr:uid="{CABA9A78-7981-48DF-84F2-61BEBF066703}"/>
    <cellStyle name="Good" xfId="5" builtinId="26" hidden="1"/>
    <cellStyle name="Hard Coded Number" xfId="59" xr:uid="{058E6296-ABF1-40D7-97C6-52934B68D39B}"/>
    <cellStyle name="Heading 1" xfId="25" builtinId="16" hidden="1"/>
    <cellStyle name="Heading 2" xfId="26" builtinId="17" hidden="1"/>
    <cellStyle name="Heading 3" xfId="27" builtinId="18" hidden="1"/>
    <cellStyle name="Heading 4" xfId="28" builtinId="19" hidden="1"/>
    <cellStyle name="Hyperlink" xfId="55" builtinId="8" hidden="1"/>
    <cellStyle name="Input" xfId="8" builtinId="20" hidden="1"/>
    <cellStyle name="Input" xfId="58" builtinId="20"/>
    <cellStyle name="Linked Cell" xfId="11" builtinId="24" hidden="1"/>
    <cellStyle name="Multiple" xfId="3" xr:uid="{00000000-0005-0000-0000-000016000000}"/>
    <cellStyle name="Neutral" xfId="7" builtinId="28" hidden="1"/>
    <cellStyle name="Normal" xfId="0" builtinId="0" customBuiltin="1"/>
    <cellStyle name="Note" xfId="13" builtinId="10" hidden="1"/>
    <cellStyle name="Output" xfId="9" builtinId="21" hidden="1"/>
    <cellStyle name="Per cent" xfId="1" builtinId="5" customBuiltin="1"/>
    <cellStyle name="Primary Title" xfId="50" xr:uid="{630B257D-FA6D-4A44-B635-08EE01E4EDD6}"/>
    <cellStyle name="Secondary Title" xfId="52" xr:uid="{83949DE6-A50F-442F-A626-BEE09520C5A0}"/>
    <cellStyle name="Tertiary Title" xfId="54" xr:uid="{BFB3F17F-2873-4CB8-BD96-E75AE3576C41}"/>
    <cellStyle name="Title" xfId="24" builtinId="15" hidden="1"/>
    <cellStyle name="Total" xfId="30" builtinId="25" hidden="1"/>
    <cellStyle name="Warning Text" xfId="29" builtinId="11" hidden="1"/>
  </cellStyles>
  <dxfs count="0"/>
  <tableStyles count="0" defaultTableStyle="TableStyleMedium2" defaultPivotStyle="PivotStyleLight16"/>
  <colors>
    <mruColors>
      <color rgb="FF5D6D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22860</xdr:colOff>
      <xdr:row>0</xdr:row>
      <xdr:rowOff>1021080</xdr:rowOff>
    </xdr:from>
    <xdr:to>
      <xdr:col>9</xdr:col>
      <xdr:colOff>457200</xdr:colOff>
      <xdr:row>0</xdr:row>
      <xdr:rowOff>1547633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93C35F7-8FC9-4A5A-B6A7-497C876287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98420" y="1021080"/>
          <a:ext cx="3596640" cy="52655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2034540</xdr:colOff>
      <xdr:row>0</xdr:row>
      <xdr:rowOff>123820</xdr:rowOff>
    </xdr:from>
    <xdr:to>
      <xdr:col>16</xdr:col>
      <xdr:colOff>197550</xdr:colOff>
      <xdr:row>0</xdr:row>
      <xdr:rowOff>466711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FFF9FF-564D-4F29-AD2D-B467F2E74B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780" y="123820"/>
          <a:ext cx="395670" cy="34289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fe.training/" TargetMode="External"/><Relationship Id="rId4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4A228-704F-4B05-9BCC-09D53A2F66B9}">
  <dimension ref="A1:AA19"/>
  <sheetViews>
    <sheetView showGridLines="0" tabSelected="1" zoomScaleNormal="100" zoomScaleSheetLayoutView="100" workbookViewId="0">
      <selection sqref="A1:N1"/>
    </sheetView>
  </sheetViews>
  <sheetFormatPr defaultColWidth="9.1328125" defaultRowHeight="14.25" x14ac:dyDescent="0.45"/>
  <cols>
    <col min="1" max="1" width="9.86328125" customWidth="1"/>
    <col min="2" max="13" width="9.19921875" customWidth="1"/>
    <col min="14" max="14" width="9.86328125" customWidth="1"/>
    <col min="15" max="26" width="9.1328125" customWidth="1"/>
  </cols>
  <sheetData>
    <row r="1" spans="1:27" s="11" customFormat="1" ht="189.75" customHeight="1" x14ac:dyDescent="0.85">
      <c r="A1" s="75"/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/>
      <c r="P1"/>
      <c r="Q1"/>
      <c r="R1"/>
      <c r="S1"/>
      <c r="T1"/>
      <c r="U1"/>
    </row>
    <row r="2" spans="1:27" s="12" customFormat="1" ht="75" customHeight="1" x14ac:dyDescent="0.45">
      <c r="A2" s="76" t="s">
        <v>288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/>
      <c r="P2"/>
      <c r="Q2"/>
      <c r="R2"/>
      <c r="S2"/>
      <c r="T2"/>
      <c r="U2"/>
      <c r="V2"/>
      <c r="W2"/>
      <c r="X2"/>
      <c r="Y2"/>
      <c r="Z2"/>
      <c r="AA2"/>
    </row>
    <row r="3" spans="1:27" s="13" customFormat="1" ht="7.5" customHeight="1" x14ac:dyDescent="0.45">
      <c r="B3" s="14"/>
      <c r="C3" s="14"/>
      <c r="F3" s="15"/>
      <c r="G3" s="15"/>
      <c r="H3" s="15"/>
      <c r="I3" s="15"/>
      <c r="J3" s="15"/>
      <c r="K3" s="15"/>
      <c r="O3"/>
      <c r="P3"/>
      <c r="Q3"/>
      <c r="R3"/>
      <c r="S3"/>
      <c r="T3"/>
      <c r="U3"/>
    </row>
    <row r="4" spans="1:27" s="13" customFormat="1" ht="15" customHeight="1" x14ac:dyDescent="0.45">
      <c r="A4" s="16"/>
      <c r="B4" s="17"/>
      <c r="C4" s="77"/>
      <c r="D4" s="77"/>
      <c r="E4" s="18"/>
      <c r="F4" s="19"/>
      <c r="G4" s="19"/>
      <c r="H4" s="19"/>
      <c r="I4" s="19"/>
      <c r="J4" s="19"/>
      <c r="K4" s="19"/>
      <c r="L4" s="18"/>
      <c r="M4" s="18"/>
      <c r="N4" s="18"/>
      <c r="O4"/>
      <c r="P4"/>
      <c r="Q4"/>
      <c r="R4"/>
      <c r="S4"/>
      <c r="T4"/>
      <c r="U4"/>
    </row>
    <row r="5" spans="1:27" s="13" customFormat="1" ht="15" customHeight="1" x14ac:dyDescent="0.45">
      <c r="A5" s="78" t="s">
        <v>289</v>
      </c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/>
      <c r="P5"/>
      <c r="Q5"/>
      <c r="R5"/>
      <c r="S5"/>
      <c r="T5"/>
      <c r="U5"/>
    </row>
    <row r="6" spans="1:27" s="13" customFormat="1" ht="15" customHeight="1" x14ac:dyDescent="0.45">
      <c r="A6" s="78"/>
      <c r="B6" s="78"/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/>
      <c r="P6"/>
      <c r="Q6"/>
      <c r="R6"/>
      <c r="S6"/>
      <c r="T6"/>
      <c r="U6"/>
    </row>
    <row r="7" spans="1:27" s="13" customFormat="1" ht="15" customHeight="1" x14ac:dyDescent="0.45">
      <c r="A7" s="78" t="str">
        <f ca="1">"© "&amp;YEAR(TODAY())&amp;" Financial Edge Training"</f>
        <v>© 2025 Financial Edge Training</v>
      </c>
      <c r="B7" s="78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/>
      <c r="P7"/>
      <c r="Q7"/>
      <c r="R7"/>
      <c r="S7"/>
      <c r="T7"/>
      <c r="U7"/>
    </row>
    <row r="8" spans="1:27" s="13" customFormat="1" ht="15" customHeight="1" x14ac:dyDescent="0.45">
      <c r="A8" s="78" t="s">
        <v>290</v>
      </c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/>
      <c r="P8"/>
      <c r="Q8"/>
      <c r="R8"/>
      <c r="S8"/>
      <c r="T8"/>
      <c r="U8"/>
    </row>
    <row r="9" spans="1:27" s="13" customFormat="1" ht="15" customHeight="1" thickBot="1" x14ac:dyDescent="0.5">
      <c r="A9" s="20"/>
      <c r="B9" s="21"/>
      <c r="C9" s="20"/>
      <c r="D9" s="20"/>
      <c r="E9" s="22"/>
      <c r="F9" s="23"/>
      <c r="G9" s="23"/>
      <c r="H9" s="23"/>
      <c r="I9" s="23"/>
      <c r="J9" s="23"/>
      <c r="K9" s="23"/>
      <c r="L9" s="22"/>
      <c r="M9" s="22"/>
      <c r="N9" s="22"/>
      <c r="O9"/>
      <c r="P9"/>
      <c r="Q9"/>
      <c r="R9"/>
      <c r="S9"/>
      <c r="T9"/>
      <c r="U9"/>
    </row>
    <row r="10" spans="1:27" s="13" customFormat="1" ht="15" customHeight="1" x14ac:dyDescent="0.45">
      <c r="A10"/>
      <c r="B10"/>
      <c r="C10"/>
      <c r="D10"/>
      <c r="E10"/>
      <c r="F10"/>
      <c r="G10" s="74"/>
      <c r="H10" s="74"/>
      <c r="I10" s="74"/>
      <c r="J10" s="74"/>
      <c r="K10"/>
      <c r="L10"/>
      <c r="M10"/>
      <c r="N10"/>
      <c r="O10"/>
      <c r="P10"/>
      <c r="Q10"/>
      <c r="R10"/>
      <c r="S10"/>
      <c r="T10"/>
      <c r="U10"/>
    </row>
    <row r="11" spans="1:27" s="13" customFormat="1" ht="15" customHeight="1" x14ac:dyDescent="0.45">
      <c r="A11"/>
      <c r="B11"/>
      <c r="C11"/>
      <c r="D11"/>
      <c r="E11"/>
      <c r="F11"/>
      <c r="G11" s="74"/>
      <c r="H11" s="74"/>
      <c r="I11" s="74"/>
      <c r="J11" s="74"/>
      <c r="K11"/>
      <c r="L11"/>
      <c r="M11"/>
      <c r="N11"/>
      <c r="O11"/>
      <c r="P11"/>
      <c r="Q11"/>
      <c r="R11"/>
      <c r="S11"/>
      <c r="T11"/>
      <c r="U11"/>
    </row>
    <row r="12" spans="1:27" s="13" customFormat="1" ht="15" customHeight="1" x14ac:dyDescent="0.4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</row>
    <row r="13" spans="1:27" s="13" customFormat="1" ht="15" customHeight="1" x14ac:dyDescent="0.45">
      <c r="A13"/>
      <c r="B13"/>
      <c r="C13"/>
      <c r="D13"/>
      <c r="E13"/>
      <c r="F13"/>
      <c r="G13" s="74"/>
      <c r="H13" s="74"/>
      <c r="I13" s="74"/>
      <c r="J13" s="74"/>
      <c r="K13"/>
      <c r="L13"/>
      <c r="M13"/>
      <c r="N13"/>
      <c r="O13"/>
      <c r="P13"/>
      <c r="Q13"/>
      <c r="R13"/>
      <c r="S13"/>
      <c r="T13"/>
      <c r="U13"/>
    </row>
    <row r="14" spans="1:27" s="13" customFormat="1" ht="15" customHeight="1" x14ac:dyDescent="0.45">
      <c r="A14"/>
      <c r="B14"/>
      <c r="C14"/>
      <c r="D14"/>
      <c r="E14"/>
      <c r="F14"/>
      <c r="G14" s="74"/>
      <c r="H14" s="74"/>
      <c r="I14" s="74"/>
      <c r="J14" s="74"/>
      <c r="K14"/>
      <c r="L14"/>
      <c r="M14"/>
      <c r="N14"/>
      <c r="O14"/>
      <c r="P14"/>
      <c r="Q14"/>
      <c r="R14"/>
      <c r="S14"/>
      <c r="T14"/>
      <c r="U14"/>
    </row>
    <row r="15" spans="1:27" s="13" customFormat="1" ht="15" customHeight="1" x14ac:dyDescent="0.45">
      <c r="A15"/>
      <c r="B15"/>
      <c r="C15"/>
      <c r="D15"/>
      <c r="E15"/>
      <c r="F15"/>
      <c r="G15" s="74"/>
      <c r="H15" s="74"/>
      <c r="I15" s="74"/>
      <c r="J15" s="74"/>
      <c r="K15"/>
      <c r="L15"/>
      <c r="M15"/>
      <c r="N15"/>
      <c r="O15"/>
      <c r="P15"/>
      <c r="Q15"/>
      <c r="R15"/>
      <c r="S15"/>
      <c r="T15"/>
      <c r="U15"/>
    </row>
    <row r="16" spans="1:27" s="13" customFormat="1" ht="15" customHeight="1" x14ac:dyDescent="0.4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</row>
    <row r="17" spans="1:21" s="13" customFormat="1" ht="15" customHeight="1" x14ac:dyDescent="0.45">
      <c r="A17"/>
      <c r="B17"/>
      <c r="C17"/>
      <c r="D17"/>
      <c r="E17"/>
      <c r="F17"/>
      <c r="G17" s="74"/>
      <c r="H17" s="74"/>
      <c r="I17" s="74"/>
      <c r="J17" s="74"/>
      <c r="K17"/>
      <c r="L17"/>
      <c r="M17"/>
      <c r="N17"/>
      <c r="O17"/>
      <c r="P17"/>
      <c r="Q17"/>
      <c r="R17"/>
      <c r="S17"/>
      <c r="T17"/>
      <c r="U17"/>
    </row>
    <row r="18" spans="1:21" s="13" customFormat="1" ht="15" customHeight="1" x14ac:dyDescent="0.4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</row>
    <row r="19" spans="1:21" ht="15" customHeight="1" x14ac:dyDescent="0.45"/>
  </sheetData>
  <mergeCells count="9">
    <mergeCell ref="G10:J11"/>
    <mergeCell ref="G13:J15"/>
    <mergeCell ref="G17:J17"/>
    <mergeCell ref="A1:N1"/>
    <mergeCell ref="A2:N2"/>
    <mergeCell ref="C4:D4"/>
    <mergeCell ref="A5:N6"/>
    <mergeCell ref="A7:N7"/>
    <mergeCell ref="A8:N8"/>
  </mergeCells>
  <hyperlinks>
    <hyperlink ref="A8" r:id="rId1" xr:uid="{2371EADF-0C32-4C5A-8E64-67E07EA1F31B}"/>
  </hyperlinks>
  <pageMargins left="0.7" right="0.7" top="0.75" bottom="0.75" header="0.3" footer="0.3"/>
  <pageSetup paperSize="9" scale="97" orientation="landscape" verticalDpi="1200" r:id="rId2"/>
  <headerFooter>
    <oddHeader xml:space="preserve">&amp;R&amp;10&amp;F 
&amp;A
</oddHeader>
    <oddFooter>&amp;L&amp;10© 2017&amp;C&amp;10Page &amp;P of &amp;N&amp;R&amp;G</oddFooter>
  </headerFooter>
  <drawing r:id="rId3"/>
  <legacyDrawingHF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99"/>
  <sheetViews>
    <sheetView zoomScaleNormal="100" workbookViewId="0">
      <pane xSplit="2" ySplit="2" topLeftCell="C3" activePane="bottomRight" state="frozen"/>
      <selection activeCell="N9" sqref="N9:Q9"/>
      <selection pane="topRight" activeCell="N9" sqref="N9:Q9"/>
      <selection pane="bottomLeft" activeCell="N9" sqref="N9:Q9"/>
      <selection pane="bottomRight"/>
    </sheetView>
  </sheetViews>
  <sheetFormatPr defaultRowHeight="15.75" x14ac:dyDescent="0.45"/>
  <cols>
    <col min="1" max="1" width="1.53125" style="46" customWidth="1"/>
    <col min="2" max="2" width="40.796875" customWidth="1"/>
    <col min="3" max="10" width="11.796875" customWidth="1"/>
  </cols>
  <sheetData>
    <row r="1" spans="1:14" ht="45" customHeight="1" x14ac:dyDescent="0.85">
      <c r="A1" s="41" t="s">
        <v>111</v>
      </c>
      <c r="B1" s="41"/>
      <c r="C1" s="41"/>
      <c r="D1" s="41"/>
      <c r="E1" s="41"/>
      <c r="F1" s="41"/>
      <c r="G1" s="41"/>
      <c r="H1" s="41"/>
      <c r="I1" s="41"/>
      <c r="J1" s="41"/>
    </row>
    <row r="2" spans="1:14" ht="30" customHeight="1" x14ac:dyDescent="0.65">
      <c r="A2" s="57" t="str">
        <f>"Figures in "&amp;Acquiror!C3&amp;" m except per share data"</f>
        <v>Figures in Euro m except per share data</v>
      </c>
      <c r="B2" s="42"/>
      <c r="C2" s="42"/>
      <c r="D2" s="63">
        <f>Acquiror!D2</f>
        <v>42004</v>
      </c>
      <c r="E2" s="63">
        <f>Acquiror!E2</f>
        <v>42369</v>
      </c>
      <c r="F2" s="64">
        <f>Acquiror!F2</f>
        <v>42735</v>
      </c>
      <c r="G2" s="64">
        <f>Acquiror!G2</f>
        <v>43100</v>
      </c>
      <c r="H2" s="64">
        <f>Acquiror!H2</f>
        <v>43465</v>
      </c>
      <c r="I2" s="64">
        <f>Acquiror!I2</f>
        <v>43830</v>
      </c>
      <c r="J2" s="64">
        <f>Acquiror!J2</f>
        <v>44196</v>
      </c>
    </row>
    <row r="3" spans="1:14" x14ac:dyDescent="0.45">
      <c r="A3" s="46" t="s">
        <v>48</v>
      </c>
    </row>
    <row r="4" spans="1:14" x14ac:dyDescent="0.45">
      <c r="B4" t="s">
        <v>4</v>
      </c>
    </row>
    <row r="5" spans="1:14" x14ac:dyDescent="0.45">
      <c r="B5" t="str">
        <f>"  "&amp;acquiror</f>
        <v xml:space="preserve">  Bayer</v>
      </c>
    </row>
    <row r="6" spans="1:14" x14ac:dyDescent="0.45">
      <c r="B6" t="str">
        <f>"  "&amp;target</f>
        <v xml:space="preserve">  Monsanto</v>
      </c>
    </row>
    <row r="7" spans="1:14" x14ac:dyDescent="0.45">
      <c r="B7" t="s">
        <v>49</v>
      </c>
    </row>
    <row r="8" spans="1:14" s="3" customFormat="1" x14ac:dyDescent="0.45">
      <c r="A8" s="46"/>
      <c r="B8" t="s">
        <v>50</v>
      </c>
      <c r="C8"/>
      <c r="D8"/>
      <c r="E8"/>
      <c r="F8"/>
      <c r="G8"/>
      <c r="H8"/>
      <c r="I8"/>
      <c r="J8"/>
      <c r="K8"/>
      <c r="L8"/>
      <c r="M8"/>
      <c r="N8"/>
    </row>
    <row r="9" spans="1:14" s="1" customFormat="1" x14ac:dyDescent="0.45">
      <c r="A9" s="46"/>
      <c r="B9" t="s">
        <v>5</v>
      </c>
      <c r="C9"/>
      <c r="D9"/>
      <c r="E9" s="2"/>
      <c r="F9" s="2"/>
      <c r="G9" s="2"/>
      <c r="H9" s="2"/>
      <c r="I9" s="2"/>
      <c r="J9" s="2"/>
      <c r="K9"/>
      <c r="L9"/>
      <c r="M9"/>
      <c r="N9"/>
    </row>
    <row r="11" spans="1:14" x14ac:dyDescent="0.45">
      <c r="B11" t="s">
        <v>121</v>
      </c>
    </row>
    <row r="12" spans="1:14" s="3" customFormat="1" x14ac:dyDescent="0.45">
      <c r="A12" s="46"/>
      <c r="B12" t="s">
        <v>8</v>
      </c>
      <c r="C12"/>
      <c r="D12"/>
      <c r="E12"/>
      <c r="F12"/>
      <c r="G12"/>
      <c r="H12"/>
      <c r="I12"/>
      <c r="J12"/>
      <c r="K12"/>
      <c r="L12"/>
      <c r="M12"/>
      <c r="N12"/>
    </row>
    <row r="13" spans="1:14" x14ac:dyDescent="0.45">
      <c r="B13" t="s">
        <v>7</v>
      </c>
      <c r="D13" s="2"/>
      <c r="E13" s="2"/>
      <c r="F13" s="2"/>
      <c r="G13" s="2"/>
      <c r="H13" s="2"/>
      <c r="I13" s="2"/>
      <c r="J13" s="2"/>
    </row>
    <row r="15" spans="1:14" x14ac:dyDescent="0.45">
      <c r="B15" t="s">
        <v>9</v>
      </c>
    </row>
    <row r="16" spans="1:14" x14ac:dyDescent="0.45">
      <c r="B16" t="s">
        <v>64</v>
      </c>
    </row>
    <row r="17" spans="1:14" x14ac:dyDescent="0.45">
      <c r="B17" t="s">
        <v>352</v>
      </c>
    </row>
    <row r="18" spans="1:14" x14ac:dyDescent="0.45">
      <c r="B18" t="s">
        <v>122</v>
      </c>
    </row>
    <row r="19" spans="1:14" s="3" customFormat="1" x14ac:dyDescent="0.45">
      <c r="A19" s="46"/>
      <c r="B19" t="s">
        <v>10</v>
      </c>
      <c r="C19"/>
      <c r="D19"/>
      <c r="E19"/>
      <c r="F19"/>
      <c r="G19"/>
      <c r="H19"/>
      <c r="I19"/>
      <c r="J19"/>
      <c r="K19"/>
      <c r="L19"/>
      <c r="M19"/>
      <c r="N19"/>
    </row>
    <row r="20" spans="1:14" x14ac:dyDescent="0.45">
      <c r="B20" t="s">
        <v>7</v>
      </c>
      <c r="D20" s="2"/>
      <c r="E20" s="2"/>
      <c r="F20" s="2"/>
      <c r="G20" s="2"/>
      <c r="H20" s="2"/>
      <c r="I20" s="2"/>
      <c r="J20" s="2"/>
    </row>
    <row r="22" spans="1:14" x14ac:dyDescent="0.45">
      <c r="B22" t="s">
        <v>63</v>
      </c>
    </row>
    <row r="23" spans="1:14" x14ac:dyDescent="0.45">
      <c r="B23" t="s">
        <v>325</v>
      </c>
    </row>
    <row r="24" spans="1:14" x14ac:dyDescent="0.45">
      <c r="B24" t="s">
        <v>12</v>
      </c>
    </row>
    <row r="25" spans="1:14" x14ac:dyDescent="0.45">
      <c r="B25" t="s">
        <v>7</v>
      </c>
      <c r="D25" s="2"/>
      <c r="E25" s="2"/>
      <c r="F25" s="2"/>
      <c r="G25" s="2"/>
      <c r="H25" s="2"/>
      <c r="I25" s="2"/>
      <c r="J25" s="2"/>
    </row>
    <row r="27" spans="1:14" x14ac:dyDescent="0.45">
      <c r="B27" t="s">
        <v>68</v>
      </c>
    </row>
    <row r="28" spans="1:14" x14ac:dyDescent="0.45">
      <c r="B28" t="s">
        <v>65</v>
      </c>
    </row>
    <row r="29" spans="1:14" x14ac:dyDescent="0.45">
      <c r="B29" t="s">
        <v>278</v>
      </c>
    </row>
    <row r="30" spans="1:14" x14ac:dyDescent="0.45">
      <c r="B30" t="s">
        <v>69</v>
      </c>
    </row>
    <row r="31" spans="1:14" x14ac:dyDescent="0.45">
      <c r="B31" t="s">
        <v>349</v>
      </c>
      <c r="D31" s="56"/>
      <c r="E31" s="56"/>
      <c r="F31" s="56"/>
    </row>
    <row r="32" spans="1:14" x14ac:dyDescent="0.45">
      <c r="B32" t="s">
        <v>13</v>
      </c>
    </row>
    <row r="33" spans="1:14" x14ac:dyDescent="0.45">
      <c r="B33" t="s">
        <v>14</v>
      </c>
    </row>
    <row r="34" spans="1:14" s="3" customFormat="1" x14ac:dyDescent="0.45">
      <c r="A34" s="46"/>
      <c r="B34" t="s">
        <v>15</v>
      </c>
      <c r="C34"/>
      <c r="D34"/>
      <c r="E34"/>
      <c r="F34"/>
      <c r="G34"/>
      <c r="H34"/>
      <c r="I34"/>
      <c r="J34"/>
      <c r="K34"/>
      <c r="L34"/>
      <c r="M34"/>
      <c r="N34"/>
    </row>
    <row r="35" spans="1:14" x14ac:dyDescent="0.45">
      <c r="B35" t="s">
        <v>23</v>
      </c>
    </row>
    <row r="36" spans="1:14" x14ac:dyDescent="0.45">
      <c r="B36" t="s">
        <v>70</v>
      </c>
    </row>
    <row r="37" spans="1:14" s="3" customFormat="1" x14ac:dyDescent="0.45">
      <c r="A37" s="46"/>
      <c r="B37" t="s">
        <v>344</v>
      </c>
      <c r="C37"/>
      <c r="D37"/>
      <c r="E37"/>
      <c r="F37"/>
      <c r="G37"/>
      <c r="H37"/>
      <c r="I37"/>
      <c r="J37"/>
      <c r="K37"/>
      <c r="L37"/>
      <c r="M37"/>
      <c r="N37"/>
    </row>
    <row r="38" spans="1:14" x14ac:dyDescent="0.45">
      <c r="B38" t="s">
        <v>321</v>
      </c>
    </row>
    <row r="39" spans="1:14" x14ac:dyDescent="0.45">
      <c r="B39" t="s">
        <v>322</v>
      </c>
    </row>
    <row r="40" spans="1:14" x14ac:dyDescent="0.45">
      <c r="B40" t="s">
        <v>28</v>
      </c>
    </row>
    <row r="43" spans="1:14" x14ac:dyDescent="0.45">
      <c r="A43" s="46" t="s">
        <v>53</v>
      </c>
    </row>
    <row r="44" spans="1:14" x14ac:dyDescent="0.45">
      <c r="B44" t="s">
        <v>18</v>
      </c>
      <c r="E44" s="6"/>
    </row>
    <row r="45" spans="1:14" x14ac:dyDescent="0.45">
      <c r="B45" t="s">
        <v>73</v>
      </c>
      <c r="E45" s="6"/>
    </row>
    <row r="46" spans="1:14" x14ac:dyDescent="0.45">
      <c r="B46" t="s">
        <v>74</v>
      </c>
      <c r="E46" s="6"/>
    </row>
    <row r="47" spans="1:14" x14ac:dyDescent="0.45">
      <c r="B47" t="s">
        <v>356</v>
      </c>
      <c r="E47" s="6"/>
    </row>
    <row r="48" spans="1:14" x14ac:dyDescent="0.45">
      <c r="B48" t="s">
        <v>19</v>
      </c>
      <c r="E48" s="6"/>
    </row>
    <row r="49" spans="1:14" x14ac:dyDescent="0.45">
      <c r="B49" t="s">
        <v>20</v>
      </c>
      <c r="E49" s="6"/>
    </row>
    <row r="50" spans="1:14" x14ac:dyDescent="0.45">
      <c r="B50" t="s">
        <v>21</v>
      </c>
      <c r="E50" s="6"/>
    </row>
    <row r="51" spans="1:14" x14ac:dyDescent="0.45">
      <c r="B51" t="s">
        <v>357</v>
      </c>
      <c r="E51" s="6"/>
    </row>
    <row r="52" spans="1:14" s="3" customFormat="1" x14ac:dyDescent="0.45">
      <c r="A52" s="46"/>
      <c r="B52" t="s">
        <v>22</v>
      </c>
      <c r="C52"/>
      <c r="D52"/>
      <c r="E52" s="6"/>
      <c r="F52"/>
      <c r="G52"/>
      <c r="H52"/>
      <c r="I52"/>
      <c r="J52"/>
      <c r="K52"/>
      <c r="L52"/>
      <c r="M52"/>
      <c r="N52"/>
    </row>
    <row r="53" spans="1:14" x14ac:dyDescent="0.45">
      <c r="E53" s="6"/>
    </row>
    <row r="54" spans="1:14" x14ac:dyDescent="0.45">
      <c r="B54" t="s">
        <v>358</v>
      </c>
      <c r="E54" s="6"/>
    </row>
    <row r="55" spans="1:14" x14ac:dyDescent="0.45">
      <c r="B55" t="s">
        <v>77</v>
      </c>
      <c r="E55" s="6"/>
    </row>
    <row r="56" spans="1:14" x14ac:dyDescent="0.45">
      <c r="B56" t="s">
        <v>78</v>
      </c>
      <c r="E56" s="6"/>
    </row>
    <row r="57" spans="1:14" x14ac:dyDescent="0.45">
      <c r="B57" t="s">
        <v>359</v>
      </c>
      <c r="E57" s="6"/>
    </row>
    <row r="58" spans="1:14" x14ac:dyDescent="0.45">
      <c r="B58" t="s">
        <v>351</v>
      </c>
      <c r="E58" s="6"/>
    </row>
    <row r="59" spans="1:14" x14ac:dyDescent="0.45">
      <c r="B59" t="s">
        <v>348</v>
      </c>
      <c r="E59" s="6"/>
    </row>
    <row r="60" spans="1:14" x14ac:dyDescent="0.45">
      <c r="B60" t="s">
        <v>38</v>
      </c>
      <c r="E60" s="6"/>
    </row>
    <row r="61" spans="1:14" x14ac:dyDescent="0.45">
      <c r="B61" t="s">
        <v>76</v>
      </c>
      <c r="E61" s="6"/>
    </row>
    <row r="62" spans="1:14" x14ac:dyDescent="0.45">
      <c r="B62" t="s">
        <v>79</v>
      </c>
      <c r="E62" s="6"/>
    </row>
    <row r="63" spans="1:14" x14ac:dyDescent="0.45">
      <c r="B63" t="s">
        <v>360</v>
      </c>
      <c r="E63" s="6"/>
    </row>
    <row r="64" spans="1:14" x14ac:dyDescent="0.45">
      <c r="B64" t="s">
        <v>23</v>
      </c>
      <c r="E64" s="6"/>
    </row>
    <row r="65" spans="1:14" x14ac:dyDescent="0.45">
      <c r="B65" t="s">
        <v>24</v>
      </c>
      <c r="E65" s="6"/>
    </row>
    <row r="66" spans="1:14" s="3" customFormat="1" x14ac:dyDescent="0.45">
      <c r="A66" s="46"/>
      <c r="B66" t="s">
        <v>324</v>
      </c>
      <c r="C66"/>
      <c r="D66"/>
      <c r="E66" s="6"/>
      <c r="F66"/>
      <c r="G66"/>
      <c r="H66"/>
      <c r="I66"/>
      <c r="J66"/>
      <c r="K66"/>
      <c r="L66"/>
      <c r="M66"/>
      <c r="N66"/>
    </row>
    <row r="67" spans="1:14" s="3" customFormat="1" x14ac:dyDescent="0.45">
      <c r="A67" s="46"/>
      <c r="B67"/>
      <c r="C67"/>
      <c r="D67"/>
      <c r="E67" s="6"/>
      <c r="F67"/>
      <c r="G67"/>
      <c r="H67"/>
      <c r="I67"/>
      <c r="J67"/>
      <c r="K67"/>
      <c r="L67"/>
      <c r="M67"/>
      <c r="N67"/>
    </row>
    <row r="68" spans="1:14" x14ac:dyDescent="0.45">
      <c r="B68" t="s">
        <v>26</v>
      </c>
      <c r="E68" s="6"/>
    </row>
    <row r="70" spans="1:14" x14ac:dyDescent="0.45">
      <c r="A70" s="46" t="s">
        <v>54</v>
      </c>
    </row>
    <row r="71" spans="1:14" x14ac:dyDescent="0.45">
      <c r="B71" t="s">
        <v>15</v>
      </c>
    </row>
    <row r="72" spans="1:14" x14ac:dyDescent="0.45">
      <c r="B72" t="s">
        <v>63</v>
      </c>
    </row>
    <row r="73" spans="1:14" x14ac:dyDescent="0.45">
      <c r="B73" t="s">
        <v>325</v>
      </c>
    </row>
    <row r="74" spans="1:14" x14ac:dyDescent="0.45">
      <c r="B74" t="s">
        <v>349</v>
      </c>
    </row>
    <row r="75" spans="1:14" x14ac:dyDescent="0.45">
      <c r="B75" t="s">
        <v>132</v>
      </c>
    </row>
    <row r="76" spans="1:14" x14ac:dyDescent="0.45">
      <c r="B76" t="s">
        <v>133</v>
      </c>
    </row>
    <row r="77" spans="1:14" x14ac:dyDescent="0.45">
      <c r="B77" t="s">
        <v>361</v>
      </c>
    </row>
    <row r="78" spans="1:14" x14ac:dyDescent="0.45">
      <c r="B78" t="s">
        <v>134</v>
      </c>
    </row>
    <row r="79" spans="1:14" x14ac:dyDescent="0.45">
      <c r="B79" t="s">
        <v>135</v>
      </c>
    </row>
    <row r="80" spans="1:14" x14ac:dyDescent="0.45">
      <c r="B80" t="s">
        <v>362</v>
      </c>
    </row>
    <row r="81" spans="2:2" x14ac:dyDescent="0.45">
      <c r="B81" t="s">
        <v>363</v>
      </c>
    </row>
    <row r="82" spans="2:2" x14ac:dyDescent="0.45">
      <c r="B82" t="s">
        <v>136</v>
      </c>
    </row>
    <row r="83" spans="2:2" x14ac:dyDescent="0.45">
      <c r="B83" t="s">
        <v>137</v>
      </c>
    </row>
    <row r="84" spans="2:2" x14ac:dyDescent="0.45">
      <c r="B84" t="s">
        <v>364</v>
      </c>
    </row>
    <row r="85" spans="2:2" x14ac:dyDescent="0.45">
      <c r="B85" t="s">
        <v>91</v>
      </c>
    </row>
    <row r="87" spans="2:2" x14ac:dyDescent="0.45">
      <c r="B87" t="s">
        <v>27</v>
      </c>
    </row>
    <row r="88" spans="2:2" x14ac:dyDescent="0.45">
      <c r="B88" t="s">
        <v>92</v>
      </c>
    </row>
    <row r="90" spans="2:2" x14ac:dyDescent="0.45">
      <c r="B90" t="s">
        <v>365</v>
      </c>
    </row>
    <row r="91" spans="2:2" x14ac:dyDescent="0.45">
      <c r="B91" t="s">
        <v>353</v>
      </c>
    </row>
    <row r="92" spans="2:2" x14ac:dyDescent="0.45">
      <c r="B92" t="s">
        <v>28</v>
      </c>
    </row>
    <row r="93" spans="2:2" x14ac:dyDescent="0.45">
      <c r="B93" t="s">
        <v>93</v>
      </c>
    </row>
    <row r="95" spans="2:2" x14ac:dyDescent="0.45">
      <c r="B95" t="s">
        <v>29</v>
      </c>
    </row>
    <row r="96" spans="2:2" x14ac:dyDescent="0.45">
      <c r="B96" t="s">
        <v>94</v>
      </c>
    </row>
    <row r="97" spans="1:2" x14ac:dyDescent="0.45">
      <c r="B97" t="s">
        <v>95</v>
      </c>
    </row>
    <row r="99" spans="1:2" x14ac:dyDescent="0.45">
      <c r="A99" s="46" t="s">
        <v>330</v>
      </c>
    </row>
  </sheetData>
  <printOptions headings="1" gridLines="1"/>
  <pageMargins left="0.7" right="0.7" top="0.75" bottom="0.75" header="0.3" footer="0.3"/>
  <pageSetup paperSize="9" scale="64" orientation="landscape" r:id="rId1"/>
  <headerFooter>
    <oddHeader xml:space="preserve">&amp;R&amp;10&amp;F 
&amp;A
</oddHeader>
    <oddFooter>&amp;L&amp;10© 2017&amp;C&amp;10Page &amp;P of &amp;N&amp;R&amp;G</oddFooter>
  </headerFooter>
  <rowBreaks count="2" manualBreakCount="2">
    <brk id="42" max="9" man="1"/>
    <brk id="86" max="9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45"/>
  <sheetViews>
    <sheetView zoomScaleNormal="100" workbookViewId="0">
      <pane xSplit="2" ySplit="2" topLeftCell="C3" activePane="bottomRight" state="frozen"/>
      <selection activeCell="N9" sqref="N9:Q9"/>
      <selection pane="topRight" activeCell="N9" sqref="N9:Q9"/>
      <selection pane="bottomLeft" activeCell="N9" sqref="N9:Q9"/>
      <selection pane="bottomRight"/>
    </sheetView>
  </sheetViews>
  <sheetFormatPr defaultColWidth="9.1328125" defaultRowHeight="15.75" x14ac:dyDescent="0.45"/>
  <cols>
    <col min="1" max="1" width="1.53125" style="46" customWidth="1"/>
    <col min="2" max="2" width="40.796875" customWidth="1"/>
    <col min="3" max="10" width="11.796875" customWidth="1"/>
  </cols>
  <sheetData>
    <row r="1" spans="1:10" ht="45" customHeight="1" x14ac:dyDescent="0.85">
      <c r="A1" s="41" t="s">
        <v>111</v>
      </c>
      <c r="B1" s="41"/>
      <c r="C1" s="41"/>
      <c r="D1" s="41"/>
      <c r="E1" s="41"/>
      <c r="F1" s="41"/>
      <c r="G1" s="41"/>
      <c r="H1" s="41"/>
      <c r="I1" s="41"/>
      <c r="J1" s="41"/>
    </row>
    <row r="2" spans="1:10" ht="30" customHeight="1" x14ac:dyDescent="0.65">
      <c r="A2" s="42" t="str">
        <f>"Figures in "&amp;Acquiror!C3&amp;" m except per share data"</f>
        <v>Figures in Euro m except per share data</v>
      </c>
      <c r="B2" s="42"/>
      <c r="C2" s="42"/>
      <c r="D2" s="42"/>
      <c r="E2" s="42"/>
      <c r="F2" s="42"/>
      <c r="G2" s="64">
        <f>+Newco!G2</f>
        <v>43100</v>
      </c>
      <c r="H2" s="64">
        <f>+Newco!H2</f>
        <v>43465</v>
      </c>
      <c r="I2" s="64">
        <f>+Newco!I2</f>
        <v>43830</v>
      </c>
      <c r="J2" s="64">
        <f>+Newco!J2</f>
        <v>44196</v>
      </c>
    </row>
    <row r="3" spans="1:10" x14ac:dyDescent="0.45">
      <c r="A3" s="46" t="s">
        <v>190</v>
      </c>
    </row>
    <row r="4" spans="1:10" x14ac:dyDescent="0.45">
      <c r="B4" t="s">
        <v>345</v>
      </c>
    </row>
    <row r="5" spans="1:10" x14ac:dyDescent="0.45">
      <c r="B5" t="s">
        <v>181</v>
      </c>
    </row>
    <row r="6" spans="1:10" x14ac:dyDescent="0.45">
      <c r="B6" t="s">
        <v>346</v>
      </c>
    </row>
    <row r="8" spans="1:10" x14ac:dyDescent="0.45">
      <c r="B8" t="s">
        <v>182</v>
      </c>
    </row>
    <row r="9" spans="1:10" x14ac:dyDescent="0.45">
      <c r="B9" t="s">
        <v>183</v>
      </c>
    </row>
    <row r="11" spans="1:10" x14ac:dyDescent="0.45">
      <c r="B11" t="str">
        <f>acquiror&amp;" standalone EPS"</f>
        <v>Bayer standalone EPS</v>
      </c>
    </row>
    <row r="12" spans="1:10" x14ac:dyDescent="0.45">
      <c r="B12" t="s">
        <v>184</v>
      </c>
      <c r="G12" s="2"/>
      <c r="H12" s="2"/>
      <c r="I12" s="2"/>
      <c r="J12" s="2"/>
    </row>
    <row r="13" spans="1:10" x14ac:dyDescent="0.45">
      <c r="B13" t="s">
        <v>185</v>
      </c>
    </row>
    <row r="15" spans="1:10" x14ac:dyDescent="0.45">
      <c r="B15" t="s">
        <v>189</v>
      </c>
    </row>
    <row r="16" spans="1:10" x14ac:dyDescent="0.45">
      <c r="B16" t="s">
        <v>186</v>
      </c>
    </row>
    <row r="17" spans="1:15" x14ac:dyDescent="0.45">
      <c r="B17" t="s">
        <v>187</v>
      </c>
    </row>
    <row r="18" spans="1:15" x14ac:dyDescent="0.45">
      <c r="B18" t="s">
        <v>188</v>
      </c>
    </row>
    <row r="20" spans="1:15" x14ac:dyDescent="0.45">
      <c r="A20" s="46" t="s">
        <v>229</v>
      </c>
    </row>
    <row r="21" spans="1:15" x14ac:dyDescent="0.45">
      <c r="B21" t="str">
        <f>acquiror</f>
        <v>Bayer</v>
      </c>
      <c r="F21" s="2"/>
    </row>
    <row r="22" spans="1:15" x14ac:dyDescent="0.45">
      <c r="B22" t="str">
        <f>target</f>
        <v>Monsanto</v>
      </c>
      <c r="F22" s="2"/>
    </row>
    <row r="25" spans="1:15" x14ac:dyDescent="0.45">
      <c r="A25" s="46" t="s">
        <v>191</v>
      </c>
    </row>
    <row r="26" spans="1:15" x14ac:dyDescent="0.45">
      <c r="B26" t="s">
        <v>336</v>
      </c>
    </row>
    <row r="27" spans="1:15" x14ac:dyDescent="0.45">
      <c r="B27" t="s">
        <v>192</v>
      </c>
    </row>
    <row r="28" spans="1:15" x14ac:dyDescent="0.45">
      <c r="B28" t="s">
        <v>23</v>
      </c>
    </row>
    <row r="29" spans="1:15" x14ac:dyDescent="0.45">
      <c r="B29" t="s">
        <v>194</v>
      </c>
    </row>
    <row r="30" spans="1:15" s="3" customFormat="1" x14ac:dyDescent="0.45">
      <c r="A30" s="46"/>
      <c r="B30" t="s">
        <v>337</v>
      </c>
      <c r="C30"/>
      <c r="D30"/>
      <c r="E30"/>
      <c r="F30"/>
      <c r="G30"/>
      <c r="H30"/>
      <c r="I30"/>
      <c r="J30"/>
      <c r="K30"/>
      <c r="L30"/>
      <c r="M30"/>
      <c r="N30"/>
      <c r="O30"/>
    </row>
    <row r="31" spans="1:15" x14ac:dyDescent="0.45">
      <c r="B31" t="s">
        <v>193</v>
      </c>
    </row>
    <row r="33" spans="1:10" x14ac:dyDescent="0.45">
      <c r="B33" t="s">
        <v>195</v>
      </c>
    </row>
    <row r="34" spans="1:10" x14ac:dyDescent="0.45">
      <c r="B34" t="s">
        <v>196</v>
      </c>
    </row>
    <row r="35" spans="1:10" x14ac:dyDescent="0.45">
      <c r="B35" t="s">
        <v>197</v>
      </c>
    </row>
    <row r="36" spans="1:10" x14ac:dyDescent="0.45">
      <c r="B36" t="s">
        <v>338</v>
      </c>
    </row>
    <row r="37" spans="1:10" x14ac:dyDescent="0.45">
      <c r="B37" t="s">
        <v>215</v>
      </c>
      <c r="G37" s="2"/>
      <c r="H37" s="2"/>
      <c r="I37" s="2"/>
      <c r="J37" s="2"/>
    </row>
    <row r="39" spans="1:10" x14ac:dyDescent="0.45">
      <c r="B39" t="str">
        <f>acquiror&amp;" standalone credit statistics"</f>
        <v>Bayer standalone credit statistics</v>
      </c>
    </row>
    <row r="40" spans="1:10" x14ac:dyDescent="0.45">
      <c r="B40" t="s">
        <v>196</v>
      </c>
    </row>
    <row r="41" spans="1:10" x14ac:dyDescent="0.45">
      <c r="B41" t="s">
        <v>197</v>
      </c>
    </row>
    <row r="42" spans="1:10" x14ac:dyDescent="0.45">
      <c r="B42" t="s">
        <v>338</v>
      </c>
    </row>
    <row r="43" spans="1:10" x14ac:dyDescent="0.45">
      <c r="B43" t="s">
        <v>215</v>
      </c>
    </row>
    <row r="45" spans="1:10" x14ac:dyDescent="0.45">
      <c r="A45" s="46" t="s">
        <v>330</v>
      </c>
    </row>
  </sheetData>
  <printOptions headings="1" gridLines="1"/>
  <pageMargins left="0.7" right="0.7" top="0.75" bottom="0.75" header="0.3" footer="0.3"/>
  <pageSetup paperSize="9" scale="56" orientation="landscape" r:id="rId1"/>
  <headerFooter>
    <oddHeader xml:space="preserve">&amp;R&amp;10&amp;F 
&amp;A
</oddHeader>
    <oddFooter>&amp;L&amp;10© 2017&amp;C&amp;10Page &amp;P of &amp;N&amp;R&amp;G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50"/>
  <sheetViews>
    <sheetView zoomScaleNormal="100" workbookViewId="0">
      <pane xSplit="2" ySplit="2" topLeftCell="C3" activePane="bottomRight" state="frozen"/>
      <selection activeCell="N9" sqref="N9:Q9"/>
      <selection pane="topRight" activeCell="N9" sqref="N9:Q9"/>
      <selection pane="bottomLeft" activeCell="N9" sqref="N9:Q9"/>
      <selection pane="bottomRight"/>
    </sheetView>
  </sheetViews>
  <sheetFormatPr defaultRowHeight="15.75" x14ac:dyDescent="0.45"/>
  <cols>
    <col min="1" max="1" width="1.53125" style="46" customWidth="1"/>
    <col min="2" max="2" width="40.796875" customWidth="1"/>
    <col min="3" max="10" width="11.796875" customWidth="1"/>
  </cols>
  <sheetData>
    <row r="1" spans="1:10" ht="45" customHeight="1" x14ac:dyDescent="0.85">
      <c r="A1" s="41" t="s">
        <v>111</v>
      </c>
      <c r="B1" s="41"/>
      <c r="C1" s="41"/>
      <c r="D1" s="41"/>
      <c r="E1" s="41"/>
      <c r="F1" s="41"/>
      <c r="G1" s="41"/>
      <c r="H1" s="41"/>
      <c r="I1" s="41"/>
      <c r="J1" s="41"/>
    </row>
    <row r="2" spans="1:10" ht="30" customHeight="1" x14ac:dyDescent="0.65">
      <c r="A2" s="42" t="str">
        <f>"Figures in "&amp;Acquiror!C3&amp;" m except per share data"</f>
        <v>Figures in Euro m except per share data</v>
      </c>
      <c r="B2" s="42"/>
      <c r="C2" s="42"/>
      <c r="D2" s="42"/>
      <c r="E2" s="42"/>
      <c r="F2" s="42"/>
      <c r="G2" s="64">
        <f>+Newco!G2</f>
        <v>43100</v>
      </c>
      <c r="H2" s="64">
        <f>+Newco!H2</f>
        <v>43465</v>
      </c>
      <c r="I2" s="64">
        <f>+Newco!I2</f>
        <v>43830</v>
      </c>
      <c r="J2" s="64">
        <f>+Newco!J2</f>
        <v>44196</v>
      </c>
    </row>
    <row r="4" spans="1:10" x14ac:dyDescent="0.45">
      <c r="A4" s="46" t="s">
        <v>222</v>
      </c>
    </row>
    <row r="5" spans="1:10" x14ac:dyDescent="0.45">
      <c r="B5" t="s">
        <v>118</v>
      </c>
    </row>
    <row r="6" spans="1:10" x14ac:dyDescent="0.45">
      <c r="B6" t="s">
        <v>116</v>
      </c>
    </row>
    <row r="7" spans="1:10" x14ac:dyDescent="0.45">
      <c r="B7" t="s">
        <v>170</v>
      </c>
    </row>
    <row r="8" spans="1:10" x14ac:dyDescent="0.45">
      <c r="B8" t="s">
        <v>204</v>
      </c>
    </row>
    <row r="9" spans="1:10" x14ac:dyDescent="0.45">
      <c r="B9" t="s">
        <v>119</v>
      </c>
    </row>
    <row r="10" spans="1:10" x14ac:dyDescent="0.45">
      <c r="B10" t="s">
        <v>39</v>
      </c>
    </row>
    <row r="11" spans="1:10" x14ac:dyDescent="0.45">
      <c r="B11" t="s">
        <v>205</v>
      </c>
    </row>
    <row r="13" spans="1:10" x14ac:dyDescent="0.45">
      <c r="B13" t="s">
        <v>279</v>
      </c>
    </row>
    <row r="14" spans="1:10" x14ac:dyDescent="0.45">
      <c r="B14" t="str">
        <f>+B5</f>
        <v>Revenue synergies</v>
      </c>
    </row>
    <row r="15" spans="1:10" x14ac:dyDescent="0.45">
      <c r="B15" t="str">
        <f>+B6</f>
        <v>Cost synergies</v>
      </c>
    </row>
    <row r="16" spans="1:10" x14ac:dyDescent="0.45">
      <c r="B16" t="str">
        <f>+B7</f>
        <v>Capex synergies</v>
      </c>
    </row>
    <row r="17" spans="1:21" x14ac:dyDescent="0.45">
      <c r="B17" t="str">
        <f>+B8</f>
        <v>Reduction in depreciation due to capex synergies</v>
      </c>
    </row>
    <row r="18" spans="1:21" x14ac:dyDescent="0.45">
      <c r="B18" t="str">
        <f>+B9</f>
        <v>Restructuring costs</v>
      </c>
    </row>
    <row r="19" spans="1:21" x14ac:dyDescent="0.45">
      <c r="B19" t="s">
        <v>14</v>
      </c>
    </row>
    <row r="20" spans="1:21" s="3" customFormat="1" x14ac:dyDescent="0.45">
      <c r="A20" s="46"/>
      <c r="B20" t="s">
        <v>280</v>
      </c>
      <c r="C20"/>
      <c r="D20"/>
      <c r="E20"/>
      <c r="F20"/>
      <c r="G20"/>
      <c r="H20"/>
      <c r="I20"/>
      <c r="J20"/>
      <c r="K20"/>
      <c r="U20"/>
    </row>
    <row r="22" spans="1:21" x14ac:dyDescent="0.45">
      <c r="B22" t="s">
        <v>214</v>
      </c>
      <c r="F22" s="67">
        <v>0.08</v>
      </c>
    </row>
    <row r="23" spans="1:21" x14ac:dyDescent="0.45">
      <c r="B23" t="s">
        <v>206</v>
      </c>
      <c r="F23" s="67">
        <v>0.01</v>
      </c>
    </row>
    <row r="25" spans="1:21" x14ac:dyDescent="0.45">
      <c r="B25" t="s">
        <v>208</v>
      </c>
    </row>
    <row r="26" spans="1:21" x14ac:dyDescent="0.45">
      <c r="B26" t="s">
        <v>209</v>
      </c>
    </row>
    <row r="27" spans="1:21" x14ac:dyDescent="0.45">
      <c r="B27" t="s">
        <v>210</v>
      </c>
    </row>
    <row r="28" spans="1:21" s="3" customFormat="1" x14ac:dyDescent="0.45">
      <c r="A28" s="46"/>
      <c r="B28" t="s">
        <v>211</v>
      </c>
      <c r="C28"/>
      <c r="D28"/>
      <c r="E28"/>
      <c r="F28"/>
      <c r="G28"/>
      <c r="H28"/>
      <c r="I28"/>
      <c r="J28"/>
      <c r="K28"/>
      <c r="U28"/>
    </row>
    <row r="30" spans="1:21" x14ac:dyDescent="0.45">
      <c r="B30" t="s">
        <v>234</v>
      </c>
    </row>
    <row r="31" spans="1:21" x14ac:dyDescent="0.45">
      <c r="B31" t="s">
        <v>212</v>
      </c>
    </row>
    <row r="33" spans="1:21" x14ac:dyDescent="0.45">
      <c r="A33" s="46" t="s">
        <v>213</v>
      </c>
    </row>
    <row r="34" spans="1:21" x14ac:dyDescent="0.45">
      <c r="B34" t="str">
        <f>target&amp;" EBIT"</f>
        <v>Monsanto EBIT</v>
      </c>
    </row>
    <row r="35" spans="1:21" x14ac:dyDescent="0.45">
      <c r="B35" t="s">
        <v>216</v>
      </c>
    </row>
    <row r="36" spans="1:21" x14ac:dyDescent="0.45">
      <c r="B36" t="str">
        <f>target&amp;" proforma EBIT"</f>
        <v>Monsanto proforma EBIT</v>
      </c>
    </row>
    <row r="37" spans="1:21" x14ac:dyDescent="0.45">
      <c r="B37" t="str">
        <f>"Tax on "&amp;target&amp;" standalone EBIT"</f>
        <v>Tax on Monsanto standalone EBIT</v>
      </c>
    </row>
    <row r="38" spans="1:21" x14ac:dyDescent="0.45">
      <c r="B38" t="s">
        <v>217</v>
      </c>
    </row>
    <row r="39" spans="1:21" s="3" customFormat="1" x14ac:dyDescent="0.45">
      <c r="A39" s="46"/>
      <c r="B39" t="str">
        <f>"Proforma "&amp;target&amp;" NOPAT"</f>
        <v>Proforma Monsanto NOPAT</v>
      </c>
      <c r="C39"/>
      <c r="D39"/>
      <c r="E39"/>
      <c r="F39"/>
      <c r="G39"/>
      <c r="H39"/>
      <c r="I39"/>
      <c r="J39"/>
      <c r="K39"/>
      <c r="U39"/>
    </row>
    <row r="41" spans="1:21" x14ac:dyDescent="0.45">
      <c r="B41" t="s">
        <v>218</v>
      </c>
    </row>
    <row r="42" spans="1:21" x14ac:dyDescent="0.45">
      <c r="B42" s="8" t="s">
        <v>219</v>
      </c>
    </row>
    <row r="43" spans="1:21" x14ac:dyDescent="0.45">
      <c r="B43" s="8" t="s">
        <v>339</v>
      </c>
    </row>
    <row r="44" spans="1:21" x14ac:dyDescent="0.45">
      <c r="B44" s="8" t="s">
        <v>376</v>
      </c>
    </row>
    <row r="45" spans="1:21" s="3" customFormat="1" x14ac:dyDescent="0.45">
      <c r="A45" s="46"/>
      <c r="B45" t="s">
        <v>220</v>
      </c>
      <c r="C45"/>
      <c r="D45"/>
      <c r="E45"/>
      <c r="F45"/>
      <c r="G45"/>
      <c r="H45"/>
      <c r="I45"/>
      <c r="J45"/>
      <c r="K45"/>
      <c r="U45"/>
    </row>
    <row r="47" spans="1:21" s="3" customFormat="1" x14ac:dyDescent="0.45">
      <c r="A47" s="46"/>
      <c r="B47" t="s">
        <v>221</v>
      </c>
      <c r="C47"/>
      <c r="D47"/>
      <c r="E47"/>
      <c r="F47"/>
      <c r="G47" s="2"/>
      <c r="H47" s="2"/>
      <c r="I47" s="2"/>
      <c r="J47" s="2"/>
      <c r="K47"/>
    </row>
    <row r="48" spans="1:21" x14ac:dyDescent="0.45">
      <c r="B48" t="str">
        <f>target&amp; " WACC assumed"</f>
        <v>Monsanto WACC assumed</v>
      </c>
      <c r="G48" s="62">
        <v>7.0000000000000007E-2</v>
      </c>
      <c r="H48" s="62">
        <v>7.0000000000000007E-2</v>
      </c>
      <c r="I48" s="62">
        <v>7.0000000000000007E-2</v>
      </c>
      <c r="J48" s="62">
        <v>7.0000000000000007E-2</v>
      </c>
    </row>
    <row r="49" spans="1:11" s="3" customFormat="1" x14ac:dyDescent="0.45">
      <c r="A49" s="46"/>
      <c r="B49" t="s">
        <v>212</v>
      </c>
      <c r="C49"/>
      <c r="D49"/>
      <c r="E49"/>
      <c r="F49"/>
      <c r="G49" s="2"/>
      <c r="H49" s="2"/>
      <c r="I49" s="2"/>
      <c r="J49" s="2"/>
      <c r="K49"/>
    </row>
    <row r="50" spans="1:11" x14ac:dyDescent="0.45">
      <c r="A50" s="46" t="s">
        <v>330</v>
      </c>
    </row>
  </sheetData>
  <printOptions headings="1" gridLines="1"/>
  <pageMargins left="0.7" right="0.7" top="0.75" bottom="0.75" header="0.3" footer="0.3"/>
  <pageSetup paperSize="9" scale="46" orientation="landscape" r:id="rId1"/>
  <headerFooter>
    <oddHeader xml:space="preserve">&amp;R&amp;10&amp;F 
&amp;A
</oddHeader>
    <oddFooter>&amp;L&amp;10© 2017&amp;C&amp;10Page &amp;P of &amp;N&amp;R&amp;G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86"/>
  <sheetViews>
    <sheetView zoomScaleNormal="100" workbookViewId="0">
      <pane xSplit="2" ySplit="2" topLeftCell="C3" activePane="bottomRight" state="frozen"/>
      <selection activeCell="N9" sqref="N9:Q9"/>
      <selection pane="topRight" activeCell="N9" sqref="N9:Q9"/>
      <selection pane="bottomLeft" activeCell="N9" sqref="N9:Q9"/>
      <selection pane="bottomRight"/>
    </sheetView>
  </sheetViews>
  <sheetFormatPr defaultRowHeight="15.75" x14ac:dyDescent="0.45"/>
  <cols>
    <col min="1" max="1" width="1.53125" style="46" customWidth="1"/>
    <col min="2" max="2" width="40.796875" customWidth="1"/>
    <col min="3" max="10" width="11.796875" customWidth="1"/>
  </cols>
  <sheetData>
    <row r="1" spans="1:11" ht="45" customHeight="1" x14ac:dyDescent="0.85">
      <c r="A1" s="41" t="s">
        <v>257</v>
      </c>
      <c r="B1" s="41"/>
      <c r="C1" s="41"/>
      <c r="D1" s="41"/>
      <c r="E1" s="41"/>
      <c r="F1" s="41"/>
      <c r="G1" s="41"/>
      <c r="H1" s="41"/>
      <c r="I1" s="41"/>
      <c r="J1" s="41"/>
    </row>
    <row r="2" spans="1:11" ht="30" customHeight="1" x14ac:dyDescent="0.65">
      <c r="A2" s="42" t="str">
        <f>"Figures in "&amp;Acquiror!C3&amp;" m except per share data"</f>
        <v>Figures in Euro m except per share data</v>
      </c>
      <c r="B2" s="42"/>
      <c r="C2" s="42"/>
      <c r="D2" s="42"/>
      <c r="E2" s="42"/>
      <c r="F2" s="42"/>
      <c r="G2" s="64">
        <f>+'Value creation'!G2</f>
        <v>43100</v>
      </c>
      <c r="H2" s="64">
        <f>+'Value creation'!H2</f>
        <v>43465</v>
      </c>
      <c r="I2" s="64">
        <f>+'Value creation'!I2</f>
        <v>43830</v>
      </c>
      <c r="J2" s="64">
        <f>+'Value creation'!J2</f>
        <v>44196</v>
      </c>
    </row>
    <row r="4" spans="1:11" x14ac:dyDescent="0.45">
      <c r="A4" s="46" t="str">
        <f>target&amp;" standalone discounted cash flow excluding synergies"</f>
        <v>Monsanto standalone discounted cash flow excluding synergies</v>
      </c>
    </row>
    <row r="5" spans="1:11" x14ac:dyDescent="0.45">
      <c r="B5" t="s">
        <v>12</v>
      </c>
    </row>
    <row r="6" spans="1:11" x14ac:dyDescent="0.45">
      <c r="B6" t="s">
        <v>238</v>
      </c>
    </row>
    <row r="7" spans="1:11" x14ac:dyDescent="0.45">
      <c r="B7" t="s">
        <v>239</v>
      </c>
    </row>
    <row r="9" spans="1:11" x14ac:dyDescent="0.45">
      <c r="B9" t="s">
        <v>63</v>
      </c>
    </row>
    <row r="10" spans="1:11" x14ac:dyDescent="0.45">
      <c r="B10" t="s">
        <v>325</v>
      </c>
    </row>
    <row r="11" spans="1:11" x14ac:dyDescent="0.45">
      <c r="B11" t="s">
        <v>200</v>
      </c>
    </row>
    <row r="12" spans="1:11" x14ac:dyDescent="0.45">
      <c r="B12" t="s">
        <v>240</v>
      </c>
    </row>
    <row r="13" spans="1:11" x14ac:dyDescent="0.45">
      <c r="B13" t="s">
        <v>241</v>
      </c>
    </row>
    <row r="14" spans="1:11" x14ac:dyDescent="0.45">
      <c r="B14" t="s">
        <v>242</v>
      </c>
    </row>
    <row r="15" spans="1:11" s="3" customFormat="1" x14ac:dyDescent="0.45">
      <c r="A15" s="46"/>
      <c r="B15" t="s">
        <v>207</v>
      </c>
      <c r="C15"/>
      <c r="D15"/>
      <c r="E15"/>
      <c r="F15"/>
      <c r="G15"/>
      <c r="H15"/>
      <c r="I15"/>
      <c r="J15"/>
      <c r="K15"/>
    </row>
    <row r="17" spans="2:12" x14ac:dyDescent="0.45">
      <c r="B17" t="s">
        <v>243</v>
      </c>
      <c r="C17" s="59">
        <v>7.0000000000000007E-2</v>
      </c>
      <c r="D17" t="s">
        <v>281</v>
      </c>
      <c r="F17" t="s">
        <v>282</v>
      </c>
      <c r="G17" s="59">
        <v>5.0000000000000001E-3</v>
      </c>
    </row>
    <row r="18" spans="2:12" x14ac:dyDescent="0.45">
      <c r="B18" t="s">
        <v>244</v>
      </c>
      <c r="C18" s="59">
        <v>1.4999999999999999E-2</v>
      </c>
      <c r="D18" t="s">
        <v>281</v>
      </c>
      <c r="F18" t="s">
        <v>282</v>
      </c>
      <c r="G18" s="59">
        <v>5.0000000000000001E-3</v>
      </c>
    </row>
    <row r="20" spans="2:12" x14ac:dyDescent="0.45">
      <c r="B20" t="s">
        <v>331</v>
      </c>
    </row>
    <row r="22" spans="2:12" x14ac:dyDescent="0.45">
      <c r="B22" t="s">
        <v>333</v>
      </c>
    </row>
    <row r="23" spans="2:12" x14ac:dyDescent="0.45">
      <c r="B23" t="s">
        <v>332</v>
      </c>
    </row>
    <row r="24" spans="2:12" x14ac:dyDescent="0.45">
      <c r="B24" t="s">
        <v>225</v>
      </c>
    </row>
    <row r="25" spans="2:12" x14ac:dyDescent="0.45">
      <c r="F25" t="s">
        <v>283</v>
      </c>
    </row>
    <row r="26" spans="2:12" x14ac:dyDescent="0.45">
      <c r="B26" t="s">
        <v>202</v>
      </c>
    </row>
    <row r="27" spans="2:12" x14ac:dyDescent="0.45">
      <c r="B27" t="s">
        <v>23</v>
      </c>
      <c r="H27" t="s">
        <v>5</v>
      </c>
    </row>
    <row r="28" spans="2:12" x14ac:dyDescent="0.45">
      <c r="B28" t="s">
        <v>224</v>
      </c>
      <c r="G28" s="2">
        <f>+C33</f>
        <v>0</v>
      </c>
      <c r="H28" s="68">
        <f>+I28-$G$18</f>
        <v>4.9999999999999984E-3</v>
      </c>
      <c r="I28" s="68">
        <f>+J28-$G$18</f>
        <v>9.9999999999999985E-3</v>
      </c>
      <c r="J28" s="68">
        <v>1.4999999999999999E-2</v>
      </c>
      <c r="K28" s="68">
        <f>+J28+$G$18</f>
        <v>0.02</v>
      </c>
      <c r="L28" s="68">
        <f>+K28+$G$18</f>
        <v>2.5000000000000001E-2</v>
      </c>
    </row>
    <row r="29" spans="2:12" x14ac:dyDescent="0.45">
      <c r="B29" t="s">
        <v>323</v>
      </c>
      <c r="G29" s="68">
        <f>+G30+$G$17</f>
        <v>8.0000000000000016E-2</v>
      </c>
      <c r="H29" s="2"/>
      <c r="I29" s="2"/>
      <c r="J29" s="2"/>
      <c r="K29" s="2"/>
      <c r="L29" s="2"/>
    </row>
    <row r="30" spans="2:12" x14ac:dyDescent="0.45">
      <c r="B30" t="s">
        <v>246</v>
      </c>
      <c r="G30" s="68">
        <f>+G31+$G$17</f>
        <v>7.5000000000000011E-2</v>
      </c>
      <c r="H30" s="2"/>
      <c r="I30" s="2"/>
      <c r="J30" s="2"/>
      <c r="K30" s="2"/>
      <c r="L30" s="2"/>
    </row>
    <row r="31" spans="2:12" x14ac:dyDescent="0.45">
      <c r="B31" t="s">
        <v>247</v>
      </c>
      <c r="F31" t="s">
        <v>243</v>
      </c>
      <c r="G31" s="68">
        <v>7.0000000000000007E-2</v>
      </c>
      <c r="H31" s="2"/>
      <c r="I31" s="2"/>
      <c r="J31" s="2"/>
      <c r="K31" s="2"/>
      <c r="L31" s="2"/>
    </row>
    <row r="32" spans="2:12" x14ac:dyDescent="0.45">
      <c r="B32" t="s">
        <v>248</v>
      </c>
      <c r="G32" s="68">
        <f>+G31-G17</f>
        <v>6.5000000000000002E-2</v>
      </c>
      <c r="H32" s="2"/>
      <c r="I32" s="2"/>
      <c r="J32" s="2"/>
      <c r="K32" s="2"/>
      <c r="L32" s="2"/>
    </row>
    <row r="33" spans="1:12" x14ac:dyDescent="0.45">
      <c r="B33" t="s">
        <v>249</v>
      </c>
      <c r="C33" s="2"/>
      <c r="G33" s="68">
        <f>+G32-G18</f>
        <v>6.0000000000000005E-2</v>
      </c>
      <c r="H33" s="2"/>
      <c r="I33" s="2"/>
      <c r="J33" s="2"/>
      <c r="K33" s="2"/>
      <c r="L33" s="2"/>
    </row>
    <row r="35" spans="1:12" x14ac:dyDescent="0.45">
      <c r="A35" s="46" t="str">
        <f>target&amp;" discounted cash flow including synergies"</f>
        <v>Monsanto discounted cash flow including synergies</v>
      </c>
    </row>
    <row r="36" spans="1:12" x14ac:dyDescent="0.45">
      <c r="B36" t="s">
        <v>250</v>
      </c>
    </row>
    <row r="37" spans="1:12" x14ac:dyDescent="0.45">
      <c r="B37" t="s">
        <v>251</v>
      </c>
    </row>
    <row r="38" spans="1:12" x14ac:dyDescent="0.45">
      <c r="B38" t="s">
        <v>252</v>
      </c>
    </row>
    <row r="39" spans="1:12" x14ac:dyDescent="0.45">
      <c r="B39" t="s">
        <v>253</v>
      </c>
    </row>
    <row r="40" spans="1:12" x14ac:dyDescent="0.45">
      <c r="B40" t="s">
        <v>254</v>
      </c>
    </row>
    <row r="41" spans="1:12" x14ac:dyDescent="0.45">
      <c r="B41" t="s">
        <v>255</v>
      </c>
    </row>
    <row r="42" spans="1:12" x14ac:dyDescent="0.45">
      <c r="B42" t="s">
        <v>256</v>
      </c>
      <c r="C42" s="2"/>
    </row>
    <row r="44" spans="1:12" x14ac:dyDescent="0.45">
      <c r="A44" s="46" t="s">
        <v>258</v>
      </c>
    </row>
    <row r="45" spans="1:12" x14ac:dyDescent="0.45">
      <c r="B45" t="s">
        <v>12</v>
      </c>
    </row>
    <row r="46" spans="1:12" x14ac:dyDescent="0.45">
      <c r="B46" t="s">
        <v>238</v>
      </c>
    </row>
    <row r="47" spans="1:12" x14ac:dyDescent="0.45">
      <c r="B47" t="s">
        <v>259</v>
      </c>
      <c r="G47" s="2"/>
      <c r="H47" s="2"/>
      <c r="I47" s="2"/>
      <c r="J47" s="2"/>
    </row>
    <row r="48" spans="1:12" s="3" customFormat="1" x14ac:dyDescent="0.45">
      <c r="A48" s="46"/>
      <c r="B48" t="s">
        <v>239</v>
      </c>
      <c r="C48"/>
      <c r="D48"/>
      <c r="E48"/>
      <c r="F48"/>
      <c r="G48"/>
      <c r="H48"/>
      <c r="I48"/>
      <c r="J48"/>
      <c r="K48"/>
    </row>
    <row r="50" spans="1:11" x14ac:dyDescent="0.45">
      <c r="B50" t="s">
        <v>63</v>
      </c>
    </row>
    <row r="51" spans="1:11" x14ac:dyDescent="0.45">
      <c r="B51" t="s">
        <v>325</v>
      </c>
    </row>
    <row r="52" spans="1:11" x14ac:dyDescent="0.45">
      <c r="B52" t="s">
        <v>200</v>
      </c>
    </row>
    <row r="53" spans="1:11" x14ac:dyDescent="0.45">
      <c r="B53" t="s">
        <v>240</v>
      </c>
    </row>
    <row r="54" spans="1:11" x14ac:dyDescent="0.45">
      <c r="B54" t="s">
        <v>241</v>
      </c>
    </row>
    <row r="55" spans="1:11" x14ac:dyDescent="0.45">
      <c r="B55" t="s">
        <v>242</v>
      </c>
    </row>
    <row r="56" spans="1:11" s="3" customFormat="1" x14ac:dyDescent="0.45">
      <c r="A56" s="46"/>
      <c r="B56" t="s">
        <v>207</v>
      </c>
      <c r="C56"/>
      <c r="D56"/>
      <c r="E56"/>
      <c r="F56"/>
      <c r="G56"/>
      <c r="H56"/>
      <c r="I56"/>
      <c r="J56"/>
      <c r="K56"/>
    </row>
    <row r="58" spans="1:11" x14ac:dyDescent="0.45">
      <c r="B58" t="s">
        <v>243</v>
      </c>
      <c r="C58" s="67">
        <v>7.4999999999999997E-2</v>
      </c>
    </row>
    <row r="59" spans="1:11" x14ac:dyDescent="0.45">
      <c r="B59" t="s">
        <v>244</v>
      </c>
      <c r="C59" s="67">
        <v>0.02</v>
      </c>
    </row>
    <row r="61" spans="1:11" x14ac:dyDescent="0.45">
      <c r="B61" t="s">
        <v>245</v>
      </c>
    </row>
    <row r="63" spans="1:11" x14ac:dyDescent="0.45">
      <c r="B63" t="s">
        <v>333</v>
      </c>
    </row>
    <row r="64" spans="1:11" x14ac:dyDescent="0.45">
      <c r="B64" t="s">
        <v>332</v>
      </c>
    </row>
    <row r="65" spans="2:2" x14ac:dyDescent="0.45">
      <c r="B65" t="s">
        <v>225</v>
      </c>
    </row>
    <row r="67" spans="2:2" x14ac:dyDescent="0.45">
      <c r="B67" t="s">
        <v>285</v>
      </c>
    </row>
    <row r="68" spans="2:2" x14ac:dyDescent="0.45">
      <c r="B68" t="s">
        <v>23</v>
      </c>
    </row>
    <row r="69" spans="2:2" x14ac:dyDescent="0.45">
      <c r="B69" t="s">
        <v>224</v>
      </c>
    </row>
    <row r="70" spans="2:2" x14ac:dyDescent="0.45">
      <c r="B70" t="s">
        <v>323</v>
      </c>
    </row>
    <row r="71" spans="2:2" x14ac:dyDescent="0.45">
      <c r="B71" t="s">
        <v>246</v>
      </c>
    </row>
    <row r="74" spans="2:2" x14ac:dyDescent="0.45">
      <c r="B74" t="s">
        <v>260</v>
      </c>
    </row>
    <row r="75" spans="2:2" x14ac:dyDescent="0.45">
      <c r="B75" t="str">
        <f>acquiror&amp;" enterprise value"</f>
        <v>Bayer enterprise value</v>
      </c>
    </row>
    <row r="76" spans="2:2" x14ac:dyDescent="0.45">
      <c r="B76" t="str">
        <f>target&amp;" enterprise value at clean share price"</f>
        <v>Monsanto enterprise value at clean share price</v>
      </c>
    </row>
    <row r="77" spans="2:2" x14ac:dyDescent="0.45">
      <c r="B77" t="s">
        <v>251</v>
      </c>
    </row>
    <row r="78" spans="2:2" x14ac:dyDescent="0.45">
      <c r="B78" t="s">
        <v>284</v>
      </c>
    </row>
    <row r="80" spans="2:2" x14ac:dyDescent="0.45">
      <c r="B80" t="s">
        <v>285</v>
      </c>
    </row>
    <row r="81" spans="1:2" x14ac:dyDescent="0.45">
      <c r="B81" t="s">
        <v>23</v>
      </c>
    </row>
    <row r="82" spans="1:2" x14ac:dyDescent="0.45">
      <c r="B82" t="s">
        <v>224</v>
      </c>
    </row>
    <row r="83" spans="1:2" x14ac:dyDescent="0.45">
      <c r="B83" t="s">
        <v>323</v>
      </c>
    </row>
    <row r="84" spans="1:2" x14ac:dyDescent="0.45">
      <c r="B84" t="s">
        <v>246</v>
      </c>
    </row>
    <row r="86" spans="1:2" x14ac:dyDescent="0.45">
      <c r="A86" s="46" t="s">
        <v>330</v>
      </c>
    </row>
  </sheetData>
  <printOptions headings="1" gridLines="1"/>
  <pageMargins left="0.7" right="0.7" top="0.75" bottom="0.75" header="0.3" footer="0.3"/>
  <pageSetup paperSize="9" scale="59" orientation="landscape" r:id="rId1"/>
  <headerFooter>
    <oddHeader xml:space="preserve">&amp;R&amp;10&amp;F 
&amp;A
</oddHeader>
    <oddFooter>&amp;L&amp;10© 2017&amp;C&amp;10Page &amp;P of &amp;N&amp;R&amp;G</oddFooter>
  </headerFooter>
  <rowBreaks count="1" manualBreakCount="1">
    <brk id="43" max="16383" man="1"/>
  </row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29"/>
  <sheetViews>
    <sheetView zoomScaleNormal="100" workbookViewId="0"/>
  </sheetViews>
  <sheetFormatPr defaultRowHeight="15.75" x14ac:dyDescent="0.45"/>
  <cols>
    <col min="1" max="1" width="1.53125" style="46" customWidth="1"/>
    <col min="2" max="2" width="40.796875" customWidth="1"/>
    <col min="3" max="10" width="11.796875" customWidth="1"/>
    <col min="11" max="11" width="13.33203125" bestFit="1" customWidth="1"/>
    <col min="12" max="12" width="28.19921875" bestFit="1" customWidth="1"/>
    <col min="13" max="13" width="15.46484375" bestFit="1" customWidth="1"/>
    <col min="14" max="14" width="27.53125" bestFit="1" customWidth="1"/>
  </cols>
  <sheetData>
    <row r="1" spans="1:12" ht="45" customHeight="1" x14ac:dyDescent="0.85">
      <c r="A1" s="41" t="s">
        <v>111</v>
      </c>
      <c r="B1" s="41"/>
      <c r="C1" s="41"/>
      <c r="D1" s="41"/>
      <c r="E1" s="41"/>
      <c r="F1" s="41"/>
      <c r="G1" s="41"/>
      <c r="H1" s="41"/>
      <c r="I1" s="41"/>
      <c r="J1" s="41"/>
    </row>
    <row r="2" spans="1:12" ht="30" customHeight="1" x14ac:dyDescent="0.65">
      <c r="A2" s="42" t="str">
        <f>"Analysis at various prices figures in "&amp;Acquiror!C3&amp;" m except per share data"</f>
        <v>Analysis at various prices figures in Euro m except per share data</v>
      </c>
      <c r="B2" s="42"/>
      <c r="C2" s="42"/>
      <c r="D2" s="42"/>
      <c r="E2" s="42"/>
      <c r="F2" s="42"/>
      <c r="G2" s="42"/>
      <c r="H2" s="42"/>
      <c r="I2" s="42"/>
      <c r="J2" s="42"/>
    </row>
    <row r="4" spans="1:12" x14ac:dyDescent="0.45">
      <c r="A4" s="46" t="s">
        <v>270</v>
      </c>
      <c r="D4" t="s">
        <v>32</v>
      </c>
      <c r="E4" t="s">
        <v>274</v>
      </c>
      <c r="F4" t="s">
        <v>203</v>
      </c>
    </row>
    <row r="5" spans="1:12" x14ac:dyDescent="0.45">
      <c r="C5" t="str">
        <f>+acquiror</f>
        <v>Bayer</v>
      </c>
      <c r="D5" t="str">
        <f>+target</f>
        <v>Monsanto</v>
      </c>
      <c r="E5" t="s">
        <v>203</v>
      </c>
      <c r="F5" t="s">
        <v>273</v>
      </c>
    </row>
    <row r="6" spans="1:12" x14ac:dyDescent="0.45">
      <c r="B6" t="s">
        <v>224</v>
      </c>
    </row>
    <row r="7" spans="1:12" x14ac:dyDescent="0.45">
      <c r="B7" t="s">
        <v>202</v>
      </c>
    </row>
    <row r="8" spans="1:12" x14ac:dyDescent="0.45">
      <c r="B8" t="s">
        <v>23</v>
      </c>
    </row>
    <row r="9" spans="1:12" s="3" customFormat="1" x14ac:dyDescent="0.45">
      <c r="A9" s="46"/>
      <c r="B9" t="s">
        <v>225</v>
      </c>
      <c r="C9"/>
      <c r="D9"/>
      <c r="E9"/>
      <c r="F9"/>
      <c r="G9"/>
      <c r="H9"/>
      <c r="I9"/>
      <c r="J9"/>
      <c r="K9"/>
      <c r="L9"/>
    </row>
    <row r="11" spans="1:12" x14ac:dyDescent="0.45">
      <c r="B11" t="s">
        <v>271</v>
      </c>
    </row>
    <row r="12" spans="1:12" x14ac:dyDescent="0.45">
      <c r="B12" t="s">
        <v>272</v>
      </c>
    </row>
    <row r="14" spans="1:12" x14ac:dyDescent="0.45">
      <c r="B14" t="s">
        <v>275</v>
      </c>
      <c r="C14" s="71"/>
      <c r="D14" s="71"/>
      <c r="E14" s="71"/>
      <c r="F14" s="71"/>
    </row>
    <row r="15" spans="1:12" x14ac:dyDescent="0.45">
      <c r="B15" t="s">
        <v>355</v>
      </c>
      <c r="C15" s="71"/>
      <c r="D15" s="71"/>
      <c r="E15" s="71"/>
      <c r="F15" s="71"/>
    </row>
    <row r="17" spans="1:9" x14ac:dyDescent="0.45">
      <c r="A17" s="46" t="s">
        <v>375</v>
      </c>
    </row>
    <row r="19" spans="1:9" x14ac:dyDescent="0.45">
      <c r="B19" t="s">
        <v>31</v>
      </c>
      <c r="C19" s="67"/>
      <c r="D19" s="2"/>
      <c r="E19" s="2"/>
      <c r="F19" s="2"/>
      <c r="G19" s="2"/>
      <c r="H19" s="2"/>
      <c r="I19" s="2"/>
    </row>
    <row r="20" spans="1:9" x14ac:dyDescent="0.45">
      <c r="B20" t="s">
        <v>223</v>
      </c>
    </row>
    <row r="21" spans="1:9" x14ac:dyDescent="0.45">
      <c r="B21" t="s">
        <v>224</v>
      </c>
    </row>
    <row r="22" spans="1:9" x14ac:dyDescent="0.45">
      <c r="B22" t="s">
        <v>226</v>
      </c>
    </row>
    <row r="23" spans="1:9" x14ac:dyDescent="0.45">
      <c r="B23" t="s">
        <v>225</v>
      </c>
    </row>
    <row r="24" spans="1:9" x14ac:dyDescent="0.45">
      <c r="B24" t="s">
        <v>227</v>
      </c>
      <c r="C24" s="66"/>
      <c r="D24" s="66"/>
      <c r="E24" s="66"/>
      <c r="F24" s="66"/>
      <c r="G24" s="66"/>
      <c r="H24" s="66"/>
      <c r="I24" s="66"/>
    </row>
    <row r="25" spans="1:9" x14ac:dyDescent="0.45">
      <c r="B25" t="s">
        <v>236</v>
      </c>
      <c r="C25" s="66"/>
      <c r="D25" s="66"/>
      <c r="E25" s="66"/>
      <c r="F25" s="66"/>
      <c r="G25" s="66"/>
      <c r="H25" s="66"/>
      <c r="I25" s="66"/>
    </row>
    <row r="26" spans="1:9" x14ac:dyDescent="0.45">
      <c r="B26" t="s">
        <v>228</v>
      </c>
      <c r="C26" s="66"/>
      <c r="D26" s="66"/>
      <c r="E26" s="66"/>
      <c r="F26" s="66"/>
      <c r="G26" s="66"/>
      <c r="H26" s="66"/>
      <c r="I26" s="66"/>
    </row>
    <row r="27" spans="1:9" x14ac:dyDescent="0.45">
      <c r="B27" t="s">
        <v>237</v>
      </c>
      <c r="C27" s="66"/>
      <c r="D27" s="66"/>
      <c r="E27" s="66"/>
      <c r="F27" s="66"/>
      <c r="G27" s="66"/>
      <c r="H27" s="66"/>
      <c r="I27" s="66"/>
    </row>
    <row r="29" spans="1:9" x14ac:dyDescent="0.45">
      <c r="A29" s="46" t="s">
        <v>330</v>
      </c>
    </row>
  </sheetData>
  <printOptions headings="1" gridLines="1"/>
  <pageMargins left="0.7" right="0.7" top="0.75" bottom="0.75" header="0.3" footer="0.3"/>
  <pageSetup paperSize="9" scale="58" orientation="landscape" r:id="rId1"/>
  <headerFooter>
    <oddHeader xml:space="preserve">&amp;R&amp;10&amp;F 
&amp;A
</oddHeader>
    <oddFooter>&amp;L&amp;10© 2017&amp;C&amp;10Page &amp;P of &amp;N&amp;R&amp;G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Q35"/>
  <sheetViews>
    <sheetView zoomScaleNormal="100" workbookViewId="0"/>
  </sheetViews>
  <sheetFormatPr defaultRowHeight="15.75" x14ac:dyDescent="0.45"/>
  <cols>
    <col min="1" max="1" width="1.53125" style="46" customWidth="1"/>
    <col min="2" max="2" width="40.796875" customWidth="1"/>
    <col min="3" max="10" width="11.796875" customWidth="1"/>
    <col min="11" max="11" width="9.33203125" bestFit="1" customWidth="1"/>
    <col min="12" max="12" width="11.796875" customWidth="1"/>
    <col min="13" max="16" width="10.1328125" customWidth="1"/>
  </cols>
  <sheetData>
    <row r="1" spans="1:17" ht="45" customHeight="1" x14ac:dyDescent="0.85">
      <c r="A1" s="41" t="s">
        <v>111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</row>
    <row r="2" spans="1:17" ht="30" customHeight="1" x14ac:dyDescent="0.65">
      <c r="A2" s="42" t="str">
        <f>"Figures in "&amp;Acquiror!C3&amp;" m except per share data"</f>
        <v>Figures in Euro m except per share data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</row>
    <row r="4" spans="1:17" x14ac:dyDescent="0.45">
      <c r="C4" s="83" t="str">
        <f>acquiror</f>
        <v>Bayer</v>
      </c>
      <c r="D4" s="83"/>
      <c r="E4" s="83"/>
      <c r="F4" s="83"/>
      <c r="H4" s="85" t="str">
        <f>target</f>
        <v>Monsanto</v>
      </c>
      <c r="I4" s="85"/>
      <c r="J4" s="85"/>
      <c r="K4" s="85"/>
      <c r="M4" s="85" t="s">
        <v>203</v>
      </c>
      <c r="N4" s="85"/>
      <c r="O4" s="85"/>
      <c r="P4" s="85"/>
    </row>
    <row r="5" spans="1:17" x14ac:dyDescent="0.45">
      <c r="C5" s="84" t="str">
        <f>"Year ended "&amp;TEXT(Acquiror!G2,"MMM")</f>
        <v>Year ended Dec</v>
      </c>
      <c r="D5" s="84"/>
      <c r="E5" s="84"/>
      <c r="F5" s="84"/>
      <c r="H5" s="84" t="str">
        <f>+'Calendar Target ACQ FX'!C6</f>
        <v>Year ended Dec</v>
      </c>
      <c r="I5" s="84"/>
      <c r="J5" s="84"/>
      <c r="K5" s="84"/>
      <c r="M5" s="84" t="str">
        <f>+H5</f>
        <v>Year ended Dec</v>
      </c>
      <c r="N5" s="84"/>
      <c r="O5" s="84"/>
      <c r="P5" s="84"/>
    </row>
    <row r="6" spans="1:17" x14ac:dyDescent="0.45">
      <c r="C6" s="60">
        <f>Acquiror!G2</f>
        <v>43100</v>
      </c>
      <c r="D6" s="60">
        <f>Acquiror!H2</f>
        <v>43465</v>
      </c>
      <c r="E6" s="60">
        <f>Acquiror!I2</f>
        <v>43830</v>
      </c>
      <c r="F6" s="60">
        <f>Acquiror!J2</f>
        <v>44196</v>
      </c>
      <c r="H6" s="60">
        <f>+C6</f>
        <v>43100</v>
      </c>
      <c r="I6" s="60">
        <f>+D6</f>
        <v>43465</v>
      </c>
      <c r="J6" s="60">
        <f>+E6</f>
        <v>43830</v>
      </c>
      <c r="K6" s="60">
        <f>+F6</f>
        <v>44196</v>
      </c>
      <c r="M6" s="60">
        <f>+H6</f>
        <v>43100</v>
      </c>
      <c r="N6" s="60">
        <f>+I6</f>
        <v>43465</v>
      </c>
      <c r="O6" s="60">
        <f>+J6</f>
        <v>43830</v>
      </c>
      <c r="P6" s="60">
        <f>+K6</f>
        <v>44196</v>
      </c>
    </row>
    <row r="7" spans="1:17" x14ac:dyDescent="0.45">
      <c r="C7" s="4"/>
      <c r="D7" s="4"/>
      <c r="E7" s="4"/>
      <c r="F7" s="4"/>
    </row>
    <row r="8" spans="1:17" x14ac:dyDescent="0.45">
      <c r="B8" t="s">
        <v>4</v>
      </c>
      <c r="C8">
        <f>+Acquiror!G7</f>
        <v>49145.131600000001</v>
      </c>
      <c r="D8">
        <f>+Acquiror!H7</f>
        <v>50619.485548000004</v>
      </c>
      <c r="E8">
        <f>+Acquiror!I7</f>
        <v>52138.070114440008</v>
      </c>
      <c r="F8">
        <f>+Acquiror!J7</f>
        <v>53702.21221787321</v>
      </c>
      <c r="H8">
        <f>+'Calendar Target ACQ FX'!G7</f>
        <v>14026.498040949002</v>
      </c>
      <c r="I8">
        <f>+'Calendar Target ACQ FX'!H7</f>
        <v>15273.075097467523</v>
      </c>
      <c r="J8">
        <f>+'Calendar Target ACQ FX'!I7</f>
        <v>16303.350298184245</v>
      </c>
      <c r="K8">
        <f>+'Calendar Target ACQ FX'!J7</f>
        <v>17258.730215918818</v>
      </c>
      <c r="M8">
        <f>+Newco!G8</f>
        <v>0</v>
      </c>
      <c r="N8">
        <f>+Newco!H8</f>
        <v>0</v>
      </c>
      <c r="O8">
        <f>+Newco!I8</f>
        <v>0</v>
      </c>
      <c r="P8">
        <f>+Newco!J8</f>
        <v>0</v>
      </c>
    </row>
    <row r="9" spans="1:17" s="1" customFormat="1" x14ac:dyDescent="0.45">
      <c r="A9" s="46"/>
      <c r="B9" s="47" t="s">
        <v>5</v>
      </c>
      <c r="C9" s="53">
        <f>+Acquiror!F40</f>
        <v>0.03</v>
      </c>
      <c r="D9" s="53">
        <f>+D8/C8-1</f>
        <v>3.0000000000000027E-2</v>
      </c>
      <c r="E9" s="53">
        <f>+E8/D8-1</f>
        <v>3.0000000000000027E-2</v>
      </c>
      <c r="F9" s="53">
        <f>+F8/E8-1</f>
        <v>3.0000000000000027E-2</v>
      </c>
      <c r="G9"/>
      <c r="H9" s="53">
        <f>+'Calendar Target ACQ FX'!G40</f>
        <v>7.1834785206197571E-2</v>
      </c>
      <c r="I9" s="53">
        <f>+I8/H8-1</f>
        <v>8.8873006853118941E-2</v>
      </c>
      <c r="J9" s="53">
        <f>+J8/I8-1</f>
        <v>6.745695900412052E-2</v>
      </c>
      <c r="K9" s="53">
        <f>+K8/J8-1</f>
        <v>5.8600220216146415E-2</v>
      </c>
      <c r="L9"/>
      <c r="M9" s="53">
        <f>+Newco!G9</f>
        <v>0</v>
      </c>
      <c r="N9" s="53">
        <f>+Newco!H9</f>
        <v>0</v>
      </c>
      <c r="O9" s="53">
        <f>+Newco!I9</f>
        <v>0</v>
      </c>
      <c r="P9" s="53">
        <f>+Newco!J9</f>
        <v>0</v>
      </c>
      <c r="Q9"/>
    </row>
    <row r="11" spans="1:17" x14ac:dyDescent="0.45">
      <c r="B11" t="s">
        <v>199</v>
      </c>
      <c r="C11">
        <f>+Acquiror!G13</f>
        <v>-4423.0618439999998</v>
      </c>
      <c r="D11">
        <f>+Acquiror!H13</f>
        <v>-4555.7536993200001</v>
      </c>
      <c r="E11">
        <f>+Acquiror!I13</f>
        <v>-4692.4263102996001</v>
      </c>
      <c r="F11">
        <f>+Acquiror!J13</f>
        <v>-4833.1990996085888</v>
      </c>
      <c r="H11">
        <f>+'Calendar Target ACQ FX'!G13</f>
        <v>-1473.7664769155542</v>
      </c>
      <c r="I11">
        <f>+'Calendar Target ACQ FX'!H13</f>
        <v>-1572.2222016499522</v>
      </c>
      <c r="J11">
        <f>+'Calendar Target ACQ FX'!I13</f>
        <v>-1662.978604482639</v>
      </c>
      <c r="K11">
        <f>+'Calendar Target ACQ FX'!J13</f>
        <v>-1781.2019506499198</v>
      </c>
      <c r="M11">
        <f>+Newco!G16</f>
        <v>0</v>
      </c>
      <c r="N11">
        <f>+Newco!H16</f>
        <v>0</v>
      </c>
      <c r="O11">
        <f>+Newco!I16</f>
        <v>0</v>
      </c>
      <c r="P11">
        <f>+Newco!J16</f>
        <v>0</v>
      </c>
    </row>
    <row r="12" spans="1:17" s="1" customFormat="1" x14ac:dyDescent="0.45">
      <c r="A12" s="46"/>
      <c r="B12" s="47" t="s">
        <v>7</v>
      </c>
      <c r="C12" s="53">
        <f>-C11/C8</f>
        <v>0.09</v>
      </c>
      <c r="D12" s="53">
        <f>-D11/D8</f>
        <v>0.09</v>
      </c>
      <c r="E12" s="53">
        <f>-E11/E8</f>
        <v>8.9999999999999983E-2</v>
      </c>
      <c r="F12" s="53">
        <f>-F11/F8</f>
        <v>0.09</v>
      </c>
      <c r="G12"/>
      <c r="H12" s="53">
        <f>-H11/H8</f>
        <v>0.10507016595397053</v>
      </c>
      <c r="I12" s="53">
        <f>-I11/I8</f>
        <v>0.1029407759482992</v>
      </c>
      <c r="J12" s="53">
        <f>-J11/J8</f>
        <v>0.10200226174787216</v>
      </c>
      <c r="K12" s="53">
        <f>-K11/K8</f>
        <v>0.10320585166845037</v>
      </c>
      <c r="L12"/>
      <c r="M12" s="53" t="e">
        <f>-M11/M8</f>
        <v>#DIV/0!</v>
      </c>
      <c r="N12" s="53" t="e">
        <f>-N11/N8</f>
        <v>#DIV/0!</v>
      </c>
      <c r="O12" s="53" t="e">
        <f>-O11/O8</f>
        <v>#DIV/0!</v>
      </c>
      <c r="P12" s="53" t="e">
        <f>-P11/P8</f>
        <v>#DIV/0!</v>
      </c>
      <c r="Q12"/>
    </row>
    <row r="14" spans="1:17" x14ac:dyDescent="0.45">
      <c r="B14" t="s">
        <v>10</v>
      </c>
      <c r="C14">
        <f>+Acquiror!G14</f>
        <v>9829.026319999999</v>
      </c>
      <c r="D14">
        <f>+Acquiror!H14</f>
        <v>10123.897109599999</v>
      </c>
      <c r="E14">
        <f>+Acquiror!I14</f>
        <v>10427.614022887999</v>
      </c>
      <c r="F14">
        <f>+Acquiror!J14</f>
        <v>10740.442443574644</v>
      </c>
      <c r="H14">
        <f>+'Calendar Target ACQ FX'!G14</f>
        <v>3856.3027786450666</v>
      </c>
      <c r="I14">
        <f>+'Calendar Target ACQ FX'!H14</f>
        <v>4231.5463353877058</v>
      </c>
      <c r="J14">
        <f>+'Calendar Target ACQ FX'!I14</f>
        <v>4532.2945088273755</v>
      </c>
      <c r="K14">
        <f>+'Calendar Target ACQ FX'!J14</f>
        <v>4777.1155313992322</v>
      </c>
      <c r="M14">
        <f>+Newco!G19</f>
        <v>0</v>
      </c>
      <c r="N14">
        <f>+Newco!H19</f>
        <v>0</v>
      </c>
      <c r="O14">
        <f>+Newco!I19</f>
        <v>0</v>
      </c>
      <c r="P14">
        <f>+Newco!J19</f>
        <v>0</v>
      </c>
    </row>
    <row r="15" spans="1:17" s="1" customFormat="1" x14ac:dyDescent="0.45">
      <c r="A15" s="46"/>
      <c r="B15" s="47" t="s">
        <v>7</v>
      </c>
      <c r="C15" s="53">
        <f>+C14/C8</f>
        <v>0.19999999999999998</v>
      </c>
      <c r="D15" s="53">
        <f>+D14/D8</f>
        <v>0.19999999999999996</v>
      </c>
      <c r="E15" s="53">
        <f>+E14/E8</f>
        <v>0.19999999999999996</v>
      </c>
      <c r="F15" s="53">
        <f>+F14/F8</f>
        <v>0.20000000000000004</v>
      </c>
      <c r="G15"/>
      <c r="H15" s="53">
        <f>+H14/H8</f>
        <v>0.2749298340460295</v>
      </c>
      <c r="I15" s="53">
        <f>+I14/I8</f>
        <v>0.27705922405170075</v>
      </c>
      <c r="J15" s="53">
        <f>+J14/J8</f>
        <v>0.27799773825212792</v>
      </c>
      <c r="K15" s="53">
        <f>+K14/K8</f>
        <v>0.27679414833154969</v>
      </c>
      <c r="L15"/>
      <c r="M15" s="53" t="e">
        <f>+M14/M8</f>
        <v>#DIV/0!</v>
      </c>
      <c r="N15" s="53" t="e">
        <f>+N14/N8</f>
        <v>#DIV/0!</v>
      </c>
      <c r="O15" s="53" t="e">
        <f>+O14/O8</f>
        <v>#DIV/0!</v>
      </c>
      <c r="P15" s="53" t="e">
        <f>+P14/P8</f>
        <v>#DIV/0!</v>
      </c>
      <c r="Q15"/>
    </row>
    <row r="17" spans="1:17" x14ac:dyDescent="0.45">
      <c r="B17" t="s">
        <v>198</v>
      </c>
      <c r="C17">
        <f>+Acquiror!G20</f>
        <v>6523.5159723287543</v>
      </c>
      <c r="D17">
        <f>+Acquiror!H20</f>
        <v>6690.209285843217</v>
      </c>
      <c r="E17">
        <f>+Acquiror!I20</f>
        <v>6871.5832190788351</v>
      </c>
      <c r="F17">
        <f>+Acquiror!J20</f>
        <v>7066.8788009206401</v>
      </c>
      <c r="H17">
        <f>+'Calendar Target ACQ FX'!G20</f>
        <v>3123.7154835804786</v>
      </c>
      <c r="I17">
        <f>+'Calendar Target ACQ FX'!H20</f>
        <v>3463.3960786477055</v>
      </c>
      <c r="J17">
        <f>+'Calendar Target ACQ FX'!I20</f>
        <v>3722.9953587377304</v>
      </c>
      <c r="K17">
        <f>+'Calendar Target ACQ FX'!J20</f>
        <v>3923.4952768680801</v>
      </c>
      <c r="M17">
        <f>+Newco!G24</f>
        <v>0</v>
      </c>
      <c r="N17">
        <f>+Newco!H24</f>
        <v>0</v>
      </c>
      <c r="O17">
        <f>+Newco!I24</f>
        <v>0</v>
      </c>
      <c r="P17">
        <f>+Newco!J24</f>
        <v>0</v>
      </c>
    </row>
    <row r="18" spans="1:17" s="1" customFormat="1" x14ac:dyDescent="0.45">
      <c r="A18" s="46"/>
      <c r="B18" s="47" t="s">
        <v>7</v>
      </c>
      <c r="C18" s="53">
        <f>+C17/C8</f>
        <v>0.13273982101471785</v>
      </c>
      <c r="D18" s="53">
        <f>+D17/D8</f>
        <v>0.13216667876838092</v>
      </c>
      <c r="E18" s="53">
        <f>+E17/E8</f>
        <v>0.13179588741961704</v>
      </c>
      <c r="F18" s="53">
        <f>+F17/F8</f>
        <v>0.1315938116711072</v>
      </c>
      <c r="G18"/>
      <c r="H18" s="53">
        <f>+H17/H8</f>
        <v>0.22270102447960238</v>
      </c>
      <c r="I18" s="53">
        <f>+I17/I8</f>
        <v>0.22676481694390294</v>
      </c>
      <c r="J18" s="53">
        <f>+J17/J8</f>
        <v>0.22835768664998704</v>
      </c>
      <c r="K18" s="53">
        <f>+K17/K8</f>
        <v>0.22733394796618306</v>
      </c>
      <c r="L18"/>
      <c r="M18" s="53" t="e">
        <f>+M17/M8</f>
        <v>#DIV/0!</v>
      </c>
      <c r="N18" s="53" t="e">
        <f>+N17/N8</f>
        <v>#DIV/0!</v>
      </c>
      <c r="O18" s="53" t="e">
        <f>+O17/O8</f>
        <v>#DIV/0!</v>
      </c>
      <c r="P18" s="53" t="e">
        <f>+P17/P8</f>
        <v>#DIV/0!</v>
      </c>
      <c r="Q18"/>
    </row>
    <row r="20" spans="1:17" x14ac:dyDescent="0.45">
      <c r="B20" t="s">
        <v>15</v>
      </c>
      <c r="C20">
        <f>+Acquiror!G31</f>
        <v>4577.872138969853</v>
      </c>
      <c r="D20">
        <f>+Acquiror!H31</f>
        <v>4704.5590572408455</v>
      </c>
      <c r="E20">
        <f>+Acquiror!I31</f>
        <v>4842.4032464999145</v>
      </c>
      <c r="F20">
        <f>+Acquiror!J31</f>
        <v>4990.8278886996868</v>
      </c>
      <c r="H20">
        <f>+'Calendar Target ACQ FX'!G31</f>
        <v>2030.4150643273113</v>
      </c>
      <c r="I20">
        <f>+'Calendar Target ACQ FX'!H31</f>
        <v>2251.2074511210085</v>
      </c>
      <c r="J20">
        <f>+'Calendar Target ACQ FX'!I31</f>
        <v>2419.9469831795254</v>
      </c>
      <c r="K20">
        <f>+'Calendar Target ACQ FX'!J31</f>
        <v>2550.2719299642531</v>
      </c>
      <c r="M20">
        <f>+Newco!G34</f>
        <v>0</v>
      </c>
      <c r="N20">
        <f>+Newco!H34</f>
        <v>0</v>
      </c>
      <c r="O20">
        <f>+Newco!I34</f>
        <v>0</v>
      </c>
      <c r="P20">
        <f>+Newco!J34</f>
        <v>0</v>
      </c>
    </row>
    <row r="21" spans="1:17" s="1" customFormat="1" x14ac:dyDescent="0.45">
      <c r="A21" s="46"/>
      <c r="B21" s="47" t="s">
        <v>7</v>
      </c>
      <c r="C21" s="53">
        <f>+C20/C8</f>
        <v>9.315006369765938E-2</v>
      </c>
      <c r="D21" s="53">
        <f>+D20/D8</f>
        <v>9.2939685307147982E-2</v>
      </c>
      <c r="E21" s="53">
        <f>+E20/E8</f>
        <v>9.2876534092480284E-2</v>
      </c>
      <c r="F21" s="53">
        <f>+F20/F8</f>
        <v>9.2935238281275798E-2</v>
      </c>
      <c r="G21"/>
      <c r="H21" s="53">
        <f>+H20/H8</f>
        <v>0.14475566591174158</v>
      </c>
      <c r="I21" s="53">
        <f>+I20/I8</f>
        <v>0.14739713101353691</v>
      </c>
      <c r="J21" s="53">
        <f>+J20/J8</f>
        <v>0.14843249632249161</v>
      </c>
      <c r="K21" s="53">
        <f>+K20/K8</f>
        <v>0.14776706617801905</v>
      </c>
      <c r="L21"/>
      <c r="M21" s="53" t="e">
        <f>+M20/M8</f>
        <v>#DIV/0!</v>
      </c>
      <c r="N21" s="53" t="e">
        <f>+N20/N8</f>
        <v>#DIV/0!</v>
      </c>
      <c r="O21" s="53" t="e">
        <f>+O20/O8</f>
        <v>#DIV/0!</v>
      </c>
      <c r="P21" s="53" t="e">
        <f>+P20/P8</f>
        <v>#DIV/0!</v>
      </c>
      <c r="Q21"/>
    </row>
    <row r="23" spans="1:17" x14ac:dyDescent="0.45">
      <c r="B23" t="s">
        <v>200</v>
      </c>
      <c r="C23">
        <f>Acquiror!G98</f>
        <v>2702.9822380000001</v>
      </c>
      <c r="D23">
        <f>Acquiror!H98</f>
        <v>2784.0717051400002</v>
      </c>
      <c r="E23">
        <f>Acquiror!I98</f>
        <v>2867.5938562942006</v>
      </c>
      <c r="F23">
        <f>Acquiror!J98</f>
        <v>2953.6216719830268</v>
      </c>
      <c r="H23">
        <f>+'Calendar Target ACQ FX'!G98</f>
        <v>911.72237266168509</v>
      </c>
      <c r="I23">
        <f>+'Calendar Target ACQ FX'!H98</f>
        <v>992.74988133538909</v>
      </c>
      <c r="J23">
        <f>+'Calendar Target ACQ FX'!I98</f>
        <v>1059.717769381976</v>
      </c>
      <c r="K23">
        <f>+'Calendar Target ACQ FX'!J98</f>
        <v>1121.8174640347233</v>
      </c>
      <c r="M23">
        <f>+Newco!G87*-1</f>
        <v>0</v>
      </c>
      <c r="N23">
        <f>+Newco!H87*-1</f>
        <v>0</v>
      </c>
      <c r="O23">
        <f>+Newco!I87*-1</f>
        <v>0</v>
      </c>
      <c r="P23">
        <f>+Newco!J87*-1</f>
        <v>0</v>
      </c>
    </row>
    <row r="24" spans="1:17" s="1" customFormat="1" x14ac:dyDescent="0.45">
      <c r="A24" s="46"/>
      <c r="B24" s="47" t="s">
        <v>201</v>
      </c>
      <c r="C24" s="53">
        <f>+C23/C8</f>
        <v>5.5E-2</v>
      </c>
      <c r="D24" s="53">
        <f>+D23/D8</f>
        <v>5.5E-2</v>
      </c>
      <c r="E24" s="53">
        <f>+E23/E8</f>
        <v>5.5E-2</v>
      </c>
      <c r="F24" s="53">
        <f>+F23/F8</f>
        <v>5.5000000000000007E-2</v>
      </c>
      <c r="G24"/>
      <c r="H24" s="53">
        <f>+H23/H8</f>
        <v>6.5000000000000002E-2</v>
      </c>
      <c r="I24" s="53">
        <f>+I23/I8</f>
        <v>6.5000000000000002E-2</v>
      </c>
      <c r="J24" s="53">
        <f>+J23/J8</f>
        <v>6.5000000000000002E-2</v>
      </c>
      <c r="K24" s="53">
        <f>+K23/K8</f>
        <v>6.5000000000000002E-2</v>
      </c>
      <c r="L24"/>
      <c r="M24" s="53" t="e">
        <f>+M23/M8</f>
        <v>#DIV/0!</v>
      </c>
      <c r="N24" s="53" t="e">
        <f>+N23/N8</f>
        <v>#DIV/0!</v>
      </c>
      <c r="O24" s="53" t="e">
        <f>+O23/O8</f>
        <v>#DIV/0!</v>
      </c>
      <c r="P24" s="53" t="e">
        <f>+P23/P8</f>
        <v>#DIV/0!</v>
      </c>
      <c r="Q24"/>
    </row>
    <row r="27" spans="1:17" x14ac:dyDescent="0.45">
      <c r="B27" t="s">
        <v>286</v>
      </c>
      <c r="C27">
        <f>+Acquiror!G72</f>
        <v>28785.449906040751</v>
      </c>
      <c r="D27">
        <f>+Acquiror!H72</f>
        <v>31137.729434661171</v>
      </c>
      <c r="E27">
        <f>+Acquiror!I72</f>
        <v>33558.931057911126</v>
      </c>
      <c r="F27">
        <f>+Acquiror!J72</f>
        <v>36054.345002260969</v>
      </c>
      <c r="H27">
        <f>+'Calendar Target ACQ FX'!G72</f>
        <v>5650.5478975311107</v>
      </c>
      <c r="I27">
        <f>+'Calendar Target ACQ FX'!H72</f>
        <v>6776.151623091615</v>
      </c>
      <c r="J27">
        <f>+'Calendar Target ACQ FX'!I72</f>
        <v>7986.1251146813784</v>
      </c>
      <c r="K27">
        <f>+'Calendar Target ACQ FX'!J72</f>
        <v>9261.2610796635036</v>
      </c>
      <c r="M27">
        <f>+Newco!G65</f>
        <v>0</v>
      </c>
      <c r="N27">
        <f>+Newco!H65</f>
        <v>0</v>
      </c>
      <c r="O27">
        <f>+Newco!I65</f>
        <v>0</v>
      </c>
      <c r="P27">
        <f>+Newco!J65</f>
        <v>0</v>
      </c>
    </row>
    <row r="28" spans="1:17" x14ac:dyDescent="0.45">
      <c r="B28" t="s">
        <v>23</v>
      </c>
      <c r="C28">
        <f>+Acquiror!G71</f>
        <v>1180</v>
      </c>
      <c r="D28">
        <f>+Acquiror!H71</f>
        <v>1180</v>
      </c>
      <c r="E28">
        <f>+Acquiror!I71</f>
        <v>1180</v>
      </c>
      <c r="F28">
        <f>+Acquiror!J71</f>
        <v>1180</v>
      </c>
      <c r="H28">
        <f>+'Calendar Target ACQ FX'!G71</f>
        <v>10.461</v>
      </c>
      <c r="I28">
        <f>+'Calendar Target ACQ FX'!H71</f>
        <v>10.461</v>
      </c>
      <c r="J28">
        <f>+'Calendar Target ACQ FX'!I71</f>
        <v>10.461</v>
      </c>
      <c r="K28">
        <f>+'Calendar Target ACQ FX'!J71</f>
        <v>10.461</v>
      </c>
      <c r="M28">
        <f>+Newco!G64</f>
        <v>0</v>
      </c>
      <c r="N28">
        <f>+Newco!H64</f>
        <v>0</v>
      </c>
      <c r="O28">
        <f>+Newco!I64</f>
        <v>0</v>
      </c>
      <c r="P28">
        <f>+Newco!J64</f>
        <v>0</v>
      </c>
    </row>
    <row r="29" spans="1:17" x14ac:dyDescent="0.45">
      <c r="B29" t="s">
        <v>202</v>
      </c>
      <c r="C29">
        <f>+Acquiror!G63+Acquiror!G67-Acquiror!G53</f>
        <v>12849.086343296778</v>
      </c>
      <c r="D29">
        <f>+Acquiror!H63+Acquiror!H67-Acquiror!H53</f>
        <v>9989.3951638385879</v>
      </c>
      <c r="E29">
        <f>+Acquiror!I63+Acquiror!I67-Acquiror!I53</f>
        <v>7026.2271948860525</v>
      </c>
      <c r="F29">
        <f>+Acquiror!J63+Acquiror!J67-Acquiror!J53</f>
        <v>3961.7359997319868</v>
      </c>
      <c r="H29">
        <f>+'Calendar Target ACQ FX'!G63+'Calendar Target ACQ FX'!G67-'Calendar Target ACQ FX'!G53</f>
        <v>5838.9404931719673</v>
      </c>
      <c r="I29">
        <f>+'Calendar Target ACQ FX'!H63+'Calendar Target ACQ FX'!H67-'Calendar Target ACQ FX'!H53</f>
        <v>4992.0173447821144</v>
      </c>
      <c r="J29">
        <f>+'Calendar Target ACQ FX'!I63+'Calendar Target ACQ FX'!I67-'Calendar Target ACQ FX'!I53</f>
        <v>4077.1594801650917</v>
      </c>
      <c r="K29">
        <f>+'Calendar Target ACQ FX'!J63+'Calendar Target ACQ FX'!J67-'Calendar Target ACQ FX'!J53</f>
        <v>3111.6685082408576</v>
      </c>
      <c r="M29">
        <f>+Newco!G54+Newco!G58+Newco!G59-Newco!G44</f>
        <v>0</v>
      </c>
      <c r="N29">
        <f>+Newco!H54+Newco!H58+Newco!H59-Newco!H44</f>
        <v>0</v>
      </c>
      <c r="O29">
        <f>+Newco!I54+Newco!I58+Newco!I59-Newco!I44</f>
        <v>0</v>
      </c>
      <c r="P29">
        <f>+Newco!J54+Newco!J58+Newco!J59-Newco!J44</f>
        <v>0</v>
      </c>
    </row>
    <row r="30" spans="1:17" x14ac:dyDescent="0.45">
      <c r="B30" t="s">
        <v>337</v>
      </c>
      <c r="C30">
        <f>SUM(C27:C29)</f>
        <v>42814.536249337529</v>
      </c>
      <c r="D30">
        <f>SUM(D27:D29)</f>
        <v>42307.124598499759</v>
      </c>
      <c r="E30">
        <f>SUM(E27:E29)</f>
        <v>41765.158252797177</v>
      </c>
      <c r="F30">
        <f>SUM(F27:F29)</f>
        <v>41196.081001992956</v>
      </c>
      <c r="H30">
        <f>SUM(H27:H29)</f>
        <v>11499.949390703077</v>
      </c>
      <c r="I30">
        <f>SUM(I27:I29)</f>
        <v>11778.62996787373</v>
      </c>
      <c r="J30">
        <f>SUM(J27:J29)</f>
        <v>12073.74559484647</v>
      </c>
      <c r="K30">
        <f>SUM(K27:K29)</f>
        <v>12383.39058790436</v>
      </c>
      <c r="M30">
        <f>SUM(M27:M29)</f>
        <v>0</v>
      </c>
      <c r="N30">
        <f>SUM(N27:N29)</f>
        <v>0</v>
      </c>
      <c r="O30">
        <f>SUM(O27:O29)</f>
        <v>0</v>
      </c>
      <c r="P30">
        <f>SUM(P27:P29)</f>
        <v>0</v>
      </c>
    </row>
    <row r="32" spans="1:17" x14ac:dyDescent="0.45">
      <c r="B32" t="s">
        <v>287</v>
      </c>
      <c r="C32" s="66">
        <f>+C29/C14</f>
        <v>1.3072593281342215</v>
      </c>
      <c r="D32" s="66">
        <f>+D29/D14</f>
        <v>0.98671441004335481</v>
      </c>
      <c r="E32" s="66">
        <f>+E29/E14</f>
        <v>0.6738096729955575</v>
      </c>
      <c r="F32" s="66">
        <f>+F29/F14</f>
        <v>0.36886152693849716</v>
      </c>
      <c r="H32" s="66">
        <f>+H29/H14</f>
        <v>1.5141291616172088</v>
      </c>
      <c r="I32" s="66">
        <f>+I29/I14</f>
        <v>1.1797146832671352</v>
      </c>
      <c r="J32" s="66">
        <f>+J29/J14</f>
        <v>0.89957955561452707</v>
      </c>
      <c r="K32" s="66">
        <f>+K29/K14</f>
        <v>0.65136974138229398</v>
      </c>
      <c r="M32" s="66" t="e">
        <f>+M29/M14</f>
        <v>#DIV/0!</v>
      </c>
      <c r="N32" s="66" t="e">
        <f>+N29/N14</f>
        <v>#DIV/0!</v>
      </c>
      <c r="O32" s="66" t="e">
        <f>+O29/O14</f>
        <v>#DIV/0!</v>
      </c>
      <c r="P32" s="66" t="e">
        <f>+P29/P14</f>
        <v>#DIV/0!</v>
      </c>
    </row>
    <row r="33" spans="1:16" x14ac:dyDescent="0.45">
      <c r="B33" t="s">
        <v>340</v>
      </c>
      <c r="C33" s="2">
        <f>+C27/C30</f>
        <v>0.67232889639172844</v>
      </c>
      <c r="D33" s="2">
        <f>+D27/D30</f>
        <v>0.73599257170423105</v>
      </c>
      <c r="E33" s="2">
        <f>+E27/E30</f>
        <v>0.8035149981902332</v>
      </c>
      <c r="F33" s="2">
        <f>+F27/F30</f>
        <v>0.87518871031729339</v>
      </c>
      <c r="H33" s="2">
        <f>+H27/H30</f>
        <v>0.49135415344516142</v>
      </c>
      <c r="I33" s="2">
        <f>+I27/I30</f>
        <v>0.5752920026839794</v>
      </c>
      <c r="J33" s="2">
        <f>+J27/J30</f>
        <v>0.66144553502023085</v>
      </c>
      <c r="K33" s="2">
        <f>+K27/K30</f>
        <v>0.74787765224086222</v>
      </c>
      <c r="M33" s="2" t="e">
        <f>+M27/M30</f>
        <v>#DIV/0!</v>
      </c>
      <c r="N33" s="2" t="e">
        <f>+N27/N30</f>
        <v>#DIV/0!</v>
      </c>
      <c r="O33" s="2" t="e">
        <f>+O27/O30</f>
        <v>#DIV/0!</v>
      </c>
      <c r="P33" s="2" t="e">
        <f>+P27/P30</f>
        <v>#DIV/0!</v>
      </c>
    </row>
    <row r="35" spans="1:16" x14ac:dyDescent="0.45">
      <c r="A35" s="46" t="s">
        <v>330</v>
      </c>
    </row>
  </sheetData>
  <mergeCells count="6">
    <mergeCell ref="C4:F4"/>
    <mergeCell ref="C5:F5"/>
    <mergeCell ref="H4:K4"/>
    <mergeCell ref="H5:K5"/>
    <mergeCell ref="M4:P4"/>
    <mergeCell ref="M5:P5"/>
  </mergeCells>
  <printOptions headings="1" gridLines="1"/>
  <pageMargins left="0.70866141732283472" right="0.70866141732283472" top="0.74803149606299213" bottom="0.74803149606299213" header="0.31496062992125984" footer="0.31496062992125984"/>
  <pageSetup paperSize="9" scale="51" fitToWidth="2" orientation="landscape" r:id="rId1"/>
  <headerFooter>
    <oddHeader xml:space="preserve">&amp;R&amp;10&amp;F 
&amp;A
</oddHeader>
    <oddFooter>&amp;L&amp;10© 2017&amp;C&amp;10Page &amp;P of &amp;N&amp;R&amp;G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D9C6D0-1DFC-40B0-B141-9AB670AD8438}">
  <dimension ref="A1:X20"/>
  <sheetViews>
    <sheetView showGridLines="0" zoomScaleNormal="100" zoomScaleSheetLayoutView="100" workbookViewId="0"/>
  </sheetViews>
  <sheetFormatPr defaultColWidth="9.1328125" defaultRowHeight="14.25" x14ac:dyDescent="0.45"/>
  <cols>
    <col min="1" max="1" width="1.46484375" customWidth="1"/>
    <col min="2" max="2" width="2.86328125" customWidth="1"/>
    <col min="3" max="3" width="13.19921875" customWidth="1"/>
    <col min="4" max="4" width="2.86328125" customWidth="1"/>
    <col min="5" max="7" width="1.46484375" customWidth="1"/>
    <col min="8" max="8" width="2.86328125" customWidth="1"/>
    <col min="9" max="9" width="42.796875" customWidth="1"/>
    <col min="10" max="11" width="1.46484375" customWidth="1"/>
    <col min="12" max="12" width="15.53125" customWidth="1"/>
    <col min="13" max="14" width="1.46484375" customWidth="1"/>
    <col min="15" max="15" width="2.86328125" customWidth="1"/>
    <col min="16" max="16" width="32.53125" customWidth="1"/>
    <col min="17" max="17" width="2.86328125" customWidth="1"/>
    <col min="18" max="18" width="1.46484375" customWidth="1"/>
    <col min="23" max="23" width="9.1328125" customWidth="1"/>
  </cols>
  <sheetData>
    <row r="1" spans="1:24" ht="45" customHeight="1" x14ac:dyDescent="0.85">
      <c r="A1" s="24" t="str">
        <f>Welcome!A2</f>
        <v>Deal Analysis</v>
      </c>
      <c r="B1" s="24"/>
      <c r="C1" s="24"/>
      <c r="D1" s="24"/>
      <c r="E1" s="24"/>
      <c r="F1" s="24"/>
      <c r="G1" s="24"/>
      <c r="H1" s="24"/>
      <c r="I1" s="24"/>
      <c r="J1" s="25"/>
      <c r="K1" s="25"/>
      <c r="L1" s="25"/>
      <c r="M1" s="25"/>
      <c r="N1" s="25"/>
      <c r="O1" s="25"/>
      <c r="P1" s="25"/>
      <c r="Q1" s="25"/>
      <c r="R1" s="25"/>
    </row>
    <row r="2" spans="1:24" ht="30" customHeight="1" x14ac:dyDescent="0.65">
      <c r="A2" s="9" t="s">
        <v>291</v>
      </c>
      <c r="B2" s="9"/>
      <c r="C2" s="9"/>
      <c r="D2" s="9"/>
      <c r="E2" s="9"/>
      <c r="F2" s="9"/>
      <c r="G2" s="9"/>
      <c r="H2" s="9"/>
      <c r="I2" s="9"/>
      <c r="J2" s="10"/>
      <c r="K2" s="10"/>
      <c r="L2" s="10"/>
      <c r="M2" s="10"/>
      <c r="N2" s="10"/>
      <c r="O2" s="10"/>
      <c r="P2" s="10"/>
      <c r="Q2" s="10"/>
      <c r="R2" s="10"/>
    </row>
    <row r="3" spans="1:24" s="26" customFormat="1" ht="7.5" customHeight="1" x14ac:dyDescent="0.45">
      <c r="S3"/>
      <c r="T3"/>
      <c r="U3"/>
      <c r="V3"/>
      <c r="W3"/>
      <c r="X3"/>
    </row>
    <row r="4" spans="1:24" s="26" customFormat="1" ht="22.5" customHeight="1" x14ac:dyDescent="0.45">
      <c r="A4" s="27"/>
      <c r="B4" s="81" t="s">
        <v>292</v>
      </c>
      <c r="C4" s="81"/>
      <c r="D4" s="81"/>
      <c r="E4" s="81"/>
      <c r="F4" s="81"/>
      <c r="G4" s="81"/>
      <c r="H4" s="81"/>
      <c r="I4" s="81"/>
      <c r="K4" s="27"/>
      <c r="L4" s="81" t="s">
        <v>293</v>
      </c>
      <c r="M4" s="81"/>
      <c r="N4" s="81"/>
      <c r="O4" s="81"/>
      <c r="P4" s="81"/>
      <c r="Q4" s="19"/>
      <c r="R4" s="19"/>
      <c r="S4"/>
      <c r="T4"/>
      <c r="U4"/>
      <c r="V4"/>
      <c r="W4"/>
      <c r="X4"/>
    </row>
    <row r="5" spans="1:24" s="26" customFormat="1" ht="15" customHeight="1" x14ac:dyDescent="0.45">
      <c r="A5" s="28"/>
      <c r="B5" s="29"/>
      <c r="C5" s="30"/>
      <c r="D5" s="31"/>
      <c r="E5" s="31"/>
      <c r="F5" s="31"/>
      <c r="G5" s="31"/>
      <c r="H5" s="31"/>
      <c r="I5" s="31"/>
      <c r="K5" s="27"/>
      <c r="L5" s="32" t="s">
        <v>294</v>
      </c>
      <c r="M5" s="32"/>
      <c r="N5" s="80"/>
      <c r="O5" s="80"/>
      <c r="P5" s="80"/>
      <c r="Q5" s="80"/>
      <c r="R5" s="19"/>
      <c r="S5"/>
      <c r="T5"/>
      <c r="U5"/>
      <c r="V5"/>
      <c r="W5"/>
      <c r="X5"/>
    </row>
    <row r="6" spans="1:24" s="26" customFormat="1" ht="15" customHeight="1" x14ac:dyDescent="0.45">
      <c r="A6" s="33"/>
      <c r="B6" s="29"/>
      <c r="C6" s="30"/>
      <c r="D6" s="31"/>
      <c r="E6" s="31"/>
      <c r="F6" s="31"/>
      <c r="G6" s="31"/>
      <c r="H6" s="31"/>
      <c r="I6" s="31"/>
      <c r="K6" s="28"/>
      <c r="L6" s="32" t="s">
        <v>295</v>
      </c>
      <c r="M6" s="32"/>
      <c r="N6" s="82">
        <v>43465</v>
      </c>
      <c r="O6" s="82"/>
      <c r="P6" s="82"/>
      <c r="Q6" s="82"/>
      <c r="R6" s="19"/>
      <c r="S6"/>
      <c r="T6"/>
      <c r="U6"/>
      <c r="V6"/>
      <c r="W6"/>
      <c r="X6"/>
    </row>
    <row r="7" spans="1:24" s="26" customFormat="1" ht="15" customHeight="1" x14ac:dyDescent="0.45">
      <c r="A7" s="31"/>
      <c r="B7" s="29"/>
      <c r="C7" s="30"/>
      <c r="D7" s="31"/>
      <c r="E7" s="31"/>
      <c r="F7" s="31"/>
      <c r="G7" s="31"/>
      <c r="H7" s="31"/>
      <c r="I7" s="31"/>
      <c r="K7" s="33"/>
      <c r="L7" s="32" t="s">
        <v>16</v>
      </c>
      <c r="M7" s="32"/>
      <c r="N7" s="80" t="s">
        <v>59</v>
      </c>
      <c r="O7" s="80"/>
      <c r="P7" s="80"/>
      <c r="Q7" s="80"/>
      <c r="R7" s="19"/>
      <c r="S7"/>
      <c r="T7"/>
      <c r="U7"/>
      <c r="V7"/>
      <c r="W7"/>
      <c r="X7"/>
    </row>
    <row r="8" spans="1:24" s="26" customFormat="1" ht="15" customHeight="1" x14ac:dyDescent="0.45">
      <c r="A8" s="31"/>
      <c r="B8" s="29"/>
      <c r="C8" s="31"/>
      <c r="D8" s="31"/>
      <c r="E8" s="31"/>
      <c r="F8" s="31"/>
      <c r="G8" s="31"/>
      <c r="H8" s="31"/>
      <c r="I8" s="31"/>
      <c r="K8" s="31"/>
      <c r="L8" s="32" t="s">
        <v>296</v>
      </c>
      <c r="M8" s="32"/>
      <c r="N8" s="80" t="s">
        <v>297</v>
      </c>
      <c r="O8" s="80"/>
      <c r="P8" s="80"/>
      <c r="Q8" s="80"/>
      <c r="R8" s="19"/>
      <c r="S8"/>
      <c r="T8"/>
      <c r="U8"/>
      <c r="V8"/>
      <c r="W8"/>
      <c r="X8"/>
    </row>
    <row r="9" spans="1:24" s="26" customFormat="1" ht="15" customHeight="1" x14ac:dyDescent="0.45">
      <c r="A9" s="34"/>
      <c r="B9" s="17"/>
      <c r="C9" s="34"/>
      <c r="D9" s="34"/>
      <c r="E9" s="34"/>
      <c r="F9" s="34"/>
      <c r="G9" s="34"/>
      <c r="H9" s="34"/>
      <c r="I9" s="34"/>
      <c r="K9" s="31"/>
      <c r="L9" s="32" t="s">
        <v>298</v>
      </c>
      <c r="M9" s="32"/>
      <c r="N9" s="80" t="s">
        <v>299</v>
      </c>
      <c r="O9" s="80"/>
      <c r="P9" s="80"/>
      <c r="Q9" s="80"/>
      <c r="R9" s="19"/>
      <c r="S9"/>
      <c r="T9"/>
      <c r="U9"/>
      <c r="V9"/>
      <c r="W9"/>
      <c r="X9"/>
    </row>
    <row r="10" spans="1:24" s="26" customFormat="1" ht="15" customHeight="1" x14ac:dyDescent="0.45">
      <c r="A10" s="18"/>
      <c r="B10" s="18"/>
      <c r="C10" s="18"/>
      <c r="D10" s="18"/>
      <c r="E10" s="18"/>
      <c r="F10" s="18"/>
      <c r="G10" s="18"/>
      <c r="H10" s="18"/>
      <c r="I10" s="18"/>
      <c r="K10" s="31"/>
      <c r="L10" s="32" t="s">
        <v>300</v>
      </c>
      <c r="M10" s="32"/>
      <c r="N10" s="79"/>
      <c r="O10" s="79"/>
      <c r="P10" s="79"/>
      <c r="Q10" s="79"/>
      <c r="R10" s="35"/>
      <c r="S10"/>
      <c r="T10"/>
      <c r="U10"/>
      <c r="V10"/>
      <c r="W10"/>
      <c r="X10"/>
    </row>
    <row r="11" spans="1:24" s="26" customFormat="1" ht="15" customHeight="1" thickBot="1" x14ac:dyDescent="0.5">
      <c r="A11" s="20"/>
      <c r="B11" s="20"/>
      <c r="C11" s="20"/>
      <c r="D11" s="20"/>
      <c r="E11" s="20"/>
      <c r="F11" s="20"/>
      <c r="G11" s="20"/>
      <c r="H11" s="20"/>
      <c r="I11" s="20"/>
      <c r="K11" s="20"/>
      <c r="L11" s="20"/>
      <c r="M11" s="20"/>
      <c r="N11" s="20"/>
      <c r="O11" s="20"/>
      <c r="P11" s="20"/>
      <c r="Q11" s="20"/>
      <c r="R11" s="20"/>
      <c r="S11"/>
      <c r="T11"/>
      <c r="U11"/>
      <c r="V11"/>
      <c r="W11"/>
      <c r="X11"/>
    </row>
    <row r="12" spans="1:24" s="26" customFormat="1" ht="7.5" customHeight="1" x14ac:dyDescent="0.45">
      <c r="K12" s="15"/>
      <c r="L12" s="15"/>
      <c r="M12" s="15"/>
      <c r="N12" s="15"/>
      <c r="O12" s="15"/>
      <c r="P12" s="15"/>
      <c r="Q12" s="15"/>
      <c r="R12" s="15"/>
      <c r="S12"/>
      <c r="T12"/>
      <c r="U12"/>
      <c r="V12"/>
      <c r="W12"/>
      <c r="X12"/>
    </row>
    <row r="13" spans="1:24" s="26" customFormat="1" ht="22.5" customHeight="1" x14ac:dyDescent="0.45">
      <c r="A13" s="30"/>
      <c r="B13" s="81" t="s">
        <v>301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N13" s="27"/>
      <c r="O13" s="81" t="s">
        <v>302</v>
      </c>
      <c r="P13" s="81"/>
      <c r="Q13" s="81"/>
      <c r="R13" s="36"/>
      <c r="S13"/>
      <c r="T13"/>
      <c r="U13"/>
      <c r="V13"/>
      <c r="W13"/>
      <c r="X13"/>
    </row>
    <row r="14" spans="1:24" s="26" customFormat="1" ht="15" customHeight="1" x14ac:dyDescent="0.45">
      <c r="A14" s="31"/>
      <c r="B14" s="79"/>
      <c r="C14" s="79"/>
      <c r="D14" s="79"/>
      <c r="E14" s="79"/>
      <c r="F14" s="79"/>
      <c r="G14" s="79"/>
      <c r="H14" s="79"/>
      <c r="I14" s="79"/>
      <c r="J14" s="79"/>
      <c r="K14" s="79"/>
      <c r="L14" s="79"/>
      <c r="N14" s="28"/>
      <c r="O14" s="37"/>
      <c r="P14" s="12"/>
      <c r="Q14" s="12"/>
      <c r="R14" s="31"/>
      <c r="S14"/>
      <c r="T14"/>
      <c r="U14"/>
      <c r="V14"/>
      <c r="W14"/>
      <c r="X14"/>
    </row>
    <row r="15" spans="1:24" s="26" customFormat="1" ht="15" customHeight="1" x14ac:dyDescent="0.45">
      <c r="A15" s="31"/>
      <c r="B15" s="79"/>
      <c r="C15" s="79"/>
      <c r="D15" s="79"/>
      <c r="E15" s="79"/>
      <c r="F15" s="79"/>
      <c r="G15" s="79"/>
      <c r="H15" s="79"/>
      <c r="I15" s="79"/>
      <c r="J15" s="79"/>
      <c r="K15" s="79"/>
      <c r="L15" s="79"/>
      <c r="N15" s="33"/>
      <c r="O15" s="37"/>
      <c r="P15" s="38" t="s">
        <v>303</v>
      </c>
      <c r="Q15" s="12"/>
      <c r="R15" s="31"/>
      <c r="S15"/>
      <c r="T15"/>
      <c r="U15"/>
      <c r="V15"/>
      <c r="W15"/>
      <c r="X15"/>
    </row>
    <row r="16" spans="1:24" s="26" customFormat="1" ht="15" customHeight="1" x14ac:dyDescent="0.45">
      <c r="A16" s="31"/>
      <c r="B16" s="79"/>
      <c r="C16" s="79"/>
      <c r="D16" s="79"/>
      <c r="E16" s="79"/>
      <c r="F16" s="79"/>
      <c r="G16" s="79"/>
      <c r="H16" s="79"/>
      <c r="I16" s="79"/>
      <c r="J16" s="79"/>
      <c r="K16" s="79"/>
      <c r="L16" s="79"/>
      <c r="N16" s="31"/>
      <c r="O16" s="37"/>
      <c r="P16" s="39" t="s">
        <v>304</v>
      </c>
      <c r="Q16" s="12"/>
      <c r="R16" s="31"/>
      <c r="S16"/>
      <c r="T16"/>
      <c r="U16"/>
      <c r="V16"/>
      <c r="W16"/>
      <c r="X16"/>
    </row>
    <row r="17" spans="1:24" s="26" customFormat="1" ht="15" customHeight="1" x14ac:dyDescent="0.45">
      <c r="A17" s="31"/>
      <c r="B17" s="79"/>
      <c r="C17" s="79"/>
      <c r="D17" s="79"/>
      <c r="E17" s="79"/>
      <c r="F17" s="79"/>
      <c r="G17" s="79"/>
      <c r="H17" s="79"/>
      <c r="I17" s="79"/>
      <c r="J17" s="79"/>
      <c r="K17" s="79"/>
      <c r="L17" s="79"/>
      <c r="N17" s="31"/>
      <c r="O17" s="37"/>
      <c r="P17" t="s">
        <v>305</v>
      </c>
      <c r="Q17" s="12"/>
      <c r="R17" s="31"/>
      <c r="S17"/>
      <c r="T17"/>
      <c r="U17"/>
      <c r="V17"/>
      <c r="W17"/>
      <c r="X17"/>
    </row>
    <row r="18" spans="1:24" s="26" customFormat="1" ht="15" customHeight="1" x14ac:dyDescent="0.45">
      <c r="A18" s="18"/>
      <c r="B18" s="79"/>
      <c r="C18" s="79"/>
      <c r="D18" s="79"/>
      <c r="E18" s="79"/>
      <c r="F18" s="79"/>
      <c r="G18" s="79"/>
      <c r="H18" s="79"/>
      <c r="I18" s="79"/>
      <c r="J18" s="79"/>
      <c r="K18" s="79"/>
      <c r="L18" s="79"/>
      <c r="N18" s="18"/>
      <c r="O18" s="40"/>
      <c r="P18" s="40"/>
      <c r="Q18" s="40"/>
      <c r="R18" s="18"/>
      <c r="S18"/>
      <c r="T18"/>
      <c r="U18"/>
      <c r="V18"/>
      <c r="W18"/>
      <c r="X18"/>
    </row>
    <row r="19" spans="1:24" ht="14.65" thickBot="1" x14ac:dyDescent="0.5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N19" s="20"/>
      <c r="O19" s="20"/>
      <c r="P19" s="20"/>
      <c r="Q19" s="20"/>
      <c r="R19" s="20"/>
    </row>
    <row r="20" spans="1:24" x14ac:dyDescent="0.45">
      <c r="Q20" s="13"/>
    </row>
  </sheetData>
  <mergeCells count="20">
    <mergeCell ref="N8:Q8"/>
    <mergeCell ref="B4:I4"/>
    <mergeCell ref="L4:P4"/>
    <mergeCell ref="N5:Q5"/>
    <mergeCell ref="N6:Q6"/>
    <mergeCell ref="N7:Q7"/>
    <mergeCell ref="N9:Q9"/>
    <mergeCell ref="N10:Q10"/>
    <mergeCell ref="B13:L13"/>
    <mergeCell ref="O13:Q13"/>
    <mergeCell ref="B14:C14"/>
    <mergeCell ref="D14:L14"/>
    <mergeCell ref="B18:C18"/>
    <mergeCell ref="D18:L18"/>
    <mergeCell ref="B15:C15"/>
    <mergeCell ref="D15:L15"/>
    <mergeCell ref="B16:C16"/>
    <mergeCell ref="D16:L16"/>
    <mergeCell ref="B17:C17"/>
    <mergeCell ref="D17:L17"/>
  </mergeCells>
  <pageMargins left="0.7" right="0.7" top="0.75" bottom="0.75" header="0.3" footer="0.3"/>
  <pageSetup paperSize="9" scale="97" orientation="landscape" verticalDpi="1200" r:id="rId1"/>
  <headerFooter>
    <oddHeader xml:space="preserve">&amp;R&amp;10&amp;F 
&amp;A
</oddHeader>
    <oddFooter>&amp;L&amp;10© 2017&amp;C&amp;10Page &amp;P of &amp;N&amp;R&amp;G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5"/>
  <sheetViews>
    <sheetView zoomScaleNormal="100" workbookViewId="0"/>
  </sheetViews>
  <sheetFormatPr defaultRowHeight="15" customHeight="1" x14ac:dyDescent="0.45"/>
  <cols>
    <col min="1" max="1" width="1.53125" style="46" customWidth="1"/>
    <col min="2" max="2" width="40.796875" customWidth="1"/>
    <col min="3" max="10" width="11.796875" customWidth="1"/>
  </cols>
  <sheetData>
    <row r="1" spans="1:10" ht="45" customHeight="1" x14ac:dyDescent="0.85">
      <c r="A1" s="41" t="s">
        <v>153</v>
      </c>
      <c r="B1" s="41"/>
      <c r="C1" s="41"/>
      <c r="D1" s="41"/>
      <c r="E1" s="41"/>
      <c r="F1" s="41"/>
      <c r="G1" s="41"/>
      <c r="H1" s="41"/>
      <c r="I1" s="41"/>
      <c r="J1" s="41"/>
    </row>
    <row r="2" spans="1:10" ht="30" customHeight="1" x14ac:dyDescent="0.65">
      <c r="A2" s="42"/>
      <c r="B2" s="42"/>
      <c r="C2" s="42"/>
      <c r="D2" s="42"/>
      <c r="E2" s="42"/>
      <c r="F2" s="42"/>
      <c r="G2" s="42"/>
      <c r="H2" s="42"/>
      <c r="I2" s="42"/>
      <c r="J2" s="42"/>
    </row>
    <row r="4" spans="1:10" ht="15" customHeight="1" x14ac:dyDescent="0.45">
      <c r="A4" s="46" t="s">
        <v>306</v>
      </c>
    </row>
    <row r="5" spans="1:10" ht="15" customHeight="1" x14ac:dyDescent="0.45">
      <c r="B5" t="s">
        <v>154</v>
      </c>
      <c r="C5" s="56" t="s">
        <v>160</v>
      </c>
    </row>
    <row r="6" spans="1:10" ht="15" customHeight="1" x14ac:dyDescent="0.45">
      <c r="B6" t="s">
        <v>155</v>
      </c>
      <c r="C6" s="56" t="s">
        <v>347</v>
      </c>
    </row>
    <row r="7" spans="1:10" ht="15" customHeight="1" x14ac:dyDescent="0.45">
      <c r="B7" t="s">
        <v>159</v>
      </c>
      <c r="C7" s="69">
        <v>42757</v>
      </c>
    </row>
    <row r="9" spans="1:10" ht="15" customHeight="1" x14ac:dyDescent="0.45">
      <c r="B9" t="s">
        <v>97</v>
      </c>
      <c r="C9" s="58">
        <v>0</v>
      </c>
    </row>
    <row r="11" spans="1:10" ht="15" customHeight="1" x14ac:dyDescent="0.45">
      <c r="A11" s="46" t="s">
        <v>161</v>
      </c>
    </row>
    <row r="12" spans="1:10" ht="15" customHeight="1" x14ac:dyDescent="0.45">
      <c r="B12" t="s">
        <v>156</v>
      </c>
    </row>
    <row r="13" spans="1:10" ht="15" customHeight="1" x14ac:dyDescent="0.45">
      <c r="B13" t="s">
        <v>157</v>
      </c>
    </row>
    <row r="14" spans="1:10" ht="15" customHeight="1" x14ac:dyDescent="0.45">
      <c r="B14" t="s">
        <v>158</v>
      </c>
    </row>
    <row r="15" spans="1:10" ht="15" customHeight="1" x14ac:dyDescent="0.45">
      <c r="B15" t="s">
        <v>152</v>
      </c>
    </row>
    <row r="17" spans="1:3" ht="15" customHeight="1" x14ac:dyDescent="0.45">
      <c r="A17" s="46" t="s">
        <v>162</v>
      </c>
    </row>
    <row r="18" spans="1:3" ht="15" customHeight="1" x14ac:dyDescent="0.45">
      <c r="B18" t="s">
        <v>308</v>
      </c>
      <c r="C18" t="s">
        <v>307</v>
      </c>
    </row>
    <row r="20" spans="1:3" ht="15" customHeight="1" x14ac:dyDescent="0.45">
      <c r="B20" t="s">
        <v>163</v>
      </c>
      <c r="C20" t="s">
        <v>164</v>
      </c>
    </row>
    <row r="21" spans="1:3" ht="15" customHeight="1" x14ac:dyDescent="0.45">
      <c r="B21" t="s">
        <v>131</v>
      </c>
      <c r="C21" t="s">
        <v>341</v>
      </c>
    </row>
    <row r="22" spans="1:3" ht="15" customHeight="1" x14ac:dyDescent="0.45">
      <c r="B22" t="s">
        <v>178</v>
      </c>
      <c r="C22" t="s">
        <v>179</v>
      </c>
    </row>
    <row r="23" spans="1:3" ht="15" customHeight="1" x14ac:dyDescent="0.45">
      <c r="B23" t="s">
        <v>97</v>
      </c>
      <c r="C23" t="s">
        <v>180</v>
      </c>
    </row>
    <row r="25" spans="1:3" ht="15" customHeight="1" x14ac:dyDescent="0.45">
      <c r="A25" s="46" t="s">
        <v>330</v>
      </c>
    </row>
  </sheetData>
  <printOptions headings="1" gridLines="1"/>
  <pageMargins left="0.7" right="0.7" top="0.75" bottom="0.75" header="0.3" footer="0.3"/>
  <pageSetup paperSize="9" scale="93" orientation="landscape" r:id="rId1"/>
  <headerFooter>
    <oddHeader xml:space="preserve">&amp;R&amp;10&amp;F 
&amp;A
</oddHeader>
    <oddFooter>&amp;L&amp;10© 2017&amp;C&amp;10Page &amp;P of &amp;N&amp;R&amp;G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45"/>
  <sheetViews>
    <sheetView zoomScaleNormal="100" workbookViewId="0"/>
  </sheetViews>
  <sheetFormatPr defaultRowHeight="15.75" x14ac:dyDescent="0.45"/>
  <cols>
    <col min="1" max="1" width="1.53125" style="46" customWidth="1"/>
    <col min="2" max="2" width="40.796875" customWidth="1"/>
    <col min="3" max="5" width="11.796875" customWidth="1"/>
    <col min="6" max="6" width="34.53125" bestFit="1" customWidth="1"/>
    <col min="7" max="10" width="11.796875" customWidth="1"/>
    <col min="11" max="11" width="15.53125" customWidth="1"/>
    <col min="12" max="12" width="17.86328125" bestFit="1" customWidth="1"/>
    <col min="13" max="13" width="16.796875" customWidth="1"/>
    <col min="14" max="14" width="18.6640625" bestFit="1" customWidth="1"/>
  </cols>
  <sheetData>
    <row r="1" spans="1:10" ht="45" customHeight="1" x14ac:dyDescent="0.85">
      <c r="A1" s="41" t="s">
        <v>0</v>
      </c>
      <c r="B1" s="41"/>
      <c r="C1" s="41"/>
      <c r="D1" s="41"/>
      <c r="E1" s="41"/>
      <c r="F1" s="41"/>
      <c r="G1" s="41"/>
      <c r="H1" s="41"/>
      <c r="I1" s="41"/>
      <c r="J1" s="41"/>
    </row>
    <row r="2" spans="1:10" ht="30" customHeight="1" x14ac:dyDescent="0.65">
      <c r="A2" s="42" t="s">
        <v>1</v>
      </c>
      <c r="B2" s="42"/>
      <c r="C2" s="42"/>
      <c r="D2" s="42"/>
      <c r="E2" s="42"/>
      <c r="F2" s="42"/>
      <c r="G2" s="42"/>
      <c r="H2" s="42"/>
      <c r="I2" s="42"/>
      <c r="J2" s="42"/>
    </row>
    <row r="4" spans="1:10" x14ac:dyDescent="0.45">
      <c r="B4" t="s">
        <v>2</v>
      </c>
      <c r="C4" s="48" t="s">
        <v>56</v>
      </c>
      <c r="F4" t="s">
        <v>374</v>
      </c>
      <c r="G4" t="s">
        <v>59</v>
      </c>
      <c r="H4" t="s">
        <v>277</v>
      </c>
    </row>
    <row r="5" spans="1:10" x14ac:dyDescent="0.45">
      <c r="B5" t="s">
        <v>30</v>
      </c>
      <c r="C5" s="43">
        <v>100.5</v>
      </c>
      <c r="F5" t="s">
        <v>37</v>
      </c>
    </row>
    <row r="6" spans="1:10" x14ac:dyDescent="0.45">
      <c r="B6" t="s">
        <v>16</v>
      </c>
      <c r="C6" s="6" t="s">
        <v>58</v>
      </c>
      <c r="F6" t="s">
        <v>177</v>
      </c>
    </row>
    <row r="7" spans="1:10" x14ac:dyDescent="0.45">
      <c r="B7" t="s">
        <v>312</v>
      </c>
      <c r="C7">
        <f>Acquiror!C143</f>
        <v>826.94780800000001</v>
      </c>
      <c r="F7" t="s">
        <v>230</v>
      </c>
    </row>
    <row r="8" spans="1:10" x14ac:dyDescent="0.45">
      <c r="B8" t="s">
        <v>311</v>
      </c>
      <c r="C8">
        <f>C5*C7</f>
        <v>83108.254704000006</v>
      </c>
      <c r="F8" t="s">
        <v>231</v>
      </c>
    </row>
    <row r="9" spans="1:10" x14ac:dyDescent="0.45">
      <c r="F9" t="s">
        <v>232</v>
      </c>
    </row>
    <row r="10" spans="1:10" x14ac:dyDescent="0.45">
      <c r="B10" t="s">
        <v>3</v>
      </c>
      <c r="C10" s="48" t="s">
        <v>57</v>
      </c>
      <c r="F10" t="s">
        <v>233</v>
      </c>
    </row>
    <row r="11" spans="1:10" x14ac:dyDescent="0.45">
      <c r="B11" t="s">
        <v>30</v>
      </c>
      <c r="C11" s="43">
        <v>89.03</v>
      </c>
      <c r="F11" t="s">
        <v>309</v>
      </c>
    </row>
    <row r="12" spans="1:10" x14ac:dyDescent="0.45">
      <c r="B12" t="s">
        <v>31</v>
      </c>
      <c r="C12" s="44">
        <v>0.438</v>
      </c>
    </row>
    <row r="13" spans="1:10" x14ac:dyDescent="0.45">
      <c r="B13" t="s">
        <v>32</v>
      </c>
      <c r="C13">
        <f>C11*(1+C12)</f>
        <v>128.02513999999999</v>
      </c>
      <c r="F13" t="s">
        <v>106</v>
      </c>
    </row>
    <row r="14" spans="1:10" x14ac:dyDescent="0.45">
      <c r="B14" t="s">
        <v>16</v>
      </c>
      <c r="C14" s="6" t="s">
        <v>59</v>
      </c>
      <c r="F14" t="s">
        <v>104</v>
      </c>
    </row>
    <row r="15" spans="1:10" x14ac:dyDescent="0.45">
      <c r="B15" t="s">
        <v>312</v>
      </c>
      <c r="C15">
        <f>'Target local FX'!D142</f>
        <v>444.52660145545286</v>
      </c>
      <c r="F15" t="s">
        <v>41</v>
      </c>
    </row>
    <row r="16" spans="1:10" x14ac:dyDescent="0.45">
      <c r="B16" t="s">
        <v>313</v>
      </c>
      <c r="C16">
        <f>C13*C15</f>
        <v>56910.580385058551</v>
      </c>
      <c r="F16" t="s">
        <v>42</v>
      </c>
    </row>
    <row r="17" spans="2:16" x14ac:dyDescent="0.45">
      <c r="F17" t="s">
        <v>310</v>
      </c>
    </row>
    <row r="18" spans="2:16" x14ac:dyDescent="0.45">
      <c r="B18" t="str">
        <f>"FX rate ("&amp;C14&amp;" / "&amp;C6&amp;")"</f>
        <v>FX rate (USD / Euro)</v>
      </c>
      <c r="C18" s="45">
        <v>0.95099999999999996</v>
      </c>
    </row>
    <row r="19" spans="2:16" x14ac:dyDescent="0.45">
      <c r="F19" t="s">
        <v>44</v>
      </c>
    </row>
    <row r="20" spans="2:16" x14ac:dyDescent="0.45">
      <c r="B20" t="s">
        <v>33</v>
      </c>
    </row>
    <row r="21" spans="2:16" x14ac:dyDescent="0.45">
      <c r="B21" t="s">
        <v>40</v>
      </c>
      <c r="C21" s="44">
        <v>2.5000000000000001E-3</v>
      </c>
      <c r="K21" s="47" t="s">
        <v>263</v>
      </c>
    </row>
    <row r="22" spans="2:16" x14ac:dyDescent="0.45">
      <c r="B22" t="s">
        <v>314</v>
      </c>
      <c r="C22" s="43">
        <v>19000</v>
      </c>
      <c r="F22" t="str">
        <f>"Goodwill calculation in "&amp;C6</f>
        <v>Goodwill calculation in Euro</v>
      </c>
    </row>
    <row r="23" spans="2:16" x14ac:dyDescent="0.45">
      <c r="B23" t="s">
        <v>52</v>
      </c>
      <c r="C23" s="43">
        <v>1</v>
      </c>
      <c r="F23" t="s">
        <v>45</v>
      </c>
      <c r="L23" s="49" t="s">
        <v>203</v>
      </c>
      <c r="M23" s="49" t="s">
        <v>264</v>
      </c>
      <c r="N23" s="49" t="s">
        <v>266</v>
      </c>
      <c r="O23" s="49" t="s">
        <v>221</v>
      </c>
    </row>
    <row r="24" spans="2:16" x14ac:dyDescent="0.45">
      <c r="B24" t="s">
        <v>35</v>
      </c>
      <c r="C24" s="44">
        <v>0.05</v>
      </c>
      <c r="F24" t="str">
        <f>target&amp;" book value"</f>
        <v>Monsanto book value</v>
      </c>
      <c r="L24" s="49" t="s">
        <v>315</v>
      </c>
      <c r="M24" s="50" t="s">
        <v>265</v>
      </c>
      <c r="N24" s="50" t="s">
        <v>316</v>
      </c>
      <c r="O24" s="50" t="s">
        <v>267</v>
      </c>
      <c r="P24" s="51"/>
    </row>
    <row r="25" spans="2:16" x14ac:dyDescent="0.45">
      <c r="B25" t="s">
        <v>36</v>
      </c>
      <c r="C25" s="44">
        <v>0.02</v>
      </c>
      <c r="F25" t="s">
        <v>47</v>
      </c>
      <c r="K25" s="47"/>
      <c r="L25" s="70">
        <f>G34</f>
        <v>0</v>
      </c>
      <c r="M25" s="2">
        <f>G35</f>
        <v>0</v>
      </c>
      <c r="N25">
        <f>G36</f>
        <v>0</v>
      </c>
      <c r="O25" s="2">
        <f>G37</f>
        <v>0</v>
      </c>
      <c r="P25" s="52"/>
    </row>
    <row r="26" spans="2:16" x14ac:dyDescent="0.45">
      <c r="B26" t="s">
        <v>104</v>
      </c>
      <c r="C26" s="43">
        <v>4000</v>
      </c>
      <c r="F26" t="s">
        <v>46</v>
      </c>
      <c r="J26" s="47"/>
      <c r="K26" s="53">
        <v>0</v>
      </c>
      <c r="L26" s="70">
        <f t="dataTable" ref="L26:O33" dt2D="0" dtr="0" r1="C12"/>
        <v>0</v>
      </c>
      <c r="M26" s="5">
        <v>0</v>
      </c>
      <c r="N26" s="7">
        <v>0</v>
      </c>
      <c r="O26" s="5">
        <v>0</v>
      </c>
      <c r="P26" s="52"/>
    </row>
    <row r="27" spans="2:16" x14ac:dyDescent="0.45">
      <c r="B27" t="s">
        <v>105</v>
      </c>
      <c r="C27" s="44">
        <v>5.6250000000000001E-2</v>
      </c>
      <c r="F27" t="s">
        <v>109</v>
      </c>
      <c r="J27" s="47"/>
      <c r="K27" s="53">
        <f>+K26+10%</f>
        <v>0.1</v>
      </c>
      <c r="L27" s="70">
        <v>0</v>
      </c>
      <c r="M27" s="5">
        <v>0</v>
      </c>
      <c r="N27" s="7">
        <v>0</v>
      </c>
      <c r="O27" s="5">
        <v>0</v>
      </c>
      <c r="P27" s="52"/>
    </row>
    <row r="28" spans="2:16" x14ac:dyDescent="0.45">
      <c r="B28" t="s">
        <v>107</v>
      </c>
      <c r="C28" s="44">
        <v>0.01</v>
      </c>
      <c r="F28" t="s">
        <v>108</v>
      </c>
      <c r="J28" s="47" t="s">
        <v>269</v>
      </c>
      <c r="K28" s="53">
        <f t="shared" ref="K28:K33" si="0">+K27+10%</f>
        <v>0.2</v>
      </c>
      <c r="L28" s="70">
        <v>0</v>
      </c>
      <c r="M28" s="5">
        <v>0</v>
      </c>
      <c r="N28" s="7">
        <v>0</v>
      </c>
      <c r="O28" s="5">
        <v>0</v>
      </c>
      <c r="P28" s="52"/>
    </row>
    <row r="29" spans="2:16" x14ac:dyDescent="0.45">
      <c r="F29" t="s">
        <v>317</v>
      </c>
      <c r="K29" s="53">
        <f t="shared" si="0"/>
        <v>0.30000000000000004</v>
      </c>
      <c r="L29" s="70">
        <v>0</v>
      </c>
      <c r="M29" s="5">
        <v>0</v>
      </c>
      <c r="N29" s="7">
        <v>0</v>
      </c>
      <c r="O29" s="5">
        <v>0</v>
      </c>
      <c r="P29" s="52"/>
    </row>
    <row r="30" spans="2:16" x14ac:dyDescent="0.45">
      <c r="B30" t="s">
        <v>43</v>
      </c>
      <c r="C30">
        <f>+C16-C22</f>
        <v>37910.580385058551</v>
      </c>
      <c r="K30" s="53">
        <f t="shared" si="0"/>
        <v>0.4</v>
      </c>
      <c r="L30" s="70">
        <v>0</v>
      </c>
      <c r="M30" s="5">
        <v>0</v>
      </c>
      <c r="N30" s="7">
        <v>0</v>
      </c>
      <c r="O30" s="5">
        <v>0</v>
      </c>
      <c r="P30" s="52"/>
    </row>
    <row r="31" spans="2:16" x14ac:dyDescent="0.45">
      <c r="B31" t="s">
        <v>34</v>
      </c>
      <c r="C31" s="44">
        <v>7.4999999999999997E-3</v>
      </c>
      <c r="F31" t="s">
        <v>268</v>
      </c>
      <c r="K31" s="53">
        <v>0.438</v>
      </c>
      <c r="L31" s="70">
        <v>0</v>
      </c>
      <c r="M31" s="5">
        <v>0</v>
      </c>
      <c r="N31" s="7">
        <v>0</v>
      </c>
      <c r="O31" s="5">
        <v>0</v>
      </c>
      <c r="P31" s="52"/>
    </row>
    <row r="32" spans="2:16" x14ac:dyDescent="0.45">
      <c r="B32" t="s">
        <v>51</v>
      </c>
      <c r="C32" s="44">
        <v>0.05</v>
      </c>
      <c r="K32" s="53">
        <f>+K30+10%</f>
        <v>0.5</v>
      </c>
      <c r="L32" s="70">
        <v>0</v>
      </c>
      <c r="M32" s="5">
        <v>0</v>
      </c>
      <c r="N32" s="7">
        <v>0</v>
      </c>
      <c r="O32" s="5">
        <v>0</v>
      </c>
      <c r="P32" s="52"/>
    </row>
    <row r="33" spans="1:16" x14ac:dyDescent="0.45">
      <c r="B33" t="s">
        <v>334</v>
      </c>
      <c r="C33" s="43">
        <v>5</v>
      </c>
      <c r="F33" t="s">
        <v>55</v>
      </c>
      <c r="K33" s="53">
        <f t="shared" si="0"/>
        <v>0.6</v>
      </c>
      <c r="L33" s="70">
        <v>0</v>
      </c>
      <c r="M33" s="5">
        <v>0</v>
      </c>
      <c r="N33" s="7">
        <v>0</v>
      </c>
      <c r="O33" s="5">
        <v>0</v>
      </c>
      <c r="P33" s="52"/>
    </row>
    <row r="34" spans="1:16" x14ac:dyDescent="0.45">
      <c r="B34" t="s">
        <v>131</v>
      </c>
      <c r="C34" s="43">
        <v>1</v>
      </c>
      <c r="F34" t="s">
        <v>318</v>
      </c>
      <c r="G34" s="70">
        <f>Analysis!I34</f>
        <v>0</v>
      </c>
      <c r="J34" s="51"/>
      <c r="K34" s="52"/>
      <c r="L34" s="52"/>
      <c r="M34" s="52"/>
      <c r="N34" s="52"/>
      <c r="O34" s="52"/>
      <c r="P34" s="52"/>
    </row>
    <row r="35" spans="1:16" x14ac:dyDescent="0.45">
      <c r="B35" t="s">
        <v>165</v>
      </c>
      <c r="C35" s="43">
        <v>1</v>
      </c>
      <c r="F35" t="s">
        <v>261</v>
      </c>
      <c r="G35" s="2">
        <f>Analysis!H12</f>
        <v>0</v>
      </c>
      <c r="J35" s="51"/>
      <c r="K35" s="52"/>
      <c r="L35" s="52"/>
      <c r="M35" s="52"/>
      <c r="N35" s="52"/>
      <c r="O35" s="52"/>
      <c r="P35" s="52"/>
    </row>
    <row r="36" spans="1:16" x14ac:dyDescent="0.45">
      <c r="F36" t="s">
        <v>319</v>
      </c>
      <c r="G36">
        <f>'Value creation'!C31</f>
        <v>0</v>
      </c>
    </row>
    <row r="37" spans="1:16" x14ac:dyDescent="0.45">
      <c r="B37" t="str">
        <f>"Target brand value in "&amp;C14</f>
        <v>Target brand value in USD</v>
      </c>
      <c r="C37" s="43">
        <v>15000</v>
      </c>
      <c r="F37" t="s">
        <v>262</v>
      </c>
      <c r="G37" s="2">
        <f>'Value creation'!J47</f>
        <v>0</v>
      </c>
    </row>
    <row r="38" spans="1:16" x14ac:dyDescent="0.45">
      <c r="B38" t="s">
        <v>276</v>
      </c>
      <c r="C38" s="43">
        <v>1000</v>
      </c>
    </row>
    <row r="39" spans="1:16" x14ac:dyDescent="0.45">
      <c r="B39" t="s">
        <v>125</v>
      </c>
      <c r="C39" s="43">
        <v>10</v>
      </c>
    </row>
    <row r="40" spans="1:16" x14ac:dyDescent="0.45">
      <c r="B40" t="s">
        <v>110</v>
      </c>
      <c r="C40" s="44">
        <v>0.35</v>
      </c>
    </row>
    <row r="42" spans="1:16" x14ac:dyDescent="0.45">
      <c r="B42" t="s">
        <v>138</v>
      </c>
      <c r="C42" s="44">
        <v>0.25</v>
      </c>
    </row>
    <row r="43" spans="1:16" x14ac:dyDescent="0.45">
      <c r="B43" t="s">
        <v>320</v>
      </c>
      <c r="C43" s="44">
        <v>0.3</v>
      </c>
    </row>
    <row r="45" spans="1:16" x14ac:dyDescent="0.45">
      <c r="A45" s="46" t="s">
        <v>330</v>
      </c>
    </row>
  </sheetData>
  <dataValidations disablePrompts="1" count="3">
    <dataValidation type="whole" allowBlank="1" showInputMessage="1" showErrorMessage="1" promptTitle="equity" prompt="Secondary issue = 1_x000a_Issue directly to target shareholders = 0" sqref="C23" xr:uid="{00000000-0002-0000-0100-000000000000}">
      <formula1>0</formula1>
      <formula2>1</formula2>
    </dataValidation>
    <dataValidation type="whole" allowBlank="1" showInputMessage="1" showErrorMessage="1" prompt="1 = amortise_x000a_0 = bullet" sqref="C34" xr:uid="{00000000-0002-0000-0100-000001000000}">
      <formula1>0</formula1>
      <formula2>1</formula2>
    </dataValidation>
    <dataValidation type="whole" allowBlank="1" showInputMessage="1" showErrorMessage="1" prompt="1 = refinance net debt of target with new debt at same interest rate as acquisition debt_x000a_0 = no refinancing" sqref="C35" xr:uid="{00000000-0002-0000-0100-000002000000}">
      <formula1>0</formula1>
      <formula2>1</formula2>
    </dataValidation>
  </dataValidations>
  <printOptions headings="1" gridLines="1"/>
  <pageMargins left="0.7" right="0.7" top="0.75" bottom="0.75" header="0.3" footer="0.3"/>
  <pageSetup paperSize="9" scale="54" orientation="landscape" r:id="rId1"/>
  <headerFooter>
    <oddHeader xml:space="preserve">&amp;R&amp;10&amp;F 
&amp;A
</oddHeader>
    <oddFooter>&amp;L&amp;10© 2017&amp;C&amp;10Page &amp;P of &amp;N&amp;R&amp;G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45"/>
  <sheetViews>
    <sheetView zoomScaleNormal="100" workbookViewId="0">
      <pane xSplit="2" ySplit="2" topLeftCell="C3" activePane="bottomRight" state="frozen"/>
      <selection activeCell="N9" sqref="N9:Q9"/>
      <selection pane="topRight" activeCell="N9" sqref="N9:Q9"/>
      <selection pane="bottomLeft" activeCell="N9" sqref="N9:Q9"/>
      <selection pane="bottomRight"/>
    </sheetView>
  </sheetViews>
  <sheetFormatPr defaultRowHeight="15.75" x14ac:dyDescent="0.45"/>
  <cols>
    <col min="1" max="1" width="1.53125" style="46" customWidth="1"/>
    <col min="2" max="2" width="40.796875" customWidth="1"/>
    <col min="3" max="10" width="11.796875" customWidth="1"/>
    <col min="11" max="11" width="8.86328125" customWidth="1"/>
  </cols>
  <sheetData>
    <row r="1" spans="1:11" ht="45" customHeight="1" x14ac:dyDescent="0.85">
      <c r="A1" s="41" t="s">
        <v>0</v>
      </c>
      <c r="B1" s="41"/>
      <c r="C1" s="41"/>
      <c r="D1" s="41"/>
      <c r="E1" s="41"/>
      <c r="F1" s="41"/>
      <c r="G1" s="41"/>
      <c r="H1" s="41"/>
      <c r="I1" s="41"/>
      <c r="J1" s="41"/>
    </row>
    <row r="2" spans="1:11" ht="30" customHeight="1" x14ac:dyDescent="0.65">
      <c r="A2" s="57" t="str">
        <f>acquiror&amp;" financials ("&amp;Acquiror!C3&amp;" m except per share data)"</f>
        <v>Bayer financials (Euro m except per share data)</v>
      </c>
      <c r="B2" s="42"/>
      <c r="C2" s="42"/>
      <c r="D2" s="55">
        <f>DATE(YEAR(AcquirorLFY)-1,MONTH(AcquirorLFY),DAY(AcquirorLFY))</f>
        <v>42004</v>
      </c>
      <c r="E2" s="55">
        <f>AcquirorLFY</f>
        <v>42369</v>
      </c>
      <c r="F2" s="55">
        <f>DATE(YEAR(AcquirorLFY)+1,MONTH(AcquirorLFY),DAY(AcquirorLFY))</f>
        <v>42735</v>
      </c>
      <c r="G2" s="55">
        <f>DATE(YEAR(F2)+1,MONTH(AcquirorLFY),DAY(AcquirorLFY))</f>
        <v>43100</v>
      </c>
      <c r="H2" s="55">
        <f>DATE(YEAR(G2)+1,MONTH(AcquirorLFY),DAY(AcquirorLFY))</f>
        <v>43465</v>
      </c>
      <c r="I2" s="55">
        <f>DATE(YEAR(H2)+1,MONTH(AcquirorLFY),DAY(AcquirorLFY))</f>
        <v>43830</v>
      </c>
      <c r="J2" s="55">
        <f>DATE(YEAR(I2)+1,MONTH(AcquirorLFY),DAY(AcquirorLFY))</f>
        <v>44196</v>
      </c>
    </row>
    <row r="3" spans="1:11" x14ac:dyDescent="0.45">
      <c r="B3" t="s">
        <v>16</v>
      </c>
      <c r="C3" s="6" t="str">
        <f>Assumptions!C6</f>
        <v>Euro</v>
      </c>
    </row>
    <row r="4" spans="1:11" x14ac:dyDescent="0.45">
      <c r="B4" t="s">
        <v>17</v>
      </c>
      <c r="C4" s="54">
        <v>42369</v>
      </c>
    </row>
    <row r="6" spans="1:11" x14ac:dyDescent="0.45">
      <c r="A6" s="46" t="str">
        <f>"Income statement in "&amp;C3</f>
        <v>Income statement in Euro</v>
      </c>
    </row>
    <row r="7" spans="1:11" x14ac:dyDescent="0.45">
      <c r="B7" t="s">
        <v>4</v>
      </c>
      <c r="D7" s="56">
        <v>41339</v>
      </c>
      <c r="E7" s="56">
        <v>46324</v>
      </c>
      <c r="F7">
        <f>+(1+F40)*E7</f>
        <v>47713.72</v>
      </c>
      <c r="G7">
        <f>+(1+G40)*F7</f>
        <v>49145.131600000001</v>
      </c>
      <c r="H7">
        <f>+(1+H40)*G7</f>
        <v>50619.485548000004</v>
      </c>
      <c r="I7">
        <f>+(1+I40)*H7</f>
        <v>52138.070114440008</v>
      </c>
      <c r="J7">
        <f>+(1+J40)*I7</f>
        <v>53702.21221787321</v>
      </c>
    </row>
    <row r="8" spans="1:11" x14ac:dyDescent="0.45">
      <c r="B8" t="s">
        <v>6</v>
      </c>
      <c r="D8">
        <f>-19909-SUM(D18:D19)</f>
        <v>-17222</v>
      </c>
      <c r="E8">
        <f>-21158-SUM(E18:E19)</f>
        <v>-18105</v>
      </c>
      <c r="F8">
        <f>-F41*F7</f>
        <v>-19085.488000000001</v>
      </c>
      <c r="G8">
        <f>-G41*G7</f>
        <v>-19658.052640000002</v>
      </c>
      <c r="H8">
        <f>-H41*H7</f>
        <v>-20247.794219200005</v>
      </c>
      <c r="I8">
        <f>-I41*I7</f>
        <v>-20855.228045776006</v>
      </c>
      <c r="J8">
        <f>-J41*J7</f>
        <v>-21480.884887149285</v>
      </c>
    </row>
    <row r="9" spans="1:11" s="3" customFormat="1" x14ac:dyDescent="0.45">
      <c r="A9" s="46"/>
      <c r="B9" t="s">
        <v>8</v>
      </c>
      <c r="C9"/>
      <c r="D9">
        <f t="shared" ref="D9:J9" si="0">D7+D8</f>
        <v>24117</v>
      </c>
      <c r="E9">
        <f t="shared" si="0"/>
        <v>28219</v>
      </c>
      <c r="F9">
        <f t="shared" si="0"/>
        <v>28628.232</v>
      </c>
      <c r="G9">
        <f t="shared" si="0"/>
        <v>29487.078959999999</v>
      </c>
      <c r="H9">
        <f t="shared" si="0"/>
        <v>30371.6913288</v>
      </c>
      <c r="I9">
        <f t="shared" si="0"/>
        <v>31282.842068664002</v>
      </c>
      <c r="J9">
        <f t="shared" si="0"/>
        <v>32221.327330723925</v>
      </c>
      <c r="K9"/>
    </row>
    <row r="10" spans="1:11" x14ac:dyDescent="0.45">
      <c r="B10" t="s">
        <v>7</v>
      </c>
      <c r="D10" s="2">
        <f t="shared" ref="D10:J10" si="1">D9/D7</f>
        <v>0.58339582476595953</v>
      </c>
      <c r="E10" s="2">
        <f t="shared" si="1"/>
        <v>0.60916587514031606</v>
      </c>
      <c r="F10" s="2">
        <f t="shared" si="1"/>
        <v>0.6</v>
      </c>
      <c r="G10" s="2">
        <f t="shared" si="1"/>
        <v>0.6</v>
      </c>
      <c r="H10" s="2">
        <f t="shared" si="1"/>
        <v>0.6</v>
      </c>
      <c r="I10" s="2">
        <f t="shared" si="1"/>
        <v>0.6</v>
      </c>
      <c r="J10" s="2">
        <f t="shared" si="1"/>
        <v>0.6</v>
      </c>
    </row>
    <row r="12" spans="1:11" x14ac:dyDescent="0.45">
      <c r="B12" t="s">
        <v>9</v>
      </c>
      <c r="D12">
        <f>-10669-1703</f>
        <v>-12372</v>
      </c>
      <c r="E12">
        <f>-12367-2098</f>
        <v>-14465</v>
      </c>
      <c r="F12">
        <f>-F42*F7</f>
        <v>-14791.253200000001</v>
      </c>
      <c r="G12">
        <f>-G42*G7</f>
        <v>-15234.990796</v>
      </c>
      <c r="H12">
        <f>-H42*H7</f>
        <v>-15692.040519880002</v>
      </c>
      <c r="I12">
        <f>-I42*I7</f>
        <v>-16162.801735476402</v>
      </c>
      <c r="J12">
        <f>-J42*J7</f>
        <v>-16647.685787540693</v>
      </c>
    </row>
    <row r="13" spans="1:11" x14ac:dyDescent="0.45">
      <c r="B13" t="s">
        <v>64</v>
      </c>
      <c r="D13" s="56">
        <v>-3537</v>
      </c>
      <c r="E13" s="56">
        <v>-4281</v>
      </c>
      <c r="F13">
        <f>-F43*F7</f>
        <v>-4294.2348000000002</v>
      </c>
      <c r="G13">
        <f>-G43*G7</f>
        <v>-4423.0618439999998</v>
      </c>
      <c r="H13">
        <f>-H43*H7</f>
        <v>-4555.7536993200001</v>
      </c>
      <c r="I13">
        <f>-I43*I7</f>
        <v>-4692.4263102996001</v>
      </c>
      <c r="J13">
        <f>-J43*J7</f>
        <v>-4833.1990996085888</v>
      </c>
    </row>
    <row r="14" spans="1:11" s="3" customFormat="1" x14ac:dyDescent="0.45">
      <c r="A14" s="46"/>
      <c r="B14" t="s">
        <v>10</v>
      </c>
      <c r="C14"/>
      <c r="D14">
        <f t="shared" ref="D14:J14" si="2">D9+D12+D13</f>
        <v>8208</v>
      </c>
      <c r="E14">
        <f t="shared" si="2"/>
        <v>9473</v>
      </c>
      <c r="F14">
        <f t="shared" si="2"/>
        <v>9542.7439999999988</v>
      </c>
      <c r="G14">
        <f t="shared" si="2"/>
        <v>9829.026319999999</v>
      </c>
      <c r="H14">
        <f t="shared" si="2"/>
        <v>10123.897109599999</v>
      </c>
      <c r="I14">
        <f t="shared" si="2"/>
        <v>10427.614022887999</v>
      </c>
      <c r="J14">
        <f t="shared" si="2"/>
        <v>10740.442443574644</v>
      </c>
      <c r="K14"/>
    </row>
    <row r="15" spans="1:11" x14ac:dyDescent="0.45">
      <c r="B15" t="s">
        <v>7</v>
      </c>
      <c r="D15" s="2">
        <f t="shared" ref="D15:J15" si="3">D14/D7</f>
        <v>0.19855342412733737</v>
      </c>
      <c r="E15" s="2">
        <f t="shared" si="3"/>
        <v>0.20449443053276919</v>
      </c>
      <c r="F15" s="2">
        <f t="shared" si="3"/>
        <v>0.19999999999999998</v>
      </c>
      <c r="G15" s="2">
        <f t="shared" si="3"/>
        <v>0.19999999999999998</v>
      </c>
      <c r="H15" s="2">
        <f t="shared" si="3"/>
        <v>0.19999999999999996</v>
      </c>
      <c r="I15" s="2">
        <f t="shared" si="3"/>
        <v>0.19999999999999996</v>
      </c>
      <c r="J15" s="2">
        <f t="shared" si="3"/>
        <v>0.20000000000000004</v>
      </c>
    </row>
    <row r="16" spans="1:11" x14ac:dyDescent="0.45">
      <c r="B16" t="s">
        <v>11</v>
      </c>
      <c r="D16" s="2"/>
      <c r="E16" s="2">
        <f t="shared" ref="E16:J16" si="4">E14/D14-1</f>
        <v>0.15411793372319682</v>
      </c>
      <c r="F16" s="2">
        <f t="shared" si="4"/>
        <v>7.3623983954396177E-3</v>
      </c>
      <c r="G16" s="2">
        <f t="shared" si="4"/>
        <v>3.0000000000000027E-2</v>
      </c>
      <c r="H16" s="2">
        <f t="shared" si="4"/>
        <v>3.0000000000000027E-2</v>
      </c>
      <c r="I16" s="2">
        <f t="shared" si="4"/>
        <v>3.0000000000000027E-2</v>
      </c>
      <c r="J16" s="2">
        <f t="shared" si="4"/>
        <v>3.0000000000000471E-2</v>
      </c>
    </row>
    <row r="18" spans="1:11" x14ac:dyDescent="0.45">
      <c r="B18" t="s">
        <v>63</v>
      </c>
      <c r="D18">
        <f>-1249</f>
        <v>-1249</v>
      </c>
      <c r="E18">
        <f>-1416</f>
        <v>-1416</v>
      </c>
      <c r="F18">
        <f>F99</f>
        <v>-1533.339166958348</v>
      </c>
      <c r="G18">
        <f>G99</f>
        <v>-1668.5103476712443</v>
      </c>
      <c r="H18">
        <f>H99</f>
        <v>-1796.6878237567814</v>
      </c>
      <c r="I18">
        <f>I99</f>
        <v>-1919.030803809165</v>
      </c>
      <c r="J18">
        <f>J99</f>
        <v>-2036.5636426540032</v>
      </c>
    </row>
    <row r="19" spans="1:11" x14ac:dyDescent="0.45">
      <c r="B19" t="s">
        <v>325</v>
      </c>
      <c r="D19" s="56">
        <v>-1438</v>
      </c>
      <c r="E19" s="56">
        <v>-1637</v>
      </c>
      <c r="F19">
        <f>-F83</f>
        <v>-1637</v>
      </c>
      <c r="G19">
        <f>-G83</f>
        <v>-1637</v>
      </c>
      <c r="H19">
        <f>-H83</f>
        <v>-1637</v>
      </c>
      <c r="I19">
        <f>-I83</f>
        <v>-1637</v>
      </c>
      <c r="J19">
        <f>-J83</f>
        <v>-1637</v>
      </c>
    </row>
    <row r="20" spans="1:11" s="3" customFormat="1" x14ac:dyDescent="0.45">
      <c r="A20" s="46"/>
      <c r="B20" t="s">
        <v>12</v>
      </c>
      <c r="C20"/>
      <c r="D20">
        <f t="shared" ref="D20:J20" si="5">D14+D18+D19</f>
        <v>5521</v>
      </c>
      <c r="E20">
        <f t="shared" si="5"/>
        <v>6420</v>
      </c>
      <c r="F20">
        <f t="shared" si="5"/>
        <v>6372.4048330416508</v>
      </c>
      <c r="G20">
        <f t="shared" si="5"/>
        <v>6523.5159723287543</v>
      </c>
      <c r="H20">
        <f t="shared" si="5"/>
        <v>6690.209285843217</v>
      </c>
      <c r="I20">
        <f t="shared" si="5"/>
        <v>6871.5832190788351</v>
      </c>
      <c r="J20">
        <f t="shared" si="5"/>
        <v>7066.8788009206401</v>
      </c>
      <c r="K20"/>
    </row>
    <row r="21" spans="1:11" x14ac:dyDescent="0.45">
      <c r="B21" t="s">
        <v>7</v>
      </c>
      <c r="D21" s="2">
        <f t="shared" ref="D21:J21" si="6">D20/D7</f>
        <v>0.13355427078545684</v>
      </c>
      <c r="E21" s="2">
        <f t="shared" si="6"/>
        <v>0.13858906830152837</v>
      </c>
      <c r="F21" s="2">
        <f t="shared" si="6"/>
        <v>0.13355497817067399</v>
      </c>
      <c r="G21" s="2">
        <f t="shared" si="6"/>
        <v>0.13273982101471785</v>
      </c>
      <c r="H21" s="2">
        <f t="shared" si="6"/>
        <v>0.13216667876838092</v>
      </c>
      <c r="I21" s="2">
        <f t="shared" si="6"/>
        <v>0.13179588741961704</v>
      </c>
      <c r="J21" s="2">
        <f t="shared" si="6"/>
        <v>0.1315938116711072</v>
      </c>
    </row>
    <row r="23" spans="1:11" x14ac:dyDescent="0.45">
      <c r="B23" t="s">
        <v>68</v>
      </c>
      <c r="D23">
        <f>710-836+48</f>
        <v>-78</v>
      </c>
      <c r="E23">
        <f>1110-1280+133</f>
        <v>-37</v>
      </c>
      <c r="F23">
        <f t="shared" ref="F23:J24" si="7">+F44</f>
        <v>0</v>
      </c>
      <c r="G23">
        <f t="shared" si="7"/>
        <v>0</v>
      </c>
      <c r="H23">
        <f t="shared" si="7"/>
        <v>0</v>
      </c>
      <c r="I23">
        <f t="shared" si="7"/>
        <v>0</v>
      </c>
      <c r="J23">
        <f t="shared" si="7"/>
        <v>0</v>
      </c>
    </row>
    <row r="24" spans="1:11" x14ac:dyDescent="0.45">
      <c r="B24" t="s">
        <v>65</v>
      </c>
      <c r="D24" s="56">
        <v>-10</v>
      </c>
      <c r="E24" s="56">
        <v>24</v>
      </c>
      <c r="F24">
        <f t="shared" si="7"/>
        <v>0</v>
      </c>
      <c r="G24">
        <f t="shared" si="7"/>
        <v>0</v>
      </c>
      <c r="H24">
        <f t="shared" si="7"/>
        <v>0</v>
      </c>
      <c r="I24">
        <f t="shared" si="7"/>
        <v>0</v>
      </c>
      <c r="J24">
        <f t="shared" si="7"/>
        <v>0</v>
      </c>
    </row>
    <row r="25" spans="1:11" x14ac:dyDescent="0.45">
      <c r="B25" t="s">
        <v>66</v>
      </c>
      <c r="D25">
        <f>-618</f>
        <v>-618</v>
      </c>
      <c r="E25">
        <f>-752</f>
        <v>-752</v>
      </c>
      <c r="F25">
        <f>-IF(circ=1,F92*AVERAGE(E67:F67)+F93*AVERAGE(E63:F63),0)</f>
        <v>0</v>
      </c>
      <c r="G25">
        <f>-IF(circ=1,G92*AVERAGE(F67:G67)+G93*AVERAGE(F63:G63),0)</f>
        <v>0</v>
      </c>
      <c r="H25">
        <f>-IF(circ=1,H92*AVERAGE(G67:H67)+H93*AVERAGE(G63:H63),0)</f>
        <v>0</v>
      </c>
      <c r="I25">
        <f>-IF(circ=1,I92*AVERAGE(H67:I67)+I93*AVERAGE(H63:I63),0)</f>
        <v>0</v>
      </c>
      <c r="J25">
        <f>-IF(circ=1,J92*AVERAGE(I67:J67)+J93*AVERAGE(I63:J63),0)</f>
        <v>0</v>
      </c>
    </row>
    <row r="26" spans="1:11" x14ac:dyDescent="0.45">
      <c r="B26" t="s">
        <v>67</v>
      </c>
      <c r="D26">
        <f>283+54-48</f>
        <v>289</v>
      </c>
      <c r="E26">
        <f>297+25-133</f>
        <v>189</v>
      </c>
      <c r="F26">
        <f>+IF(circ=1,F94*AVERAGE(E53:F53),0)</f>
        <v>0</v>
      </c>
      <c r="G26">
        <f>+IF(circ=1,G94*AVERAGE(F53:G53),0)</f>
        <v>0</v>
      </c>
      <c r="H26">
        <f>+IF(circ=1,H94*AVERAGE(G53:H53),0)</f>
        <v>0</v>
      </c>
      <c r="I26">
        <f>+IF(circ=1,I94*AVERAGE(H53:I53),0)</f>
        <v>0</v>
      </c>
      <c r="J26">
        <f>+IF(circ=1,J94*AVERAGE(I53:J53),0)</f>
        <v>0</v>
      </c>
    </row>
    <row r="27" spans="1:11" x14ac:dyDescent="0.45">
      <c r="B27" t="s">
        <v>69</v>
      </c>
      <c r="D27">
        <f>-615-75</f>
        <v>-690</v>
      </c>
      <c r="E27">
        <f>-574-25</f>
        <v>-599</v>
      </c>
      <c r="F27">
        <f>+F47</f>
        <v>-500</v>
      </c>
      <c r="G27">
        <f>+G47</f>
        <v>-500</v>
      </c>
      <c r="H27">
        <f>+H47</f>
        <v>-500</v>
      </c>
      <c r="I27">
        <f>+I47</f>
        <v>-500</v>
      </c>
      <c r="J27">
        <f>+J47</f>
        <v>-500</v>
      </c>
    </row>
    <row r="28" spans="1:11" s="3" customFormat="1" x14ac:dyDescent="0.45">
      <c r="A28" s="46"/>
      <c r="B28" t="s">
        <v>13</v>
      </c>
      <c r="C28"/>
      <c r="D28">
        <f t="shared" ref="D28:J28" si="8">D20+SUM(D23:D27)</f>
        <v>4414</v>
      </c>
      <c r="E28">
        <f t="shared" si="8"/>
        <v>5245</v>
      </c>
      <c r="F28">
        <f t="shared" si="8"/>
        <v>5872.4048330416508</v>
      </c>
      <c r="G28">
        <f t="shared" si="8"/>
        <v>6023.5159723287543</v>
      </c>
      <c r="H28">
        <f t="shared" si="8"/>
        <v>6190.209285843217</v>
      </c>
      <c r="I28">
        <f t="shared" si="8"/>
        <v>6371.5832190788351</v>
      </c>
      <c r="J28">
        <f t="shared" si="8"/>
        <v>6566.8788009206401</v>
      </c>
      <c r="K28"/>
    </row>
    <row r="30" spans="1:11" x14ac:dyDescent="0.45">
      <c r="B30" t="s">
        <v>14</v>
      </c>
      <c r="D30" s="56">
        <v>-1071</v>
      </c>
      <c r="E30" s="56">
        <v>-1227</v>
      </c>
      <c r="F30">
        <f>-F46*F28</f>
        <v>-1409.3771599299962</v>
      </c>
      <c r="G30">
        <f>-G46*G28</f>
        <v>-1445.643833358901</v>
      </c>
      <c r="H30">
        <f>-H46*H28</f>
        <v>-1485.650228602372</v>
      </c>
      <c r="I30">
        <f>-I46*I28</f>
        <v>-1529.1799725789203</v>
      </c>
      <c r="J30">
        <f>-J46*J28</f>
        <v>-1576.0509122209535</v>
      </c>
    </row>
    <row r="31" spans="1:11" s="3" customFormat="1" x14ac:dyDescent="0.45">
      <c r="A31" s="46"/>
      <c r="B31" t="s">
        <v>15</v>
      </c>
      <c r="C31"/>
      <c r="D31">
        <f t="shared" ref="D31:J31" si="9">D28+D30</f>
        <v>3343</v>
      </c>
      <c r="E31">
        <f t="shared" si="9"/>
        <v>4018</v>
      </c>
      <c r="F31">
        <f t="shared" si="9"/>
        <v>4463.0276731116546</v>
      </c>
      <c r="G31">
        <f t="shared" si="9"/>
        <v>4577.872138969853</v>
      </c>
      <c r="H31">
        <f t="shared" si="9"/>
        <v>4704.5590572408455</v>
      </c>
      <c r="I31">
        <f t="shared" si="9"/>
        <v>4842.4032464999145</v>
      </c>
      <c r="J31">
        <f t="shared" si="9"/>
        <v>4990.8278886996868</v>
      </c>
      <c r="K31"/>
    </row>
    <row r="32" spans="1:11" x14ac:dyDescent="0.45">
      <c r="B32" t="s">
        <v>23</v>
      </c>
      <c r="D32" s="56">
        <v>17</v>
      </c>
      <c r="E32" s="56">
        <v>-12</v>
      </c>
      <c r="F32">
        <f>+F48</f>
        <v>0</v>
      </c>
      <c r="G32">
        <f>+G48</f>
        <v>0</v>
      </c>
      <c r="H32">
        <f>+H48</f>
        <v>0</v>
      </c>
      <c r="I32">
        <f>+I48</f>
        <v>0</v>
      </c>
      <c r="J32">
        <f>+J48</f>
        <v>0</v>
      </c>
    </row>
    <row r="33" spans="1:11" x14ac:dyDescent="0.45">
      <c r="B33" t="s">
        <v>327</v>
      </c>
      <c r="D33">
        <f t="shared" ref="D33:J33" si="10">D31-D32</f>
        <v>3326</v>
      </c>
      <c r="E33">
        <f t="shared" si="10"/>
        <v>4030</v>
      </c>
      <c r="F33">
        <f t="shared" si="10"/>
        <v>4463.0276731116546</v>
      </c>
      <c r="G33">
        <f t="shared" si="10"/>
        <v>4577.872138969853</v>
      </c>
      <c r="H33">
        <f t="shared" si="10"/>
        <v>4704.5590572408455</v>
      </c>
      <c r="I33">
        <f t="shared" si="10"/>
        <v>4842.4032464999145</v>
      </c>
      <c r="J33">
        <f t="shared" si="10"/>
        <v>4990.8278886996868</v>
      </c>
    </row>
    <row r="34" spans="1:11" s="3" customFormat="1" x14ac:dyDescent="0.45">
      <c r="A34" s="46"/>
      <c r="B34" t="s">
        <v>342</v>
      </c>
      <c r="C34"/>
      <c r="D34">
        <f t="shared" ref="D34:J34" si="11">D33-D23*(1-D46)</f>
        <v>3385.0743090167648</v>
      </c>
      <c r="E34">
        <f t="shared" si="11"/>
        <v>4058.3443279313633</v>
      </c>
      <c r="F34">
        <f t="shared" si="11"/>
        <v>4463.0276731116546</v>
      </c>
      <c r="G34">
        <f t="shared" si="11"/>
        <v>4577.872138969853</v>
      </c>
      <c r="H34">
        <f t="shared" si="11"/>
        <v>4704.5590572408455</v>
      </c>
      <c r="I34">
        <f t="shared" si="11"/>
        <v>4842.4032464999145</v>
      </c>
      <c r="J34">
        <f t="shared" si="11"/>
        <v>4990.8278886996868</v>
      </c>
      <c r="K34"/>
    </row>
    <row r="35" spans="1:11" x14ac:dyDescent="0.45">
      <c r="B35" t="s">
        <v>321</v>
      </c>
      <c r="D35" s="56">
        <v>826.94780800000001</v>
      </c>
      <c r="E35" s="56">
        <v>826.94780800000001</v>
      </c>
      <c r="F35">
        <f>++F49</f>
        <v>826.94780800000001</v>
      </c>
      <c r="G35">
        <f>++G49</f>
        <v>826.94780800000001</v>
      </c>
      <c r="H35">
        <f>++H49</f>
        <v>826.94780800000001</v>
      </c>
      <c r="I35">
        <f>++I49</f>
        <v>826.94780800000001</v>
      </c>
      <c r="J35">
        <f>++J49</f>
        <v>826.94780800000001</v>
      </c>
    </row>
    <row r="36" spans="1:11" x14ac:dyDescent="0.45">
      <c r="B36" t="s">
        <v>322</v>
      </c>
      <c r="D36">
        <f t="shared" ref="D36:J36" si="12">D31/D35</f>
        <v>4.0425767716648933</v>
      </c>
      <c r="E36">
        <f t="shared" si="12"/>
        <v>4.8588314294195456</v>
      </c>
      <c r="F36">
        <f t="shared" si="12"/>
        <v>5.3969883346152541</v>
      </c>
      <c r="G36">
        <f t="shared" si="12"/>
        <v>5.5358658607991051</v>
      </c>
      <c r="H36">
        <f t="shared" si="12"/>
        <v>5.6890640639328538</v>
      </c>
      <c r="I36">
        <f t="shared" si="12"/>
        <v>5.8557543773063783</v>
      </c>
      <c r="J36">
        <f t="shared" si="12"/>
        <v>6.0352392743747219</v>
      </c>
    </row>
    <row r="37" spans="1:11" x14ac:dyDescent="0.45">
      <c r="B37" t="s">
        <v>28</v>
      </c>
      <c r="D37" s="56">
        <v>1739</v>
      </c>
      <c r="E37" s="56">
        <v>1869</v>
      </c>
      <c r="F37">
        <f>+F50*F34</f>
        <v>2231.5138365558273</v>
      </c>
      <c r="G37">
        <f>+G50*G34</f>
        <v>2288.9360694849265</v>
      </c>
      <c r="H37">
        <f>+H50*H34</f>
        <v>2352.2795286204228</v>
      </c>
      <c r="I37">
        <f>+I50*I34</f>
        <v>2421.2016232499573</v>
      </c>
      <c r="J37">
        <f>+J50*J34</f>
        <v>2495.4139443498434</v>
      </c>
    </row>
    <row r="39" spans="1:11" x14ac:dyDescent="0.45">
      <c r="A39" s="46" t="s">
        <v>60</v>
      </c>
    </row>
    <row r="40" spans="1:11" s="1" customFormat="1" x14ac:dyDescent="0.45">
      <c r="A40" s="46"/>
      <c r="B40" t="s">
        <v>328</v>
      </c>
      <c r="C40"/>
      <c r="D40" s="2"/>
      <c r="E40" s="2">
        <f>+E7/D7-1</f>
        <v>0.12058830644185869</v>
      </c>
      <c r="F40" s="59">
        <v>0.03</v>
      </c>
      <c r="G40" s="59">
        <v>0.03</v>
      </c>
      <c r="H40" s="59">
        <v>0.03</v>
      </c>
      <c r="I40" s="59">
        <v>0.03</v>
      </c>
      <c r="J40" s="59">
        <v>0.03</v>
      </c>
      <c r="K40"/>
    </row>
    <row r="41" spans="1:11" s="1" customFormat="1" x14ac:dyDescent="0.45">
      <c r="A41" s="46"/>
      <c r="B41" t="s">
        <v>61</v>
      </c>
      <c r="C41"/>
      <c r="D41" s="2">
        <f>+-D8/D7</f>
        <v>0.41660417523404047</v>
      </c>
      <c r="E41" s="2">
        <f>+-E8/E7</f>
        <v>0.39083412485968394</v>
      </c>
      <c r="F41" s="59">
        <v>0.4</v>
      </c>
      <c r="G41" s="59">
        <v>0.4</v>
      </c>
      <c r="H41" s="59">
        <v>0.4</v>
      </c>
      <c r="I41" s="59">
        <v>0.4</v>
      </c>
      <c r="J41" s="59">
        <v>0.4</v>
      </c>
      <c r="K41"/>
    </row>
    <row r="42" spans="1:11" s="1" customFormat="1" x14ac:dyDescent="0.45">
      <c r="A42" s="46"/>
      <c r="B42" t="s">
        <v>62</v>
      </c>
      <c r="C42"/>
      <c r="D42" s="2">
        <f>D12/D7*-1</f>
        <v>0.29928155011006558</v>
      </c>
      <c r="E42" s="2">
        <f>E12/E7*-1</f>
        <v>0.31225714532423798</v>
      </c>
      <c r="F42" s="59">
        <v>0.31</v>
      </c>
      <c r="G42" s="59">
        <v>0.31</v>
      </c>
      <c r="H42" s="59">
        <v>0.31</v>
      </c>
      <c r="I42" s="59">
        <v>0.31</v>
      </c>
      <c r="J42" s="59">
        <v>0.31</v>
      </c>
      <c r="K42"/>
    </row>
    <row r="43" spans="1:11" s="1" customFormat="1" x14ac:dyDescent="0.45">
      <c r="A43" s="46"/>
      <c r="B43" t="s">
        <v>72</v>
      </c>
      <c r="C43"/>
      <c r="D43" s="2">
        <f>-D13/D7</f>
        <v>8.5560850528556567E-2</v>
      </c>
      <c r="E43" s="2">
        <f>-E13/E7</f>
        <v>9.2414299283308868E-2</v>
      </c>
      <c r="F43" s="59">
        <v>0.09</v>
      </c>
      <c r="G43" s="59">
        <v>0.09</v>
      </c>
      <c r="H43" s="59">
        <v>0.09</v>
      </c>
      <c r="I43" s="59">
        <v>0.09</v>
      </c>
      <c r="J43" s="59">
        <v>0.09</v>
      </c>
      <c r="K43"/>
    </row>
    <row r="44" spans="1:11" s="1" customFormat="1" x14ac:dyDescent="0.45">
      <c r="A44" s="46"/>
      <c r="B44" t="s">
        <v>68</v>
      </c>
      <c r="C44"/>
      <c r="D44">
        <f>D23</f>
        <v>-78</v>
      </c>
      <c r="E44">
        <f>E23</f>
        <v>-37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/>
    </row>
    <row r="45" spans="1:11" s="1" customFormat="1" x14ac:dyDescent="0.45">
      <c r="A45" s="46"/>
      <c r="B45" t="s">
        <v>65</v>
      </c>
      <c r="C45"/>
      <c r="D45">
        <f>D24</f>
        <v>-10</v>
      </c>
      <c r="E45">
        <f>E24</f>
        <v>24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/>
    </row>
    <row r="46" spans="1:11" s="1" customFormat="1" x14ac:dyDescent="0.45">
      <c r="A46" s="46"/>
      <c r="B46" t="s">
        <v>71</v>
      </c>
      <c r="C46"/>
      <c r="D46" s="2">
        <f>D30/D28*-1</f>
        <v>0.24263706388763026</v>
      </c>
      <c r="E46" s="2">
        <f>E30/E28*-1</f>
        <v>0.23393708293612964</v>
      </c>
      <c r="F46" s="59">
        <v>0.24</v>
      </c>
      <c r="G46" s="59">
        <v>0.24</v>
      </c>
      <c r="H46" s="59">
        <v>0.24</v>
      </c>
      <c r="I46" s="59">
        <v>0.24</v>
      </c>
      <c r="J46" s="59">
        <v>0.24</v>
      </c>
      <c r="K46"/>
    </row>
    <row r="47" spans="1:11" x14ac:dyDescent="0.45">
      <c r="B47" t="s">
        <v>69</v>
      </c>
      <c r="D47">
        <f>+D27</f>
        <v>-690</v>
      </c>
      <c r="E47">
        <f>+E27</f>
        <v>-599</v>
      </c>
      <c r="F47" s="58">
        <v>-500</v>
      </c>
      <c r="G47" s="58">
        <v>-500</v>
      </c>
      <c r="H47" s="58">
        <v>-500</v>
      </c>
      <c r="I47" s="58">
        <v>-500</v>
      </c>
      <c r="J47" s="58">
        <v>-500</v>
      </c>
    </row>
    <row r="48" spans="1:11" x14ac:dyDescent="0.45">
      <c r="B48" t="s">
        <v>23</v>
      </c>
      <c r="D48">
        <f>+D32</f>
        <v>17</v>
      </c>
      <c r="E48">
        <f>+E32</f>
        <v>-12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</row>
    <row r="49" spans="1:11" x14ac:dyDescent="0.45">
      <c r="B49" t="s">
        <v>321</v>
      </c>
      <c r="D49">
        <f>+D35</f>
        <v>826.94780800000001</v>
      </c>
      <c r="E49">
        <f>+E35</f>
        <v>826.94780800000001</v>
      </c>
      <c r="F49" s="58">
        <f>+E49</f>
        <v>826.94780800000001</v>
      </c>
      <c r="G49" s="58">
        <f>+F49</f>
        <v>826.94780800000001</v>
      </c>
      <c r="H49" s="58">
        <f>+G49</f>
        <v>826.94780800000001</v>
      </c>
      <c r="I49" s="58">
        <f>+H49</f>
        <v>826.94780800000001</v>
      </c>
      <c r="J49" s="58">
        <f>+I49</f>
        <v>826.94780800000001</v>
      </c>
    </row>
    <row r="50" spans="1:11" x14ac:dyDescent="0.45">
      <c r="B50" t="s">
        <v>25</v>
      </c>
      <c r="D50" s="2">
        <f>+D37/D34</f>
        <v>0.51372579779647831</v>
      </c>
      <c r="E50" s="2">
        <f>+E37/E34</f>
        <v>0.46053263325556082</v>
      </c>
      <c r="F50" s="59">
        <v>0.5</v>
      </c>
      <c r="G50" s="59">
        <v>0.5</v>
      </c>
      <c r="H50" s="59">
        <v>0.5</v>
      </c>
      <c r="I50" s="59">
        <v>0.5</v>
      </c>
      <c r="J50" s="59">
        <v>0.5</v>
      </c>
    </row>
    <row r="52" spans="1:11" x14ac:dyDescent="0.45">
      <c r="A52" s="46" t="str">
        <f>"Balance sheet in "&amp;C3</f>
        <v>Balance sheet in Euro</v>
      </c>
    </row>
    <row r="53" spans="1:11" x14ac:dyDescent="0.45">
      <c r="B53" t="s">
        <v>18</v>
      </c>
      <c r="D53" s="56">
        <v>1853</v>
      </c>
      <c r="E53" s="56">
        <v>1859</v>
      </c>
      <c r="F53">
        <f>+MAX(F129,0)</f>
        <v>910.51206762376341</v>
      </c>
      <c r="G53">
        <f>+MAX(G129,0)</f>
        <v>1418.9136567032224</v>
      </c>
      <c r="H53">
        <f>+MAX(H129,0)</f>
        <v>1450.6048361614116</v>
      </c>
      <c r="I53">
        <f>+MAX(I129,0)</f>
        <v>2347.772805113947</v>
      </c>
      <c r="J53">
        <f>+MAX(J129,0)</f>
        <v>3346.2640002680132</v>
      </c>
    </row>
    <row r="54" spans="1:11" x14ac:dyDescent="0.45">
      <c r="B54" t="s">
        <v>73</v>
      </c>
      <c r="D54" s="56">
        <v>8478</v>
      </c>
      <c r="E54" s="56">
        <v>8550</v>
      </c>
      <c r="F54">
        <f>+F78*-F8/365</f>
        <v>9150.5764383561655</v>
      </c>
      <c r="G54">
        <f>+G78*-G8/365</f>
        <v>9425.0937315068495</v>
      </c>
      <c r="H54">
        <f>+H78*-H8/365</f>
        <v>9707.8465434520567</v>
      </c>
      <c r="I54">
        <f>+I78*-I8/365</f>
        <v>9999.0819397556206</v>
      </c>
      <c r="J54">
        <f>+J78*-J8/365</f>
        <v>10299.054397948286</v>
      </c>
    </row>
    <row r="55" spans="1:11" x14ac:dyDescent="0.45">
      <c r="B55" t="s">
        <v>74</v>
      </c>
      <c r="D55" s="56">
        <v>9097</v>
      </c>
      <c r="E55" s="56">
        <v>9933</v>
      </c>
      <c r="F55">
        <f>+F79*F7/365</f>
        <v>10457.801643835617</v>
      </c>
      <c r="G55">
        <f>+G79*G7/365</f>
        <v>10771.535693150685</v>
      </c>
      <c r="H55">
        <f>+H79*H7/365</f>
        <v>11094.681763945206</v>
      </c>
      <c r="I55">
        <f>+I79*I7/365</f>
        <v>11427.522216863563</v>
      </c>
      <c r="J55">
        <f>+J79*J7/365</f>
        <v>11770.34788336947</v>
      </c>
    </row>
    <row r="56" spans="1:11" x14ac:dyDescent="0.45">
      <c r="B56" t="s">
        <v>75</v>
      </c>
      <c r="D56">
        <f>22227-SUM(D53:D55)</f>
        <v>2799</v>
      </c>
      <c r="E56">
        <f>23821
-SUM(E53:E55)</f>
        <v>3479</v>
      </c>
      <c r="F56">
        <f>+F80*F7</f>
        <v>3339.9604000000004</v>
      </c>
      <c r="G56">
        <f>+G80*G7</f>
        <v>3440.1592120000005</v>
      </c>
      <c r="H56">
        <f>+H80*H7</f>
        <v>3543.3639883600008</v>
      </c>
      <c r="I56">
        <f>+I80*I7</f>
        <v>3649.6649080108009</v>
      </c>
      <c r="J56">
        <f>+J80*J7</f>
        <v>3759.1548552511249</v>
      </c>
    </row>
    <row r="57" spans="1:11" x14ac:dyDescent="0.45">
      <c r="B57" t="s">
        <v>19</v>
      </c>
      <c r="D57" s="56">
        <v>11428</v>
      </c>
      <c r="E57" s="56">
        <v>12375</v>
      </c>
      <c r="F57">
        <f>+F100</f>
        <v>13465.915433041653</v>
      </c>
      <c r="G57">
        <f>+G100</f>
        <v>14500.387323370409</v>
      </c>
      <c r="H57">
        <f>+H100</f>
        <v>15487.771204753628</v>
      </c>
      <c r="I57">
        <f>+I100</f>
        <v>16436.334257238665</v>
      </c>
      <c r="J57">
        <f>+J100</f>
        <v>17353.392286567687</v>
      </c>
    </row>
    <row r="58" spans="1:11" x14ac:dyDescent="0.45">
      <c r="B58" t="s">
        <v>20</v>
      </c>
      <c r="D58" s="56">
        <v>15347</v>
      </c>
      <c r="E58" s="56">
        <v>16096</v>
      </c>
      <c r="F58">
        <f>E58</f>
        <v>16096</v>
      </c>
      <c r="G58">
        <f>F58</f>
        <v>16096</v>
      </c>
      <c r="H58">
        <f>G58</f>
        <v>16096</v>
      </c>
      <c r="I58">
        <f>H58</f>
        <v>16096</v>
      </c>
      <c r="J58">
        <f>I58</f>
        <v>16096</v>
      </c>
    </row>
    <row r="59" spans="1:11" x14ac:dyDescent="0.45">
      <c r="B59" t="s">
        <v>21</v>
      </c>
      <c r="D59" s="56">
        <v>15653</v>
      </c>
      <c r="E59" s="56">
        <v>15178</v>
      </c>
      <c r="F59">
        <f>+E59-F83</f>
        <v>13541</v>
      </c>
      <c r="G59">
        <f>+F59-G83</f>
        <v>11904</v>
      </c>
      <c r="H59">
        <f>+G59-H83</f>
        <v>10267</v>
      </c>
      <c r="I59">
        <f>+H59-I83</f>
        <v>8630</v>
      </c>
      <c r="J59">
        <f>+I59-J83</f>
        <v>6993</v>
      </c>
    </row>
    <row r="60" spans="1:11" x14ac:dyDescent="0.45">
      <c r="B60" t="s">
        <v>357</v>
      </c>
      <c r="D60">
        <f>48007-SUM(D57:D59)</f>
        <v>5579</v>
      </c>
      <c r="E60">
        <f>50096
-SUM(E57:E59)</f>
        <v>6447</v>
      </c>
      <c r="F60">
        <f>+F84</f>
        <v>6447</v>
      </c>
      <c r="G60">
        <f>+G84</f>
        <v>6447</v>
      </c>
      <c r="H60">
        <f>+H84</f>
        <v>6447</v>
      </c>
      <c r="I60">
        <f>+I84</f>
        <v>6447</v>
      </c>
      <c r="J60">
        <f>+J84</f>
        <v>6447</v>
      </c>
    </row>
    <row r="61" spans="1:11" s="3" customFormat="1" x14ac:dyDescent="0.45">
      <c r="A61" s="46"/>
      <c r="B61" t="s">
        <v>22</v>
      </c>
      <c r="C61"/>
      <c r="D61">
        <f t="shared" ref="D61:J61" si="13">SUM(D53:D60)</f>
        <v>70234</v>
      </c>
      <c r="E61">
        <f t="shared" si="13"/>
        <v>73917</v>
      </c>
      <c r="F61">
        <f t="shared" si="13"/>
        <v>73408.765982857207</v>
      </c>
      <c r="G61">
        <f t="shared" si="13"/>
        <v>74003.089616731158</v>
      </c>
      <c r="H61">
        <f t="shared" si="13"/>
        <v>74094.268336672307</v>
      </c>
      <c r="I61">
        <f t="shared" si="13"/>
        <v>75033.376126982592</v>
      </c>
      <c r="J61">
        <f t="shared" si="13"/>
        <v>76064.213423404581</v>
      </c>
      <c r="K61"/>
    </row>
    <row r="63" spans="1:11" x14ac:dyDescent="0.45">
      <c r="B63" t="s">
        <v>358</v>
      </c>
      <c r="D63" s="56">
        <v>3376</v>
      </c>
      <c r="E63" s="56">
        <v>3421</v>
      </c>
      <c r="F63">
        <f>-MIN(F129,0)</f>
        <v>0</v>
      </c>
      <c r="G63">
        <f>-MIN(G129,0)</f>
        <v>0</v>
      </c>
      <c r="H63">
        <f>-MIN(H129,0)</f>
        <v>0</v>
      </c>
      <c r="I63">
        <f>-MIN(I129,0)</f>
        <v>0</v>
      </c>
      <c r="J63">
        <f>-MIN(J129,0)</f>
        <v>0</v>
      </c>
    </row>
    <row r="64" spans="1:11" x14ac:dyDescent="0.45">
      <c r="B64" t="s">
        <v>77</v>
      </c>
      <c r="D64" s="56">
        <v>5363</v>
      </c>
      <c r="E64" s="56">
        <v>5945</v>
      </c>
      <c r="F64">
        <f>+F85*-F8/365</f>
        <v>6274.6809863013705</v>
      </c>
      <c r="G64">
        <f>+G85*-G8/365</f>
        <v>6462.9214158904115</v>
      </c>
      <c r="H64">
        <f>+H85*-H8/365</f>
        <v>6656.8090583671237</v>
      </c>
      <c r="I64">
        <f>+I85*-I8/365</f>
        <v>6856.5133301181386</v>
      </c>
      <c r="J64">
        <f>+J85*-J8/365</f>
        <v>7062.2087300216826</v>
      </c>
    </row>
    <row r="65" spans="1:11" x14ac:dyDescent="0.45">
      <c r="B65" t="s">
        <v>78</v>
      </c>
      <c r="D65" s="56">
        <v>4530</v>
      </c>
      <c r="E65" s="56">
        <v>5045</v>
      </c>
      <c r="F65">
        <f>+F86*F7</f>
        <v>5248.5092000000004</v>
      </c>
      <c r="G65">
        <f>+G86*G7</f>
        <v>5405.9644760000001</v>
      </c>
      <c r="H65">
        <f>+H86*H7</f>
        <v>5568.1434102800004</v>
      </c>
      <c r="I65">
        <f>+I86*I7</f>
        <v>5735.1877125884012</v>
      </c>
      <c r="J65">
        <f>+J86*J7</f>
        <v>5907.2433439660535</v>
      </c>
    </row>
    <row r="66" spans="1:11" x14ac:dyDescent="0.45">
      <c r="B66" t="s">
        <v>359</v>
      </c>
      <c r="D66">
        <f>15503-SUM(D63:D65)</f>
        <v>2234</v>
      </c>
      <c r="E66">
        <f>16980
-SUM(E63:E65)</f>
        <v>2569</v>
      </c>
      <c r="F66">
        <f>+F87*F7</f>
        <v>2624.2546000000002</v>
      </c>
      <c r="G66">
        <f>+G87*G7</f>
        <v>2702.9822380000001</v>
      </c>
      <c r="H66">
        <f>+H87*H7</f>
        <v>2784.0717051400002</v>
      </c>
      <c r="I66">
        <f>+I87*I7</f>
        <v>2867.5938562942006</v>
      </c>
      <c r="J66">
        <f>+J87*J7</f>
        <v>2953.6216719830268</v>
      </c>
    </row>
    <row r="67" spans="1:11" x14ac:dyDescent="0.45">
      <c r="B67" t="s">
        <v>351</v>
      </c>
      <c r="D67" s="56">
        <v>18484</v>
      </c>
      <c r="E67" s="56">
        <v>16513</v>
      </c>
      <c r="F67">
        <f>+E67-F88</f>
        <v>16513</v>
      </c>
      <c r="G67">
        <f>+F67-G88</f>
        <v>14268</v>
      </c>
      <c r="H67">
        <f>+G67-H88</f>
        <v>11440</v>
      </c>
      <c r="I67">
        <f>+H67-I88</f>
        <v>9374</v>
      </c>
      <c r="J67">
        <f>+I67-J88</f>
        <v>7308</v>
      </c>
    </row>
    <row r="68" spans="1:11" x14ac:dyDescent="0.45">
      <c r="B68" t="s">
        <v>76</v>
      </c>
      <c r="D68" s="56">
        <v>689</v>
      </c>
      <c r="E68" s="56">
        <v>826</v>
      </c>
      <c r="F68">
        <f>+F89*F7</f>
        <v>811.13324000000011</v>
      </c>
      <c r="G68">
        <f>+G89*G7</f>
        <v>835.46723720000011</v>
      </c>
      <c r="H68">
        <f>+H89*H7</f>
        <v>860.53125431600017</v>
      </c>
      <c r="I68">
        <f>+I89*I7</f>
        <v>886.34719194548018</v>
      </c>
      <c r="J68">
        <f>+J89*J7</f>
        <v>912.93760770384461</v>
      </c>
    </row>
    <row r="69" spans="1:11" x14ac:dyDescent="0.45">
      <c r="B69" t="s">
        <v>79</v>
      </c>
      <c r="D69" s="56">
        <v>12236</v>
      </c>
      <c r="E69" s="56">
        <v>10873</v>
      </c>
      <c r="F69">
        <f>+F90</f>
        <v>10873</v>
      </c>
      <c r="G69">
        <f>+G90</f>
        <v>10873</v>
      </c>
      <c r="H69">
        <f>+H90</f>
        <v>10873</v>
      </c>
      <c r="I69">
        <f>+I90</f>
        <v>10873</v>
      </c>
      <c r="J69">
        <f>+J90</f>
        <v>10873</v>
      </c>
    </row>
    <row r="70" spans="1:11" x14ac:dyDescent="0.45">
      <c r="B70" t="s">
        <v>360</v>
      </c>
      <c r="D70">
        <f>34513-SUM(D67:D69)</f>
        <v>3104</v>
      </c>
      <c r="E70">
        <f>31492
-SUM(E67:E69)</f>
        <v>3280</v>
      </c>
      <c r="F70">
        <f>+F91*F7</f>
        <v>3387.6741199999997</v>
      </c>
      <c r="G70">
        <f>+G91*G7</f>
        <v>3489.3043435999998</v>
      </c>
      <c r="H70">
        <f>+H91*H7</f>
        <v>3593.9834739080002</v>
      </c>
      <c r="I70">
        <f>+I91*I7</f>
        <v>3701.8029781252403</v>
      </c>
      <c r="J70">
        <f>+J91*J7</f>
        <v>3812.8570674689977</v>
      </c>
    </row>
    <row r="71" spans="1:11" x14ac:dyDescent="0.45">
      <c r="B71" t="s">
        <v>23</v>
      </c>
      <c r="D71" s="56">
        <v>112</v>
      </c>
      <c r="E71" s="56">
        <v>1180</v>
      </c>
      <c r="F71">
        <f>+E71+F32</f>
        <v>1180</v>
      </c>
      <c r="G71">
        <f>+F71+G32</f>
        <v>1180</v>
      </c>
      <c r="H71">
        <f>+G71+H32</f>
        <v>1180</v>
      </c>
      <c r="I71">
        <f>+H71+I32</f>
        <v>1180</v>
      </c>
      <c r="J71">
        <f>+I71+J32</f>
        <v>1180</v>
      </c>
    </row>
    <row r="72" spans="1:11" x14ac:dyDescent="0.45">
      <c r="B72" t="s">
        <v>24</v>
      </c>
      <c r="D72" s="56">
        <v>20106</v>
      </c>
      <c r="E72" s="56">
        <v>24265</v>
      </c>
      <c r="F72">
        <f>+E72+F33-F37</f>
        <v>26496.513836555827</v>
      </c>
      <c r="G72">
        <f>+F72+G33-G37</f>
        <v>28785.449906040751</v>
      </c>
      <c r="H72">
        <f>+G72+H33-H37</f>
        <v>31137.729434661171</v>
      </c>
      <c r="I72">
        <f>+H72+I33-I37</f>
        <v>33558.931057911126</v>
      </c>
      <c r="J72">
        <f>+I72+J33-J37</f>
        <v>36054.345002260969</v>
      </c>
    </row>
    <row r="73" spans="1:11" s="3" customFormat="1" x14ac:dyDescent="0.45">
      <c r="A73" s="46"/>
      <c r="B73" t="s">
        <v>324</v>
      </c>
      <c r="C73"/>
      <c r="D73">
        <f t="shared" ref="D73:J73" si="14">SUM(D63:D72)</f>
        <v>70234</v>
      </c>
      <c r="E73">
        <f t="shared" si="14"/>
        <v>73917</v>
      </c>
      <c r="F73">
        <f t="shared" si="14"/>
        <v>73408.765982857192</v>
      </c>
      <c r="G73">
        <f t="shared" si="14"/>
        <v>74003.089616731158</v>
      </c>
      <c r="H73">
        <f t="shared" si="14"/>
        <v>74094.268336672292</v>
      </c>
      <c r="I73">
        <f t="shared" si="14"/>
        <v>75033.376126982592</v>
      </c>
      <c r="J73">
        <f t="shared" si="14"/>
        <v>76064.213423404581</v>
      </c>
      <c r="K73"/>
    </row>
    <row r="74" spans="1:11" s="3" customFormat="1" x14ac:dyDescent="0.45">
      <c r="A74" s="46"/>
      <c r="B74"/>
      <c r="C74"/>
      <c r="D74"/>
      <c r="E74"/>
      <c r="F74"/>
      <c r="G74"/>
      <c r="H74"/>
      <c r="I74"/>
      <c r="J74"/>
      <c r="K74"/>
    </row>
    <row r="75" spans="1:11" x14ac:dyDescent="0.45">
      <c r="B75" t="s">
        <v>26</v>
      </c>
      <c r="D75">
        <f t="shared" ref="D75:J75" si="15">D61-D73</f>
        <v>0</v>
      </c>
      <c r="E75">
        <f t="shared" si="15"/>
        <v>0</v>
      </c>
      <c r="F75">
        <f t="shared" si="15"/>
        <v>0</v>
      </c>
      <c r="G75">
        <f t="shared" si="15"/>
        <v>0</v>
      </c>
      <c r="H75">
        <f t="shared" si="15"/>
        <v>0</v>
      </c>
      <c r="I75">
        <f t="shared" si="15"/>
        <v>0</v>
      </c>
      <c r="J75">
        <f t="shared" si="15"/>
        <v>0</v>
      </c>
    </row>
    <row r="77" spans="1:11" x14ac:dyDescent="0.45">
      <c r="A77" s="46" t="s">
        <v>80</v>
      </c>
    </row>
    <row r="78" spans="1:11" x14ac:dyDescent="0.45">
      <c r="B78" t="s">
        <v>81</v>
      </c>
      <c r="D78">
        <f>+D54/D8*-365</f>
        <v>179.68122169318315</v>
      </c>
      <c r="E78">
        <f>+E54/E8*-365</f>
        <v>172.36951118475559</v>
      </c>
      <c r="F78" s="58">
        <v>175</v>
      </c>
      <c r="G78" s="58">
        <f>+F78</f>
        <v>175</v>
      </c>
      <c r="H78" s="58">
        <f>+G78</f>
        <v>175</v>
      </c>
      <c r="I78" s="58">
        <f>+H78</f>
        <v>175</v>
      </c>
      <c r="J78" s="58">
        <f>+I78</f>
        <v>175</v>
      </c>
    </row>
    <row r="79" spans="1:11" x14ac:dyDescent="0.45">
      <c r="B79" t="s">
        <v>82</v>
      </c>
      <c r="D79">
        <f>+D55/D7*365</f>
        <v>80.321367231911751</v>
      </c>
      <c r="E79">
        <f>+E55/E7*365</f>
        <v>78.264938260944646</v>
      </c>
      <c r="F79" s="58">
        <v>80</v>
      </c>
      <c r="G79" s="58">
        <v>80</v>
      </c>
      <c r="H79" s="58">
        <v>80</v>
      </c>
      <c r="I79" s="58">
        <v>80</v>
      </c>
      <c r="J79" s="58">
        <v>80</v>
      </c>
    </row>
    <row r="80" spans="1:11" x14ac:dyDescent="0.45">
      <c r="B80" t="s">
        <v>367</v>
      </c>
      <c r="D80" s="2">
        <f>+D56/D7</f>
        <v>6.770845932412492E-2</v>
      </c>
      <c r="E80" s="2">
        <f>+E56/E7</f>
        <v>7.5101459286762803E-2</v>
      </c>
      <c r="F80" s="62">
        <v>7.0000000000000007E-2</v>
      </c>
      <c r="G80" s="62">
        <v>7.0000000000000007E-2</v>
      </c>
      <c r="H80" s="62">
        <v>7.0000000000000007E-2</v>
      </c>
      <c r="I80" s="62">
        <v>7.0000000000000007E-2</v>
      </c>
      <c r="J80" s="62">
        <v>7.0000000000000007E-2</v>
      </c>
    </row>
    <row r="81" spans="1:10" x14ac:dyDescent="0.45">
      <c r="B81" t="s">
        <v>83</v>
      </c>
      <c r="D81" s="2">
        <f>D98/D7</f>
        <v>5.7355040034833937E-2</v>
      </c>
      <c r="E81" s="2">
        <f>E98/E7</f>
        <v>5.4334686123823507E-2</v>
      </c>
      <c r="F81" s="62">
        <v>5.5E-2</v>
      </c>
      <c r="G81" s="62">
        <v>5.5E-2</v>
      </c>
      <c r="H81" s="62">
        <v>5.5E-2</v>
      </c>
      <c r="I81" s="62">
        <v>5.5E-2</v>
      </c>
      <c r="J81" s="62">
        <v>5.5E-2</v>
      </c>
    </row>
    <row r="82" spans="1:10" x14ac:dyDescent="0.45">
      <c r="B82" t="s">
        <v>84</v>
      </c>
      <c r="E82" s="2">
        <f>-E18/D57</f>
        <v>0.12390619530976549</v>
      </c>
      <c r="F82" s="62">
        <f t="shared" ref="F82:J84" si="16">+E82</f>
        <v>0.12390619530976549</v>
      </c>
      <c r="G82" s="62">
        <f t="shared" si="16"/>
        <v>0.12390619530976549</v>
      </c>
      <c r="H82" s="62">
        <f t="shared" si="16"/>
        <v>0.12390619530976549</v>
      </c>
      <c r="I82" s="62">
        <f t="shared" si="16"/>
        <v>0.12390619530976549</v>
      </c>
      <c r="J82" s="62">
        <f t="shared" si="16"/>
        <v>0.12390619530976549</v>
      </c>
    </row>
    <row r="83" spans="1:10" x14ac:dyDescent="0.45">
      <c r="B83" t="s">
        <v>325</v>
      </c>
      <c r="D83">
        <f>+-D19</f>
        <v>1438</v>
      </c>
      <c r="E83">
        <f>+-E19</f>
        <v>1637</v>
      </c>
      <c r="F83" s="58">
        <f t="shared" si="16"/>
        <v>1637</v>
      </c>
      <c r="G83" s="58">
        <f t="shared" si="16"/>
        <v>1637</v>
      </c>
      <c r="H83" s="58">
        <f t="shared" si="16"/>
        <v>1637</v>
      </c>
      <c r="I83" s="58">
        <f t="shared" si="16"/>
        <v>1637</v>
      </c>
      <c r="J83" s="58">
        <f t="shared" si="16"/>
        <v>1637</v>
      </c>
    </row>
    <row r="84" spans="1:10" x14ac:dyDescent="0.45">
      <c r="B84" t="s">
        <v>357</v>
      </c>
      <c r="D84">
        <f>+D60</f>
        <v>5579</v>
      </c>
      <c r="E84">
        <f>+E60</f>
        <v>6447</v>
      </c>
      <c r="F84" s="58">
        <f t="shared" si="16"/>
        <v>6447</v>
      </c>
      <c r="G84" s="58">
        <f t="shared" si="16"/>
        <v>6447</v>
      </c>
      <c r="H84" s="58">
        <f t="shared" si="16"/>
        <v>6447</v>
      </c>
      <c r="I84" s="58">
        <f t="shared" si="16"/>
        <v>6447</v>
      </c>
      <c r="J84" s="58">
        <f t="shared" si="16"/>
        <v>6447</v>
      </c>
    </row>
    <row r="85" spans="1:10" x14ac:dyDescent="0.45">
      <c r="B85" t="s">
        <v>85</v>
      </c>
      <c r="D85">
        <f>-D64/D8*365</f>
        <v>113.66246661247243</v>
      </c>
      <c r="E85">
        <f>-E64/E8*365</f>
        <v>119.85225075945873</v>
      </c>
      <c r="F85" s="58">
        <v>120</v>
      </c>
      <c r="G85" s="58">
        <v>120</v>
      </c>
      <c r="H85" s="58">
        <v>120</v>
      </c>
      <c r="I85" s="58">
        <v>120</v>
      </c>
      <c r="J85" s="58">
        <v>120</v>
      </c>
    </row>
    <row r="86" spans="1:10" x14ac:dyDescent="0.45">
      <c r="B86" t="s">
        <v>86</v>
      </c>
      <c r="D86" s="2">
        <f>+D65/D7</f>
        <v>0.10958175088899103</v>
      </c>
      <c r="E86" s="2">
        <f>+E65/E7</f>
        <v>0.10890683015283655</v>
      </c>
      <c r="F86" s="59">
        <v>0.11</v>
      </c>
      <c r="G86" s="59">
        <v>0.11</v>
      </c>
      <c r="H86" s="59">
        <v>0.11</v>
      </c>
      <c r="I86" s="59">
        <v>0.11</v>
      </c>
      <c r="J86" s="59">
        <v>0.11</v>
      </c>
    </row>
    <row r="87" spans="1:10" x14ac:dyDescent="0.45">
      <c r="B87" t="s">
        <v>368</v>
      </c>
      <c r="D87" s="2">
        <f>+D66/D7</f>
        <v>5.4040978252981445E-2</v>
      </c>
      <c r="E87" s="2">
        <f>+E66/E7</f>
        <v>5.5457214402901307E-2</v>
      </c>
      <c r="F87" s="59">
        <v>5.5E-2</v>
      </c>
      <c r="G87" s="59">
        <v>5.5E-2</v>
      </c>
      <c r="H87" s="59">
        <v>5.5E-2</v>
      </c>
      <c r="I87" s="59">
        <v>5.5E-2</v>
      </c>
      <c r="J87" s="59">
        <v>5.5E-2</v>
      </c>
    </row>
    <row r="88" spans="1:10" x14ac:dyDescent="0.45">
      <c r="B88" t="s">
        <v>372</v>
      </c>
      <c r="F88" s="58">
        <v>0</v>
      </c>
      <c r="G88" s="58">
        <v>2245</v>
      </c>
      <c r="H88" s="58">
        <v>2828</v>
      </c>
      <c r="I88" s="58">
        <v>2066</v>
      </c>
      <c r="J88" s="58">
        <v>2066</v>
      </c>
    </row>
    <row r="89" spans="1:10" x14ac:dyDescent="0.45">
      <c r="B89" t="s">
        <v>87</v>
      </c>
      <c r="D89" s="2">
        <f>+D68/D7</f>
        <v>1.666706983719974E-2</v>
      </c>
      <c r="E89" s="2">
        <f>+E68/E7</f>
        <v>1.7830929971505052E-2</v>
      </c>
      <c r="F89" s="59">
        <v>1.7000000000000001E-2</v>
      </c>
      <c r="G89" s="59">
        <v>1.7000000000000001E-2</v>
      </c>
      <c r="H89" s="59">
        <v>1.7000000000000001E-2</v>
      </c>
      <c r="I89" s="59">
        <v>1.7000000000000001E-2</v>
      </c>
      <c r="J89" s="59">
        <v>1.7000000000000001E-2</v>
      </c>
    </row>
    <row r="90" spans="1:10" x14ac:dyDescent="0.45">
      <c r="B90" t="s">
        <v>79</v>
      </c>
      <c r="D90">
        <f>+D69</f>
        <v>12236</v>
      </c>
      <c r="E90">
        <f>+E69</f>
        <v>10873</v>
      </c>
      <c r="F90" s="58">
        <f>+E90</f>
        <v>10873</v>
      </c>
      <c r="G90" s="58">
        <f>+F90</f>
        <v>10873</v>
      </c>
      <c r="H90" s="58">
        <f>+G90</f>
        <v>10873</v>
      </c>
      <c r="I90" s="58">
        <f>+H90</f>
        <v>10873</v>
      </c>
      <c r="J90" s="58">
        <f>+I90</f>
        <v>10873</v>
      </c>
    </row>
    <row r="91" spans="1:10" x14ac:dyDescent="0.45">
      <c r="B91" t="s">
        <v>369</v>
      </c>
      <c r="D91" s="2">
        <f>+D70/D7</f>
        <v>7.5086480079343959E-2</v>
      </c>
      <c r="E91" s="2">
        <f>+E70/E7</f>
        <v>7.0805629911061221E-2</v>
      </c>
      <c r="F91" s="59">
        <v>7.0999999999999994E-2</v>
      </c>
      <c r="G91" s="59">
        <v>7.0999999999999994E-2</v>
      </c>
      <c r="H91" s="59">
        <v>7.0999999999999994E-2</v>
      </c>
      <c r="I91" s="59">
        <v>7.0999999999999994E-2</v>
      </c>
      <c r="J91" s="59">
        <v>7.0999999999999994E-2</v>
      </c>
    </row>
    <row r="92" spans="1:10" x14ac:dyDescent="0.45">
      <c r="B92" t="s">
        <v>370</v>
      </c>
      <c r="F92" s="59">
        <v>3.5000000000000003E-2</v>
      </c>
      <c r="G92" s="59">
        <v>3.5000000000000003E-2</v>
      </c>
      <c r="H92" s="59">
        <v>3.5000000000000003E-2</v>
      </c>
      <c r="I92" s="59">
        <v>3.5000000000000003E-2</v>
      </c>
      <c r="J92" s="59">
        <v>3.5000000000000003E-2</v>
      </c>
    </row>
    <row r="93" spans="1:10" x14ac:dyDescent="0.45">
      <c r="B93" t="s">
        <v>371</v>
      </c>
      <c r="F93" s="59">
        <v>1.4999999999999999E-2</v>
      </c>
      <c r="G93" s="59">
        <v>1.4999999999999999E-2</v>
      </c>
      <c r="H93" s="59">
        <v>1.4999999999999999E-2</v>
      </c>
      <c r="I93" s="59">
        <v>1.4999999999999999E-2</v>
      </c>
      <c r="J93" s="59">
        <v>1.4999999999999999E-2</v>
      </c>
    </row>
    <row r="94" spans="1:10" x14ac:dyDescent="0.45">
      <c r="B94" t="s">
        <v>96</v>
      </c>
      <c r="F94" s="59">
        <v>1E-3</v>
      </c>
      <c r="G94" s="59">
        <v>1E-3</v>
      </c>
      <c r="H94" s="59">
        <v>1E-3</v>
      </c>
      <c r="I94" s="59">
        <v>1E-3</v>
      </c>
      <c r="J94" s="59">
        <v>1E-3</v>
      </c>
    </row>
    <row r="96" spans="1:10" x14ac:dyDescent="0.45">
      <c r="A96" s="46" t="s">
        <v>88</v>
      </c>
    </row>
    <row r="97" spans="1:10" x14ac:dyDescent="0.45">
      <c r="B97" t="s">
        <v>89</v>
      </c>
      <c r="F97">
        <f>+E100</f>
        <v>12375</v>
      </c>
      <c r="G97">
        <f>+F100</f>
        <v>13465.915433041653</v>
      </c>
      <c r="H97">
        <f>+G100</f>
        <v>14500.387323370409</v>
      </c>
      <c r="I97">
        <f>+H100</f>
        <v>15487.771204753628</v>
      </c>
      <c r="J97">
        <f>+I100</f>
        <v>16436.334257238665</v>
      </c>
    </row>
    <row r="98" spans="1:10" x14ac:dyDescent="0.45">
      <c r="B98" t="s">
        <v>27</v>
      </c>
      <c r="D98" s="56">
        <v>2371</v>
      </c>
      <c r="E98" s="56">
        <v>2517</v>
      </c>
      <c r="F98">
        <f>+F81*F7</f>
        <v>2624.2546000000002</v>
      </c>
      <c r="G98">
        <f>+G81*G7</f>
        <v>2702.9822380000001</v>
      </c>
      <c r="H98">
        <f>+H81*H7</f>
        <v>2784.0717051400002</v>
      </c>
      <c r="I98">
        <f>+I81*I7</f>
        <v>2867.5938562942006</v>
      </c>
      <c r="J98">
        <f>+J81*J7</f>
        <v>2953.6216719830268</v>
      </c>
    </row>
    <row r="99" spans="1:10" x14ac:dyDescent="0.45">
      <c r="B99" t="s">
        <v>63</v>
      </c>
      <c r="F99">
        <f>-F82*F97</f>
        <v>-1533.339166958348</v>
      </c>
      <c r="G99">
        <f>-G82*G97</f>
        <v>-1668.5103476712443</v>
      </c>
      <c r="H99">
        <f>-H82*H97</f>
        <v>-1796.6878237567814</v>
      </c>
      <c r="I99">
        <f>-I82*I97</f>
        <v>-1919.030803809165</v>
      </c>
      <c r="J99">
        <f>-J82*J97</f>
        <v>-2036.5636426540032</v>
      </c>
    </row>
    <row r="100" spans="1:10" x14ac:dyDescent="0.45">
      <c r="B100" t="s">
        <v>90</v>
      </c>
      <c r="E100">
        <f>+E57</f>
        <v>12375</v>
      </c>
      <c r="F100">
        <f>SUM(F97:F99)</f>
        <v>13465.915433041653</v>
      </c>
      <c r="G100">
        <f>SUM(G97:G99)</f>
        <v>14500.387323370409</v>
      </c>
      <c r="H100">
        <f>SUM(H97:H99)</f>
        <v>15487.771204753628</v>
      </c>
      <c r="I100">
        <f>SUM(I97:I99)</f>
        <v>16436.334257238665</v>
      </c>
      <c r="J100">
        <f>SUM(J97:J99)</f>
        <v>17353.392286567687</v>
      </c>
    </row>
    <row r="103" spans="1:10" x14ac:dyDescent="0.45">
      <c r="A103" s="46" t="str">
        <f>"Cash flow in "&amp;C3</f>
        <v>Cash flow in Euro</v>
      </c>
    </row>
    <row r="104" spans="1:10" x14ac:dyDescent="0.45">
      <c r="B104" t="s">
        <v>15</v>
      </c>
      <c r="F104">
        <f>+F31</f>
        <v>4463.0276731116546</v>
      </c>
      <c r="G104">
        <f>+G31</f>
        <v>4577.872138969853</v>
      </c>
      <c r="H104">
        <f>+H31</f>
        <v>4704.5590572408455</v>
      </c>
      <c r="I104">
        <f>+I31</f>
        <v>4842.4032464999145</v>
      </c>
      <c r="J104">
        <f>+J31</f>
        <v>4990.8278886996868</v>
      </c>
    </row>
    <row r="105" spans="1:10" x14ac:dyDescent="0.45">
      <c r="B105" t="s">
        <v>63</v>
      </c>
      <c r="F105">
        <f t="shared" ref="F105:J106" si="17">-F18</f>
        <v>1533.339166958348</v>
      </c>
      <c r="G105">
        <f t="shared" si="17"/>
        <v>1668.5103476712443</v>
      </c>
      <c r="H105">
        <f t="shared" si="17"/>
        <v>1796.6878237567814</v>
      </c>
      <c r="I105">
        <f t="shared" si="17"/>
        <v>1919.030803809165</v>
      </c>
      <c r="J105">
        <f t="shared" si="17"/>
        <v>2036.5636426540032</v>
      </c>
    </row>
    <row r="106" spans="1:10" x14ac:dyDescent="0.45">
      <c r="B106" t="s">
        <v>325</v>
      </c>
      <c r="F106">
        <f t="shared" si="17"/>
        <v>1637</v>
      </c>
      <c r="G106">
        <f t="shared" si="17"/>
        <v>1637</v>
      </c>
      <c r="H106">
        <f t="shared" si="17"/>
        <v>1637</v>
      </c>
      <c r="I106">
        <f t="shared" si="17"/>
        <v>1637</v>
      </c>
      <c r="J106">
        <f t="shared" si="17"/>
        <v>1637</v>
      </c>
    </row>
    <row r="107" spans="1:10" x14ac:dyDescent="0.45">
      <c r="B107" t="s">
        <v>132</v>
      </c>
      <c r="F107">
        <f>+E54-F54</f>
        <v>-600.57643835616545</v>
      </c>
      <c r="G107">
        <f>+F54-G54</f>
        <v>-274.51729315068405</v>
      </c>
      <c r="H107">
        <f>+G54-H54</f>
        <v>-282.75281194520721</v>
      </c>
      <c r="I107">
        <f>+H54-I54</f>
        <v>-291.2353963035639</v>
      </c>
      <c r="J107">
        <f>+I54-J54</f>
        <v>-299.97245819266573</v>
      </c>
    </row>
    <row r="108" spans="1:10" x14ac:dyDescent="0.45">
      <c r="B108" t="s">
        <v>133</v>
      </c>
      <c r="F108">
        <f>+E55-F55</f>
        <v>-524.80164383561714</v>
      </c>
      <c r="G108">
        <f t="shared" ref="G108:I109" si="18">+F55-G55</f>
        <v>-313.73404931506775</v>
      </c>
      <c r="H108">
        <f t="shared" si="18"/>
        <v>-323.14607079452071</v>
      </c>
      <c r="I108">
        <f t="shared" si="18"/>
        <v>-332.84045291835719</v>
      </c>
      <c r="J108">
        <f>+I55-J55</f>
        <v>-342.82566650590707</v>
      </c>
    </row>
    <row r="109" spans="1:10" x14ac:dyDescent="0.45">
      <c r="B109" t="s">
        <v>361</v>
      </c>
      <c r="F109">
        <f>+E56-F56</f>
        <v>139.03959999999961</v>
      </c>
      <c r="G109">
        <f t="shared" si="18"/>
        <v>-100.19881200000009</v>
      </c>
      <c r="H109">
        <f t="shared" si="18"/>
        <v>-103.20477636000032</v>
      </c>
      <c r="I109">
        <f t="shared" si="18"/>
        <v>-106.3009196508001</v>
      </c>
      <c r="J109">
        <f>+I56-J56</f>
        <v>-109.489947240324</v>
      </c>
    </row>
    <row r="110" spans="1:10" x14ac:dyDescent="0.45">
      <c r="B110" t="s">
        <v>134</v>
      </c>
      <c r="F110">
        <f t="shared" ref="F110:J112" si="19">+F64-E64</f>
        <v>329.68098630137047</v>
      </c>
      <c r="G110">
        <f t="shared" si="19"/>
        <v>188.24042958904101</v>
      </c>
      <c r="H110">
        <f t="shared" si="19"/>
        <v>193.88764247671224</v>
      </c>
      <c r="I110">
        <f t="shared" si="19"/>
        <v>199.70427175101486</v>
      </c>
      <c r="J110">
        <f t="shared" si="19"/>
        <v>205.69539990354406</v>
      </c>
    </row>
    <row r="111" spans="1:10" x14ac:dyDescent="0.45">
      <c r="B111" t="s">
        <v>135</v>
      </c>
      <c r="F111">
        <f t="shared" si="19"/>
        <v>203.50920000000042</v>
      </c>
      <c r="G111">
        <f t="shared" si="19"/>
        <v>157.45527599999969</v>
      </c>
      <c r="H111">
        <f t="shared" si="19"/>
        <v>162.17893428000025</v>
      </c>
      <c r="I111">
        <f t="shared" si="19"/>
        <v>167.0443023084008</v>
      </c>
      <c r="J111">
        <f t="shared" si="19"/>
        <v>172.05563137765239</v>
      </c>
    </row>
    <row r="112" spans="1:10" x14ac:dyDescent="0.45">
      <c r="B112" t="s">
        <v>362</v>
      </c>
      <c r="F112">
        <f t="shared" si="19"/>
        <v>55.25460000000021</v>
      </c>
      <c r="G112">
        <f t="shared" si="19"/>
        <v>78.727637999999843</v>
      </c>
      <c r="H112">
        <f t="shared" si="19"/>
        <v>81.089467140000124</v>
      </c>
      <c r="I112">
        <f t="shared" si="19"/>
        <v>83.522151154200401</v>
      </c>
      <c r="J112">
        <f t="shared" si="19"/>
        <v>86.027815688826195</v>
      </c>
    </row>
    <row r="113" spans="1:11" x14ac:dyDescent="0.45">
      <c r="B113" t="s">
        <v>363</v>
      </c>
      <c r="F113">
        <f>+E60-F60</f>
        <v>0</v>
      </c>
      <c r="G113">
        <f>+F60-G60</f>
        <v>0</v>
      </c>
      <c r="H113">
        <f>+G60-H60</f>
        <v>0</v>
      </c>
      <c r="I113">
        <f>+H60-I60</f>
        <v>0</v>
      </c>
      <c r="J113">
        <f>+I60-J60</f>
        <v>0</v>
      </c>
    </row>
    <row r="114" spans="1:11" x14ac:dyDescent="0.45">
      <c r="B114" t="s">
        <v>136</v>
      </c>
      <c r="F114">
        <f t="shared" ref="F114:J116" si="20">+F68-E68</f>
        <v>-14.866759999999886</v>
      </c>
      <c r="G114">
        <f t="shared" si="20"/>
        <v>24.333997199999999</v>
      </c>
      <c r="H114">
        <f t="shared" si="20"/>
        <v>25.064017116000059</v>
      </c>
      <c r="I114">
        <f t="shared" si="20"/>
        <v>25.815937629480004</v>
      </c>
      <c r="J114">
        <f t="shared" si="20"/>
        <v>26.590415758364429</v>
      </c>
    </row>
    <row r="115" spans="1:11" x14ac:dyDescent="0.45">
      <c r="B115" t="s">
        <v>137</v>
      </c>
      <c r="F115">
        <f t="shared" si="20"/>
        <v>0</v>
      </c>
      <c r="G115">
        <f t="shared" si="20"/>
        <v>0</v>
      </c>
      <c r="H115">
        <f t="shared" si="20"/>
        <v>0</v>
      </c>
      <c r="I115">
        <f t="shared" si="20"/>
        <v>0</v>
      </c>
      <c r="J115">
        <f t="shared" si="20"/>
        <v>0</v>
      </c>
    </row>
    <row r="116" spans="1:11" x14ac:dyDescent="0.45">
      <c r="B116" t="s">
        <v>364</v>
      </c>
      <c r="F116">
        <f t="shared" si="20"/>
        <v>107.67411999999968</v>
      </c>
      <c r="G116">
        <f t="shared" si="20"/>
        <v>101.63022360000014</v>
      </c>
      <c r="H116">
        <f t="shared" si="20"/>
        <v>104.67913030800037</v>
      </c>
      <c r="I116">
        <f t="shared" si="20"/>
        <v>107.81950421724014</v>
      </c>
      <c r="J116">
        <f t="shared" si="20"/>
        <v>111.05408934375737</v>
      </c>
    </row>
    <row r="117" spans="1:11" s="3" customFormat="1" x14ac:dyDescent="0.45">
      <c r="A117" s="46"/>
      <c r="B117" t="s">
        <v>91</v>
      </c>
      <c r="C117"/>
      <c r="D117"/>
      <c r="E117"/>
      <c r="F117">
        <f>SUM(F104:F116)</f>
        <v>7328.2805041795909</v>
      </c>
      <c r="G117">
        <f>SUM(G104:G116)</f>
        <v>7745.319896564386</v>
      </c>
      <c r="H117">
        <f>SUM(H104:H116)</f>
        <v>7996.0424132186126</v>
      </c>
      <c r="I117">
        <f>SUM(I104:I116)</f>
        <v>8251.9634484966937</v>
      </c>
      <c r="J117">
        <f>SUM(J104:J116)</f>
        <v>8513.5268114869359</v>
      </c>
      <c r="K117"/>
    </row>
    <row r="119" spans="1:11" x14ac:dyDescent="0.45">
      <c r="B119" t="s">
        <v>27</v>
      </c>
      <c r="F119">
        <f>-F98</f>
        <v>-2624.2546000000002</v>
      </c>
      <c r="G119">
        <f>-G98</f>
        <v>-2702.9822380000001</v>
      </c>
      <c r="H119">
        <f>-H98</f>
        <v>-2784.0717051400002</v>
      </c>
      <c r="I119">
        <f>-I98</f>
        <v>-2867.5938562942006</v>
      </c>
      <c r="J119">
        <f>-J98</f>
        <v>-2953.6216719830268</v>
      </c>
    </row>
    <row r="120" spans="1:11" s="3" customFormat="1" x14ac:dyDescent="0.45">
      <c r="A120" s="46"/>
      <c r="B120" t="s">
        <v>92</v>
      </c>
      <c r="C120"/>
      <c r="D120"/>
      <c r="E120"/>
      <c r="F120">
        <f>SUM(F119)</f>
        <v>-2624.2546000000002</v>
      </c>
      <c r="G120">
        <f>SUM(G119)</f>
        <v>-2702.9822380000001</v>
      </c>
      <c r="H120">
        <f>SUM(H119)</f>
        <v>-2784.0717051400002</v>
      </c>
      <c r="I120">
        <f>SUM(I119)</f>
        <v>-2867.5938562942006</v>
      </c>
      <c r="J120">
        <f>SUM(J119)</f>
        <v>-2953.6216719830268</v>
      </c>
      <c r="K120"/>
    </row>
    <row r="122" spans="1:11" x14ac:dyDescent="0.45">
      <c r="B122" t="s">
        <v>365</v>
      </c>
      <c r="F122">
        <f>+F67-E67</f>
        <v>0</v>
      </c>
      <c r="G122">
        <f>+G67-F67</f>
        <v>-2245</v>
      </c>
      <c r="H122">
        <f>+H67-G67</f>
        <v>-2828</v>
      </c>
      <c r="I122">
        <f>+I67-H67</f>
        <v>-2066</v>
      </c>
      <c r="J122">
        <f>+J67-I67</f>
        <v>-2066</v>
      </c>
    </row>
    <row r="123" spans="1:11" x14ac:dyDescent="0.45">
      <c r="B123" t="s">
        <v>28</v>
      </c>
      <c r="F123">
        <f>-F37</f>
        <v>-2231.5138365558273</v>
      </c>
      <c r="G123">
        <f>-G37</f>
        <v>-2288.9360694849265</v>
      </c>
      <c r="H123">
        <f>-H37</f>
        <v>-2352.2795286204228</v>
      </c>
      <c r="I123">
        <f>-I37</f>
        <v>-2421.2016232499573</v>
      </c>
      <c r="J123">
        <f>-J37</f>
        <v>-2495.4139443498434</v>
      </c>
    </row>
    <row r="124" spans="1:11" s="3" customFormat="1" x14ac:dyDescent="0.45">
      <c r="A124" s="46"/>
      <c r="B124" t="s">
        <v>93</v>
      </c>
      <c r="C124"/>
      <c r="D124"/>
      <c r="E124"/>
      <c r="F124">
        <f>SUM(F122:F123)</f>
        <v>-2231.5138365558273</v>
      </c>
      <c r="G124">
        <f>SUM(G122:G123)</f>
        <v>-4533.9360694849265</v>
      </c>
      <c r="H124">
        <f>SUM(H122:H123)</f>
        <v>-5180.2795286204228</v>
      </c>
      <c r="I124">
        <f>SUM(I122:I123)</f>
        <v>-4487.2016232499573</v>
      </c>
      <c r="J124">
        <f>SUM(J122:J123)</f>
        <v>-4561.4139443498434</v>
      </c>
      <c r="K124"/>
    </row>
    <row r="126" spans="1:11" s="3" customFormat="1" x14ac:dyDescent="0.45">
      <c r="A126" s="46"/>
      <c r="B126" t="s">
        <v>29</v>
      </c>
      <c r="C126"/>
      <c r="D126"/>
      <c r="E126"/>
      <c r="F126">
        <f>+SUM(F117,F120,F124)</f>
        <v>2472.5120676237634</v>
      </c>
      <c r="G126">
        <f>+SUM(G117,G120,G124)</f>
        <v>508.40158907945897</v>
      </c>
      <c r="H126">
        <f>+SUM(H117,H120,H124)</f>
        <v>31.691179458189254</v>
      </c>
      <c r="I126">
        <f>+SUM(I117,I120,I124)</f>
        <v>897.16796895253538</v>
      </c>
      <c r="J126">
        <f>+SUM(J117,J120,J124)</f>
        <v>998.49119515406619</v>
      </c>
      <c r="K126"/>
    </row>
    <row r="128" spans="1:11" x14ac:dyDescent="0.45">
      <c r="B128" t="s">
        <v>94</v>
      </c>
      <c r="F128">
        <f>+E129</f>
        <v>-1562</v>
      </c>
      <c r="G128">
        <f>+F129</f>
        <v>910.51206762376341</v>
      </c>
      <c r="H128">
        <f>+G129</f>
        <v>1418.9136567032224</v>
      </c>
      <c r="I128">
        <f>+H129</f>
        <v>1450.6048361614116</v>
      </c>
      <c r="J128">
        <f>+I129</f>
        <v>2347.772805113947</v>
      </c>
    </row>
    <row r="129" spans="1:11" s="3" customFormat="1" x14ac:dyDescent="0.45">
      <c r="A129" s="46"/>
      <c r="B129" t="s">
        <v>95</v>
      </c>
      <c r="C129"/>
      <c r="D129"/>
      <c r="E129">
        <f>+E53-E63</f>
        <v>-1562</v>
      </c>
      <c r="F129">
        <f>+F126+F128</f>
        <v>910.51206762376341</v>
      </c>
      <c r="G129">
        <f>+G126+G128</f>
        <v>1418.9136567032224</v>
      </c>
      <c r="H129">
        <f>+H126+H128</f>
        <v>1450.6048361614116</v>
      </c>
      <c r="I129">
        <f>+I126+I128</f>
        <v>2347.772805113947</v>
      </c>
      <c r="J129">
        <f>+J126+J128</f>
        <v>3346.2640002680132</v>
      </c>
      <c r="K129"/>
    </row>
    <row r="132" spans="1:11" x14ac:dyDescent="0.45">
      <c r="A132" s="46" t="s">
        <v>98</v>
      </c>
    </row>
    <row r="134" spans="1:11" x14ac:dyDescent="0.45">
      <c r="B134" t="s">
        <v>373</v>
      </c>
      <c r="C134" s="56">
        <v>826.94780800000001</v>
      </c>
    </row>
    <row r="136" spans="1:11" x14ac:dyDescent="0.45">
      <c r="B136" t="s">
        <v>99</v>
      </c>
    </row>
    <row r="137" spans="1:11" x14ac:dyDescent="0.45">
      <c r="B137" t="s">
        <v>100</v>
      </c>
    </row>
    <row r="138" spans="1:11" x14ac:dyDescent="0.45">
      <c r="B138" t="s">
        <v>101</v>
      </c>
    </row>
    <row r="140" spans="1:11" x14ac:dyDescent="0.45">
      <c r="B140" t="s">
        <v>102</v>
      </c>
    </row>
    <row r="141" spans="1:11" x14ac:dyDescent="0.45">
      <c r="B141" t="s">
        <v>103</v>
      </c>
    </row>
    <row r="143" spans="1:11" x14ac:dyDescent="0.45">
      <c r="B143" t="s">
        <v>323</v>
      </c>
      <c r="C143">
        <f>C134</f>
        <v>826.94780800000001</v>
      </c>
    </row>
    <row r="145" spans="1:1" x14ac:dyDescent="0.45">
      <c r="A145" s="46" t="s">
        <v>330</v>
      </c>
    </row>
  </sheetData>
  <printOptions headings="1" gridLines="1"/>
  <pageMargins left="0.7" right="0.7" top="0.75" bottom="0.75" header="0.3" footer="0.3"/>
  <pageSetup paperSize="9" scale="64" orientation="landscape" r:id="rId1"/>
  <headerFooter>
    <oddHeader xml:space="preserve">&amp;R&amp;10&amp;F 
&amp;A
</oddHeader>
    <oddFooter>&amp;L&amp;10© 2017&amp;C&amp;10Page &amp;P of &amp;N&amp;R&amp;G</oddFooter>
  </headerFooter>
  <rowBreaks count="3" manualBreakCount="3">
    <brk id="38" max="16383" man="1"/>
    <brk id="76" max="16383" man="1"/>
    <brk id="118" max="16383" man="1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144"/>
  <sheetViews>
    <sheetView zoomScaleNormal="100" workbookViewId="0">
      <pane xSplit="2" ySplit="2" topLeftCell="C3" activePane="bottomRight" state="frozen"/>
      <selection activeCell="N9" sqref="N9:Q9"/>
      <selection pane="topRight" activeCell="N9" sqref="N9:Q9"/>
      <selection pane="bottomLeft" activeCell="N9" sqref="N9:Q9"/>
      <selection pane="bottomRight"/>
    </sheetView>
  </sheetViews>
  <sheetFormatPr defaultRowHeight="15.75" x14ac:dyDescent="0.45"/>
  <cols>
    <col min="1" max="1" width="1.53125" style="46" customWidth="1"/>
    <col min="2" max="2" width="40.796875" customWidth="1"/>
    <col min="3" max="11" width="11.796875" customWidth="1"/>
    <col min="12" max="12" width="9.33203125" bestFit="1" customWidth="1"/>
  </cols>
  <sheetData>
    <row r="1" spans="1:13" ht="45" customHeight="1" x14ac:dyDescent="0.85">
      <c r="A1" s="41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</row>
    <row r="2" spans="1:13" ht="30" customHeight="1" x14ac:dyDescent="0.65">
      <c r="A2" s="57" t="str">
        <f>target&amp;" financials ("&amp;C3&amp;"m except per share data)"</f>
        <v>Monsanto financials (USDm except per share data)</v>
      </c>
      <c r="B2" s="42"/>
      <c r="C2" s="42"/>
      <c r="D2" s="55">
        <f>DATE(YEAR(TargetLFY)-2,MONTH(TargetLFY),DAY(TargetLFY))</f>
        <v>41882</v>
      </c>
      <c r="E2" s="55">
        <f>DATE(YEAR(TargetLFY)-1,MONTH(TargetLFY),DAY(TargetLFY))</f>
        <v>42247</v>
      </c>
      <c r="F2" s="55">
        <f>+TargetLFY</f>
        <v>42613</v>
      </c>
      <c r="G2" s="55">
        <f>DATE(YEAR(TargetLFY)+1,MONTH(TargetLFY),DAY(TargetLFY))</f>
        <v>42978</v>
      </c>
      <c r="H2" s="55">
        <f>DATE(YEAR(G2)+1,MONTH(TargetLFY),DAY(TargetLFY))</f>
        <v>43343</v>
      </c>
      <c r="I2" s="55">
        <f>DATE(YEAR(H2)+1,MONTH(TargetLFY),DAY(TargetLFY))</f>
        <v>43708</v>
      </c>
      <c r="J2" s="55">
        <f>DATE(YEAR(I2)+1,MONTH(TargetLFY),DAY(TargetLFY))</f>
        <v>44074</v>
      </c>
      <c r="K2" s="55">
        <f>DATE(YEAR(J2)+1,MONTH(TargetLFY),DAY(TargetLFY))</f>
        <v>44439</v>
      </c>
      <c r="L2" s="55">
        <f>DATE(YEAR(K2)+1,MONTH(TargetLFY),DAY(TargetLFY))</f>
        <v>44804</v>
      </c>
    </row>
    <row r="3" spans="1:13" x14ac:dyDescent="0.45">
      <c r="B3" t="s">
        <v>16</v>
      </c>
      <c r="C3" t="str">
        <f>Assumptions!C14</f>
        <v>USD</v>
      </c>
    </row>
    <row r="4" spans="1:13" x14ac:dyDescent="0.45">
      <c r="B4" t="s">
        <v>17</v>
      </c>
      <c r="C4" s="61">
        <v>42613</v>
      </c>
    </row>
    <row r="6" spans="1:13" x14ac:dyDescent="0.45">
      <c r="A6" s="46" t="str">
        <f>"Income statement in "&amp;C3</f>
        <v>Income statement in USD</v>
      </c>
    </row>
    <row r="7" spans="1:13" x14ac:dyDescent="0.45">
      <c r="B7" t="s">
        <v>4</v>
      </c>
      <c r="D7" s="56">
        <v>15855</v>
      </c>
      <c r="E7" s="56">
        <v>15001</v>
      </c>
      <c r="F7" s="56">
        <v>13502</v>
      </c>
      <c r="G7">
        <f t="shared" ref="G7:L7" si="0">+(1+G40)*F7</f>
        <v>14282.410840188013</v>
      </c>
      <c r="H7">
        <f t="shared" si="0"/>
        <v>15690.52188601645</v>
      </c>
      <c r="I7">
        <f t="shared" si="0"/>
        <v>16805.111192714452</v>
      </c>
      <c r="J7">
        <f t="shared" si="0"/>
        <v>17825.495887191537</v>
      </c>
      <c r="K7">
        <f t="shared" si="0"/>
        <v>18798.282461809631</v>
      </c>
      <c r="L7">
        <f t="shared" si="0"/>
        <v>19888.582844594592</v>
      </c>
    </row>
    <row r="8" spans="1:13" x14ac:dyDescent="0.45">
      <c r="B8" t="s">
        <v>6</v>
      </c>
      <c r="D8">
        <f>-7281-SUM(D18:D19)</f>
        <v>-6590</v>
      </c>
      <c r="E8">
        <f>-6819-SUM(E18:E19)</f>
        <v>-6103</v>
      </c>
      <c r="F8">
        <f>-6485-SUM(F18:F19)</f>
        <v>-5758</v>
      </c>
      <c r="G8">
        <f t="shared" ref="G8:L8" si="1">-G41*G7</f>
        <v>-5998.6125528789653</v>
      </c>
      <c r="H8">
        <f t="shared" si="1"/>
        <v>-6590.0191921269088</v>
      </c>
      <c r="I8">
        <f t="shared" si="1"/>
        <v>-7058.1467009400694</v>
      </c>
      <c r="J8">
        <f t="shared" si="1"/>
        <v>-7486.7082726204453</v>
      </c>
      <c r="K8">
        <f t="shared" si="1"/>
        <v>-7895.2786339600443</v>
      </c>
      <c r="L8">
        <f t="shared" si="1"/>
        <v>-8353.2047947297287</v>
      </c>
    </row>
    <row r="9" spans="1:13" s="3" customFormat="1" x14ac:dyDescent="0.45">
      <c r="A9" s="46"/>
      <c r="B9" t="s">
        <v>8</v>
      </c>
      <c r="C9"/>
      <c r="D9">
        <f t="shared" ref="D9:L9" si="2">D7+D8</f>
        <v>9265</v>
      </c>
      <c r="E9">
        <f t="shared" si="2"/>
        <v>8898</v>
      </c>
      <c r="F9">
        <f t="shared" si="2"/>
        <v>7744</v>
      </c>
      <c r="G9">
        <f t="shared" si="2"/>
        <v>8283.7982873090477</v>
      </c>
      <c r="H9">
        <f t="shared" si="2"/>
        <v>9100.5026938895408</v>
      </c>
      <c r="I9">
        <f t="shared" si="2"/>
        <v>9746.9644917743826</v>
      </c>
      <c r="J9">
        <f t="shared" si="2"/>
        <v>10338.787614571091</v>
      </c>
      <c r="K9">
        <f t="shared" si="2"/>
        <v>10903.003827849587</v>
      </c>
      <c r="L9">
        <f t="shared" si="2"/>
        <v>11535.378049864863</v>
      </c>
      <c r="M9"/>
    </row>
    <row r="10" spans="1:13" x14ac:dyDescent="0.45">
      <c r="B10" t="s">
        <v>7</v>
      </c>
      <c r="D10" s="2">
        <f t="shared" ref="D10:L10" si="3">D9/D7</f>
        <v>0.58435824660990221</v>
      </c>
      <c r="E10" s="2">
        <f t="shared" si="3"/>
        <v>0.59316045596960199</v>
      </c>
      <c r="F10" s="2">
        <f t="shared" si="3"/>
        <v>0.57354466005036286</v>
      </c>
      <c r="G10" s="2">
        <f t="shared" si="3"/>
        <v>0.57999999999999996</v>
      </c>
      <c r="H10" s="2">
        <f t="shared" si="3"/>
        <v>0.57999999999999996</v>
      </c>
      <c r="I10" s="2">
        <f t="shared" si="3"/>
        <v>0.58000000000000007</v>
      </c>
      <c r="J10" s="2">
        <f t="shared" si="3"/>
        <v>0.57999999999999996</v>
      </c>
      <c r="K10" s="2">
        <f t="shared" si="3"/>
        <v>0.58000000000000007</v>
      </c>
      <c r="L10" s="2">
        <f t="shared" si="3"/>
        <v>0.57999999999999996</v>
      </c>
    </row>
    <row r="12" spans="1:13" x14ac:dyDescent="0.45">
      <c r="B12" t="s">
        <v>9</v>
      </c>
      <c r="D12" s="56">
        <f>-2774</f>
        <v>-2774</v>
      </c>
      <c r="E12" s="56">
        <v>-2686</v>
      </c>
      <c r="F12" s="56">
        <v>-2833</v>
      </c>
      <c r="G12">
        <f t="shared" ref="G12:L12" si="4">-G42*G7</f>
        <v>-2856.4821680376026</v>
      </c>
      <c r="H12">
        <f t="shared" si="4"/>
        <v>-3138.1043772032899</v>
      </c>
      <c r="I12">
        <f t="shared" si="4"/>
        <v>-3361.0222385428906</v>
      </c>
      <c r="J12">
        <f t="shared" si="4"/>
        <v>-3565.0991774383074</v>
      </c>
      <c r="K12">
        <f t="shared" si="4"/>
        <v>-3759.6564923619262</v>
      </c>
      <c r="L12">
        <f t="shared" si="4"/>
        <v>-3977.7165689189187</v>
      </c>
    </row>
    <row r="13" spans="1:13" x14ac:dyDescent="0.45">
      <c r="B13" t="s">
        <v>64</v>
      </c>
      <c r="D13" s="56">
        <f>-1725</f>
        <v>-1725</v>
      </c>
      <c r="E13" s="56">
        <v>-1580</v>
      </c>
      <c r="F13" s="56">
        <v>-1512</v>
      </c>
      <c r="G13">
        <f t="shared" ref="G13:L13" si="5">-G43*G7</f>
        <v>-1511.240305522914</v>
      </c>
      <c r="H13">
        <f t="shared" si="5"/>
        <v>-1627.2607226792009</v>
      </c>
      <c r="I13">
        <f t="shared" si="5"/>
        <v>-1705.5992949471208</v>
      </c>
      <c r="J13">
        <f t="shared" si="5"/>
        <v>-1835.5024970622794</v>
      </c>
      <c r="K13">
        <f t="shared" si="5"/>
        <v>-1948.5480317273791</v>
      </c>
      <c r="L13">
        <f t="shared" si="5"/>
        <v>-2028.6354501486483</v>
      </c>
    </row>
    <row r="14" spans="1:13" s="3" customFormat="1" x14ac:dyDescent="0.45">
      <c r="A14" s="46"/>
      <c r="B14" t="s">
        <v>10</v>
      </c>
      <c r="C14"/>
      <c r="D14">
        <f t="shared" ref="D14:L14" si="6">D9+D12+D13</f>
        <v>4766</v>
      </c>
      <c r="E14">
        <f t="shared" si="6"/>
        <v>4632</v>
      </c>
      <c r="F14">
        <f t="shared" si="6"/>
        <v>3399</v>
      </c>
      <c r="G14">
        <f t="shared" si="6"/>
        <v>3916.0758137485309</v>
      </c>
      <c r="H14">
        <f t="shared" si="6"/>
        <v>4335.1375940070502</v>
      </c>
      <c r="I14">
        <f t="shared" si="6"/>
        <v>4680.342958284371</v>
      </c>
      <c r="J14">
        <f t="shared" si="6"/>
        <v>4938.1859400705034</v>
      </c>
      <c r="K14">
        <f t="shared" si="6"/>
        <v>5194.799303760281</v>
      </c>
      <c r="L14">
        <f t="shared" si="6"/>
        <v>5529.0260307972958</v>
      </c>
      <c r="M14"/>
    </row>
    <row r="15" spans="1:13" x14ac:dyDescent="0.45">
      <c r="B15" t="s">
        <v>7</v>
      </c>
      <c r="D15" s="2">
        <f t="shared" ref="D15:L15" si="7">D14/D7</f>
        <v>0.30059918006937875</v>
      </c>
      <c r="E15" s="2">
        <f t="shared" si="7"/>
        <v>0.30877941470568626</v>
      </c>
      <c r="F15" s="2">
        <f t="shared" si="7"/>
        <v>0.25174048289142348</v>
      </c>
      <c r="G15" s="2">
        <f t="shared" si="7"/>
        <v>0.2741887106852739</v>
      </c>
      <c r="H15" s="2">
        <f t="shared" si="7"/>
        <v>0.27629021045313784</v>
      </c>
      <c r="I15" s="2">
        <f t="shared" si="7"/>
        <v>0.27850711040302117</v>
      </c>
      <c r="J15" s="2">
        <f t="shared" si="7"/>
        <v>0.27702937249666215</v>
      </c>
      <c r="K15" s="2">
        <f t="shared" si="7"/>
        <v>0.27634435828453868</v>
      </c>
      <c r="L15" s="2">
        <f t="shared" si="7"/>
        <v>0.27799999999999997</v>
      </c>
    </row>
    <row r="16" spans="1:13" x14ac:dyDescent="0.45">
      <c r="B16" t="s">
        <v>11</v>
      </c>
      <c r="F16" s="2">
        <f>F14/E14-1</f>
        <v>-0.26619170984455953</v>
      </c>
      <c r="G16" s="2">
        <f t="shared" ref="G16:L16" si="8">G14/F14-1</f>
        <v>0.15212586459209509</v>
      </c>
      <c r="H16" s="2">
        <f t="shared" si="8"/>
        <v>0.10701064029130403</v>
      </c>
      <c r="I16" s="2">
        <f t="shared" si="8"/>
        <v>7.962962115770833E-2</v>
      </c>
      <c r="J16" s="2">
        <f t="shared" si="8"/>
        <v>5.5090617094574412E-2</v>
      </c>
      <c r="K16" s="2">
        <f t="shared" si="8"/>
        <v>5.1965107592954141E-2</v>
      </c>
      <c r="L16" s="2">
        <f t="shared" si="8"/>
        <v>6.4338717916413657E-2</v>
      </c>
    </row>
    <row r="18" spans="1:13" x14ac:dyDescent="0.45">
      <c r="B18" t="s">
        <v>63</v>
      </c>
      <c r="D18">
        <f>-691-D19</f>
        <v>-555</v>
      </c>
      <c r="E18">
        <f>-716-E19</f>
        <v>-573</v>
      </c>
      <c r="F18">
        <f>-727 -F19</f>
        <v>-611</v>
      </c>
      <c r="G18">
        <f t="shared" ref="G18:L18" si="9">G99</f>
        <v>-642.69877337623166</v>
      </c>
      <c r="H18">
        <f t="shared" si="9"/>
        <v>-677.79569595519592</v>
      </c>
      <c r="I18">
        <f t="shared" si="9"/>
        <v>-719.82584002809335</v>
      </c>
      <c r="J18">
        <f t="shared" si="9"/>
        <v>-765.59326467347637</v>
      </c>
      <c r="K18">
        <f t="shared" si="9"/>
        <v>-813.88646484325682</v>
      </c>
      <c r="L18">
        <f t="shared" si="9"/>
        <v>-864.01499047195978</v>
      </c>
    </row>
    <row r="19" spans="1:13" x14ac:dyDescent="0.45">
      <c r="B19" t="s">
        <v>325</v>
      </c>
      <c r="D19" s="56">
        <v>-136</v>
      </c>
      <c r="E19" s="56">
        <v>-143</v>
      </c>
      <c r="F19" s="56">
        <v>-116</v>
      </c>
      <c r="G19">
        <f t="shared" ref="G19:L19" si="10">-G83</f>
        <v>-116</v>
      </c>
      <c r="H19">
        <f t="shared" si="10"/>
        <v>-116</v>
      </c>
      <c r="I19">
        <f t="shared" si="10"/>
        <v>-116</v>
      </c>
      <c r="J19">
        <f t="shared" si="10"/>
        <v>-116</v>
      </c>
      <c r="K19">
        <f t="shared" si="10"/>
        <v>-116</v>
      </c>
      <c r="L19">
        <f t="shared" si="10"/>
        <v>-116</v>
      </c>
    </row>
    <row r="20" spans="1:13" s="3" customFormat="1" x14ac:dyDescent="0.45">
      <c r="A20" s="46"/>
      <c r="B20" t="s">
        <v>12</v>
      </c>
      <c r="C20"/>
      <c r="D20">
        <f t="shared" ref="D20:L20" si="11">D14+D18+D19</f>
        <v>4075</v>
      </c>
      <c r="E20">
        <f t="shared" si="11"/>
        <v>3916</v>
      </c>
      <c r="F20">
        <f t="shared" si="11"/>
        <v>2672</v>
      </c>
      <c r="G20">
        <f t="shared" si="11"/>
        <v>3157.3770403722992</v>
      </c>
      <c r="H20">
        <f t="shared" si="11"/>
        <v>3541.3418980518545</v>
      </c>
      <c r="I20">
        <f t="shared" si="11"/>
        <v>3844.5171182562776</v>
      </c>
      <c r="J20">
        <f t="shared" si="11"/>
        <v>4056.5926753970271</v>
      </c>
      <c r="K20">
        <f t="shared" si="11"/>
        <v>4264.9128389170237</v>
      </c>
      <c r="L20">
        <f t="shared" si="11"/>
        <v>4549.0110403253357</v>
      </c>
      <c r="M20"/>
    </row>
    <row r="21" spans="1:13" x14ac:dyDescent="0.45">
      <c r="B21" t="s">
        <v>7</v>
      </c>
      <c r="D21" s="2">
        <f t="shared" ref="D21:L21" si="12">D20/D7</f>
        <v>0.25701671397035636</v>
      </c>
      <c r="E21" s="2">
        <f t="shared" si="12"/>
        <v>0.26104926338244117</v>
      </c>
      <c r="F21" s="2">
        <f t="shared" si="12"/>
        <v>0.19789660790993926</v>
      </c>
      <c r="G21" s="2">
        <f t="shared" si="12"/>
        <v>0.22106751274007852</v>
      </c>
      <c r="H21" s="2">
        <f t="shared" si="12"/>
        <v>0.22569943331253589</v>
      </c>
      <c r="I21" s="2">
        <f t="shared" si="12"/>
        <v>0.22877070399409186</v>
      </c>
      <c r="J21" s="2">
        <f t="shared" si="12"/>
        <v>0.22757250070736496</v>
      </c>
      <c r="K21" s="2">
        <f t="shared" si="12"/>
        <v>0.2268777930952772</v>
      </c>
      <c r="L21" s="2">
        <f t="shared" si="12"/>
        <v>0.22872474503942278</v>
      </c>
    </row>
    <row r="23" spans="1:13" x14ac:dyDescent="0.45">
      <c r="B23" t="s">
        <v>68</v>
      </c>
      <c r="D23" s="56">
        <v>0</v>
      </c>
      <c r="E23" s="56">
        <v>-393</v>
      </c>
      <c r="F23" s="56">
        <v>-297</v>
      </c>
      <c r="G23">
        <f>+G44</f>
        <v>0</v>
      </c>
      <c r="H23">
        <f t="shared" ref="H23:J24" si="13">+H44</f>
        <v>0</v>
      </c>
      <c r="I23">
        <f t="shared" si="13"/>
        <v>0</v>
      </c>
      <c r="J23">
        <f t="shared" si="13"/>
        <v>0</v>
      </c>
      <c r="K23">
        <f>+K44</f>
        <v>0</v>
      </c>
      <c r="L23">
        <f>+L44</f>
        <v>0</v>
      </c>
    </row>
    <row r="24" spans="1:13" x14ac:dyDescent="0.45">
      <c r="B24" t="s">
        <v>65</v>
      </c>
      <c r="D24" s="56">
        <v>0</v>
      </c>
      <c r="E24" s="56">
        <v>0</v>
      </c>
      <c r="F24" s="56">
        <v>0</v>
      </c>
      <c r="G24">
        <f>+G45</f>
        <v>0</v>
      </c>
      <c r="H24">
        <f t="shared" si="13"/>
        <v>0</v>
      </c>
      <c r="I24">
        <f t="shared" si="13"/>
        <v>0</v>
      </c>
      <c r="J24">
        <f t="shared" si="13"/>
        <v>0</v>
      </c>
      <c r="K24">
        <f>+K45</f>
        <v>0</v>
      </c>
      <c r="L24">
        <f>+L45</f>
        <v>0</v>
      </c>
    </row>
    <row r="25" spans="1:13" x14ac:dyDescent="0.45">
      <c r="B25" t="s">
        <v>66</v>
      </c>
      <c r="D25" s="56">
        <v>-248</v>
      </c>
      <c r="E25" s="56">
        <v>-433</v>
      </c>
      <c r="F25" s="56">
        <v>-436</v>
      </c>
      <c r="G25">
        <f t="shared" ref="G25:L25" si="14">-IF(circ=1,G92*AVERAGE(F67:G67)+G93*AVERAGE(F63:G63),0)</f>
        <v>0</v>
      </c>
      <c r="H25">
        <f t="shared" si="14"/>
        <v>0</v>
      </c>
      <c r="I25">
        <f t="shared" si="14"/>
        <v>0</v>
      </c>
      <c r="J25">
        <f t="shared" si="14"/>
        <v>0</v>
      </c>
      <c r="K25">
        <f t="shared" si="14"/>
        <v>0</v>
      </c>
      <c r="L25">
        <f t="shared" si="14"/>
        <v>0</v>
      </c>
    </row>
    <row r="26" spans="1:13" x14ac:dyDescent="0.45">
      <c r="B26" t="s">
        <v>67</v>
      </c>
      <c r="D26" s="56">
        <v>102</v>
      </c>
      <c r="E26" s="56">
        <v>105</v>
      </c>
      <c r="F26" s="56">
        <v>74</v>
      </c>
      <c r="G26">
        <f t="shared" ref="G26:L26" si="15">+IF(circ=1,G94*AVERAGE(F53:G53),0)</f>
        <v>0</v>
      </c>
      <c r="H26">
        <f t="shared" si="15"/>
        <v>0</v>
      </c>
      <c r="I26">
        <f t="shared" si="15"/>
        <v>0</v>
      </c>
      <c r="J26">
        <f t="shared" si="15"/>
        <v>0</v>
      </c>
      <c r="K26">
        <f t="shared" si="15"/>
        <v>0</v>
      </c>
      <c r="L26">
        <f t="shared" si="15"/>
        <v>0</v>
      </c>
    </row>
    <row r="27" spans="1:13" x14ac:dyDescent="0.45">
      <c r="B27" t="s">
        <v>69</v>
      </c>
      <c r="D27" s="56">
        <v>-102</v>
      </c>
      <c r="E27" s="56">
        <v>-34</v>
      </c>
      <c r="F27" s="56">
        <v>-22</v>
      </c>
      <c r="G27">
        <f t="shared" ref="G27:L27" si="16">+G47</f>
        <v>0</v>
      </c>
      <c r="H27">
        <f t="shared" si="16"/>
        <v>0</v>
      </c>
      <c r="I27">
        <f t="shared" si="16"/>
        <v>0</v>
      </c>
      <c r="J27">
        <f t="shared" si="16"/>
        <v>0</v>
      </c>
      <c r="K27">
        <f t="shared" si="16"/>
        <v>0</v>
      </c>
      <c r="L27">
        <f t="shared" si="16"/>
        <v>0</v>
      </c>
    </row>
    <row r="28" spans="1:13" s="3" customFormat="1" x14ac:dyDescent="0.45">
      <c r="A28" s="46"/>
      <c r="B28" t="s">
        <v>13</v>
      </c>
      <c r="C28"/>
      <c r="D28">
        <f t="shared" ref="D28:L28" si="17">D20+SUM(D23:D27)</f>
        <v>3827</v>
      </c>
      <c r="E28">
        <f t="shared" si="17"/>
        <v>3161</v>
      </c>
      <c r="F28">
        <f t="shared" si="17"/>
        <v>1991</v>
      </c>
      <c r="G28">
        <f t="shared" si="17"/>
        <v>3157.3770403722992</v>
      </c>
      <c r="H28">
        <f t="shared" si="17"/>
        <v>3541.3418980518545</v>
      </c>
      <c r="I28">
        <f t="shared" si="17"/>
        <v>3844.5171182562776</v>
      </c>
      <c r="J28">
        <f t="shared" si="17"/>
        <v>4056.5926753970271</v>
      </c>
      <c r="K28">
        <f t="shared" si="17"/>
        <v>4264.9128389170237</v>
      </c>
      <c r="L28">
        <f t="shared" si="17"/>
        <v>4549.0110403253357</v>
      </c>
      <c r="M28"/>
    </row>
    <row r="30" spans="1:13" x14ac:dyDescent="0.45">
      <c r="B30" t="s">
        <v>14</v>
      </c>
      <c r="D30" s="56">
        <v>-1078</v>
      </c>
      <c r="E30" s="56">
        <v>-864</v>
      </c>
      <c r="F30" s="56">
        <v>-695</v>
      </c>
      <c r="G30">
        <f t="shared" ref="G30:L30" si="18">-G46*G28</f>
        <v>-1105.0819641303046</v>
      </c>
      <c r="H30">
        <f t="shared" si="18"/>
        <v>-1239.4696643181489</v>
      </c>
      <c r="I30">
        <f t="shared" si="18"/>
        <v>-1345.5809913896971</v>
      </c>
      <c r="J30">
        <f t="shared" si="18"/>
        <v>-1419.8074363889593</v>
      </c>
      <c r="K30">
        <f t="shared" si="18"/>
        <v>-1492.7194936209582</v>
      </c>
      <c r="L30">
        <f t="shared" si="18"/>
        <v>-1592.1538641138675</v>
      </c>
    </row>
    <row r="31" spans="1:13" s="3" customFormat="1" x14ac:dyDescent="0.45">
      <c r="A31" s="46"/>
      <c r="B31" t="s">
        <v>15</v>
      </c>
      <c r="C31"/>
      <c r="D31">
        <f t="shared" ref="D31:L31" si="19">D28+D30</f>
        <v>2749</v>
      </c>
      <c r="E31">
        <f t="shared" si="19"/>
        <v>2297</v>
      </c>
      <c r="F31">
        <f t="shared" si="19"/>
        <v>1296</v>
      </c>
      <c r="G31">
        <f t="shared" si="19"/>
        <v>2052.2950762419946</v>
      </c>
      <c r="H31">
        <f t="shared" si="19"/>
        <v>2301.8722337337058</v>
      </c>
      <c r="I31">
        <f t="shared" si="19"/>
        <v>2498.9361268665807</v>
      </c>
      <c r="J31">
        <f t="shared" si="19"/>
        <v>2636.7852390080679</v>
      </c>
      <c r="K31">
        <f t="shared" si="19"/>
        <v>2772.1933452960657</v>
      </c>
      <c r="L31">
        <f t="shared" si="19"/>
        <v>2956.857176211468</v>
      </c>
      <c r="M31"/>
    </row>
    <row r="32" spans="1:13" x14ac:dyDescent="0.45">
      <c r="B32" t="s">
        <v>23</v>
      </c>
      <c r="D32" s="56">
        <v>22</v>
      </c>
      <c r="E32" s="56">
        <v>11</v>
      </c>
      <c r="F32" s="56">
        <v>-23</v>
      </c>
      <c r="G32">
        <f t="shared" ref="G32:L32" si="20">+G48</f>
        <v>0</v>
      </c>
      <c r="H32">
        <f t="shared" si="20"/>
        <v>0</v>
      </c>
      <c r="I32">
        <f t="shared" si="20"/>
        <v>0</v>
      </c>
      <c r="J32">
        <f t="shared" si="20"/>
        <v>0</v>
      </c>
      <c r="K32">
        <f t="shared" si="20"/>
        <v>0</v>
      </c>
      <c r="L32">
        <f t="shared" si="20"/>
        <v>0</v>
      </c>
    </row>
    <row r="33" spans="1:13" x14ac:dyDescent="0.45">
      <c r="B33" t="s">
        <v>327</v>
      </c>
      <c r="D33">
        <f t="shared" ref="D33:L33" si="21">D31-D32</f>
        <v>2727</v>
      </c>
      <c r="E33">
        <f t="shared" si="21"/>
        <v>2286</v>
      </c>
      <c r="F33">
        <f t="shared" si="21"/>
        <v>1319</v>
      </c>
      <c r="G33">
        <f t="shared" si="21"/>
        <v>2052.2950762419946</v>
      </c>
      <c r="H33">
        <f t="shared" si="21"/>
        <v>2301.8722337337058</v>
      </c>
      <c r="I33">
        <f t="shared" si="21"/>
        <v>2498.9361268665807</v>
      </c>
      <c r="J33">
        <f t="shared" si="21"/>
        <v>2636.7852390080679</v>
      </c>
      <c r="K33">
        <f t="shared" si="21"/>
        <v>2772.1933452960657</v>
      </c>
      <c r="L33">
        <f t="shared" si="21"/>
        <v>2956.857176211468</v>
      </c>
    </row>
    <row r="34" spans="1:13" s="3" customFormat="1" x14ac:dyDescent="0.45">
      <c r="A34" s="46"/>
      <c r="B34" t="s">
        <v>342</v>
      </c>
      <c r="C34"/>
      <c r="D34">
        <f t="shared" ref="D34:L34" si="22">D33-D23*(1-D46)</f>
        <v>2727</v>
      </c>
      <c r="E34">
        <f t="shared" si="22"/>
        <v>2571.5808288516291</v>
      </c>
      <c r="F34">
        <f t="shared" si="22"/>
        <v>1512.3259668508288</v>
      </c>
      <c r="G34">
        <f t="shared" si="22"/>
        <v>2052.2950762419946</v>
      </c>
      <c r="H34">
        <f t="shared" si="22"/>
        <v>2301.8722337337058</v>
      </c>
      <c r="I34">
        <f t="shared" si="22"/>
        <v>2498.9361268665807</v>
      </c>
      <c r="J34">
        <f t="shared" si="22"/>
        <v>2636.7852390080679</v>
      </c>
      <c r="K34">
        <f t="shared" si="22"/>
        <v>2772.1933452960657</v>
      </c>
      <c r="L34">
        <f t="shared" si="22"/>
        <v>2956.857176211468</v>
      </c>
      <c r="M34"/>
    </row>
    <row r="35" spans="1:13" x14ac:dyDescent="0.45">
      <c r="B35" t="s">
        <v>321</v>
      </c>
      <c r="D35" s="56">
        <v>524.9</v>
      </c>
      <c r="E35" s="56">
        <v>481.4</v>
      </c>
      <c r="F35" s="56">
        <v>447.1</v>
      </c>
      <c r="G35">
        <f t="shared" ref="G35:L35" si="23">++G49</f>
        <v>447.1</v>
      </c>
      <c r="H35">
        <f t="shared" si="23"/>
        <v>447.1</v>
      </c>
      <c r="I35">
        <f t="shared" si="23"/>
        <v>447.1</v>
      </c>
      <c r="J35">
        <f t="shared" si="23"/>
        <v>447.1</v>
      </c>
      <c r="K35">
        <f t="shared" si="23"/>
        <v>447.1</v>
      </c>
      <c r="L35">
        <f t="shared" si="23"/>
        <v>447.1</v>
      </c>
    </row>
    <row r="36" spans="1:13" x14ac:dyDescent="0.45">
      <c r="B36" t="s">
        <v>322</v>
      </c>
      <c r="D36">
        <f t="shared" ref="D36:L36" si="24">D31/D35</f>
        <v>5.2371880358163461</v>
      </c>
      <c r="E36">
        <f t="shared" si="24"/>
        <v>4.7714997922725386</v>
      </c>
      <c r="F36">
        <f t="shared" si="24"/>
        <v>2.8986803847014091</v>
      </c>
      <c r="G36">
        <f t="shared" si="24"/>
        <v>4.5902372539521235</v>
      </c>
      <c r="H36">
        <f t="shared" si="24"/>
        <v>5.1484505339604238</v>
      </c>
      <c r="I36">
        <f t="shared" si="24"/>
        <v>5.5892107512113185</v>
      </c>
      <c r="J36">
        <f t="shared" si="24"/>
        <v>5.8975290516843391</v>
      </c>
      <c r="K36">
        <f t="shared" si="24"/>
        <v>6.200387710346825</v>
      </c>
      <c r="L36">
        <f t="shared" si="24"/>
        <v>6.6134135008084716</v>
      </c>
    </row>
    <row r="37" spans="1:13" x14ac:dyDescent="0.45">
      <c r="B37" t="s">
        <v>28</v>
      </c>
      <c r="D37" s="56">
        <v>904</v>
      </c>
      <c r="E37" s="56">
        <v>938</v>
      </c>
      <c r="F37" s="56">
        <v>964</v>
      </c>
      <c r="G37">
        <f t="shared" ref="G37:L37" si="25">+G50*G34</f>
        <v>1026.1475381209973</v>
      </c>
      <c r="H37">
        <f t="shared" si="25"/>
        <v>1150.9361168668529</v>
      </c>
      <c r="I37">
        <f t="shared" si="25"/>
        <v>1249.4680634332904</v>
      </c>
      <c r="J37">
        <f t="shared" si="25"/>
        <v>1318.392619504034</v>
      </c>
      <c r="K37">
        <f t="shared" si="25"/>
        <v>1386.0966726480328</v>
      </c>
      <c r="L37">
        <f t="shared" si="25"/>
        <v>1478.428588105734</v>
      </c>
    </row>
    <row r="39" spans="1:13" x14ac:dyDescent="0.45">
      <c r="A39" s="46" t="s">
        <v>60</v>
      </c>
    </row>
    <row r="40" spans="1:13" s="1" customFormat="1" x14ac:dyDescent="0.45">
      <c r="A40" s="46"/>
      <c r="B40" t="s">
        <v>328</v>
      </c>
      <c r="C40"/>
      <c r="D40"/>
      <c r="E40" s="2">
        <f>+E7/D7-1</f>
        <v>-5.3863134657836653E-2</v>
      </c>
      <c r="F40" s="2">
        <f>+F7/E7-1</f>
        <v>-9.9926671555229607E-2</v>
      </c>
      <c r="G40" s="62">
        <v>5.7799647473560478E-2</v>
      </c>
      <c r="H40" s="62">
        <v>9.8590571408734284E-2</v>
      </c>
      <c r="I40" s="62">
        <v>7.1035833912658886E-2</v>
      </c>
      <c r="J40" s="62">
        <v>6.0718711276332105E-2</v>
      </c>
      <c r="K40" s="62">
        <v>5.457276368491315E-2</v>
      </c>
      <c r="L40" s="62">
        <v>5.8000000000000003E-2</v>
      </c>
      <c r="M40"/>
    </row>
    <row r="41" spans="1:13" s="1" customFormat="1" x14ac:dyDescent="0.45">
      <c r="A41" s="46"/>
      <c r="B41" t="s">
        <v>61</v>
      </c>
      <c r="C41"/>
      <c r="D41" s="2">
        <f>+-D8/D7</f>
        <v>0.41564175339009773</v>
      </c>
      <c r="E41" s="2">
        <f>+-E8/E7</f>
        <v>0.40683954403039796</v>
      </c>
      <c r="F41" s="2">
        <f>+-F8/F7</f>
        <v>0.42645533994963708</v>
      </c>
      <c r="G41" s="62">
        <v>0.42</v>
      </c>
      <c r="H41" s="62">
        <v>0.42</v>
      </c>
      <c r="I41" s="62">
        <v>0.42</v>
      </c>
      <c r="J41" s="62">
        <v>0.42</v>
      </c>
      <c r="K41" s="62">
        <v>0.42</v>
      </c>
      <c r="L41" s="62">
        <v>0.42</v>
      </c>
      <c r="M41"/>
    </row>
    <row r="42" spans="1:13" s="1" customFormat="1" x14ac:dyDescent="0.45">
      <c r="A42" s="46"/>
      <c r="B42" t="s">
        <v>62</v>
      </c>
      <c r="C42"/>
      <c r="D42" s="2">
        <f>D12/D7*-1</f>
        <v>0.17496058025859351</v>
      </c>
      <c r="E42" s="2">
        <f>E12/E7*-1</f>
        <v>0.17905472968468769</v>
      </c>
      <c r="F42" s="2">
        <f>F12/F7*-1</f>
        <v>0.20982076729373425</v>
      </c>
      <c r="G42" s="62">
        <v>0.2</v>
      </c>
      <c r="H42" s="62">
        <v>0.2</v>
      </c>
      <c r="I42" s="62">
        <v>0.2</v>
      </c>
      <c r="J42" s="62">
        <v>0.2</v>
      </c>
      <c r="K42" s="62">
        <v>0.2</v>
      </c>
      <c r="L42" s="62">
        <v>0.2</v>
      </c>
      <c r="M42"/>
    </row>
    <row r="43" spans="1:13" s="1" customFormat="1" x14ac:dyDescent="0.45">
      <c r="A43" s="46"/>
      <c r="B43" t="s">
        <v>72</v>
      </c>
      <c r="C43"/>
      <c r="D43" s="2">
        <f>-D13/D7</f>
        <v>0.10879848628192999</v>
      </c>
      <c r="E43" s="2">
        <f>-E13/E7</f>
        <v>0.10532631157922805</v>
      </c>
      <c r="F43" s="2">
        <f>-F13/F7</f>
        <v>0.11198340986520515</v>
      </c>
      <c r="G43" s="62">
        <v>0.1058112893147261</v>
      </c>
      <c r="H43" s="62">
        <v>0.10370978954686216</v>
      </c>
      <c r="I43" s="62">
        <v>0.10149288959697882</v>
      </c>
      <c r="J43" s="62">
        <v>0.10297062750333778</v>
      </c>
      <c r="K43" s="62">
        <v>0.10365564171546131</v>
      </c>
      <c r="L43" s="62">
        <v>0.10199999999999999</v>
      </c>
      <c r="M43"/>
    </row>
    <row r="44" spans="1:13" s="1" customFormat="1" x14ac:dyDescent="0.45">
      <c r="A44" s="46"/>
      <c r="B44" t="s">
        <v>68</v>
      </c>
      <c r="C44"/>
      <c r="D44">
        <f t="shared" ref="D44:F45" si="26">D23</f>
        <v>0</v>
      </c>
      <c r="E44">
        <f t="shared" si="26"/>
        <v>-393</v>
      </c>
      <c r="F44">
        <f t="shared" si="26"/>
        <v>-297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/>
    </row>
    <row r="45" spans="1:13" s="1" customFormat="1" x14ac:dyDescent="0.45">
      <c r="A45" s="46"/>
      <c r="B45" t="s">
        <v>65</v>
      </c>
      <c r="C45"/>
      <c r="D45">
        <f t="shared" si="26"/>
        <v>0</v>
      </c>
      <c r="E45">
        <f t="shared" si="26"/>
        <v>0</v>
      </c>
      <c r="F45">
        <f t="shared" si="26"/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/>
    </row>
    <row r="46" spans="1:13" s="1" customFormat="1" x14ac:dyDescent="0.45">
      <c r="A46" s="46"/>
      <c r="B46" t="s">
        <v>71</v>
      </c>
      <c r="C46"/>
      <c r="D46" s="2">
        <f>D30/D28*-1</f>
        <v>0.28168278024562321</v>
      </c>
      <c r="E46" s="2">
        <f>E30/E28*-1</f>
        <v>0.27333122429610884</v>
      </c>
      <c r="F46" s="2">
        <f>F30/F28*-1</f>
        <v>0.34907081868407835</v>
      </c>
      <c r="G46" s="59">
        <v>0.35</v>
      </c>
      <c r="H46" s="59">
        <v>0.35</v>
      </c>
      <c r="I46" s="59">
        <v>0.35</v>
      </c>
      <c r="J46" s="59">
        <v>0.35</v>
      </c>
      <c r="K46" s="59">
        <v>0.35</v>
      </c>
      <c r="L46" s="59">
        <v>0.35</v>
      </c>
      <c r="M46"/>
    </row>
    <row r="47" spans="1:13" x14ac:dyDescent="0.45">
      <c r="B47" t="s">
        <v>69</v>
      </c>
      <c r="D47">
        <f>+D27</f>
        <v>-102</v>
      </c>
      <c r="E47">
        <f>+E27</f>
        <v>-34</v>
      </c>
      <c r="F47">
        <f>+F27</f>
        <v>-22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</row>
    <row r="48" spans="1:13" x14ac:dyDescent="0.45">
      <c r="B48" t="s">
        <v>23</v>
      </c>
      <c r="D48">
        <f>+D32</f>
        <v>22</v>
      </c>
      <c r="E48">
        <f>+E32</f>
        <v>11</v>
      </c>
      <c r="F48">
        <f>+F32</f>
        <v>-23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</row>
    <row r="49" spans="1:13" x14ac:dyDescent="0.45">
      <c r="B49" t="s">
        <v>321</v>
      </c>
      <c r="D49">
        <f>+D35</f>
        <v>524.9</v>
      </c>
      <c r="E49">
        <f>+E35</f>
        <v>481.4</v>
      </c>
      <c r="F49">
        <f>+F35</f>
        <v>447.1</v>
      </c>
      <c r="G49" s="58">
        <f t="shared" ref="G49:L49" si="27">+F49</f>
        <v>447.1</v>
      </c>
      <c r="H49" s="58">
        <f t="shared" si="27"/>
        <v>447.1</v>
      </c>
      <c r="I49" s="58">
        <f t="shared" si="27"/>
        <v>447.1</v>
      </c>
      <c r="J49" s="58">
        <f t="shared" si="27"/>
        <v>447.1</v>
      </c>
      <c r="K49" s="58">
        <f t="shared" si="27"/>
        <v>447.1</v>
      </c>
      <c r="L49" s="58">
        <f t="shared" si="27"/>
        <v>447.1</v>
      </c>
    </row>
    <row r="50" spans="1:13" x14ac:dyDescent="0.45">
      <c r="B50" t="s">
        <v>25</v>
      </c>
      <c r="D50" s="2">
        <f>+D37/D34</f>
        <v>0.3314998166483315</v>
      </c>
      <c r="E50" s="2">
        <f>+E37/E34</f>
        <v>0.36475618011932193</v>
      </c>
      <c r="F50" s="2">
        <f>+F37/F34</f>
        <v>0.63742871651365751</v>
      </c>
      <c r="G50" s="62">
        <v>0.5</v>
      </c>
      <c r="H50" s="62">
        <v>0.5</v>
      </c>
      <c r="I50" s="62">
        <v>0.5</v>
      </c>
      <c r="J50" s="62">
        <v>0.5</v>
      </c>
      <c r="K50" s="62">
        <v>0.5</v>
      </c>
      <c r="L50" s="62">
        <v>0.5</v>
      </c>
    </row>
    <row r="52" spans="1:13" x14ac:dyDescent="0.45">
      <c r="A52" s="46" t="str">
        <f>"Balance sheet in "&amp;C3</f>
        <v>Balance sheet in USD</v>
      </c>
    </row>
    <row r="53" spans="1:13" x14ac:dyDescent="0.45">
      <c r="B53" t="s">
        <v>18</v>
      </c>
      <c r="D53">
        <f>2367
+40</f>
        <v>2407</v>
      </c>
      <c r="E53">
        <f>3701
+47</f>
        <v>3748</v>
      </c>
      <c r="F53">
        <f>1676+60</f>
        <v>1736</v>
      </c>
      <c r="G53">
        <f t="shared" ref="G53:L53" si="28">+MAX(G129,0)</f>
        <v>1026.8677557771264</v>
      </c>
      <c r="H53">
        <f t="shared" si="28"/>
        <v>1292.626773650042</v>
      </c>
      <c r="I53">
        <f t="shared" si="28"/>
        <v>1739.2335956902941</v>
      </c>
      <c r="J53">
        <f t="shared" si="28"/>
        <v>2240.2943249070813</v>
      </c>
      <c r="K53">
        <f t="shared" si="28"/>
        <v>2796.1861560545049</v>
      </c>
      <c r="L53">
        <f t="shared" si="28"/>
        <v>3418.5707358667023</v>
      </c>
    </row>
    <row r="54" spans="1:13" x14ac:dyDescent="0.45">
      <c r="B54" t="s">
        <v>73</v>
      </c>
      <c r="D54" s="56">
        <v>3597</v>
      </c>
      <c r="E54" s="56">
        <v>3496</v>
      </c>
      <c r="F54" s="56">
        <v>3241</v>
      </c>
      <c r="G54">
        <f t="shared" ref="G54:L54" si="29">+G78*-G8/365</f>
        <v>3369.0837625758568</v>
      </c>
      <c r="H54">
        <f t="shared" si="29"/>
        <v>3701.2436558520994</v>
      </c>
      <c r="I54">
        <f t="shared" si="29"/>
        <v>3964.1645854594913</v>
      </c>
      <c r="J54">
        <f t="shared" si="29"/>
        <v>4204.863550375866</v>
      </c>
      <c r="K54">
        <f t="shared" si="29"/>
        <v>4434.3345752378336</v>
      </c>
      <c r="L54">
        <f t="shared" si="29"/>
        <v>4691.5259806016284</v>
      </c>
    </row>
    <row r="55" spans="1:13" x14ac:dyDescent="0.45">
      <c r="B55" t="s">
        <v>74</v>
      </c>
      <c r="D55" s="56">
        <v>2014</v>
      </c>
      <c r="E55" s="56">
        <v>1636</v>
      </c>
      <c r="F55" s="56">
        <v>1926</v>
      </c>
      <c r="G55">
        <f t="shared" ref="G55:L55" si="30">+G79*G7/365</f>
        <v>1956.4946356421935</v>
      </c>
      <c r="H55">
        <f t="shared" si="30"/>
        <v>2149.3865597282806</v>
      </c>
      <c r="I55">
        <f t="shared" si="30"/>
        <v>2302.0700263992399</v>
      </c>
      <c r="J55">
        <f t="shared" si="30"/>
        <v>2441.8487516700739</v>
      </c>
      <c r="K55">
        <f t="shared" si="30"/>
        <v>2575.1071865492645</v>
      </c>
      <c r="L55">
        <f t="shared" si="30"/>
        <v>2724.4634033691223</v>
      </c>
    </row>
    <row r="56" spans="1:13" x14ac:dyDescent="0.45">
      <c r="B56" t="s">
        <v>356</v>
      </c>
      <c r="D56">
        <f>9675
-SUM(D53:D55)</f>
        <v>1657</v>
      </c>
      <c r="E56">
        <f>10625
-SUM(E53:E55)</f>
        <v>1745</v>
      </c>
      <c r="F56">
        <f>8157-SUM(F53:F55)</f>
        <v>1254</v>
      </c>
      <c r="G56">
        <f t="shared" ref="G56:L56" si="31">+G80*G7</f>
        <v>1356.8290298178613</v>
      </c>
      <c r="H56">
        <f t="shared" si="31"/>
        <v>1490.5995791715627</v>
      </c>
      <c r="I56">
        <f t="shared" si="31"/>
        <v>1596.485563307873</v>
      </c>
      <c r="J56">
        <f t="shared" si="31"/>
        <v>1693.4221092831961</v>
      </c>
      <c r="K56">
        <f t="shared" si="31"/>
        <v>1785.8368338719149</v>
      </c>
      <c r="L56">
        <f t="shared" si="31"/>
        <v>1889.4153702364863</v>
      </c>
    </row>
    <row r="57" spans="1:13" x14ac:dyDescent="0.45">
      <c r="B57" t="s">
        <v>19</v>
      </c>
      <c r="D57" s="56">
        <v>5082</v>
      </c>
      <c r="E57" s="56">
        <v>4973</v>
      </c>
      <c r="F57" s="56">
        <v>5231</v>
      </c>
      <c r="G57">
        <f t="shared" ref="G57:L57" si="32">+G100</f>
        <v>5516.6579312359891</v>
      </c>
      <c r="H57">
        <f t="shared" si="32"/>
        <v>5858.746157871863</v>
      </c>
      <c r="I57">
        <f t="shared" si="32"/>
        <v>6231.2525453702092</v>
      </c>
      <c r="J57">
        <f t="shared" si="32"/>
        <v>6624.3165133641833</v>
      </c>
      <c r="K57">
        <f t="shared" si="32"/>
        <v>7032.3184085385528</v>
      </c>
      <c r="L57">
        <f t="shared" si="32"/>
        <v>7461.0613029652413</v>
      </c>
    </row>
    <row r="58" spans="1:13" x14ac:dyDescent="0.45">
      <c r="B58" t="s">
        <v>20</v>
      </c>
      <c r="D58" s="56">
        <v>4319</v>
      </c>
      <c r="E58" s="56">
        <v>4061</v>
      </c>
      <c r="F58" s="56">
        <v>4020</v>
      </c>
      <c r="G58">
        <f t="shared" ref="G58:L58" si="33">F58</f>
        <v>4020</v>
      </c>
      <c r="H58">
        <f t="shared" si="33"/>
        <v>4020</v>
      </c>
      <c r="I58">
        <f t="shared" si="33"/>
        <v>4020</v>
      </c>
      <c r="J58">
        <f t="shared" si="33"/>
        <v>4020</v>
      </c>
      <c r="K58">
        <f t="shared" si="33"/>
        <v>4020</v>
      </c>
      <c r="L58">
        <f t="shared" si="33"/>
        <v>4020</v>
      </c>
    </row>
    <row r="59" spans="1:13" x14ac:dyDescent="0.45">
      <c r="B59" t="s">
        <v>21</v>
      </c>
      <c r="D59" s="56">
        <v>1554</v>
      </c>
      <c r="E59" s="56">
        <v>1332</v>
      </c>
      <c r="F59" s="56">
        <v>1125</v>
      </c>
      <c r="G59">
        <f t="shared" ref="G59:L59" si="34">+F59-G83</f>
        <v>1009</v>
      </c>
      <c r="H59">
        <f t="shared" si="34"/>
        <v>893</v>
      </c>
      <c r="I59">
        <f t="shared" si="34"/>
        <v>777</v>
      </c>
      <c r="J59">
        <f t="shared" si="34"/>
        <v>661</v>
      </c>
      <c r="K59">
        <f t="shared" si="34"/>
        <v>545</v>
      </c>
      <c r="L59">
        <f t="shared" si="34"/>
        <v>429</v>
      </c>
    </row>
    <row r="60" spans="1:13" x14ac:dyDescent="0.45">
      <c r="B60" t="s">
        <v>357</v>
      </c>
      <c r="D60">
        <f>450+92+746</f>
        <v>1288</v>
      </c>
      <c r="E60">
        <f>277+42+610</f>
        <v>929</v>
      </c>
      <c r="F60">
        <f>613+101+489</f>
        <v>1203</v>
      </c>
      <c r="G60">
        <f t="shared" ref="G60:L60" si="35">+G84</f>
        <v>1203</v>
      </c>
      <c r="H60">
        <f t="shared" si="35"/>
        <v>1203</v>
      </c>
      <c r="I60">
        <f t="shared" si="35"/>
        <v>1203</v>
      </c>
      <c r="J60">
        <f t="shared" si="35"/>
        <v>1203</v>
      </c>
      <c r="K60">
        <f t="shared" si="35"/>
        <v>1203</v>
      </c>
      <c r="L60">
        <f t="shared" si="35"/>
        <v>1203</v>
      </c>
    </row>
    <row r="61" spans="1:13" s="3" customFormat="1" x14ac:dyDescent="0.45">
      <c r="A61" s="46"/>
      <c r="B61" t="s">
        <v>22</v>
      </c>
      <c r="C61"/>
      <c r="D61">
        <f t="shared" ref="D61:L61" si="36">SUM(D53:D60)</f>
        <v>21918</v>
      </c>
      <c r="E61">
        <f t="shared" si="36"/>
        <v>21920</v>
      </c>
      <c r="F61">
        <f t="shared" si="36"/>
        <v>19736</v>
      </c>
      <c r="G61">
        <f t="shared" si="36"/>
        <v>19457.933115049025</v>
      </c>
      <c r="H61">
        <f t="shared" si="36"/>
        <v>20608.60272627385</v>
      </c>
      <c r="I61">
        <f t="shared" si="36"/>
        <v>21833.206316227108</v>
      </c>
      <c r="J61">
        <f t="shared" si="36"/>
        <v>23088.745249600401</v>
      </c>
      <c r="K61">
        <f t="shared" si="36"/>
        <v>24391.783160252071</v>
      </c>
      <c r="L61">
        <f t="shared" si="36"/>
        <v>25837.03679303918</v>
      </c>
      <c r="M61"/>
    </row>
    <row r="63" spans="1:13" x14ac:dyDescent="0.45">
      <c r="B63" t="s">
        <v>358</v>
      </c>
      <c r="D63" s="56">
        <v>233</v>
      </c>
      <c r="E63" s="56">
        <v>615</v>
      </c>
      <c r="F63" s="56">
        <v>1587</v>
      </c>
      <c r="G63">
        <f t="shared" ref="G63:L63" si="37">-MIN(G129,0)</f>
        <v>0</v>
      </c>
      <c r="H63">
        <f t="shared" si="37"/>
        <v>0</v>
      </c>
      <c r="I63">
        <f t="shared" si="37"/>
        <v>0</v>
      </c>
      <c r="J63">
        <f t="shared" si="37"/>
        <v>0</v>
      </c>
      <c r="K63">
        <f t="shared" si="37"/>
        <v>0</v>
      </c>
      <c r="L63">
        <f t="shared" si="37"/>
        <v>0</v>
      </c>
    </row>
    <row r="64" spans="1:13" x14ac:dyDescent="0.45">
      <c r="B64" t="s">
        <v>77</v>
      </c>
      <c r="D64" s="56">
        <v>1111</v>
      </c>
      <c r="E64" s="56">
        <v>836</v>
      </c>
      <c r="F64" s="56">
        <v>1006</v>
      </c>
      <c r="G64">
        <f t="shared" ref="G64:L64" si="38">+G85*-G8/365</f>
        <v>1035.3769611818489</v>
      </c>
      <c r="H64">
        <f t="shared" si="38"/>
        <v>1137.455367408206</v>
      </c>
      <c r="I64">
        <f t="shared" si="38"/>
        <v>1218.2554579704777</v>
      </c>
      <c r="J64">
        <f t="shared" si="38"/>
        <v>1292.2263593838029</v>
      </c>
      <c r="K64">
        <f t="shared" si="38"/>
        <v>1362.7467231218707</v>
      </c>
      <c r="L64">
        <f t="shared" si="38"/>
        <v>1441.7860330629396</v>
      </c>
    </row>
    <row r="65" spans="1:13" x14ac:dyDescent="0.45">
      <c r="B65" t="s">
        <v>78</v>
      </c>
      <c r="D65">
        <f>5112-SUM(D63:D64,D66)</f>
        <v>2806</v>
      </c>
      <c r="E65">
        <f>5177
-SUM(E63:E64,E66)</f>
        <v>2935</v>
      </c>
      <c r="F65">
        <f>6729-F63-F64-F66</f>
        <v>3132</v>
      </c>
      <c r="G65">
        <f t="shared" ref="G65:L65" si="39">+G86*G7</f>
        <v>3284.9544932432432</v>
      </c>
      <c r="H65">
        <f t="shared" si="39"/>
        <v>3608.8200337837834</v>
      </c>
      <c r="I65">
        <f t="shared" si="39"/>
        <v>3865.1755743243243</v>
      </c>
      <c r="J65">
        <f t="shared" si="39"/>
        <v>4099.8640540540537</v>
      </c>
      <c r="K65">
        <f t="shared" si="39"/>
        <v>4323.604966216215</v>
      </c>
      <c r="L65">
        <f t="shared" si="39"/>
        <v>4574.3740542567566</v>
      </c>
    </row>
    <row r="66" spans="1:13" x14ac:dyDescent="0.45">
      <c r="B66" t="s">
        <v>359</v>
      </c>
      <c r="D66" s="56">
        <v>962</v>
      </c>
      <c r="E66" s="56">
        <v>791</v>
      </c>
      <c r="F66" s="56">
        <v>1004</v>
      </c>
      <c r="G66">
        <f t="shared" ref="G66:L66" si="40">+G87*G7</f>
        <v>999.76875881316096</v>
      </c>
      <c r="H66">
        <f t="shared" si="40"/>
        <v>1098.3365320211515</v>
      </c>
      <c r="I66">
        <f t="shared" si="40"/>
        <v>1176.3577834900118</v>
      </c>
      <c r="J66">
        <f t="shared" si="40"/>
        <v>1247.7847121034076</v>
      </c>
      <c r="K66">
        <f t="shared" si="40"/>
        <v>1315.8797723266744</v>
      </c>
      <c r="L66">
        <f t="shared" si="40"/>
        <v>1392.2007991216215</v>
      </c>
    </row>
    <row r="67" spans="1:13" x14ac:dyDescent="0.45">
      <c r="B67" t="s">
        <v>351</v>
      </c>
      <c r="D67" s="56">
        <v>7465</v>
      </c>
      <c r="E67" s="56">
        <v>8429</v>
      </c>
      <c r="F67" s="56">
        <v>7453</v>
      </c>
      <c r="G67">
        <f t="shared" ref="G67:L67" si="41">+F67-G88</f>
        <v>7453</v>
      </c>
      <c r="H67">
        <f t="shared" si="41"/>
        <v>6855</v>
      </c>
      <c r="I67">
        <f t="shared" si="41"/>
        <v>6357</v>
      </c>
      <c r="J67">
        <f t="shared" si="41"/>
        <v>5861</v>
      </c>
      <c r="K67">
        <f t="shared" si="41"/>
        <v>5365</v>
      </c>
      <c r="L67">
        <f t="shared" si="41"/>
        <v>4869</v>
      </c>
    </row>
    <row r="68" spans="1:13" x14ac:dyDescent="0.45">
      <c r="B68" t="s">
        <v>76</v>
      </c>
      <c r="D68" s="56">
        <v>509</v>
      </c>
      <c r="E68" s="56">
        <v>340</v>
      </c>
      <c r="F68" s="56">
        <v>68</v>
      </c>
      <c r="G68">
        <f t="shared" ref="G68:L68" si="42">+G89*G7</f>
        <v>142.82410840188012</v>
      </c>
      <c r="H68">
        <f t="shared" si="42"/>
        <v>156.9052188601645</v>
      </c>
      <c r="I68">
        <f t="shared" si="42"/>
        <v>168.05111192714452</v>
      </c>
      <c r="J68">
        <f t="shared" si="42"/>
        <v>178.25495887191536</v>
      </c>
      <c r="K68">
        <f t="shared" si="42"/>
        <v>187.98282461809632</v>
      </c>
      <c r="L68">
        <f t="shared" si="42"/>
        <v>198.88582844594592</v>
      </c>
    </row>
    <row r="69" spans="1:13" x14ac:dyDescent="0.45">
      <c r="B69" t="s">
        <v>79</v>
      </c>
      <c r="D69" s="56">
        <v>345</v>
      </c>
      <c r="E69" s="56">
        <v>336</v>
      </c>
      <c r="F69" s="56">
        <v>371</v>
      </c>
      <c r="G69">
        <f t="shared" ref="G69:L69" si="43">+G90</f>
        <v>371</v>
      </c>
      <c r="H69">
        <f t="shared" si="43"/>
        <v>371</v>
      </c>
      <c r="I69">
        <f t="shared" si="43"/>
        <v>371</v>
      </c>
      <c r="J69">
        <f t="shared" si="43"/>
        <v>371</v>
      </c>
      <c r="K69">
        <f t="shared" si="43"/>
        <v>371</v>
      </c>
      <c r="L69">
        <f t="shared" si="43"/>
        <v>371</v>
      </c>
    </row>
    <row r="70" spans="1:13" x14ac:dyDescent="0.45">
      <c r="B70" t="s">
        <v>360</v>
      </c>
      <c r="D70">
        <f>47+184+342</f>
        <v>573</v>
      </c>
      <c r="E70">
        <f>47+194+47+345</f>
        <v>633</v>
      </c>
      <c r="F70">
        <f>35+200+17+318</f>
        <v>570</v>
      </c>
      <c r="G70">
        <f t="shared" ref="G70:L70" si="44">+G91*G7</f>
        <v>599.8612552878966</v>
      </c>
      <c r="H70">
        <f t="shared" si="44"/>
        <v>659.00191921269095</v>
      </c>
      <c r="I70">
        <f t="shared" si="44"/>
        <v>705.81467009400706</v>
      </c>
      <c r="J70">
        <f t="shared" si="44"/>
        <v>748.67082726204455</v>
      </c>
      <c r="K70">
        <f t="shared" si="44"/>
        <v>789.52786339600459</v>
      </c>
      <c r="L70">
        <f t="shared" si="44"/>
        <v>835.32047947297292</v>
      </c>
    </row>
    <row r="71" spans="1:13" x14ac:dyDescent="0.45">
      <c r="B71" t="s">
        <v>23</v>
      </c>
      <c r="D71" s="56">
        <v>39</v>
      </c>
      <c r="E71" s="56">
        <v>15</v>
      </c>
      <c r="F71" s="56">
        <v>11</v>
      </c>
      <c r="G71">
        <f t="shared" ref="G71:L71" si="45">+F71+G32</f>
        <v>11</v>
      </c>
      <c r="H71">
        <f t="shared" si="45"/>
        <v>11</v>
      </c>
      <c r="I71">
        <f t="shared" si="45"/>
        <v>11</v>
      </c>
      <c r="J71">
        <f t="shared" si="45"/>
        <v>11</v>
      </c>
      <c r="K71">
        <f t="shared" si="45"/>
        <v>11</v>
      </c>
      <c r="L71">
        <f t="shared" si="45"/>
        <v>11</v>
      </c>
    </row>
    <row r="72" spans="1:13" x14ac:dyDescent="0.45">
      <c r="B72" t="s">
        <v>326</v>
      </c>
      <c r="D72" s="56">
        <v>7875</v>
      </c>
      <c r="E72" s="56">
        <v>6990</v>
      </c>
      <c r="F72" s="56">
        <v>4534</v>
      </c>
      <c r="G72">
        <f t="shared" ref="G72:L72" si="46">+F72+G33-G37</f>
        <v>5560.1475381209975</v>
      </c>
      <c r="H72">
        <f t="shared" si="46"/>
        <v>6711.0836549878504</v>
      </c>
      <c r="I72">
        <f t="shared" si="46"/>
        <v>7960.5517184211403</v>
      </c>
      <c r="J72">
        <f t="shared" si="46"/>
        <v>9278.9443379251752</v>
      </c>
      <c r="K72">
        <f t="shared" si="46"/>
        <v>10665.041010573208</v>
      </c>
      <c r="L72">
        <f t="shared" si="46"/>
        <v>12143.469598678941</v>
      </c>
    </row>
    <row r="73" spans="1:13" s="3" customFormat="1" x14ac:dyDescent="0.45">
      <c r="A73" s="46"/>
      <c r="B73" t="s">
        <v>324</v>
      </c>
      <c r="C73"/>
      <c r="D73">
        <f t="shared" ref="D73:L73" si="47">SUM(D63:D72)</f>
        <v>21918</v>
      </c>
      <c r="E73">
        <f t="shared" si="47"/>
        <v>21920</v>
      </c>
      <c r="F73">
        <f t="shared" si="47"/>
        <v>19736</v>
      </c>
      <c r="G73">
        <f t="shared" si="47"/>
        <v>19457.933115049029</v>
      </c>
      <c r="H73">
        <f t="shared" si="47"/>
        <v>20608.602726273846</v>
      </c>
      <c r="I73">
        <f t="shared" si="47"/>
        <v>21833.206316227108</v>
      </c>
      <c r="J73">
        <f t="shared" si="47"/>
        <v>23088.745249600401</v>
      </c>
      <c r="K73">
        <f t="shared" si="47"/>
        <v>24391.783160252067</v>
      </c>
      <c r="L73">
        <f t="shared" si="47"/>
        <v>25837.03679303918</v>
      </c>
      <c r="M73"/>
    </row>
    <row r="74" spans="1:13" s="3" customFormat="1" x14ac:dyDescent="0.45">
      <c r="A74" s="46"/>
      <c r="B74"/>
      <c r="C74"/>
      <c r="D74"/>
      <c r="E74"/>
      <c r="F74"/>
      <c r="G74"/>
      <c r="H74"/>
      <c r="I74"/>
      <c r="J74"/>
      <c r="K74"/>
      <c r="L74"/>
      <c r="M74"/>
    </row>
    <row r="75" spans="1:13" x14ac:dyDescent="0.45">
      <c r="B75" t="s">
        <v>26</v>
      </c>
      <c r="D75">
        <f>D61-D73</f>
        <v>0</v>
      </c>
      <c r="E75">
        <f t="shared" ref="E75:J75" si="48">E61-E73</f>
        <v>0</v>
      </c>
      <c r="F75">
        <f t="shared" si="48"/>
        <v>0</v>
      </c>
      <c r="G75">
        <f t="shared" si="48"/>
        <v>0</v>
      </c>
      <c r="H75">
        <f t="shared" si="48"/>
        <v>0</v>
      </c>
      <c r="I75">
        <f t="shared" si="48"/>
        <v>0</v>
      </c>
      <c r="J75">
        <f t="shared" si="48"/>
        <v>0</v>
      </c>
      <c r="K75">
        <f>K61-K73</f>
        <v>0</v>
      </c>
      <c r="L75">
        <f>L61-L73</f>
        <v>0</v>
      </c>
    </row>
    <row r="77" spans="1:13" x14ac:dyDescent="0.45">
      <c r="A77" s="46" t="s">
        <v>80</v>
      </c>
    </row>
    <row r="78" spans="1:13" x14ac:dyDescent="0.45">
      <c r="B78" t="s">
        <v>81</v>
      </c>
      <c r="D78">
        <f>+D54/D8*-365</f>
        <v>199.2268588770865</v>
      </c>
      <c r="E78">
        <f>+E54/E8*-365</f>
        <v>209.08405702113714</v>
      </c>
      <c r="F78">
        <f>+F54/F8*-365</f>
        <v>205.44720389023968</v>
      </c>
      <c r="G78" s="58">
        <v>205</v>
      </c>
      <c r="H78" s="58">
        <f>+G78</f>
        <v>205</v>
      </c>
      <c r="I78" s="58">
        <f>+H78</f>
        <v>205</v>
      </c>
      <c r="J78" s="58">
        <f>+I78</f>
        <v>205</v>
      </c>
      <c r="K78" s="58">
        <f>+J78</f>
        <v>205</v>
      </c>
      <c r="L78" s="58">
        <f>+K78</f>
        <v>205</v>
      </c>
    </row>
    <row r="79" spans="1:13" x14ac:dyDescent="0.45">
      <c r="B79" t="s">
        <v>82</v>
      </c>
      <c r="D79">
        <f>+D55/D7*365</f>
        <v>46.36455376852728</v>
      </c>
      <c r="E79">
        <f>+E55/E7*365</f>
        <v>39.806679554696352</v>
      </c>
      <c r="F79">
        <f>+F55/F7*365</f>
        <v>52.065619908161757</v>
      </c>
      <c r="G79" s="58">
        <v>50</v>
      </c>
      <c r="H79" s="58">
        <v>50</v>
      </c>
      <c r="I79" s="58">
        <v>50</v>
      </c>
      <c r="J79" s="58">
        <v>50</v>
      </c>
      <c r="K79" s="58">
        <v>50</v>
      </c>
      <c r="L79" s="58">
        <v>50</v>
      </c>
    </row>
    <row r="80" spans="1:13" x14ac:dyDescent="0.45">
      <c r="B80" t="s">
        <v>367</v>
      </c>
      <c r="D80" s="2">
        <f>+D56/D7</f>
        <v>0.10450961841690319</v>
      </c>
      <c r="E80" s="2">
        <f>+E56/E7</f>
        <v>0.11632557829478035</v>
      </c>
      <c r="F80" s="2">
        <f>+F56/F7</f>
        <v>9.2875129610428084E-2</v>
      </c>
      <c r="G80" s="62">
        <v>9.5000000000000001E-2</v>
      </c>
      <c r="H80" s="62">
        <v>9.5000000000000001E-2</v>
      </c>
      <c r="I80" s="62">
        <v>9.5000000000000001E-2</v>
      </c>
      <c r="J80" s="62">
        <v>9.5000000000000001E-2</v>
      </c>
      <c r="K80" s="62">
        <v>9.5000000000000001E-2</v>
      </c>
      <c r="L80" s="62">
        <v>9.5000000000000001E-2</v>
      </c>
    </row>
    <row r="81" spans="1:12" x14ac:dyDescent="0.45">
      <c r="B81" t="s">
        <v>83</v>
      </c>
      <c r="D81" s="2">
        <f>D98/D7</f>
        <v>6.3386944181646171E-2</v>
      </c>
      <c r="E81" s="2">
        <f>E98/E7</f>
        <v>6.4462369175388307E-2</v>
      </c>
      <c r="F81" s="2">
        <f>F98/F7</f>
        <v>6.8360242926973777E-2</v>
      </c>
      <c r="G81" s="62">
        <v>6.5000000000000002E-2</v>
      </c>
      <c r="H81" s="62">
        <v>6.5000000000000002E-2</v>
      </c>
      <c r="I81" s="62">
        <v>6.5000000000000002E-2</v>
      </c>
      <c r="J81" s="62">
        <v>6.5000000000000002E-2</v>
      </c>
      <c r="K81" s="62">
        <v>6.5000000000000002E-2</v>
      </c>
      <c r="L81" s="62">
        <v>6.5000000000000002E-2</v>
      </c>
    </row>
    <row r="82" spans="1:12" x14ac:dyDescent="0.45">
      <c r="B82" t="s">
        <v>84</v>
      </c>
      <c r="E82" s="2">
        <f>-E18/D57</f>
        <v>0.1127508854781582</v>
      </c>
      <c r="F82" s="2">
        <f>-F18/E57</f>
        <v>0.12286346269857229</v>
      </c>
      <c r="G82" s="62">
        <f>+F82</f>
        <v>0.12286346269857229</v>
      </c>
      <c r="H82" s="62">
        <f t="shared" ref="H82:L84" si="49">+G82</f>
        <v>0.12286346269857229</v>
      </c>
      <c r="I82" s="62">
        <f t="shared" si="49"/>
        <v>0.12286346269857229</v>
      </c>
      <c r="J82" s="62">
        <f t="shared" si="49"/>
        <v>0.12286346269857229</v>
      </c>
      <c r="K82" s="62">
        <f t="shared" si="49"/>
        <v>0.12286346269857229</v>
      </c>
      <c r="L82" s="62">
        <f t="shared" si="49"/>
        <v>0.12286346269857229</v>
      </c>
    </row>
    <row r="83" spans="1:12" x14ac:dyDescent="0.45">
      <c r="B83" t="s">
        <v>325</v>
      </c>
      <c r="D83">
        <f>+-D19</f>
        <v>136</v>
      </c>
      <c r="E83">
        <f>+-E19</f>
        <v>143</v>
      </c>
      <c r="F83">
        <f>+-F19</f>
        <v>116</v>
      </c>
      <c r="G83" s="58">
        <f>+F83</f>
        <v>116</v>
      </c>
      <c r="H83" s="58">
        <f t="shared" si="49"/>
        <v>116</v>
      </c>
      <c r="I83" s="58">
        <f t="shared" si="49"/>
        <v>116</v>
      </c>
      <c r="J83" s="58">
        <f t="shared" si="49"/>
        <v>116</v>
      </c>
      <c r="K83" s="58">
        <f t="shared" si="49"/>
        <v>116</v>
      </c>
      <c r="L83" s="58">
        <f t="shared" si="49"/>
        <v>116</v>
      </c>
    </row>
    <row r="84" spans="1:12" x14ac:dyDescent="0.45">
      <c r="B84" t="s">
        <v>357</v>
      </c>
      <c r="D84">
        <f>+D60</f>
        <v>1288</v>
      </c>
      <c r="E84">
        <f>+E60</f>
        <v>929</v>
      </c>
      <c r="F84">
        <f>+F60</f>
        <v>1203</v>
      </c>
      <c r="G84" s="58">
        <f>+F84</f>
        <v>1203</v>
      </c>
      <c r="H84" s="58">
        <f t="shared" si="49"/>
        <v>1203</v>
      </c>
      <c r="I84" s="58">
        <f t="shared" si="49"/>
        <v>1203</v>
      </c>
      <c r="J84" s="58">
        <f t="shared" si="49"/>
        <v>1203</v>
      </c>
      <c r="K84" s="58">
        <f t="shared" si="49"/>
        <v>1203</v>
      </c>
      <c r="L84" s="58">
        <f t="shared" si="49"/>
        <v>1203</v>
      </c>
    </row>
    <row r="85" spans="1:12" x14ac:dyDescent="0.45">
      <c r="B85" t="s">
        <v>85</v>
      </c>
      <c r="D85">
        <f>-D64/D8*365</f>
        <v>61.534901365705615</v>
      </c>
      <c r="E85">
        <f>-E64/E8*365</f>
        <v>49.998361461576273</v>
      </c>
      <c r="F85">
        <f>-F64/F8*365</f>
        <v>63.770406391108025</v>
      </c>
      <c r="G85" s="58">
        <v>63</v>
      </c>
      <c r="H85" s="58">
        <v>63</v>
      </c>
      <c r="I85" s="58">
        <v>63</v>
      </c>
      <c r="J85" s="58">
        <v>63</v>
      </c>
      <c r="K85" s="58">
        <v>63</v>
      </c>
      <c r="L85" s="58">
        <v>63</v>
      </c>
    </row>
    <row r="86" spans="1:12" x14ac:dyDescent="0.45">
      <c r="B86" t="s">
        <v>86</v>
      </c>
      <c r="D86" s="2">
        <f>+D65/D7</f>
        <v>0.17697887101860613</v>
      </c>
      <c r="E86" s="2">
        <f>+E65/E7</f>
        <v>0.19565362309179388</v>
      </c>
      <c r="F86" s="2">
        <f>+F65/F7</f>
        <v>0.2319656347207821</v>
      </c>
      <c r="G86" s="62">
        <v>0.23</v>
      </c>
      <c r="H86" s="62">
        <v>0.23</v>
      </c>
      <c r="I86" s="62">
        <v>0.23</v>
      </c>
      <c r="J86" s="62">
        <v>0.23</v>
      </c>
      <c r="K86" s="62">
        <v>0.23</v>
      </c>
      <c r="L86" s="62">
        <v>0.23</v>
      </c>
    </row>
    <row r="87" spans="1:12" x14ac:dyDescent="0.45">
      <c r="B87" t="s">
        <v>368</v>
      </c>
      <c r="D87" s="2">
        <f>+D66/D7</f>
        <v>6.0674865972879216E-2</v>
      </c>
      <c r="E87" s="2">
        <f>+E66/E7</f>
        <v>5.2729818012132522E-2</v>
      </c>
      <c r="F87" s="2">
        <f>+F66/F7</f>
        <v>7.4359354169752631E-2</v>
      </c>
      <c r="G87" s="62">
        <v>7.0000000000000007E-2</v>
      </c>
      <c r="H87" s="62">
        <v>7.0000000000000007E-2</v>
      </c>
      <c r="I87" s="62">
        <v>7.0000000000000007E-2</v>
      </c>
      <c r="J87" s="62">
        <v>7.0000000000000007E-2</v>
      </c>
      <c r="K87" s="62">
        <v>7.0000000000000007E-2</v>
      </c>
      <c r="L87" s="62">
        <v>7.0000000000000007E-2</v>
      </c>
    </row>
    <row r="88" spans="1:12" x14ac:dyDescent="0.45">
      <c r="B88" t="s">
        <v>372</v>
      </c>
      <c r="G88" s="58">
        <v>0</v>
      </c>
      <c r="H88" s="58">
        <f>299+299</f>
        <v>598</v>
      </c>
      <c r="I88" s="58">
        <v>498</v>
      </c>
      <c r="J88" s="58">
        <v>496</v>
      </c>
      <c r="K88" s="58">
        <v>496</v>
      </c>
      <c r="L88" s="58">
        <v>496</v>
      </c>
    </row>
    <row r="89" spans="1:12" x14ac:dyDescent="0.45">
      <c r="B89" t="s">
        <v>87</v>
      </c>
      <c r="D89" s="2">
        <f>+D68/D7</f>
        <v>3.2103437401450649E-2</v>
      </c>
      <c r="E89" s="2">
        <f>+E68/E7</f>
        <v>2.2665155656289581E-2</v>
      </c>
      <c r="F89" s="2">
        <f>+F68/F7</f>
        <v>5.0362909198637239E-3</v>
      </c>
      <c r="G89" s="62">
        <v>0.01</v>
      </c>
      <c r="H89" s="62">
        <v>0.01</v>
      </c>
      <c r="I89" s="62">
        <v>0.01</v>
      </c>
      <c r="J89" s="62">
        <v>0.01</v>
      </c>
      <c r="K89" s="62">
        <v>0.01</v>
      </c>
      <c r="L89" s="62">
        <v>0.01</v>
      </c>
    </row>
    <row r="90" spans="1:12" x14ac:dyDescent="0.45">
      <c r="B90" t="s">
        <v>79</v>
      </c>
      <c r="D90">
        <f>+D69</f>
        <v>345</v>
      </c>
      <c r="E90">
        <f>+E69</f>
        <v>336</v>
      </c>
      <c r="F90">
        <f>+F69</f>
        <v>371</v>
      </c>
      <c r="G90" s="58">
        <f t="shared" ref="G90:L90" si="50">+F90</f>
        <v>371</v>
      </c>
      <c r="H90" s="58">
        <f t="shared" si="50"/>
        <v>371</v>
      </c>
      <c r="I90" s="58">
        <f t="shared" si="50"/>
        <v>371</v>
      </c>
      <c r="J90" s="58">
        <f t="shared" si="50"/>
        <v>371</v>
      </c>
      <c r="K90" s="58">
        <f t="shared" si="50"/>
        <v>371</v>
      </c>
      <c r="L90" s="58">
        <f t="shared" si="50"/>
        <v>371</v>
      </c>
    </row>
    <row r="91" spans="1:12" x14ac:dyDescent="0.45">
      <c r="B91" t="s">
        <v>369</v>
      </c>
      <c r="D91" s="2">
        <f>+D70/D7</f>
        <v>3.6140018921475878E-2</v>
      </c>
      <c r="E91" s="2">
        <f>+E70/E7</f>
        <v>4.2197186854209721E-2</v>
      </c>
      <c r="F91" s="2">
        <f>+F70/F7</f>
        <v>4.2215968004740041E-2</v>
      </c>
      <c r="G91" s="62">
        <v>4.2000000000000003E-2</v>
      </c>
      <c r="H91" s="62">
        <v>4.2000000000000003E-2</v>
      </c>
      <c r="I91" s="62">
        <v>4.2000000000000003E-2</v>
      </c>
      <c r="J91" s="62">
        <v>4.2000000000000003E-2</v>
      </c>
      <c r="K91" s="62">
        <v>4.2000000000000003E-2</v>
      </c>
      <c r="L91" s="62">
        <v>4.2000000000000003E-2</v>
      </c>
    </row>
    <row r="92" spans="1:12" x14ac:dyDescent="0.45">
      <c r="B92" t="s">
        <v>370</v>
      </c>
      <c r="G92" s="62">
        <v>3.85E-2</v>
      </c>
      <c r="H92" s="62">
        <v>3.85E-2</v>
      </c>
      <c r="I92" s="62">
        <v>3.85E-2</v>
      </c>
      <c r="J92" s="62">
        <v>3.85E-2</v>
      </c>
      <c r="K92" s="62">
        <v>3.85E-2</v>
      </c>
      <c r="L92" s="62">
        <v>3.85E-2</v>
      </c>
    </row>
    <row r="93" spans="1:12" x14ac:dyDescent="0.45">
      <c r="B93" t="s">
        <v>371</v>
      </c>
      <c r="G93" s="62">
        <v>1.4999999999999999E-2</v>
      </c>
      <c r="H93" s="62">
        <v>1.4999999999999999E-2</v>
      </c>
      <c r="I93" s="62">
        <v>1.4999999999999999E-2</v>
      </c>
      <c r="J93" s="62">
        <v>1.4999999999999999E-2</v>
      </c>
      <c r="K93" s="62">
        <v>1.4999999999999999E-2</v>
      </c>
      <c r="L93" s="62">
        <v>1.4999999999999999E-2</v>
      </c>
    </row>
    <row r="94" spans="1:12" x14ac:dyDescent="0.45">
      <c r="B94" t="s">
        <v>96</v>
      </c>
      <c r="G94" s="62">
        <v>1E-3</v>
      </c>
      <c r="H94" s="62">
        <v>1E-3</v>
      </c>
      <c r="I94" s="62">
        <v>1E-3</v>
      </c>
      <c r="J94" s="62">
        <v>1E-3</v>
      </c>
      <c r="K94" s="62">
        <v>1E-3</v>
      </c>
      <c r="L94" s="62">
        <v>1E-3</v>
      </c>
    </row>
    <row r="96" spans="1:12" x14ac:dyDescent="0.45">
      <c r="A96" s="46" t="s">
        <v>88</v>
      </c>
    </row>
    <row r="97" spans="1:12" x14ac:dyDescent="0.45">
      <c r="B97" t="s">
        <v>89</v>
      </c>
      <c r="G97">
        <f t="shared" ref="G97:L97" si="51">+F100</f>
        <v>5231</v>
      </c>
      <c r="H97">
        <f t="shared" si="51"/>
        <v>5516.6579312359891</v>
      </c>
      <c r="I97">
        <f t="shared" si="51"/>
        <v>5858.746157871863</v>
      </c>
      <c r="J97">
        <f t="shared" si="51"/>
        <v>6231.2525453702092</v>
      </c>
      <c r="K97">
        <f t="shared" si="51"/>
        <v>6624.3165133641833</v>
      </c>
      <c r="L97">
        <f t="shared" si="51"/>
        <v>7032.3184085385528</v>
      </c>
    </row>
    <row r="98" spans="1:12" x14ac:dyDescent="0.45">
      <c r="B98" t="s">
        <v>27</v>
      </c>
      <c r="D98" s="56">
        <v>1005</v>
      </c>
      <c r="E98" s="56">
        <v>967</v>
      </c>
      <c r="F98" s="56">
        <v>923</v>
      </c>
      <c r="G98">
        <f t="shared" ref="G98:L98" si="52">+G81*G7</f>
        <v>928.35670461222082</v>
      </c>
      <c r="H98">
        <f t="shared" si="52"/>
        <v>1019.8839225910692</v>
      </c>
      <c r="I98">
        <f t="shared" si="52"/>
        <v>1092.3322275264395</v>
      </c>
      <c r="J98">
        <f t="shared" si="52"/>
        <v>1158.65723266745</v>
      </c>
      <c r="K98">
        <f t="shared" si="52"/>
        <v>1221.8883600176262</v>
      </c>
      <c r="L98">
        <f t="shared" si="52"/>
        <v>1292.7578848986484</v>
      </c>
    </row>
    <row r="99" spans="1:12" x14ac:dyDescent="0.45">
      <c r="B99" t="s">
        <v>63</v>
      </c>
      <c r="G99">
        <f t="shared" ref="G99:L99" si="53">-G82*G97</f>
        <v>-642.69877337623166</v>
      </c>
      <c r="H99">
        <f t="shared" si="53"/>
        <v>-677.79569595519592</v>
      </c>
      <c r="I99">
        <f t="shared" si="53"/>
        <v>-719.82584002809335</v>
      </c>
      <c r="J99">
        <f t="shared" si="53"/>
        <v>-765.59326467347637</v>
      </c>
      <c r="K99">
        <f t="shared" si="53"/>
        <v>-813.88646484325682</v>
      </c>
      <c r="L99">
        <f t="shared" si="53"/>
        <v>-864.01499047195978</v>
      </c>
    </row>
    <row r="100" spans="1:12" x14ac:dyDescent="0.45">
      <c r="B100" t="s">
        <v>90</v>
      </c>
      <c r="F100">
        <f>+F57</f>
        <v>5231</v>
      </c>
      <c r="G100">
        <f t="shared" ref="G100:L100" si="54">SUM(G97:G99)</f>
        <v>5516.6579312359891</v>
      </c>
      <c r="H100">
        <f t="shared" si="54"/>
        <v>5858.746157871863</v>
      </c>
      <c r="I100">
        <f t="shared" si="54"/>
        <v>6231.2525453702092</v>
      </c>
      <c r="J100">
        <f t="shared" si="54"/>
        <v>6624.3165133641833</v>
      </c>
      <c r="K100">
        <f t="shared" si="54"/>
        <v>7032.3184085385528</v>
      </c>
      <c r="L100">
        <f t="shared" si="54"/>
        <v>7461.0613029652413</v>
      </c>
    </row>
    <row r="103" spans="1:12" x14ac:dyDescent="0.45">
      <c r="A103" s="46" t="str">
        <f>"Cash flow in "&amp;C3</f>
        <v>Cash flow in USD</v>
      </c>
    </row>
    <row r="104" spans="1:12" x14ac:dyDescent="0.45">
      <c r="B104" t="s">
        <v>15</v>
      </c>
      <c r="G104">
        <f t="shared" ref="G104:L104" si="55">+G31</f>
        <v>2052.2950762419946</v>
      </c>
      <c r="H104">
        <f t="shared" si="55"/>
        <v>2301.8722337337058</v>
      </c>
      <c r="I104">
        <f t="shared" si="55"/>
        <v>2498.9361268665807</v>
      </c>
      <c r="J104">
        <f t="shared" si="55"/>
        <v>2636.7852390080679</v>
      </c>
      <c r="K104">
        <f t="shared" si="55"/>
        <v>2772.1933452960657</v>
      </c>
      <c r="L104">
        <f t="shared" si="55"/>
        <v>2956.857176211468</v>
      </c>
    </row>
    <row r="105" spans="1:12" x14ac:dyDescent="0.45">
      <c r="B105" t="s">
        <v>63</v>
      </c>
      <c r="G105">
        <f t="shared" ref="G105:L106" si="56">-G18</f>
        <v>642.69877337623166</v>
      </c>
      <c r="H105">
        <f t="shared" si="56"/>
        <v>677.79569595519592</v>
      </c>
      <c r="I105">
        <f t="shared" si="56"/>
        <v>719.82584002809335</v>
      </c>
      <c r="J105">
        <f t="shared" si="56"/>
        <v>765.59326467347637</v>
      </c>
      <c r="K105">
        <f t="shared" si="56"/>
        <v>813.88646484325682</v>
      </c>
      <c r="L105">
        <f t="shared" si="56"/>
        <v>864.01499047195978</v>
      </c>
    </row>
    <row r="106" spans="1:12" x14ac:dyDescent="0.45">
      <c r="B106" t="s">
        <v>325</v>
      </c>
      <c r="G106">
        <f t="shared" si="56"/>
        <v>116</v>
      </c>
      <c r="H106">
        <f t="shared" si="56"/>
        <v>116</v>
      </c>
      <c r="I106">
        <f t="shared" si="56"/>
        <v>116</v>
      </c>
      <c r="J106">
        <f t="shared" si="56"/>
        <v>116</v>
      </c>
      <c r="K106">
        <f t="shared" si="56"/>
        <v>116</v>
      </c>
      <c r="L106">
        <f t="shared" si="56"/>
        <v>116</v>
      </c>
    </row>
    <row r="107" spans="1:12" x14ac:dyDescent="0.45">
      <c r="B107" t="str">
        <f>"Change in "&amp;LOWER(B54)</f>
        <v>Change in inventory</v>
      </c>
      <c r="G107">
        <f t="shared" ref="G107:L109" si="57">+F54-G54</f>
        <v>-128.08376257585678</v>
      </c>
      <c r="H107">
        <f t="shared" si="57"/>
        <v>-332.15989327624266</v>
      </c>
      <c r="I107">
        <f t="shared" si="57"/>
        <v>-262.92092960739183</v>
      </c>
      <c r="J107">
        <f t="shared" si="57"/>
        <v>-240.69896491637473</v>
      </c>
      <c r="K107">
        <f t="shared" si="57"/>
        <v>-229.47102486196763</v>
      </c>
      <c r="L107">
        <f t="shared" si="57"/>
        <v>-257.19140536379473</v>
      </c>
    </row>
    <row r="108" spans="1:12" x14ac:dyDescent="0.45">
      <c r="B108" t="str">
        <f>"Change in "&amp;LOWER(B55)</f>
        <v>Change in accounts receivable</v>
      </c>
      <c r="G108">
        <f t="shared" si="57"/>
        <v>-30.494635642193543</v>
      </c>
      <c r="H108">
        <f t="shared" si="57"/>
        <v>-192.8919240860871</v>
      </c>
      <c r="I108">
        <f t="shared" si="57"/>
        <v>-152.68346667095921</v>
      </c>
      <c r="J108">
        <f t="shared" si="57"/>
        <v>-139.778725270834</v>
      </c>
      <c r="K108">
        <f t="shared" si="57"/>
        <v>-133.25843487919065</v>
      </c>
      <c r="L108">
        <f t="shared" si="57"/>
        <v>-149.35621681985776</v>
      </c>
    </row>
    <row r="109" spans="1:12" x14ac:dyDescent="0.45">
      <c r="B109" t="str">
        <f>"Change in "&amp;LOWER(B56)</f>
        <v>Change in other short term operating assets</v>
      </c>
      <c r="G109">
        <f t="shared" si="57"/>
        <v>-102.82902981786128</v>
      </c>
      <c r="H109">
        <f t="shared" si="57"/>
        <v>-133.77054935370143</v>
      </c>
      <c r="I109">
        <f t="shared" si="57"/>
        <v>-105.8859841363103</v>
      </c>
      <c r="J109">
        <f t="shared" si="57"/>
        <v>-96.936545975323043</v>
      </c>
      <c r="K109">
        <f t="shared" si="57"/>
        <v>-92.414724588718855</v>
      </c>
      <c r="L109">
        <f t="shared" si="57"/>
        <v>-103.57853636457139</v>
      </c>
    </row>
    <row r="110" spans="1:12" x14ac:dyDescent="0.45">
      <c r="B110" t="str">
        <f>"Change in "&amp;LOWER(B64)</f>
        <v>Change in accounts payable</v>
      </c>
      <c r="G110">
        <f t="shared" ref="G110:L112" si="58">+G64-F64</f>
        <v>29.376961181848856</v>
      </c>
      <c r="H110">
        <f t="shared" si="58"/>
        <v>102.07840622635717</v>
      </c>
      <c r="I110">
        <f t="shared" si="58"/>
        <v>80.800090562271635</v>
      </c>
      <c r="J110">
        <f t="shared" si="58"/>
        <v>73.970901413325237</v>
      </c>
      <c r="K110">
        <f t="shared" si="58"/>
        <v>70.520363738067772</v>
      </c>
      <c r="L110">
        <f t="shared" si="58"/>
        <v>79.03930994106895</v>
      </c>
    </row>
    <row r="111" spans="1:12" x14ac:dyDescent="0.45">
      <c r="B111" t="str">
        <f>"Change in "&amp;LOWER(B65)</f>
        <v>Change in short term provisions</v>
      </c>
      <c r="G111">
        <f t="shared" si="58"/>
        <v>152.95449324324318</v>
      </c>
      <c r="H111">
        <f t="shared" si="58"/>
        <v>323.86554054054022</v>
      </c>
      <c r="I111">
        <f t="shared" si="58"/>
        <v>256.35554054054091</v>
      </c>
      <c r="J111">
        <f t="shared" si="58"/>
        <v>234.68847972972935</v>
      </c>
      <c r="K111">
        <f t="shared" si="58"/>
        <v>223.74091216216129</v>
      </c>
      <c r="L111">
        <f t="shared" si="58"/>
        <v>250.76908804054165</v>
      </c>
    </row>
    <row r="112" spans="1:12" x14ac:dyDescent="0.45">
      <c r="B112" t="s">
        <v>362</v>
      </c>
      <c r="G112">
        <f t="shared" si="58"/>
        <v>-4.2312411868390427</v>
      </c>
      <c r="H112">
        <f t="shared" si="58"/>
        <v>98.567773207990513</v>
      </c>
      <c r="I112">
        <f t="shared" si="58"/>
        <v>78.021251468860328</v>
      </c>
      <c r="J112">
        <f t="shared" si="58"/>
        <v>71.42692861339583</v>
      </c>
      <c r="K112">
        <f t="shared" si="58"/>
        <v>68.095060223266728</v>
      </c>
      <c r="L112">
        <f t="shared" si="58"/>
        <v>76.321026794947102</v>
      </c>
    </row>
    <row r="113" spans="1:13" x14ac:dyDescent="0.45">
      <c r="B113" t="s">
        <v>363</v>
      </c>
      <c r="G113">
        <f t="shared" ref="G113:L113" si="59">+F60-G60</f>
        <v>0</v>
      </c>
      <c r="H113">
        <f t="shared" si="59"/>
        <v>0</v>
      </c>
      <c r="I113">
        <f t="shared" si="59"/>
        <v>0</v>
      </c>
      <c r="J113">
        <f t="shared" si="59"/>
        <v>0</v>
      </c>
      <c r="K113">
        <f t="shared" si="59"/>
        <v>0</v>
      </c>
      <c r="L113">
        <f t="shared" si="59"/>
        <v>0</v>
      </c>
    </row>
    <row r="114" spans="1:13" x14ac:dyDescent="0.45">
      <c r="B114" t="str">
        <f>"Change in "&amp;LOWER(B68)</f>
        <v>Change in deferred taxes</v>
      </c>
      <c r="G114">
        <f t="shared" ref="G114:L116" si="60">+G68-F68</f>
        <v>74.824108401880125</v>
      </c>
      <c r="H114">
        <f t="shared" si="60"/>
        <v>14.081110458284371</v>
      </c>
      <c r="I114">
        <f t="shared" si="60"/>
        <v>11.145893066980022</v>
      </c>
      <c r="J114">
        <f t="shared" si="60"/>
        <v>10.203846944770845</v>
      </c>
      <c r="K114">
        <f t="shared" si="60"/>
        <v>9.727865746180953</v>
      </c>
      <c r="L114">
        <f t="shared" si="60"/>
        <v>10.903003827849602</v>
      </c>
    </row>
    <row r="115" spans="1:13" x14ac:dyDescent="0.45">
      <c r="B115" t="str">
        <f>"Change in "&amp;LOWER(B69)</f>
        <v>Change in pension liabilities</v>
      </c>
      <c r="G115">
        <f t="shared" si="60"/>
        <v>0</v>
      </c>
      <c r="H115">
        <f t="shared" si="60"/>
        <v>0</v>
      </c>
      <c r="I115">
        <f t="shared" si="60"/>
        <v>0</v>
      </c>
      <c r="J115">
        <f t="shared" si="60"/>
        <v>0</v>
      </c>
      <c r="K115">
        <f t="shared" si="60"/>
        <v>0</v>
      </c>
      <c r="L115">
        <f t="shared" si="60"/>
        <v>0</v>
      </c>
    </row>
    <row r="116" spans="1:13" x14ac:dyDescent="0.45">
      <c r="B116" t="s">
        <v>364</v>
      </c>
      <c r="G116">
        <f t="shared" si="60"/>
        <v>29.861255287896597</v>
      </c>
      <c r="H116">
        <f t="shared" si="60"/>
        <v>59.140663924794353</v>
      </c>
      <c r="I116">
        <f t="shared" si="60"/>
        <v>46.812750881316106</v>
      </c>
      <c r="J116">
        <f t="shared" si="60"/>
        <v>42.856157168037498</v>
      </c>
      <c r="K116">
        <f t="shared" si="60"/>
        <v>40.857036133960037</v>
      </c>
      <c r="L116">
        <f t="shared" si="60"/>
        <v>45.792616076968329</v>
      </c>
    </row>
    <row r="117" spans="1:13" s="3" customFormat="1" x14ac:dyDescent="0.45">
      <c r="A117" s="46"/>
      <c r="B117" t="s">
        <v>91</v>
      </c>
      <c r="C117"/>
      <c r="D117"/>
      <c r="E117"/>
      <c r="F117"/>
      <c r="G117">
        <f t="shared" ref="G117:L117" si="61">SUM(G104:G116)</f>
        <v>2832.3719985103444</v>
      </c>
      <c r="H117">
        <f t="shared" si="61"/>
        <v>3034.5790573308377</v>
      </c>
      <c r="I117">
        <f t="shared" si="61"/>
        <v>3286.407112999982</v>
      </c>
      <c r="J117">
        <f t="shared" si="61"/>
        <v>3474.1105813882709</v>
      </c>
      <c r="K117">
        <f t="shared" si="61"/>
        <v>3659.8768638130823</v>
      </c>
      <c r="L117">
        <f t="shared" si="61"/>
        <v>3889.5710528165796</v>
      </c>
      <c r="M117"/>
    </row>
    <row r="119" spans="1:13" x14ac:dyDescent="0.45">
      <c r="B119" t="s">
        <v>27</v>
      </c>
      <c r="G119">
        <f t="shared" ref="G119:L119" si="62">-G98</f>
        <v>-928.35670461222082</v>
      </c>
      <c r="H119">
        <f t="shared" si="62"/>
        <v>-1019.8839225910692</v>
      </c>
      <c r="I119">
        <f t="shared" si="62"/>
        <v>-1092.3322275264395</v>
      </c>
      <c r="J119">
        <f t="shared" si="62"/>
        <v>-1158.65723266745</v>
      </c>
      <c r="K119">
        <f t="shared" si="62"/>
        <v>-1221.8883600176262</v>
      </c>
      <c r="L119">
        <f t="shared" si="62"/>
        <v>-1292.7578848986484</v>
      </c>
    </row>
    <row r="120" spans="1:13" s="3" customFormat="1" x14ac:dyDescent="0.45">
      <c r="A120" s="46"/>
      <c r="B120" t="s">
        <v>92</v>
      </c>
      <c r="C120"/>
      <c r="D120"/>
      <c r="E120"/>
      <c r="F120"/>
      <c r="G120">
        <f t="shared" ref="G120:L120" si="63">SUM(G119)</f>
        <v>-928.35670461222082</v>
      </c>
      <c r="H120">
        <f t="shared" si="63"/>
        <v>-1019.8839225910692</v>
      </c>
      <c r="I120">
        <f t="shared" si="63"/>
        <v>-1092.3322275264395</v>
      </c>
      <c r="J120">
        <f t="shared" si="63"/>
        <v>-1158.65723266745</v>
      </c>
      <c r="K120">
        <f t="shared" si="63"/>
        <v>-1221.8883600176262</v>
      </c>
      <c r="L120">
        <f t="shared" si="63"/>
        <v>-1292.7578848986484</v>
      </c>
      <c r="M120"/>
    </row>
    <row r="122" spans="1:13" x14ac:dyDescent="0.45">
      <c r="B122" t="s">
        <v>365</v>
      </c>
      <c r="G122">
        <f t="shared" ref="G122:L122" si="64">+G67-F67</f>
        <v>0</v>
      </c>
      <c r="H122">
        <f t="shared" si="64"/>
        <v>-598</v>
      </c>
      <c r="I122">
        <f t="shared" si="64"/>
        <v>-498</v>
      </c>
      <c r="J122">
        <f t="shared" si="64"/>
        <v>-496</v>
      </c>
      <c r="K122">
        <f t="shared" si="64"/>
        <v>-496</v>
      </c>
      <c r="L122">
        <f t="shared" si="64"/>
        <v>-496</v>
      </c>
    </row>
    <row r="123" spans="1:13" x14ac:dyDescent="0.45">
      <c r="B123" t="s">
        <v>28</v>
      </c>
      <c r="G123">
        <f t="shared" ref="G123:L123" si="65">-G37</f>
        <v>-1026.1475381209973</v>
      </c>
      <c r="H123">
        <f t="shared" si="65"/>
        <v>-1150.9361168668529</v>
      </c>
      <c r="I123">
        <f t="shared" si="65"/>
        <v>-1249.4680634332904</v>
      </c>
      <c r="J123">
        <f t="shared" si="65"/>
        <v>-1318.392619504034</v>
      </c>
      <c r="K123">
        <f t="shared" si="65"/>
        <v>-1386.0966726480328</v>
      </c>
      <c r="L123">
        <f t="shared" si="65"/>
        <v>-1478.428588105734</v>
      </c>
    </row>
    <row r="124" spans="1:13" s="3" customFormat="1" x14ac:dyDescent="0.45">
      <c r="A124" s="46"/>
      <c r="B124" t="s">
        <v>93</v>
      </c>
      <c r="C124"/>
      <c r="D124"/>
      <c r="E124"/>
      <c r="F124"/>
      <c r="G124">
        <f t="shared" ref="G124:L124" si="66">SUM(G122:G123)</f>
        <v>-1026.1475381209973</v>
      </c>
      <c r="H124">
        <f t="shared" si="66"/>
        <v>-1748.9361168668529</v>
      </c>
      <c r="I124">
        <f t="shared" si="66"/>
        <v>-1747.4680634332904</v>
      </c>
      <c r="J124">
        <f t="shared" si="66"/>
        <v>-1814.392619504034</v>
      </c>
      <c r="K124">
        <f t="shared" si="66"/>
        <v>-1882.0966726480328</v>
      </c>
      <c r="L124">
        <f t="shared" si="66"/>
        <v>-1974.428588105734</v>
      </c>
      <c r="M124"/>
    </row>
    <row r="126" spans="1:13" s="3" customFormat="1" x14ac:dyDescent="0.45">
      <c r="A126" s="46"/>
      <c r="B126" t="s">
        <v>29</v>
      </c>
      <c r="C126"/>
      <c r="D126"/>
      <c r="E126"/>
      <c r="F126"/>
      <c r="G126">
        <f t="shared" ref="G126:L126" si="67">+SUM(G117,G120,G124)</f>
        <v>877.86775577712638</v>
      </c>
      <c r="H126">
        <f t="shared" si="67"/>
        <v>265.75901787291559</v>
      </c>
      <c r="I126">
        <f t="shared" si="67"/>
        <v>446.60682204025215</v>
      </c>
      <c r="J126">
        <f t="shared" si="67"/>
        <v>501.06072921678697</v>
      </c>
      <c r="K126">
        <f t="shared" si="67"/>
        <v>555.89183114742355</v>
      </c>
      <c r="L126">
        <f t="shared" si="67"/>
        <v>622.38457981219744</v>
      </c>
      <c r="M126"/>
    </row>
    <row r="128" spans="1:13" x14ac:dyDescent="0.45">
      <c r="B128" t="s">
        <v>94</v>
      </c>
      <c r="G128">
        <f t="shared" ref="G128:L128" si="68">+F129</f>
        <v>149</v>
      </c>
      <c r="H128">
        <f t="shared" si="68"/>
        <v>1026.8677557771264</v>
      </c>
      <c r="I128">
        <f t="shared" si="68"/>
        <v>1292.626773650042</v>
      </c>
      <c r="J128">
        <f t="shared" si="68"/>
        <v>1739.2335956902941</v>
      </c>
      <c r="K128">
        <f t="shared" si="68"/>
        <v>2240.2943249070813</v>
      </c>
      <c r="L128">
        <f t="shared" si="68"/>
        <v>2796.1861560545049</v>
      </c>
    </row>
    <row r="129" spans="1:13" s="3" customFormat="1" x14ac:dyDescent="0.45">
      <c r="A129" s="46"/>
      <c r="B129" t="s">
        <v>95</v>
      </c>
      <c r="C129"/>
      <c r="D129"/>
      <c r="E129"/>
      <c r="F129">
        <f>+F53-F63</f>
        <v>149</v>
      </c>
      <c r="G129">
        <f t="shared" ref="G129:L129" si="69">+G126+G128</f>
        <v>1026.8677557771264</v>
      </c>
      <c r="H129">
        <f t="shared" si="69"/>
        <v>1292.626773650042</v>
      </c>
      <c r="I129">
        <f t="shared" si="69"/>
        <v>1739.2335956902941</v>
      </c>
      <c r="J129">
        <f t="shared" si="69"/>
        <v>2240.2943249070813</v>
      </c>
      <c r="K129">
        <f t="shared" si="69"/>
        <v>2796.1861560545049</v>
      </c>
      <c r="L129">
        <f t="shared" si="69"/>
        <v>3418.5707358667023</v>
      </c>
      <c r="M129"/>
    </row>
    <row r="132" spans="1:13" x14ac:dyDescent="0.45">
      <c r="A132" s="46" t="s">
        <v>98</v>
      </c>
    </row>
    <row r="133" spans="1:13" x14ac:dyDescent="0.45">
      <c r="B133" t="s">
        <v>373</v>
      </c>
      <c r="D133" s="56">
        <v>438.55482499999999</v>
      </c>
    </row>
    <row r="135" spans="1:13" x14ac:dyDescent="0.45">
      <c r="B135" t="s">
        <v>99</v>
      </c>
      <c r="D135" s="56">
        <v>12.889454000000001</v>
      </c>
    </row>
    <row r="136" spans="1:13" x14ac:dyDescent="0.45">
      <c r="B136" t="s">
        <v>100</v>
      </c>
      <c r="D136" s="56">
        <v>85.56</v>
      </c>
    </row>
    <row r="137" spans="1:13" x14ac:dyDescent="0.45">
      <c r="B137" t="s">
        <v>101</v>
      </c>
      <c r="D137">
        <f>MAX((Assumptions!C13-'Target local FX'!D136)/Assumptions!C13*'Target local FX'!D135,0)</f>
        <v>4.2753514554528893</v>
      </c>
    </row>
    <row r="139" spans="1:13" x14ac:dyDescent="0.45">
      <c r="B139" t="s">
        <v>102</v>
      </c>
      <c r="D139" s="56">
        <v>7.5069999999999998E-3</v>
      </c>
    </row>
    <row r="140" spans="1:13" x14ac:dyDescent="0.45">
      <c r="B140" t="s">
        <v>103</v>
      </c>
      <c r="D140" s="56">
        <v>1.6889179999999999</v>
      </c>
    </row>
    <row r="142" spans="1:13" x14ac:dyDescent="0.45">
      <c r="B142" t="s">
        <v>323</v>
      </c>
      <c r="D142">
        <f>SUM(D133,D137,D139,D140)</f>
        <v>444.52660145545286</v>
      </c>
    </row>
    <row r="144" spans="1:13" x14ac:dyDescent="0.45">
      <c r="A144" s="46" t="s">
        <v>330</v>
      </c>
    </row>
  </sheetData>
  <printOptions headings="1" gridLines="1"/>
  <pageMargins left="0.7" right="0.7" top="0.75" bottom="0.75" header="0.3" footer="0.3"/>
  <pageSetup paperSize="9" scale="60" orientation="landscape" r:id="rId1"/>
  <headerFooter>
    <oddHeader xml:space="preserve">&amp;R&amp;10&amp;F 
&amp;A
</oddHeader>
    <oddFooter>&amp;L&amp;10© 2017&amp;C&amp;10Page &amp;P of &amp;N&amp;R&amp;G</oddFooter>
  </headerFooter>
  <rowBreaks count="3" manualBreakCount="3">
    <brk id="38" max="16383" man="1"/>
    <brk id="76" max="16383" man="1"/>
    <brk id="118" max="16383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119"/>
  <sheetViews>
    <sheetView zoomScaleNormal="100" workbookViewId="0">
      <pane xSplit="2" ySplit="2" topLeftCell="C3" activePane="bottomRight" state="frozen"/>
      <selection activeCell="N9" sqref="N9:Q9"/>
      <selection pane="topRight" activeCell="N9" sqref="N9:Q9"/>
      <selection pane="bottomLeft" activeCell="N9" sqref="N9:Q9"/>
      <selection pane="bottomRight"/>
    </sheetView>
  </sheetViews>
  <sheetFormatPr defaultRowHeight="15.75" x14ac:dyDescent="0.45"/>
  <cols>
    <col min="1" max="1" width="1.53125" style="46" customWidth="1"/>
    <col min="2" max="2" width="40.796875" customWidth="1"/>
    <col min="3" max="10" width="11.796875" customWidth="1"/>
  </cols>
  <sheetData>
    <row r="1" spans="1:11" ht="45" customHeight="1" x14ac:dyDescent="0.85">
      <c r="A1" s="41" t="s">
        <v>0</v>
      </c>
      <c r="B1" s="41"/>
      <c r="C1" s="41"/>
      <c r="D1" s="41"/>
      <c r="E1" s="41"/>
      <c r="F1" s="41"/>
      <c r="G1" s="41"/>
      <c r="H1" s="41"/>
      <c r="I1" s="41"/>
      <c r="J1" s="41"/>
    </row>
    <row r="2" spans="1:11" ht="30" customHeight="1" x14ac:dyDescent="0.65">
      <c r="A2" s="57" t="str">
        <f>target&amp;" financials ("&amp;C3&amp;" m except per share data)"</f>
        <v>Monsanto financials (Euro m except per share data)</v>
      </c>
      <c r="B2" s="42"/>
      <c r="C2" s="42"/>
      <c r="D2" s="55">
        <f>DATE(YEAR(C4)-1,MONTH(AcquirorLFY),DAY(AcquirorLFY))</f>
        <v>42004</v>
      </c>
      <c r="E2" s="55">
        <f>+AcquirorLFY</f>
        <v>42369</v>
      </c>
      <c r="F2" s="55">
        <f>DATE(YEAR(AcquirorLFY)+1,MONTH(AcquirorLFY),DAY(AcquirorLFY))</f>
        <v>42735</v>
      </c>
      <c r="G2" s="55">
        <f>DATE(YEAR(F2)+1,MONTH(AcquirorLFY),DAY(AcquirorLFY))</f>
        <v>43100</v>
      </c>
      <c r="H2" s="55">
        <f>DATE(YEAR(G2)+1,MONTH(AcquirorLFY),DAY(AcquirorLFY))</f>
        <v>43465</v>
      </c>
      <c r="I2" s="55">
        <f>DATE(YEAR(H2)+1,MONTH(AcquirorLFY),DAY(AcquirorLFY))</f>
        <v>43830</v>
      </c>
      <c r="J2" s="55">
        <f>DATE(YEAR(I2)+1,MONTH(AcquirorLFY),DAY(AcquirorLFY))</f>
        <v>44196</v>
      </c>
    </row>
    <row r="3" spans="1:11" x14ac:dyDescent="0.45">
      <c r="B3" t="s">
        <v>16</v>
      </c>
      <c r="C3" t="str">
        <f>Assumptions!C6</f>
        <v>Euro</v>
      </c>
      <c r="E3" t="s">
        <v>335</v>
      </c>
      <c r="G3" s="2">
        <f>(AcquirorLFY-TargetLFY)/365</f>
        <v>-0.66849315068493154</v>
      </c>
    </row>
    <row r="4" spans="1:11" x14ac:dyDescent="0.45">
      <c r="B4" t="s">
        <v>343</v>
      </c>
      <c r="C4" s="61">
        <f>AcquirorLFY</f>
        <v>42369</v>
      </c>
    </row>
    <row r="6" spans="1:11" x14ac:dyDescent="0.45">
      <c r="A6" s="46" t="str">
        <f>"Income statement in "&amp;C3</f>
        <v>Income statement in Euro</v>
      </c>
      <c r="C6" t="str">
        <f>"Year ended " &amp; TEXT(C4,"mmm")</f>
        <v>Year ended Dec</v>
      </c>
    </row>
    <row r="7" spans="1:11" x14ac:dyDescent="0.45">
      <c r="B7" t="s">
        <v>4</v>
      </c>
      <c r="D7">
        <f>IF(TargetLFY&lt;AcquirorLFY,(1-calendar)*'Target local FX'!D7+calendar*'Target local FX'!E7,(1+calendar)*'Target local FX'!E7+(-calendar*'Target local FX'!D7))*FX</f>
        <v>14808.870386301369</v>
      </c>
      <c r="E7">
        <f>IF(TargetLFY&lt;AcquirorLFY,(1-calendar)*'Target local FX'!E7+calendar*'Target local FX'!F7,(1+calendar)*'Target local FX'!F7+(-calendar*'Target local FX'!E7))*FX</f>
        <v>13793.371742465753</v>
      </c>
      <c r="F7">
        <f>IF(TargetLFY&lt;AcquirorLFY,(1-calendar)*'Target local FX'!F7+calendar*'Target local FX'!G7,(1+calendar)*'Target local FX'!G7+(-calendar*'Target local FX'!F7))*FX</f>
        <v>13086.436673400753</v>
      </c>
      <c r="G7">
        <f>IF(TargetLFY&lt;AcquirorLFY,(1-calendar)*'Target local FX'!G7+calendar*'Target local FX'!H7,(1+calendar)*'Target local FX'!H7+(-calendar*'Target local FX'!G7))*FX</f>
        <v>14026.498040949002</v>
      </c>
      <c r="H7">
        <f>IF(TargetLFY&lt;AcquirorLFY,(1-calendar)*'Target local FX'!H7+calendar*'Target local FX'!I7,(1+calendar)*'Target local FX'!I7+(-calendar*'Target local FX'!H7))*FX</f>
        <v>15273.075097467523</v>
      </c>
      <c r="I7">
        <f>IF(TargetLFY&lt;AcquirorLFY,(1-calendar)*'Target local FX'!I7+calendar*'Target local FX'!J7,(1+calendar)*'Target local FX'!J7+(-calendar*'Target local FX'!I7))*FX</f>
        <v>16303.350298184245</v>
      </c>
      <c r="J7">
        <f>IF(TargetLFY&lt;AcquirorLFY,(1-calendar)*'Target local FX'!J7+calendar*'Target local FX'!K7,(1+calendar)*'Target local FX'!K7+(-calendar*'Target local FX'!J7))*FX</f>
        <v>17258.730215918818</v>
      </c>
    </row>
    <row r="8" spans="1:11" x14ac:dyDescent="0.45">
      <c r="B8" t="s">
        <v>6</v>
      </c>
      <c r="D8">
        <f>IF(TargetLFY&lt;AcquirorLFY,(1-calendar)*'Target local FX'!D8+calendar*'Target local FX'!E8,(1+calendar)*'Target local FX'!E8+(-calendar*'Target local FX'!D8))*FX</f>
        <v>-6113.5569123287669</v>
      </c>
      <c r="E8">
        <f>IF(TargetLFY&lt;AcquirorLFY,(1-calendar)*'Target local FX'!E8+calendar*'Target local FX'!F8,(1+calendar)*'Target local FX'!F8+(-calendar*'Target local FX'!E8))*FX</f>
        <v>-5695.1872602739722</v>
      </c>
      <c r="F8">
        <f>IF(TargetLFY&lt;AcquirorLFY,(1-calendar)*'Target local FX'!F8+calendar*'Target local FX'!G8,(1+calendar)*'Target local FX'!G8+(-calendar*'Target local FX'!F8))*FX</f>
        <v>-5551.714238554343</v>
      </c>
      <c r="G8">
        <f>IF(TargetLFY&lt;AcquirorLFY,(1-calendar)*'Target local FX'!G8+calendar*'Target local FX'!H8,(1+calendar)*'Target local FX'!H8+(-calendar*'Target local FX'!G8))*FX</f>
        <v>-5891.1291771985807</v>
      </c>
      <c r="H8">
        <f>IF(TargetLFY&lt;AcquirorLFY,(1-calendar)*'Target local FX'!H8+calendar*'Target local FX'!I8,(1+calendar)*'Target local FX'!I8+(-calendar*'Target local FX'!H8))*FX</f>
        <v>-6414.6915409363592</v>
      </c>
      <c r="I8">
        <f>IF(TargetLFY&lt;AcquirorLFY,(1-calendar)*'Target local FX'!I8+calendar*'Target local FX'!J8,(1+calendar)*'Target local FX'!J8+(-calendar*'Target local FX'!I8))*FX</f>
        <v>-6847.4071252373815</v>
      </c>
      <c r="J8">
        <f>IF(TargetLFY&lt;AcquirorLFY,(1-calendar)*'Target local FX'!J8+calendar*'Target local FX'!K8,(1+calendar)*'Target local FX'!K8+(-calendar*'Target local FX'!J8))*FX</f>
        <v>-7248.6666906859036</v>
      </c>
    </row>
    <row r="9" spans="1:11" s="3" customFormat="1" x14ac:dyDescent="0.45">
      <c r="A9" s="46"/>
      <c r="B9" t="s">
        <v>8</v>
      </c>
      <c r="C9"/>
      <c r="D9">
        <f>D7+D8</f>
        <v>8695.3134739726011</v>
      </c>
      <c r="E9">
        <f t="shared" ref="E9:J9" si="0">E7+E8</f>
        <v>8098.1844821917812</v>
      </c>
      <c r="F9">
        <f t="shared" si="0"/>
        <v>7534.7224348464097</v>
      </c>
      <c r="G9">
        <f t="shared" si="0"/>
        <v>8135.368863750421</v>
      </c>
      <c r="H9">
        <f t="shared" si="0"/>
        <v>8858.3835565311638</v>
      </c>
      <c r="I9">
        <f t="shared" si="0"/>
        <v>9455.9431729468633</v>
      </c>
      <c r="J9">
        <f t="shared" si="0"/>
        <v>10010.063525232916</v>
      </c>
      <c r="K9"/>
    </row>
    <row r="10" spans="1:11" x14ac:dyDescent="0.45">
      <c r="B10" t="s">
        <v>7</v>
      </c>
      <c r="D10" s="2">
        <f>D9/D7</f>
        <v>0.58716926052752927</v>
      </c>
      <c r="E10" s="2">
        <f t="shared" ref="E10:J10" si="1">E9/E7</f>
        <v>0.58710695494850196</v>
      </c>
      <c r="F10" s="2">
        <f t="shared" si="1"/>
        <v>0.57576578123526523</v>
      </c>
      <c r="G10" s="2">
        <f t="shared" si="1"/>
        <v>0.57999999999999996</v>
      </c>
      <c r="H10" s="2">
        <f t="shared" si="1"/>
        <v>0.58000000000000007</v>
      </c>
      <c r="I10" s="2">
        <f t="shared" si="1"/>
        <v>0.58000000000000007</v>
      </c>
      <c r="J10" s="2">
        <f t="shared" si="1"/>
        <v>0.58000000000000007</v>
      </c>
    </row>
    <row r="12" spans="1:11" x14ac:dyDescent="0.45">
      <c r="B12" t="s">
        <v>9</v>
      </c>
      <c r="D12">
        <f>IF(TargetLFY&lt;AcquirorLFY,(1-calendar)*'Target local FX'!D12+calendar*'Target local FX'!E12,(1+calendar)*'Target local FX'!E12+(-calendar*'Target local FX'!D12))*FX</f>
        <v>-2610.3308547945203</v>
      </c>
      <c r="E12">
        <f>IF(TargetLFY&lt;AcquirorLFY,(1-calendar)*'Target local FX'!E12+calendar*'Target local FX'!F12,(1+calendar)*'Target local FX'!F12+(-calendar*'Target local FX'!E12))*FX</f>
        <v>-2600.7296630136989</v>
      </c>
      <c r="F12">
        <f>IF(TargetLFY&lt;AcquirorLFY,(1-calendar)*'Target local FX'!F12+calendar*'Target local FX'!G12,(1+calendar)*'Target local FX'!G12+(-calendar*'Target local FX'!F12))*FX</f>
        <v>-2701.5860590637121</v>
      </c>
      <c r="G12">
        <f>IF(TargetLFY&lt;AcquirorLFY,(1-calendar)*'Target local FX'!G12+calendar*'Target local FX'!H12,(1+calendar)*'Target local FX'!H12+(-calendar*'Target local FX'!G12))*FX</f>
        <v>-2805.2996081898</v>
      </c>
      <c r="H12">
        <f>IF(TargetLFY&lt;AcquirorLFY,(1-calendar)*'Target local FX'!H12+calendar*'Target local FX'!I12,(1+calendar)*'Target local FX'!I12+(-calendar*'Target local FX'!H12))*FX</f>
        <v>-3054.6150194935049</v>
      </c>
      <c r="I12">
        <f>IF(TargetLFY&lt;AcquirorLFY,(1-calendar)*'Target local FX'!I12+calendar*'Target local FX'!J12,(1+calendar)*'Target local FX'!J12+(-calendar*'Target local FX'!I12))*FX</f>
        <v>-3260.6700596368491</v>
      </c>
      <c r="J12">
        <f>IF(TargetLFY&lt;AcquirorLFY,(1-calendar)*'Target local FX'!J12+calendar*'Target local FX'!K12,(1+calendar)*'Target local FX'!K12+(-calendar*'Target local FX'!J12))*FX</f>
        <v>-3451.7460431837635</v>
      </c>
    </row>
    <row r="13" spans="1:11" x14ac:dyDescent="0.45">
      <c r="B13" t="s">
        <v>64</v>
      </c>
      <c r="D13">
        <f>IF(TargetLFY&lt;AcquirorLFY,(1-calendar)*'Target local FX'!D13+calendar*'Target local FX'!E13,(1+calendar)*'Target local FX'!E13+(-calendar*'Target local FX'!D13))*FX</f>
        <v>-1594.7618630136985</v>
      </c>
      <c r="E13">
        <f>IF(TargetLFY&lt;AcquirorLFY,(1-calendar)*'Target local FX'!E13+calendar*'Target local FX'!F13,(1+calendar)*'Target local FX'!F13+(-calendar*'Target local FX'!E13))*FX</f>
        <v>-1481.142115068493</v>
      </c>
      <c r="F13">
        <f>IF(TargetLFY&lt;AcquirorLFY,(1-calendar)*'Target local FX'!F13+calendar*'Target local FX'!G13,(1+calendar)*'Target local FX'!G13+(-calendar*'Target local FX'!F13))*FX</f>
        <v>-1437.6724964296634</v>
      </c>
      <c r="G13">
        <f>IF(TargetLFY&lt;AcquirorLFY,(1-calendar)*'Target local FX'!G13+calendar*'Target local FX'!H13,(1+calendar)*'Target local FX'!H13+(-calendar*'Target local FX'!G13))*FX</f>
        <v>-1473.7664769155542</v>
      </c>
      <c r="H13">
        <f>IF(TargetLFY&lt;AcquirorLFY,(1-calendar)*'Target local FX'!H13+calendar*'Target local FX'!I13,(1+calendar)*'Target local FX'!I13+(-calendar*'Target local FX'!H13))*FX</f>
        <v>-1572.2222016499522</v>
      </c>
      <c r="I13">
        <f>IF(TargetLFY&lt;AcquirorLFY,(1-calendar)*'Target local FX'!I13+calendar*'Target local FX'!J13,(1+calendar)*'Target local FX'!J13+(-calendar*'Target local FX'!I13))*FX</f>
        <v>-1662.978604482639</v>
      </c>
      <c r="J13">
        <f>IF(TargetLFY&lt;AcquirorLFY,(1-calendar)*'Target local FX'!J13+calendar*'Target local FX'!K13,(1+calendar)*'Target local FX'!K13+(-calendar*'Target local FX'!J13))*FX</f>
        <v>-1781.2019506499198</v>
      </c>
    </row>
    <row r="14" spans="1:11" s="3" customFormat="1" x14ac:dyDescent="0.45">
      <c r="A14" s="46"/>
      <c r="B14" t="s">
        <v>10</v>
      </c>
      <c r="C14"/>
      <c r="D14">
        <f t="shared" ref="D14:J14" si="2">D9+D12+D13</f>
        <v>4490.2207561643827</v>
      </c>
      <c r="E14">
        <f t="shared" si="2"/>
        <v>4016.3127041095895</v>
      </c>
      <c r="F14">
        <f t="shared" si="2"/>
        <v>3395.4638793530339</v>
      </c>
      <c r="G14">
        <f t="shared" si="2"/>
        <v>3856.3027786450666</v>
      </c>
      <c r="H14">
        <f t="shared" si="2"/>
        <v>4231.5463353877058</v>
      </c>
      <c r="I14">
        <f t="shared" si="2"/>
        <v>4532.2945088273755</v>
      </c>
      <c r="J14">
        <f t="shared" si="2"/>
        <v>4777.1155313992322</v>
      </c>
      <c r="K14"/>
    </row>
    <row r="15" spans="1:11" x14ac:dyDescent="0.45">
      <c r="B15" t="s">
        <v>7</v>
      </c>
      <c r="D15" s="2">
        <f t="shared" ref="D15:J15" si="3">D14/D7</f>
        <v>0.30321156435523711</v>
      </c>
      <c r="E15" s="2">
        <f t="shared" si="3"/>
        <v>0.29117700726824741</v>
      </c>
      <c r="F15" s="2">
        <f t="shared" si="3"/>
        <v>0.25946435718858368</v>
      </c>
      <c r="G15" s="2">
        <f t="shared" si="3"/>
        <v>0.2749298340460295</v>
      </c>
      <c r="H15" s="2">
        <f t="shared" si="3"/>
        <v>0.27705922405170075</v>
      </c>
      <c r="I15" s="2">
        <f t="shared" si="3"/>
        <v>0.27799773825212792</v>
      </c>
      <c r="J15" s="2">
        <f t="shared" si="3"/>
        <v>0.27679414833154969</v>
      </c>
    </row>
    <row r="16" spans="1:11" x14ac:dyDescent="0.45">
      <c r="B16" t="s">
        <v>11</v>
      </c>
      <c r="E16" s="2">
        <f t="shared" ref="E16:J16" si="4">E14/D14-1</f>
        <v>-0.10554226123608512</v>
      </c>
      <c r="F16" s="2">
        <f t="shared" si="4"/>
        <v>-0.15458179442085973</v>
      </c>
      <c r="G16" s="2">
        <f t="shared" si="4"/>
        <v>0.13572192656628701</v>
      </c>
      <c r="H16" s="2">
        <f t="shared" si="4"/>
        <v>9.7306559749564814E-2</v>
      </c>
      <c r="I16" s="2">
        <f t="shared" si="4"/>
        <v>7.107287728945888E-2</v>
      </c>
      <c r="J16" s="2">
        <f t="shared" si="4"/>
        <v>5.401701546424853E-2</v>
      </c>
    </row>
    <row r="18" spans="1:11" x14ac:dyDescent="0.45">
      <c r="B18" t="s">
        <v>63</v>
      </c>
      <c r="D18">
        <f>IF(TargetLFY&lt;AcquirorLFY,(1-calendar)*'Target local FX'!D18+calendar*'Target local FX'!E18,(1+calendar)*'Target local FX'!E18+(-calendar*'Target local FX'!D18))*FX</f>
        <v>-533.47973424657539</v>
      </c>
      <c r="E18">
        <f>IF(TargetLFY&lt;AcquirorLFY,(1-calendar)*'Target local FX'!E18+calendar*'Target local FX'!F18,(1+calendar)*'Target local FX'!F18+(-calendar*'Target local FX'!E18))*FX</f>
        <v>-556.90299452054785</v>
      </c>
      <c r="F18">
        <f>IF(TargetLFY&lt;AcquirorLFY,(1-calendar)*'Target local FX'!F18+calendar*'Target local FX'!G18,(1+calendar)*'Target local FX'!G18+(-calendar*'Target local FX'!F18))*FX</f>
        <v>-591.05445082514075</v>
      </c>
      <c r="G18">
        <f>IF(TargetLFY&lt;AcquirorLFY,(1-calendar)*'Target local FX'!G18+calendar*'Target local FX'!H18,(1+calendar)*'Target local FX'!H18+(-calendar*'Target local FX'!G18))*FX</f>
        <v>-622.27129506458812</v>
      </c>
      <c r="H18">
        <f>IF(TargetLFY&lt;AcquirorLFY,(1-calendar)*'Target local FX'!H18+calendar*'Target local FX'!I18,(1+calendar)*'Target local FX'!I18+(-calendar*'Target local FX'!H18))*FX</f>
        <v>-657.83425674000057</v>
      </c>
      <c r="I18">
        <f>IF(TargetLFY&lt;AcquirorLFY,(1-calendar)*'Target local FX'!I18+calendar*'Target local FX'!J18,(1+calendar)*'Target local FX'!J18+(-calendar*'Target local FX'!I18))*FX</f>
        <v>-698.98315008964505</v>
      </c>
      <c r="J18">
        <f>IF(TargetLFY&lt;AcquirorLFY,(1-calendar)*'Target local FX'!J18+calendar*'Target local FX'!K18,(1+calendar)*'Target local FX'!K18+(-calendar*'Target local FX'!J18))*FX</f>
        <v>-743.3042545311522</v>
      </c>
    </row>
    <row r="19" spans="1:11" x14ac:dyDescent="0.45">
      <c r="B19" t="s">
        <v>325</v>
      </c>
      <c r="D19">
        <f>IF(TargetLFY&lt;AcquirorLFY,(1-calendar)*'Target local FX'!D19+calendar*'Target local FX'!E19,(1+calendar)*'Target local FX'!E19+(-calendar*'Target local FX'!D19))*FX</f>
        <v>-131.5428410958904</v>
      </c>
      <c r="E19">
        <f>IF(TargetLFY&lt;AcquirorLFY,(1-calendar)*'Target local FX'!E19+calendar*'Target local FX'!F19,(1+calendar)*'Target local FX'!F19+(-calendar*'Target local FX'!E19))*FX</f>
        <v>-127.48089863013698</v>
      </c>
      <c r="F19">
        <f>IF(TargetLFY&lt;AcquirorLFY,(1-calendar)*'Target local FX'!F19+calendar*'Target local FX'!G19,(1+calendar)*'Target local FX'!G19+(-calendar*'Target local FX'!F19))*FX</f>
        <v>-110.31599999999999</v>
      </c>
      <c r="G19">
        <f>IF(TargetLFY&lt;AcquirorLFY,(1-calendar)*'Target local FX'!G19+calendar*'Target local FX'!H19,(1+calendar)*'Target local FX'!H19+(-calendar*'Target local FX'!G19))*FX</f>
        <v>-110.31599999999999</v>
      </c>
      <c r="H19">
        <f>IF(TargetLFY&lt;AcquirorLFY,(1-calendar)*'Target local FX'!H19+calendar*'Target local FX'!I19,(1+calendar)*'Target local FX'!I19+(-calendar*'Target local FX'!H19))*FX</f>
        <v>-110.31599999999999</v>
      </c>
      <c r="I19">
        <f>IF(TargetLFY&lt;AcquirorLFY,(1-calendar)*'Target local FX'!I19+calendar*'Target local FX'!J19,(1+calendar)*'Target local FX'!J19+(-calendar*'Target local FX'!I19))*FX</f>
        <v>-110.31599999999999</v>
      </c>
      <c r="J19">
        <f>IF(TargetLFY&lt;AcquirorLFY,(1-calendar)*'Target local FX'!J19+calendar*'Target local FX'!K19,(1+calendar)*'Target local FX'!K19+(-calendar*'Target local FX'!J19))*FX</f>
        <v>-110.31599999999999</v>
      </c>
    </row>
    <row r="20" spans="1:11" s="3" customFormat="1" x14ac:dyDescent="0.45">
      <c r="A20" s="46"/>
      <c r="B20" t="s">
        <v>12</v>
      </c>
      <c r="C20"/>
      <c r="D20">
        <f>D14+D18+D19</f>
        <v>3825.198180821917</v>
      </c>
      <c r="E20">
        <f t="shared" ref="E20:J20" si="5">E14+E18+E19</f>
        <v>3331.9288109589047</v>
      </c>
      <c r="F20">
        <f t="shared" si="5"/>
        <v>2694.0934285278936</v>
      </c>
      <c r="G20">
        <f t="shared" si="5"/>
        <v>3123.7154835804786</v>
      </c>
      <c r="H20">
        <f t="shared" si="5"/>
        <v>3463.3960786477055</v>
      </c>
      <c r="I20">
        <f t="shared" si="5"/>
        <v>3722.9953587377304</v>
      </c>
      <c r="J20">
        <f t="shared" si="5"/>
        <v>3923.4952768680801</v>
      </c>
      <c r="K20"/>
    </row>
    <row r="21" spans="1:11" x14ac:dyDescent="0.45">
      <c r="B21" t="s">
        <v>7</v>
      </c>
      <c r="D21" s="2">
        <f>D20/D7</f>
        <v>0.25830452161701245</v>
      </c>
      <c r="E21" s="2">
        <f t="shared" ref="E21:J21" si="6">E20/E7</f>
        <v>0.24156014012881791</v>
      </c>
      <c r="F21" s="2">
        <f t="shared" si="6"/>
        <v>0.20586913731862988</v>
      </c>
      <c r="G21" s="2">
        <f t="shared" si="6"/>
        <v>0.22270102447960238</v>
      </c>
      <c r="H21" s="2">
        <f t="shared" si="6"/>
        <v>0.22676481694390294</v>
      </c>
      <c r="I21" s="2">
        <f t="shared" si="6"/>
        <v>0.22835768664998704</v>
      </c>
      <c r="J21" s="2">
        <f t="shared" si="6"/>
        <v>0.22733394796618306</v>
      </c>
    </row>
    <row r="23" spans="1:11" x14ac:dyDescent="0.45">
      <c r="B23" t="s">
        <v>68</v>
      </c>
      <c r="D23">
        <f>IF(TargetLFY&lt;AcquirorLFY,(1-calendar)*'Target local FX'!D23+calendar*'Target local FX'!E23,(1+calendar)*'Target local FX'!E23+(-calendar*'Target local FX'!D23))*FX</f>
        <v>-123.89836438356163</v>
      </c>
      <c r="E23">
        <f>IF(TargetLFY&lt;AcquirorLFY,(1-calendar)*'Target local FX'!E23+calendar*'Target local FX'!F23,(1+calendar)*'Target local FX'!F23+(-calendar*'Target local FX'!E23))*FX</f>
        <v>-343.47775068493149</v>
      </c>
      <c r="F23">
        <f>IF(TargetLFY&lt;AcquirorLFY,(1-calendar)*'Target local FX'!F23+calendar*'Target local FX'!G23,(1+calendar)*'Target local FX'!G23+(-calendar*'Target local FX'!F23))*FX</f>
        <v>-188.81388493150683</v>
      </c>
      <c r="G23">
        <f>IF(TargetLFY&lt;AcquirorLFY,(1-calendar)*'Target local FX'!G23+calendar*'Target local FX'!H23,(1+calendar)*'Target local FX'!H23+(-calendar*'Target local FX'!G23))*FX</f>
        <v>0</v>
      </c>
      <c r="H23">
        <f>IF(TargetLFY&lt;AcquirorLFY,(1-calendar)*'Target local FX'!H23+calendar*'Target local FX'!I23,(1+calendar)*'Target local FX'!I23+(-calendar*'Target local FX'!H23))*FX</f>
        <v>0</v>
      </c>
      <c r="I23">
        <f>IF(TargetLFY&lt;AcquirorLFY,(1-calendar)*'Target local FX'!I23+calendar*'Target local FX'!J23,(1+calendar)*'Target local FX'!J23+(-calendar*'Target local FX'!I23))*FX</f>
        <v>0</v>
      </c>
      <c r="J23">
        <f>IF(TargetLFY&lt;AcquirorLFY,(1-calendar)*'Target local FX'!J23+calendar*'Target local FX'!K23,(1+calendar)*'Target local FX'!K23+(-calendar*'Target local FX'!J23))*FX</f>
        <v>0</v>
      </c>
    </row>
    <row r="24" spans="1:11" x14ac:dyDescent="0.45">
      <c r="B24" t="s">
        <v>65</v>
      </c>
      <c r="D24">
        <f>IF(TargetLFY&lt;AcquirorLFY,(1-calendar)*'Target local FX'!D24+calendar*'Target local FX'!E24,(1+calendar)*'Target local FX'!E24+(-calendar*'Target local FX'!D24))*FX</f>
        <v>0</v>
      </c>
      <c r="E24">
        <f>IF(TargetLFY&lt;AcquirorLFY,(1-calendar)*'Target local FX'!E24+calendar*'Target local FX'!F24,(1+calendar)*'Target local FX'!F24+(-calendar*'Target local FX'!E24))*FX</f>
        <v>0</v>
      </c>
      <c r="F24">
        <f>IF(TargetLFY&lt;AcquirorLFY,(1-calendar)*'Target local FX'!F24+calendar*'Target local FX'!G24,(1+calendar)*'Target local FX'!G24+(-calendar*'Target local FX'!F24))*FX</f>
        <v>0</v>
      </c>
      <c r="G24">
        <f>IF(TargetLFY&lt;AcquirorLFY,(1-calendar)*'Target local FX'!G24+calendar*'Target local FX'!H24,(1+calendar)*'Target local FX'!H24+(-calendar*'Target local FX'!G24))*FX</f>
        <v>0</v>
      </c>
      <c r="H24">
        <f>IF(TargetLFY&lt;AcquirorLFY,(1-calendar)*'Target local FX'!H24+calendar*'Target local FX'!I24,(1+calendar)*'Target local FX'!I24+(-calendar*'Target local FX'!H24))*FX</f>
        <v>0</v>
      </c>
      <c r="I24">
        <f>IF(TargetLFY&lt;AcquirorLFY,(1-calendar)*'Target local FX'!I24+calendar*'Target local FX'!J24,(1+calendar)*'Target local FX'!J24+(-calendar*'Target local FX'!I24))*FX</f>
        <v>0</v>
      </c>
      <c r="J24">
        <f>IF(TargetLFY&lt;AcquirorLFY,(1-calendar)*'Target local FX'!J24+calendar*'Target local FX'!K24,(1+calendar)*'Target local FX'!K24+(-calendar*'Target local FX'!J24))*FX</f>
        <v>0</v>
      </c>
    </row>
    <row r="25" spans="1:11" x14ac:dyDescent="0.45">
      <c r="B25" t="s">
        <v>66</v>
      </c>
      <c r="D25">
        <f>IF(TargetLFY&lt;AcquirorLFY,(1-calendar)*'Target local FX'!D25+calendar*'Target local FX'!E25,(1+calendar)*'Target local FX'!E25+(-calendar*'Target local FX'!D25))*FX</f>
        <v>-294.17165753424655</v>
      </c>
      <c r="E25">
        <f>IF(TargetLFY&lt;AcquirorLFY,(1-calendar)*'Target local FX'!E25+calendar*'Target local FX'!F25,(1+calendar)*'Target local FX'!F25+(-calendar*'Target local FX'!E25))*FX</f>
        <v>-412.72878904109587</v>
      </c>
      <c r="F25">
        <f>IF(TargetLFY&lt;AcquirorLFY,(1-calendar)*'Target local FX'!F25+calendar*'Target local FX'!G25,(1+calendar)*'Target local FX'!G25+(-calendar*'Target local FX'!F25))*FX</f>
        <v>-277.18132602739729</v>
      </c>
      <c r="G25">
        <f>IF(TargetLFY&lt;AcquirorLFY,(1-calendar)*'Target local FX'!G25+calendar*'Target local FX'!H25,(1+calendar)*'Target local FX'!H25+(-calendar*'Target local FX'!G25))*FX</f>
        <v>0</v>
      </c>
      <c r="H25">
        <f>IF(TargetLFY&lt;AcquirorLFY,(1-calendar)*'Target local FX'!H25+calendar*'Target local FX'!I25,(1+calendar)*'Target local FX'!I25+(-calendar*'Target local FX'!H25))*FX</f>
        <v>0</v>
      </c>
      <c r="I25">
        <f>IF(TargetLFY&lt;AcquirorLFY,(1-calendar)*'Target local FX'!I25+calendar*'Target local FX'!J25,(1+calendar)*'Target local FX'!J25+(-calendar*'Target local FX'!I25))*FX</f>
        <v>0</v>
      </c>
      <c r="J25">
        <f>IF(TargetLFY&lt;AcquirorLFY,(1-calendar)*'Target local FX'!J25+calendar*'Target local FX'!K25,(1+calendar)*'Target local FX'!K25+(-calendar*'Target local FX'!J25))*FX</f>
        <v>0</v>
      </c>
    </row>
    <row r="26" spans="1:11" x14ac:dyDescent="0.45">
      <c r="B26" t="s">
        <v>67</v>
      </c>
      <c r="D26">
        <f>IF(TargetLFY&lt;AcquirorLFY,(1-calendar)*'Target local FX'!D26+calendar*'Target local FX'!E26,(1+calendar)*'Target local FX'!E26+(-calendar*'Target local FX'!D26))*FX</f>
        <v>97.947789041095874</v>
      </c>
      <c r="E26">
        <f>IF(TargetLFY&lt;AcquirorLFY,(1-calendar)*'Target local FX'!E26+calendar*'Target local FX'!F26,(1+calendar)*'Target local FX'!F26+(-calendar*'Target local FX'!E26))*FX</f>
        <v>90.081846575342468</v>
      </c>
      <c r="F26">
        <f>IF(TargetLFY&lt;AcquirorLFY,(1-calendar)*'Target local FX'!F26+calendar*'Target local FX'!G26,(1+calendar)*'Target local FX'!G26+(-calendar*'Target local FX'!F26))*FX</f>
        <v>47.044536986301374</v>
      </c>
      <c r="G26">
        <f>IF(TargetLFY&lt;AcquirorLFY,(1-calendar)*'Target local FX'!G26+calendar*'Target local FX'!H26,(1+calendar)*'Target local FX'!H26+(-calendar*'Target local FX'!G26))*FX</f>
        <v>0</v>
      </c>
      <c r="H26">
        <f>IF(TargetLFY&lt;AcquirorLFY,(1-calendar)*'Target local FX'!H26+calendar*'Target local FX'!I26,(1+calendar)*'Target local FX'!I26+(-calendar*'Target local FX'!H26))*FX</f>
        <v>0</v>
      </c>
      <c r="I26">
        <f>IF(TargetLFY&lt;AcquirorLFY,(1-calendar)*'Target local FX'!I26+calendar*'Target local FX'!J26,(1+calendar)*'Target local FX'!J26+(-calendar*'Target local FX'!I26))*FX</f>
        <v>0</v>
      </c>
      <c r="J26">
        <f>IF(TargetLFY&lt;AcquirorLFY,(1-calendar)*'Target local FX'!J26+calendar*'Target local FX'!K26,(1+calendar)*'Target local FX'!K26+(-calendar*'Target local FX'!J26))*FX</f>
        <v>0</v>
      </c>
    </row>
    <row r="27" spans="1:11" x14ac:dyDescent="0.45">
      <c r="B27" t="s">
        <v>69</v>
      </c>
      <c r="D27">
        <f>IF(TargetLFY&lt;AcquirorLFY,(1-calendar)*'Target local FX'!D27+calendar*'Target local FX'!E27,(1+calendar)*'Target local FX'!E27+(-calendar*'Target local FX'!D27))*FX</f>
        <v>-75.564115068493152</v>
      </c>
      <c r="E27">
        <f>IF(TargetLFY&lt;AcquirorLFY,(1-calendar)*'Target local FX'!E27+calendar*'Target local FX'!F27,(1+calendar)*'Target local FX'!F27+(-calendar*'Target local FX'!E27))*FX</f>
        <v>-28.550843835616437</v>
      </c>
      <c r="F27">
        <f>IF(TargetLFY&lt;AcquirorLFY,(1-calendar)*'Target local FX'!F27+calendar*'Target local FX'!G27,(1+calendar)*'Target local FX'!G27+(-calendar*'Target local FX'!F27))*FX</f>
        <v>-13.986213698630138</v>
      </c>
      <c r="G27">
        <f>IF(TargetLFY&lt;AcquirorLFY,(1-calendar)*'Target local FX'!G27+calendar*'Target local FX'!H27,(1+calendar)*'Target local FX'!H27+(-calendar*'Target local FX'!G27))*FX</f>
        <v>0</v>
      </c>
      <c r="H27">
        <f>IF(TargetLFY&lt;AcquirorLFY,(1-calendar)*'Target local FX'!H27+calendar*'Target local FX'!I27,(1+calendar)*'Target local FX'!I27+(-calendar*'Target local FX'!H27))*FX</f>
        <v>0</v>
      </c>
      <c r="I27">
        <f>IF(TargetLFY&lt;AcquirorLFY,(1-calendar)*'Target local FX'!I27+calendar*'Target local FX'!J27,(1+calendar)*'Target local FX'!J27+(-calendar*'Target local FX'!I27))*FX</f>
        <v>0</v>
      </c>
      <c r="J27">
        <f>IF(TargetLFY&lt;AcquirorLFY,(1-calendar)*'Target local FX'!J27+calendar*'Target local FX'!K27,(1+calendar)*'Target local FX'!K27+(-calendar*'Target local FX'!J27))*FX</f>
        <v>0</v>
      </c>
    </row>
    <row r="28" spans="1:11" s="3" customFormat="1" x14ac:dyDescent="0.45">
      <c r="A28" s="46"/>
      <c r="B28" t="s">
        <v>13</v>
      </c>
      <c r="C28"/>
      <c r="D28">
        <f>D20+SUM(D23:D27)</f>
        <v>3429.5118328767117</v>
      </c>
      <c r="E28">
        <f t="shared" ref="E28:J28" si="7">E20+SUM(E23:E27)</f>
        <v>2637.2532739726034</v>
      </c>
      <c r="F28">
        <f t="shared" si="7"/>
        <v>2261.1565408566607</v>
      </c>
      <c r="G28">
        <f t="shared" si="7"/>
        <v>3123.7154835804786</v>
      </c>
      <c r="H28">
        <f t="shared" si="7"/>
        <v>3463.3960786477055</v>
      </c>
      <c r="I28">
        <f t="shared" si="7"/>
        <v>3722.9953587377304</v>
      </c>
      <c r="J28">
        <f t="shared" si="7"/>
        <v>3923.4952768680801</v>
      </c>
      <c r="K28"/>
    </row>
    <row r="30" spans="1:11" x14ac:dyDescent="0.45">
      <c r="B30" t="s">
        <v>14</v>
      </c>
      <c r="D30">
        <f>IF(TargetLFY&lt;AcquirorLFY,(1-calendar)*'Target local FX'!D30+calendar*'Target local FX'!E30,(1+calendar)*'Target local FX'!E30+(-calendar*'Target local FX'!D30))*FX</f>
        <v>-957.71171506849316</v>
      </c>
      <c r="E30">
        <f>IF(TargetLFY&lt;AcquirorLFY,(1-calendar)*'Target local FX'!E30+calendar*'Target local FX'!F30,(1+calendar)*'Target local FX'!F30+(-calendar*'Target local FX'!E30))*FX</f>
        <v>-768.38455068493147</v>
      </c>
      <c r="F30">
        <f>IF(TargetLFY&lt;AcquirorLFY,(1-calendar)*'Target local FX'!F30+calendar*'Target local FX'!G30,(1+calendar)*'Target local FX'!G30+(-calendar*'Target local FX'!F30))*FX</f>
        <v>-790.22867587517328</v>
      </c>
      <c r="G30">
        <f>IF(TargetLFY&lt;AcquirorLFY,(1-calendar)*'Target local FX'!G30+calendar*'Target local FX'!H30,(1+calendar)*'Target local FX'!H30+(-calendar*'Target local FX'!G30))*FX</f>
        <v>-1093.3004192531673</v>
      </c>
      <c r="H30">
        <f>IF(TargetLFY&lt;AcquirorLFY,(1-calendar)*'Target local FX'!H30+calendar*'Target local FX'!I30,(1+calendar)*'Target local FX'!I30+(-calendar*'Target local FX'!H30))*FX</f>
        <v>-1212.1886275266968</v>
      </c>
      <c r="I30">
        <f>IF(TargetLFY&lt;AcquirorLFY,(1-calendar)*'Target local FX'!I30+calendar*'Target local FX'!J30,(1+calendar)*'Target local FX'!J30+(-calendar*'Target local FX'!I30))*FX</f>
        <v>-1303.048375558205</v>
      </c>
      <c r="J30">
        <f>IF(TargetLFY&lt;AcquirorLFY,(1-calendar)*'Target local FX'!J30+calendar*'Target local FX'!K30,(1+calendar)*'Target local FX'!K30+(-calendar*'Target local FX'!J30))*FX</f>
        <v>-1373.2233469038272</v>
      </c>
    </row>
    <row r="31" spans="1:11" s="3" customFormat="1" x14ac:dyDescent="0.45">
      <c r="A31" s="46"/>
      <c r="B31" t="s">
        <v>15</v>
      </c>
      <c r="C31"/>
      <c r="D31">
        <f>D28+D30</f>
        <v>2471.8001178082186</v>
      </c>
      <c r="E31">
        <f t="shared" ref="E31:J31" si="8">E28+E30</f>
        <v>1868.8687232876719</v>
      </c>
      <c r="F31">
        <f t="shared" si="8"/>
        <v>1470.9278649814873</v>
      </c>
      <c r="G31">
        <f t="shared" si="8"/>
        <v>2030.4150643273113</v>
      </c>
      <c r="H31">
        <f t="shared" si="8"/>
        <v>2251.2074511210085</v>
      </c>
      <c r="I31">
        <f t="shared" si="8"/>
        <v>2419.9469831795254</v>
      </c>
      <c r="J31">
        <f t="shared" si="8"/>
        <v>2550.2719299642531</v>
      </c>
      <c r="K31"/>
    </row>
    <row r="32" spans="1:11" x14ac:dyDescent="0.45">
      <c r="B32" t="s">
        <v>23</v>
      </c>
      <c r="D32">
        <f>IF(TargetLFY&lt;AcquirorLFY,(1-calendar)*'Target local FX'!D32+calendar*'Target local FX'!E32,(1+calendar)*'Target local FX'!E32+(-calendar*'Target local FX'!D32))*FX</f>
        <v>17.454106849315068</v>
      </c>
      <c r="E32">
        <f>IF(TargetLFY&lt;AcquirorLFY,(1-calendar)*'Target local FX'!E32+calendar*'Target local FX'!F32,(1+calendar)*'Target local FX'!F32+(-calendar*'Target local FX'!E32))*FX</f>
        <v>-0.25794246575342389</v>
      </c>
      <c r="F32">
        <f>IF(TargetLFY&lt;AcquirorLFY,(1-calendar)*'Target local FX'!F32+calendar*'Target local FX'!G32,(1+calendar)*'Target local FX'!G32+(-calendar*'Target local FX'!F32))*FX</f>
        <v>-14.621950684931507</v>
      </c>
      <c r="G32">
        <f>IF(TargetLFY&lt;AcquirorLFY,(1-calendar)*'Target local FX'!G32+calendar*'Target local FX'!H32,(1+calendar)*'Target local FX'!H32+(-calendar*'Target local FX'!G32))*FX</f>
        <v>0</v>
      </c>
      <c r="H32">
        <f>IF(TargetLFY&lt;AcquirorLFY,(1-calendar)*'Target local FX'!H32+calendar*'Target local FX'!I32,(1+calendar)*'Target local FX'!I32+(-calendar*'Target local FX'!H32))*FX</f>
        <v>0</v>
      </c>
      <c r="I32">
        <f>IF(TargetLFY&lt;AcquirorLFY,(1-calendar)*'Target local FX'!I32+calendar*'Target local FX'!J32,(1+calendar)*'Target local FX'!J32+(-calendar*'Target local FX'!I32))*FX</f>
        <v>0</v>
      </c>
      <c r="J32">
        <f>IF(TargetLFY&lt;AcquirorLFY,(1-calendar)*'Target local FX'!J32+calendar*'Target local FX'!K32,(1+calendar)*'Target local FX'!K32+(-calendar*'Target local FX'!J32))*FX</f>
        <v>0</v>
      </c>
    </row>
    <row r="33" spans="1:11" x14ac:dyDescent="0.45">
      <c r="B33" t="s">
        <v>327</v>
      </c>
      <c r="D33">
        <f>D31-D32</f>
        <v>2454.3460109589037</v>
      </c>
      <c r="E33">
        <f t="shared" ref="E33:J33" si="9">E31-E32</f>
        <v>1869.1266657534252</v>
      </c>
      <c r="F33">
        <f t="shared" si="9"/>
        <v>1485.5498156664189</v>
      </c>
      <c r="G33">
        <f t="shared" si="9"/>
        <v>2030.4150643273113</v>
      </c>
      <c r="H33">
        <f t="shared" si="9"/>
        <v>2251.2074511210085</v>
      </c>
      <c r="I33">
        <f t="shared" si="9"/>
        <v>2419.9469831795254</v>
      </c>
      <c r="J33">
        <f t="shared" si="9"/>
        <v>2550.2719299642531</v>
      </c>
    </row>
    <row r="34" spans="1:11" s="3" customFormat="1" x14ac:dyDescent="0.45">
      <c r="A34" s="46"/>
      <c r="B34" t="s">
        <v>342</v>
      </c>
      <c r="C34"/>
      <c r="D34">
        <f>IF(TargetLFY&lt;AcquirorLFY,(1-calendar)*'Target local FX'!D34+calendar*'Target local FX'!E34,(1+calendar)*'Target local FX'!E34+(-calendar*'Target local FX'!D34))*FX</f>
        <v>2544.379083717221</v>
      </c>
      <c r="E34">
        <f>IF(TargetLFY&lt;AcquirorLFY,(1-calendar)*'Target local FX'!E34+calendar*'Target local FX'!F34,(1+calendar)*'Target local FX'!F34+(-calendar*'Target local FX'!E34))*FX</f>
        <v>2111.6294881686003</v>
      </c>
      <c r="F34">
        <f>IF(TargetLFY&lt;AcquirorLFY,(1-calendar)*'Target local FX'!F34+calendar*'Target local FX'!G34,(1+calendar)*'Target local FX'!G34+(-calendar*'Target local FX'!F34))*FX</f>
        <v>1608.4542832059624</v>
      </c>
      <c r="G34">
        <f>IF(TargetLFY&lt;AcquirorLFY,(1-calendar)*'Target local FX'!G34+calendar*'Target local FX'!H34,(1+calendar)*'Target local FX'!H34+(-calendar*'Target local FX'!G34))*FX</f>
        <v>2030.4150643273113</v>
      </c>
      <c r="H34">
        <f>IF(TargetLFY&lt;AcquirorLFY,(1-calendar)*'Target local FX'!H34+calendar*'Target local FX'!I34,(1+calendar)*'Target local FX'!I34+(-calendar*'Target local FX'!H34))*FX</f>
        <v>2251.2074511210094</v>
      </c>
      <c r="I34">
        <f>IF(TargetLFY&lt;AcquirorLFY,(1-calendar)*'Target local FX'!I34+calendar*'Target local FX'!J34,(1+calendar)*'Target local FX'!J34+(-calendar*'Target local FX'!I34))*FX</f>
        <v>2419.9469831795241</v>
      </c>
      <c r="J34">
        <f>IF(TargetLFY&lt;AcquirorLFY,(1-calendar)*'Target local FX'!J34+calendar*'Target local FX'!K34,(1+calendar)*'Target local FX'!K34+(-calendar*'Target local FX'!J34))*FX</f>
        <v>2550.2719299642508</v>
      </c>
      <c r="K34"/>
    </row>
    <row r="35" spans="1:11" x14ac:dyDescent="0.45">
      <c r="B35" t="s">
        <v>321</v>
      </c>
      <c r="D35">
        <f>'Target local FX'!E35</f>
        <v>481.4</v>
      </c>
      <c r="E35">
        <f>'Target local FX'!F35</f>
        <v>447.1</v>
      </c>
      <c r="F35">
        <f>'Target local FX'!G35</f>
        <v>447.1</v>
      </c>
      <c r="G35">
        <f>'Target local FX'!H35</f>
        <v>447.1</v>
      </c>
      <c r="H35">
        <f>'Target local FX'!I35</f>
        <v>447.1</v>
      </c>
      <c r="I35">
        <f>'Target local FX'!J35</f>
        <v>447.1</v>
      </c>
      <c r="J35">
        <f>'Target local FX'!K35</f>
        <v>447.1</v>
      </c>
    </row>
    <row r="36" spans="1:11" x14ac:dyDescent="0.45">
      <c r="B36" t="s">
        <v>322</v>
      </c>
      <c r="D36">
        <f>D34/D35</f>
        <v>5.2853740833344851</v>
      </c>
      <c r="E36">
        <f t="shared" ref="E36:J36" si="10">E34/E35</f>
        <v>4.7229467415983004</v>
      </c>
      <c r="F36">
        <f t="shared" si="10"/>
        <v>3.5975269139028456</v>
      </c>
      <c r="G36">
        <f t="shared" si="10"/>
        <v>4.5412996294504833</v>
      </c>
      <c r="H36">
        <f t="shared" si="10"/>
        <v>5.0351318522053443</v>
      </c>
      <c r="I36">
        <f t="shared" si="10"/>
        <v>5.4125407809875288</v>
      </c>
      <c r="J36">
        <f t="shared" si="10"/>
        <v>5.7040302616064658</v>
      </c>
    </row>
    <row r="37" spans="1:11" x14ac:dyDescent="0.45">
      <c r="B37" t="s">
        <v>28</v>
      </c>
      <c r="D37">
        <f>IF(TargetLFY&lt;AcquirorLFY,(1-calendar)*'Target local FX'!D37+calendar*'Target local FX'!E37,(1+calendar)*'Target local FX'!E37+(-calendar*'Target local FX'!D37))*FX</f>
        <v>870.42294246575341</v>
      </c>
      <c r="E37">
        <f>IF(TargetLFY&lt;AcquirorLFY,(1-calendar)*'Target local FX'!E37+calendar*'Target local FX'!F37,(1+calendar)*'Target local FX'!F37+(-calendar*'Target local FX'!E37))*FX</f>
        <v>900.23483835616435</v>
      </c>
      <c r="F37">
        <f>IF(TargetLFY&lt;AcquirorLFY,(1-calendar)*'Target local FX'!F37+calendar*'Target local FX'!G37,(1+calendar)*'Target local FX'!G37+(-calendar*'Target local FX'!F37))*FX</f>
        <v>936.35682016197609</v>
      </c>
      <c r="G37">
        <f>IF(TargetLFY&lt;AcquirorLFY,(1-calendar)*'Target local FX'!G37+calendar*'Target local FX'!H37,(1+calendar)*'Target local FX'!H37+(-calendar*'Target local FX'!G37))*FX</f>
        <v>1015.2075321636556</v>
      </c>
      <c r="H37">
        <f>IF(TargetLFY&lt;AcquirorLFY,(1-calendar)*'Target local FX'!H37+calendar*'Target local FX'!I37,(1+calendar)*'Target local FX'!I37+(-calendar*'Target local FX'!H37))*FX</f>
        <v>1125.6037255605047</v>
      </c>
      <c r="I37">
        <f>IF(TargetLFY&lt;AcquirorLFY,(1-calendar)*'Target local FX'!I37+calendar*'Target local FX'!J37,(1+calendar)*'Target local FX'!J37+(-calendar*'Target local FX'!I37))*FX</f>
        <v>1209.973491589762</v>
      </c>
      <c r="J37">
        <f>IF(TargetLFY&lt;AcquirorLFY,(1-calendar)*'Target local FX'!J37+calendar*'Target local FX'!K37,(1+calendar)*'Target local FX'!K37+(-calendar*'Target local FX'!J37))*FX</f>
        <v>1275.1359649821254</v>
      </c>
    </row>
    <row r="39" spans="1:11" x14ac:dyDescent="0.45">
      <c r="A39" s="46" t="s">
        <v>60</v>
      </c>
    </row>
    <row r="40" spans="1:11" s="1" customFormat="1" x14ac:dyDescent="0.45">
      <c r="A40" s="46"/>
      <c r="B40" t="s">
        <v>328</v>
      </c>
      <c r="C40"/>
      <c r="D40"/>
      <c r="E40" s="2">
        <f t="shared" ref="E40:J40" si="11">+E7/D7-1</f>
        <v>-6.8573673571684535E-2</v>
      </c>
      <c r="F40" s="2">
        <f t="shared" si="11"/>
        <v>-5.1251795591686578E-2</v>
      </c>
      <c r="G40" s="2">
        <f t="shared" si="11"/>
        <v>7.1834785206197571E-2</v>
      </c>
      <c r="H40" s="2">
        <f t="shared" si="11"/>
        <v>8.8873006853118941E-2</v>
      </c>
      <c r="I40" s="2">
        <f t="shared" si="11"/>
        <v>6.745695900412052E-2</v>
      </c>
      <c r="J40" s="2">
        <f t="shared" si="11"/>
        <v>5.8600220216146415E-2</v>
      </c>
      <c r="K40"/>
    </row>
    <row r="41" spans="1:11" s="1" customFormat="1" x14ac:dyDescent="0.45">
      <c r="A41" s="46"/>
      <c r="B41" t="s">
        <v>61</v>
      </c>
      <c r="C41"/>
      <c r="D41" s="2">
        <f t="shared" ref="D41:J41" si="12">+-D8/D7</f>
        <v>0.41283073947247068</v>
      </c>
      <c r="E41" s="2">
        <f t="shared" si="12"/>
        <v>0.41289304505149804</v>
      </c>
      <c r="F41" s="2">
        <f t="shared" si="12"/>
        <v>0.42423421876473477</v>
      </c>
      <c r="G41" s="2">
        <f t="shared" si="12"/>
        <v>0.42</v>
      </c>
      <c r="H41" s="2">
        <f t="shared" si="12"/>
        <v>0.42</v>
      </c>
      <c r="I41" s="2">
        <f t="shared" si="12"/>
        <v>0.41999999999999993</v>
      </c>
      <c r="J41" s="2">
        <f t="shared" si="12"/>
        <v>0.42</v>
      </c>
      <c r="K41"/>
    </row>
    <row r="42" spans="1:11" s="1" customFormat="1" x14ac:dyDescent="0.45">
      <c r="A42" s="46"/>
      <c r="B42" t="s">
        <v>62</v>
      </c>
      <c r="C42"/>
      <c r="D42" s="2">
        <f t="shared" ref="D42:J42" si="13">D12/D7*-1</f>
        <v>0.17626806006818396</v>
      </c>
      <c r="E42" s="2">
        <f t="shared" si="13"/>
        <v>0.1885492330353726</v>
      </c>
      <c r="F42" s="2">
        <f t="shared" si="13"/>
        <v>0.20644168664758877</v>
      </c>
      <c r="G42" s="2">
        <f t="shared" si="13"/>
        <v>0.19999999999999998</v>
      </c>
      <c r="H42" s="2">
        <f t="shared" si="13"/>
        <v>0.2</v>
      </c>
      <c r="I42" s="2">
        <f t="shared" si="13"/>
        <v>0.2</v>
      </c>
      <c r="J42" s="2">
        <f t="shared" si="13"/>
        <v>0.19999999999999998</v>
      </c>
      <c r="K42"/>
    </row>
    <row r="43" spans="1:11" s="1" customFormat="1" x14ac:dyDescent="0.45">
      <c r="A43" s="46"/>
      <c r="B43" t="s">
        <v>72</v>
      </c>
      <c r="C43"/>
      <c r="D43" s="2">
        <f t="shared" ref="D43:J43" si="14">-D13/D7</f>
        <v>0.1076896361041082</v>
      </c>
      <c r="E43" s="2">
        <f t="shared" si="14"/>
        <v>0.10738071464488194</v>
      </c>
      <c r="F43" s="2">
        <f t="shared" si="14"/>
        <v>0.10985973739909273</v>
      </c>
      <c r="G43" s="2">
        <f t="shared" si="14"/>
        <v>0.10507016595397053</v>
      </c>
      <c r="H43" s="2">
        <f t="shared" si="14"/>
        <v>0.1029407759482992</v>
      </c>
      <c r="I43" s="2">
        <f t="shared" si="14"/>
        <v>0.10200226174787216</v>
      </c>
      <c r="J43" s="2">
        <f t="shared" si="14"/>
        <v>0.10320585166845037</v>
      </c>
      <c r="K43"/>
    </row>
    <row r="44" spans="1:11" s="1" customFormat="1" x14ac:dyDescent="0.45">
      <c r="A44" s="46"/>
      <c r="B44" t="s">
        <v>68</v>
      </c>
      <c r="C44"/>
      <c r="D44">
        <f t="shared" ref="D44:J45" si="15">D23</f>
        <v>-123.89836438356163</v>
      </c>
      <c r="E44">
        <f t="shared" si="15"/>
        <v>-343.47775068493149</v>
      </c>
      <c r="F44">
        <f t="shared" si="15"/>
        <v>-188.81388493150683</v>
      </c>
      <c r="G44">
        <f t="shared" si="15"/>
        <v>0</v>
      </c>
      <c r="H44">
        <f t="shared" si="15"/>
        <v>0</v>
      </c>
      <c r="I44">
        <f t="shared" si="15"/>
        <v>0</v>
      </c>
      <c r="J44">
        <f t="shared" si="15"/>
        <v>0</v>
      </c>
      <c r="K44"/>
    </row>
    <row r="45" spans="1:11" s="1" customFormat="1" x14ac:dyDescent="0.45">
      <c r="A45" s="46"/>
      <c r="B45" t="s">
        <v>65</v>
      </c>
      <c r="C45"/>
      <c r="D45">
        <f t="shared" si="15"/>
        <v>0</v>
      </c>
      <c r="E45">
        <f t="shared" si="15"/>
        <v>0</v>
      </c>
      <c r="F45">
        <f t="shared" si="15"/>
        <v>0</v>
      </c>
      <c r="G45">
        <f t="shared" si="15"/>
        <v>0</v>
      </c>
      <c r="H45">
        <f t="shared" si="15"/>
        <v>0</v>
      </c>
      <c r="I45">
        <f t="shared" si="15"/>
        <v>0</v>
      </c>
      <c r="J45">
        <f t="shared" si="15"/>
        <v>0</v>
      </c>
      <c r="K45"/>
    </row>
    <row r="46" spans="1:11" s="1" customFormat="1" x14ac:dyDescent="0.45">
      <c r="A46" s="46"/>
      <c r="B46" t="s">
        <v>71</v>
      </c>
      <c r="C46"/>
      <c r="D46" s="2">
        <f t="shared" ref="D46:J46" si="16">D30/D28*-1</f>
        <v>0.27925598794775236</v>
      </c>
      <c r="E46" s="2">
        <f t="shared" si="16"/>
        <v>0.29135789052504696</v>
      </c>
      <c r="F46" s="2">
        <f t="shared" si="16"/>
        <v>0.34947986200716008</v>
      </c>
      <c r="G46" s="2">
        <f t="shared" si="16"/>
        <v>0.34999999999999992</v>
      </c>
      <c r="H46" s="2">
        <f t="shared" si="16"/>
        <v>0.35</v>
      </c>
      <c r="I46" s="2">
        <f t="shared" si="16"/>
        <v>0.34999999999999981</v>
      </c>
      <c r="J46" s="2">
        <f t="shared" si="16"/>
        <v>0.34999999999999981</v>
      </c>
      <c r="K46"/>
    </row>
    <row r="47" spans="1:11" x14ac:dyDescent="0.45">
      <c r="B47" t="s">
        <v>69</v>
      </c>
      <c r="D47">
        <f t="shared" ref="D47:J47" si="17">+D27</f>
        <v>-75.564115068493152</v>
      </c>
      <c r="E47">
        <f t="shared" si="17"/>
        <v>-28.550843835616437</v>
      </c>
      <c r="F47">
        <f t="shared" si="17"/>
        <v>-13.986213698630138</v>
      </c>
      <c r="G47">
        <f t="shared" si="17"/>
        <v>0</v>
      </c>
      <c r="H47">
        <f t="shared" si="17"/>
        <v>0</v>
      </c>
      <c r="I47">
        <f t="shared" si="17"/>
        <v>0</v>
      </c>
      <c r="J47">
        <f t="shared" si="17"/>
        <v>0</v>
      </c>
    </row>
    <row r="48" spans="1:11" x14ac:dyDescent="0.45">
      <c r="B48" t="s">
        <v>23</v>
      </c>
      <c r="D48">
        <f t="shared" ref="D48:J48" si="18">+D32</f>
        <v>17.454106849315068</v>
      </c>
      <c r="E48">
        <f t="shared" si="18"/>
        <v>-0.25794246575342389</v>
      </c>
      <c r="F48">
        <f t="shared" si="18"/>
        <v>-14.621950684931507</v>
      </c>
      <c r="G48">
        <f t="shared" si="18"/>
        <v>0</v>
      </c>
      <c r="H48">
        <f t="shared" si="18"/>
        <v>0</v>
      </c>
      <c r="I48">
        <f t="shared" si="18"/>
        <v>0</v>
      </c>
      <c r="J48">
        <f t="shared" si="18"/>
        <v>0</v>
      </c>
    </row>
    <row r="49" spans="1:11" x14ac:dyDescent="0.45">
      <c r="B49" t="s">
        <v>321</v>
      </c>
      <c r="D49">
        <f>+D35</f>
        <v>481.4</v>
      </c>
      <c r="E49">
        <f>+E35</f>
        <v>447.1</v>
      </c>
      <c r="F49">
        <f>+E49</f>
        <v>447.1</v>
      </c>
      <c r="G49">
        <f>+F49</f>
        <v>447.1</v>
      </c>
      <c r="H49">
        <f>+G49</f>
        <v>447.1</v>
      </c>
      <c r="I49">
        <f>+H49</f>
        <v>447.1</v>
      </c>
      <c r="J49">
        <f>+I49</f>
        <v>447.1</v>
      </c>
    </row>
    <row r="50" spans="1:11" x14ac:dyDescent="0.45">
      <c r="B50" t="s">
        <v>25</v>
      </c>
      <c r="D50" s="2">
        <f t="shared" ref="D50:J50" si="19">+D37/D34</f>
        <v>0.34209640695289223</v>
      </c>
      <c r="E50" s="2">
        <f t="shared" si="19"/>
        <v>0.42632234651019718</v>
      </c>
      <c r="F50" s="2">
        <f t="shared" si="19"/>
        <v>0.58214699039853013</v>
      </c>
      <c r="G50" s="2">
        <f t="shared" si="19"/>
        <v>0.5</v>
      </c>
      <c r="H50" s="2">
        <f t="shared" si="19"/>
        <v>0.5</v>
      </c>
      <c r="I50" s="2">
        <f t="shared" si="19"/>
        <v>0.5</v>
      </c>
      <c r="J50" s="2">
        <f t="shared" si="19"/>
        <v>0.5</v>
      </c>
    </row>
    <row r="52" spans="1:11" x14ac:dyDescent="0.45">
      <c r="A52" s="46" t="str">
        <f>"Balance sheet in "&amp;C3</f>
        <v>Balance sheet in Euro</v>
      </c>
    </row>
    <row r="53" spans="1:11" x14ac:dyDescent="0.45">
      <c r="B53" t="s">
        <v>18</v>
      </c>
      <c r="D53">
        <f>IF(TargetLFY&lt;AcquirorLFY,(1-calendar)*'Target local FX'!D53+calendar*'Target local FX'!E53,(1+calendar)*'Target local FX'!E53+(-calendar*'Target local FX'!D53))*FX</f>
        <v>2711.8247013698629</v>
      </c>
      <c r="E53">
        <f>IF(TargetLFY&lt;AcquirorLFY,(1-calendar)*'Target local FX'!E53+calendar*'Target local FX'!F53,(1+calendar)*'Target local FX'!F53+(-calendar*'Target local FX'!E53))*FX</f>
        <v>2930.0388164383562</v>
      </c>
      <c r="F53">
        <f>IF(TargetLFY&lt;AcquirorLFY,(1-calendar)*'Target local FX'!F53+calendar*'Target local FX'!G53,(1+calendar)*'Target local FX'!G53+(-calendar*'Target local FX'!F53))*FX</f>
        <v>1427.3728315754238</v>
      </c>
      <c r="G53">
        <f>IF(TargetLFY&lt;AcquirorLFY,(1-calendar)*'Target local FX'!G53+calendar*'Target local FX'!H53,(1+calendar)*'Target local FX'!H53+(-calendar*'Target local FX'!G53))*FX</f>
        <v>1060.3352246362506</v>
      </c>
      <c r="H53">
        <f>IF(TargetLFY&lt;AcquirorLFY,(1-calendar)*'Target local FX'!H53+calendar*'Target local FX'!I53,(1+calendar)*'Target local FX'!I53+(-calendar*'Target local FX'!H53))*FX</f>
        <v>1370.0866743959675</v>
      </c>
      <c r="I53">
        <f>IF(TargetLFY&lt;AcquirorLFY,(1-calendar)*'Target local FX'!I53+calendar*'Target local FX'!J53,(1+calendar)*'Target local FX'!J53+(-calendar*'Target local FX'!I53))*FX</f>
        <v>1811.9770650403873</v>
      </c>
      <c r="J53">
        <f>IF(TargetLFY&lt;AcquirorLFY,(1-calendar)*'Target local FX'!J53+calendar*'Target local FX'!K53,(1+calendar)*'Target local FX'!K53+(-calendar*'Target local FX'!J53))*FX</f>
        <v>2305.7720369646213</v>
      </c>
    </row>
    <row r="54" spans="1:11" x14ac:dyDescent="0.45">
      <c r="B54" t="s">
        <v>73</v>
      </c>
      <c r="D54">
        <f>IF(TargetLFY&lt;AcquirorLFY,(1-calendar)*'Target local FX'!D54+calendar*'Target local FX'!E54,(1+calendar)*'Target local FX'!E54+(-calendar*'Target local FX'!D54))*FX</f>
        <v>3388.9054356164379</v>
      </c>
      <c r="E54">
        <f>IF(TargetLFY&lt;AcquirorLFY,(1-calendar)*'Target local FX'!E54+calendar*'Target local FX'!F54,(1+calendar)*'Target local FX'!F54+(-calendar*'Target local FX'!E54))*FX</f>
        <v>3244.303931506849</v>
      </c>
      <c r="F54">
        <f>IF(TargetLFY&lt;AcquirorLFY,(1-calendar)*'Target local FX'!F54+calendar*'Target local FX'!G54,(1+calendar)*'Target local FX'!G54+(-calendar*'Target local FX'!F54))*FX</f>
        <v>3122.5710729955244</v>
      </c>
      <c r="G54">
        <f>IF(TargetLFY&lt;AcquirorLFY,(1-calendar)*'Target local FX'!G54+calendar*'Target local FX'!H54,(1+calendar)*'Target local FX'!H54+(-calendar*'Target local FX'!G54))*FX</f>
        <v>3308.7163871937237</v>
      </c>
      <c r="H54">
        <f>IF(TargetLFY&lt;AcquirorLFY,(1-calendar)*'Target local FX'!H54+calendar*'Target local FX'!I54,(1+calendar)*'Target local FX'!I54+(-calendar*'Target local FX'!H54))*FX</f>
        <v>3602.771961347818</v>
      </c>
      <c r="I54">
        <f>IF(TargetLFY&lt;AcquirorLFY,(1-calendar)*'Target local FX'!I54+calendar*'Target local FX'!J54,(1+calendar)*'Target local FX'!J54+(-calendar*'Target local FX'!I54))*FX</f>
        <v>3845.8040018456536</v>
      </c>
      <c r="J54">
        <f>IF(TargetLFY&lt;AcquirorLFY,(1-calendar)*'Target local FX'!J54+calendar*'Target local FX'!K54,(1+calendar)*'Target local FX'!K54+(-calendar*'Target local FX'!J54))*FX</f>
        <v>4071.1689632619455</v>
      </c>
    </row>
    <row r="55" spans="1:11" x14ac:dyDescent="0.45">
      <c r="B55" t="s">
        <v>74</v>
      </c>
      <c r="D55">
        <f>IF(TargetLFY&lt;AcquirorLFY,(1-calendar)*'Target local FX'!D55+calendar*'Target local FX'!E55,(1+calendar)*'Target local FX'!E55+(-calendar*'Target local FX'!D55))*FX</f>
        <v>1796.1445808219178</v>
      </c>
      <c r="E55">
        <f>IF(TargetLFY&lt;AcquirorLFY,(1-calendar)*'Target local FX'!E55+calendar*'Target local FX'!F55,(1+calendar)*'Target local FX'!F55+(-calendar*'Target local FX'!E55))*FX</f>
        <v>1647.2622739726025</v>
      </c>
      <c r="F55">
        <f>IF(TargetLFY&lt;AcquirorLFY,(1-calendar)*'Target local FX'!F55+calendar*'Target local FX'!G55,(1+calendar)*'Target local FX'!G55+(-calendar*'Target local FX'!F55))*FX</f>
        <v>1841.2398307341996</v>
      </c>
      <c r="G55">
        <f>IF(TargetLFY&lt;AcquirorLFY,(1-calendar)*'Target local FX'!G55+calendar*'Target local FX'!H55,(1+calendar)*'Target local FX'!H55+(-calendar*'Target local FX'!G55))*FX</f>
        <v>1921.4380878012332</v>
      </c>
      <c r="H55">
        <f>IF(TargetLFY&lt;AcquirorLFY,(1-calendar)*'Target local FX'!H55+calendar*'Target local FX'!I55,(1+calendar)*'Target local FX'!I55+(-calendar*'Target local FX'!H55))*FX</f>
        <v>2092.2020681462359</v>
      </c>
      <c r="I55">
        <f>IF(TargetLFY&lt;AcquirorLFY,(1-calendar)*'Target local FX'!I55+calendar*'Target local FX'!J55,(1+calendar)*'Target local FX'!J55+(-calendar*'Target local FX'!I55))*FX</f>
        <v>2233.3356572855128</v>
      </c>
      <c r="J55">
        <f>IF(TargetLFY&lt;AcquirorLFY,(1-calendar)*'Target local FX'!J55+calendar*'Target local FX'!K55,(1+calendar)*'Target local FX'!K55+(-calendar*'Target local FX'!J55))*FX</f>
        <v>2364.2096186190161</v>
      </c>
    </row>
    <row r="56" spans="1:11" x14ac:dyDescent="0.45">
      <c r="B56" t="s">
        <v>356</v>
      </c>
      <c r="D56">
        <f>IF(TargetLFY&lt;AcquirorLFY,(1-calendar)*'Target local FX'!D56+calendar*'Target local FX'!E56,(1+calendar)*'Target local FX'!E56+(-calendar*'Target local FX'!D56))*FX</f>
        <v>1603.5501452054796</v>
      </c>
      <c r="E56">
        <f>IF(TargetLFY&lt;AcquirorLFY,(1-calendar)*'Target local FX'!E56+calendar*'Target local FX'!F56,(1+calendar)*'Target local FX'!F56+(-calendar*'Target local FX'!E56))*FX</f>
        <v>1504.7008602739727</v>
      </c>
      <c r="F56">
        <f>IF(TargetLFY&lt;AcquirorLFY,(1-calendar)*'Target local FX'!F56+calendar*'Target local FX'!G56,(1+calendar)*'Target local FX'!G56+(-calendar*'Target local FX'!F56))*FX</f>
        <v>1224.9721898360851</v>
      </c>
      <c r="G56">
        <f>IF(TargetLFY&lt;AcquirorLFY,(1-calendar)*'Target local FX'!G56+calendar*'Target local FX'!H56,(1+calendar)*'Target local FX'!H56+(-calendar*'Target local FX'!G56))*FX</f>
        <v>1332.5173138901553</v>
      </c>
      <c r="H56">
        <f>IF(TargetLFY&lt;AcquirorLFY,(1-calendar)*'Target local FX'!H56+calendar*'Target local FX'!I56,(1+calendar)*'Target local FX'!I56+(-calendar*'Target local FX'!H56))*FX</f>
        <v>1450.9421342594146</v>
      </c>
      <c r="I56">
        <f>IF(TargetLFY&lt;AcquirorLFY,(1-calendar)*'Target local FX'!I56+calendar*'Target local FX'!J56,(1+calendar)*'Target local FX'!J56+(-calendar*'Target local FX'!I56))*FX</f>
        <v>1548.8182783275033</v>
      </c>
      <c r="J56">
        <f>IF(TargetLFY&lt;AcquirorLFY,(1-calendar)*'Target local FX'!J56+calendar*'Target local FX'!K56,(1+calendar)*'Target local FX'!K56+(-calendar*'Target local FX'!J56))*FX</f>
        <v>1639.5793705122876</v>
      </c>
    </row>
    <row r="57" spans="1:11" x14ac:dyDescent="0.45">
      <c r="B57" t="s">
        <v>19</v>
      </c>
      <c r="D57">
        <f>IF(TargetLFY&lt;AcquirorLFY,(1-calendar)*'Target local FX'!D57+calendar*'Target local FX'!E57,(1+calendar)*'Target local FX'!E57+(-calendar*'Target local FX'!D57))*FX</f>
        <v>4798.6183315068492</v>
      </c>
      <c r="E57">
        <f>IF(TargetLFY&lt;AcquirorLFY,(1-calendar)*'Target local FX'!E57+calendar*'Target local FX'!F57,(1+calendar)*'Target local FX'!F57+(-calendar*'Target local FX'!E57))*FX</f>
        <v>4810.660857534247</v>
      </c>
      <c r="F57">
        <f>IF(TargetLFY&lt;AcquirorLFY,(1-calendar)*'Target local FX'!F57+calendar*'Target local FX'!G57,(1+calendar)*'Target local FX'!G57+(-calendar*'Target local FX'!F57))*FX</f>
        <v>5064.7383802883742</v>
      </c>
      <c r="G57">
        <f>IF(TargetLFY&lt;AcquirorLFY,(1-calendar)*'Target local FX'!G57+calendar*'Target local FX'!H57,(1+calendar)*'Target local FX'!H57+(-calendar*'Target local FX'!G57))*FX</f>
        <v>5354.1894578854708</v>
      </c>
      <c r="H57">
        <f>IF(TargetLFY&lt;AcquirorLFY,(1-calendar)*'Target local FX'!H57+calendar*'Target local FX'!I57,(1+calendar)*'Target local FX'!I57+(-calendar*'Target local FX'!H57))*FX</f>
        <v>5689.105082480859</v>
      </c>
      <c r="I57">
        <f>IF(TargetLFY&lt;AcquirorLFY,(1-calendar)*'Target local FX'!I57+calendar*'Target local FX'!J57,(1+calendar)*'Target local FX'!J57+(-calendar*'Target local FX'!I57))*FX</f>
        <v>6049.8397017731904</v>
      </c>
      <c r="J57">
        <f>IF(TargetLFY&lt;AcquirorLFY,(1-calendar)*'Target local FX'!J57+calendar*'Target local FX'!K57,(1+calendar)*'Target local FX'!K57+(-calendar*'Target local FX'!J57))*FX</f>
        <v>6428.3529112767619</v>
      </c>
    </row>
    <row r="58" spans="1:11" x14ac:dyDescent="0.45">
      <c r="B58" t="s">
        <v>20</v>
      </c>
      <c r="D58">
        <f>IF(TargetLFY&lt;AcquirorLFY,(1-calendar)*'Target local FX'!D58+calendar*'Target local FX'!E58,(1+calendar)*'Target local FX'!E58+(-calendar*'Target local FX'!D58))*FX</f>
        <v>4026.031142465753</v>
      </c>
      <c r="E58">
        <f>IF(TargetLFY&lt;AcquirorLFY,(1-calendar)*'Target local FX'!E58+calendar*'Target local FX'!F58,(1+calendar)*'Target local FX'!F58+(-calendar*'Target local FX'!E58))*FX</f>
        <v>3849.0852164383559</v>
      </c>
      <c r="F58">
        <f>IF(TargetLFY&lt;AcquirorLFY,(1-calendar)*'Target local FX'!F58+calendar*'Target local FX'!G58,(1+calendar)*'Target local FX'!G58+(-calendar*'Target local FX'!F58))*FX</f>
        <v>3823.02</v>
      </c>
      <c r="G58">
        <f>IF(TargetLFY&lt;AcquirorLFY,(1-calendar)*'Target local FX'!G58+calendar*'Target local FX'!H58,(1+calendar)*'Target local FX'!H58+(-calendar*'Target local FX'!G58))*FX</f>
        <v>3823.02</v>
      </c>
      <c r="H58">
        <f>IF(TargetLFY&lt;AcquirorLFY,(1-calendar)*'Target local FX'!H58+calendar*'Target local FX'!I58,(1+calendar)*'Target local FX'!I58+(-calendar*'Target local FX'!H58))*FX</f>
        <v>3823.02</v>
      </c>
      <c r="I58">
        <f>IF(TargetLFY&lt;AcquirorLFY,(1-calendar)*'Target local FX'!I58+calendar*'Target local FX'!J58,(1+calendar)*'Target local FX'!J58+(-calendar*'Target local FX'!I58))*FX</f>
        <v>3823.02</v>
      </c>
      <c r="J58">
        <f>IF(TargetLFY&lt;AcquirorLFY,(1-calendar)*'Target local FX'!J58+calendar*'Target local FX'!K58,(1+calendar)*'Target local FX'!K58+(-calendar*'Target local FX'!J58))*FX</f>
        <v>3823.02</v>
      </c>
    </row>
    <row r="59" spans="1:11" x14ac:dyDescent="0.45">
      <c r="B59" t="s">
        <v>21</v>
      </c>
      <c r="D59">
        <f>IF(TargetLFY&lt;AcquirorLFY,(1-calendar)*'Target local FX'!D59+calendar*'Target local FX'!E59,(1+calendar)*'Target local FX'!E59+(-calendar*'Target local FX'!D59))*FX</f>
        <v>1407.865610958904</v>
      </c>
      <c r="E59">
        <f>IF(TargetLFY&lt;AcquirorLFY,(1-calendar)*'Target local FX'!E59+calendar*'Target local FX'!F59,(1+calendar)*'Target local FX'!F59+(-calendar*'Target local FX'!E59))*FX</f>
        <v>1201.4725561643834</v>
      </c>
      <c r="F59">
        <f>IF(TargetLFY&lt;AcquirorLFY,(1-calendar)*'Target local FX'!F59+calendar*'Target local FX'!G59,(1+calendar)*'Target local FX'!G59+(-calendar*'Target local FX'!F59))*FX</f>
        <v>1033.3044904109588</v>
      </c>
      <c r="G59">
        <f>IF(TargetLFY&lt;AcquirorLFY,(1-calendar)*'Target local FX'!G59+calendar*'Target local FX'!H59,(1+calendar)*'Target local FX'!H59+(-calendar*'Target local FX'!G59))*FX</f>
        <v>922.98849041095889</v>
      </c>
      <c r="H59">
        <f>IF(TargetLFY&lt;AcquirorLFY,(1-calendar)*'Target local FX'!H59+calendar*'Target local FX'!I59,(1+calendar)*'Target local FX'!I59+(-calendar*'Target local FX'!H59))*FX</f>
        <v>812.67249041095886</v>
      </c>
      <c r="I59">
        <f>IF(TargetLFY&lt;AcquirorLFY,(1-calendar)*'Target local FX'!I59+calendar*'Target local FX'!J59,(1+calendar)*'Target local FX'!J59+(-calendar*'Target local FX'!I59))*FX</f>
        <v>702.35649041095894</v>
      </c>
      <c r="J59">
        <f>IF(TargetLFY&lt;AcquirorLFY,(1-calendar)*'Target local FX'!J59+calendar*'Target local FX'!K59,(1+calendar)*'Target local FX'!K59+(-calendar*'Target local FX'!J59))*FX</f>
        <v>592.04049041095891</v>
      </c>
    </row>
    <row r="60" spans="1:11" x14ac:dyDescent="0.45">
      <c r="B60" t="s">
        <v>357</v>
      </c>
      <c r="D60">
        <f>IF(TargetLFY&lt;AcquirorLFY,(1-calendar)*'Target local FX'!D60+calendar*'Target local FX'!E60,(1+calendar)*'Target local FX'!E60+(-calendar*'Target local FX'!D60))*FX</f>
        <v>1111.7085780821919</v>
      </c>
      <c r="E60">
        <f>IF(TargetLFY&lt;AcquirorLFY,(1-calendar)*'Target local FX'!E60+calendar*'Target local FX'!F60,(1+calendar)*'Target local FX'!F60+(-calendar*'Target local FX'!E60))*FX</f>
        <v>969.86106575342455</v>
      </c>
      <c r="F60">
        <f>IF(TargetLFY&lt;AcquirorLFY,(1-calendar)*'Target local FX'!F60+calendar*'Target local FX'!G60,(1+calendar)*'Target local FX'!G60+(-calendar*'Target local FX'!F60))*FX</f>
        <v>1144.0529999999999</v>
      </c>
      <c r="G60">
        <f>IF(TargetLFY&lt;AcquirorLFY,(1-calendar)*'Target local FX'!G60+calendar*'Target local FX'!H60,(1+calendar)*'Target local FX'!H60+(-calendar*'Target local FX'!G60))*FX</f>
        <v>1144.0529999999999</v>
      </c>
      <c r="H60">
        <f>IF(TargetLFY&lt;AcquirorLFY,(1-calendar)*'Target local FX'!H60+calendar*'Target local FX'!I60,(1+calendar)*'Target local FX'!I60+(-calendar*'Target local FX'!H60))*FX</f>
        <v>1144.0529999999999</v>
      </c>
      <c r="I60">
        <f>IF(TargetLFY&lt;AcquirorLFY,(1-calendar)*'Target local FX'!I60+calendar*'Target local FX'!J60,(1+calendar)*'Target local FX'!J60+(-calendar*'Target local FX'!I60))*FX</f>
        <v>1144.0529999999999</v>
      </c>
      <c r="J60">
        <f>IF(TargetLFY&lt;AcquirorLFY,(1-calendar)*'Target local FX'!J60+calendar*'Target local FX'!K60,(1+calendar)*'Target local FX'!K60+(-calendar*'Target local FX'!J60))*FX</f>
        <v>1144.0529999999999</v>
      </c>
    </row>
    <row r="61" spans="1:11" s="3" customFormat="1" x14ac:dyDescent="0.45">
      <c r="A61" s="46"/>
      <c r="B61" t="s">
        <v>22</v>
      </c>
      <c r="C61"/>
      <c r="D61">
        <f>SUM(D53:D60)</f>
        <v>20844.648526027391</v>
      </c>
      <c r="E61">
        <f t="shared" ref="E61:J61" si="20">SUM(E53:E60)</f>
        <v>20157.38557808219</v>
      </c>
      <c r="F61">
        <f t="shared" si="20"/>
        <v>18681.271795840566</v>
      </c>
      <c r="G61">
        <f t="shared" si="20"/>
        <v>18867.257961817795</v>
      </c>
      <c r="H61">
        <f t="shared" si="20"/>
        <v>19984.853411041251</v>
      </c>
      <c r="I61">
        <f t="shared" si="20"/>
        <v>21159.204194683207</v>
      </c>
      <c r="J61">
        <f t="shared" si="20"/>
        <v>22368.196391045592</v>
      </c>
      <c r="K61"/>
    </row>
    <row r="63" spans="1:11" x14ac:dyDescent="0.45">
      <c r="B63" t="s">
        <v>358</v>
      </c>
      <c r="D63">
        <f>IF(TargetLFY&lt;AcquirorLFY,(1-calendar)*'Target local FX'!D63+calendar*'Target local FX'!E63,(1+calendar)*'Target local FX'!E63+(-calendar*'Target local FX'!D63))*FX</f>
        <v>342.01347123287667</v>
      </c>
      <c r="E63">
        <f>IF(TargetLFY&lt;AcquirorLFY,(1-calendar)*'Target local FX'!E63+calendar*'Target local FX'!F63,(1+calendar)*'Target local FX'!F63+(-calendar*'Target local FX'!E63))*FX</f>
        <v>891.30064931506843</v>
      </c>
      <c r="F63">
        <f>IF(TargetLFY&lt;AcquirorLFY,(1-calendar)*'Target local FX'!F63+calendar*'Target local FX'!G63,(1+calendar)*'Target local FX'!G63+(-calendar*'Target local FX'!F63))*FX</f>
        <v>1008.914597260274</v>
      </c>
      <c r="G63">
        <f>IF(TargetLFY&lt;AcquirorLFY,(1-calendar)*'Target local FX'!G63+calendar*'Target local FX'!H63,(1+calendar)*'Target local FX'!H63+(-calendar*'Target local FX'!G63))*FX</f>
        <v>0</v>
      </c>
      <c r="H63">
        <f>IF(TargetLFY&lt;AcquirorLFY,(1-calendar)*'Target local FX'!H63+calendar*'Target local FX'!I63,(1+calendar)*'Target local FX'!I63+(-calendar*'Target local FX'!H63))*FX</f>
        <v>0</v>
      </c>
      <c r="I63">
        <f>IF(TargetLFY&lt;AcquirorLFY,(1-calendar)*'Target local FX'!I63+calendar*'Target local FX'!J63,(1+calendar)*'Target local FX'!J63+(-calendar*'Target local FX'!I63))*FX</f>
        <v>0</v>
      </c>
      <c r="J63">
        <f>IF(TargetLFY&lt;AcquirorLFY,(1-calendar)*'Target local FX'!J63+calendar*'Target local FX'!K63,(1+calendar)*'Target local FX'!K63+(-calendar*'Target local FX'!J63))*FX</f>
        <v>0</v>
      </c>
    </row>
    <row r="64" spans="1:11" x14ac:dyDescent="0.45">
      <c r="B64" t="s">
        <v>77</v>
      </c>
      <c r="D64">
        <f>IF(TargetLFY&lt;AcquirorLFY,(1-calendar)*'Target local FX'!D64+calendar*'Target local FX'!E64,(1+calendar)*'Target local FX'!E64+(-calendar*'Target local FX'!D64))*FX</f>
        <v>969.86367123287653</v>
      </c>
      <c r="E64">
        <f>IF(TargetLFY&lt;AcquirorLFY,(1-calendar)*'Target local FX'!E64+calendar*'Target local FX'!F64,(1+calendar)*'Target local FX'!F64+(-calendar*'Target local FX'!E64))*FX</f>
        <v>848.630712328767</v>
      </c>
      <c r="F64">
        <f>IF(TargetLFY&lt;AcquirorLFY,(1-calendar)*'Target local FX'!F64+calendar*'Target local FX'!G64,(1+calendar)*'Target local FX'!G64+(-calendar*'Target local FX'!F64))*FX</f>
        <v>965.9674693154974</v>
      </c>
      <c r="G64">
        <f>IF(TargetLFY&lt;AcquirorLFY,(1-calendar)*'Target local FX'!G64+calendar*'Target local FX'!H64,(1+calendar)*'Target local FX'!H64+(-calendar*'Target local FX'!G64))*FX</f>
        <v>1016.8250360644126</v>
      </c>
      <c r="H64">
        <f>IF(TargetLFY&lt;AcquirorLFY,(1-calendar)*'Target local FX'!H64+calendar*'Target local FX'!I64,(1+calendar)*'Target local FX'!I64+(-calendar*'Target local FX'!H64))*FX</f>
        <v>1107.1933344629879</v>
      </c>
      <c r="I64">
        <f>IF(TargetLFY&lt;AcquirorLFY,(1-calendar)*'Target local FX'!I64+calendar*'Target local FX'!J64,(1+calendar)*'Target local FX'!J64+(-calendar*'Target local FX'!I64))*FX</f>
        <v>1181.8812298354935</v>
      </c>
      <c r="J64">
        <f>IF(TargetLFY&lt;AcquirorLFY,(1-calendar)*'Target local FX'!J64+calendar*'Target local FX'!K64,(1+calendar)*'Target local FX'!K64+(-calendar*'Target local FX'!J64))*FX</f>
        <v>1251.1397301731834</v>
      </c>
    </row>
    <row r="65" spans="1:11" x14ac:dyDescent="0.45">
      <c r="B65" t="s">
        <v>78</v>
      </c>
      <c r="D65">
        <f>IF(TargetLFY&lt;AcquirorLFY,(1-calendar)*'Target local FX'!D65+calendar*'Target local FX'!E65,(1+calendar)*'Target local FX'!E65+(-calendar*'Target local FX'!D65))*FX</f>
        <v>2709.1749287671228</v>
      </c>
      <c r="E65">
        <f>IF(TargetLFY&lt;AcquirorLFY,(1-calendar)*'Target local FX'!E65+calendar*'Target local FX'!F65,(1+calendar)*'Target local FX'!F65+(-calendar*'Target local FX'!E65))*FX</f>
        <v>2853.29181369863</v>
      </c>
      <c r="F65">
        <f>IF(TargetLFY&lt;AcquirorLFY,(1-calendar)*'Target local FX'!F65+calendar*'Target local FX'!G65,(1+calendar)*'Target local FX'!G65+(-calendar*'Target local FX'!F65))*FX</f>
        <v>3026.7528944986111</v>
      </c>
      <c r="G65">
        <f>IF(TargetLFY&lt;AcquirorLFY,(1-calendar)*'Target local FX'!G65+calendar*'Target local FX'!H65,(1+calendar)*'Target local FX'!H65+(-calendar*'Target local FX'!G65))*FX</f>
        <v>3226.0945494182706</v>
      </c>
      <c r="H65">
        <f>IF(TargetLFY&lt;AcquirorLFY,(1-calendar)*'Target local FX'!H65+calendar*'Target local FX'!I65,(1+calendar)*'Target local FX'!I65+(-calendar*'Target local FX'!H65))*FX</f>
        <v>3512.8072724175299</v>
      </c>
      <c r="I65">
        <f>IF(TargetLFY&lt;AcquirorLFY,(1-calendar)*'Target local FX'!I65+calendar*'Target local FX'!J65,(1+calendar)*'Target local FX'!J65+(-calendar*'Target local FX'!I65))*FX</f>
        <v>3749.7705685823767</v>
      </c>
      <c r="J65">
        <f>IF(TargetLFY&lt;AcquirorLFY,(1-calendar)*'Target local FX'!J65+calendar*'Target local FX'!K65,(1+calendar)*'Target local FX'!K65+(-calendar*'Target local FX'!J65))*FX</f>
        <v>3969.5079496613289</v>
      </c>
    </row>
    <row r="66" spans="1:11" x14ac:dyDescent="0.45">
      <c r="B66" t="s">
        <v>359</v>
      </c>
      <c r="D66">
        <f>IF(TargetLFY&lt;AcquirorLFY,(1-calendar)*'Target local FX'!D66+calendar*'Target local FX'!E66,(1+calendar)*'Target local FX'!E66+(-calendar*'Target local FX'!D66))*FX</f>
        <v>860.95202465753425</v>
      </c>
      <c r="E66">
        <f>IF(TargetLFY&lt;AcquirorLFY,(1-calendar)*'Target local FX'!E66+calendar*'Target local FX'!F66,(1+calendar)*'Target local FX'!F66+(-calendar*'Target local FX'!E66))*FX</f>
        <v>819.39202191780817</v>
      </c>
      <c r="F66">
        <f>IF(TargetLFY&lt;AcquirorLFY,(1-calendar)*'Target local FX'!F66+calendar*'Target local FX'!G66,(1+calendar)*'Target local FX'!G66+(-calendar*'Target local FX'!F66))*FX</f>
        <v>953.47004615175138</v>
      </c>
      <c r="G66">
        <f>IF(TargetLFY&lt;AcquirorLFY,(1-calendar)*'Target local FX'!G66+calendar*'Target local FX'!H66,(1+calendar)*'Target local FX'!H66+(-calendar*'Target local FX'!G66))*FX</f>
        <v>981.85486286643027</v>
      </c>
      <c r="H66">
        <f>IF(TargetLFY&lt;AcquirorLFY,(1-calendar)*'Target local FX'!H66+calendar*'Target local FX'!I66,(1+calendar)*'Target local FX'!I66+(-calendar*'Target local FX'!H66))*FX</f>
        <v>1069.1152568227267</v>
      </c>
      <c r="I66">
        <f>IF(TargetLFY&lt;AcquirorLFY,(1-calendar)*'Target local FX'!I66+calendar*'Target local FX'!J66,(1+calendar)*'Target local FX'!J66+(-calendar*'Target local FX'!I66))*FX</f>
        <v>1141.2345208728973</v>
      </c>
      <c r="J66">
        <f>IF(TargetLFY&lt;AcquirorLFY,(1-calendar)*'Target local FX'!J66+calendar*'Target local FX'!K66,(1+calendar)*'Target local FX'!K66+(-calendar*'Target local FX'!J66))*FX</f>
        <v>1208.1111151143173</v>
      </c>
    </row>
    <row r="67" spans="1:11" x14ac:dyDescent="0.45">
      <c r="B67" t="s">
        <v>351</v>
      </c>
      <c r="D67">
        <f>IF(TargetLFY&lt;AcquirorLFY,(1-calendar)*'Target local FX'!D67+calendar*'Target local FX'!E67,(1+calendar)*'Target local FX'!E67+(-calendar*'Target local FX'!D67))*FX</f>
        <v>7403.128545205479</v>
      </c>
      <c r="E67">
        <f>IF(TargetLFY&lt;AcquirorLFY,(1-calendar)*'Target local FX'!E67+calendar*'Target local FX'!F67,(1+calendar)*'Target local FX'!F67+(-calendar*'Target local FX'!E67))*FX</f>
        <v>7708.2822986301371</v>
      </c>
      <c r="F67">
        <f>IF(TargetLFY&lt;AcquirorLFY,(1-calendar)*'Target local FX'!F67+calendar*'Target local FX'!G67,(1+calendar)*'Target local FX'!G67+(-calendar*'Target local FX'!F67))*FX</f>
        <v>7087.8029999999999</v>
      </c>
      <c r="G67">
        <f>IF(TargetLFY&lt;AcquirorLFY,(1-calendar)*'Target local FX'!G67+calendar*'Target local FX'!H67,(1+calendar)*'Target local FX'!H67+(-calendar*'Target local FX'!G67))*FX</f>
        <v>6899.2757178082184</v>
      </c>
      <c r="H67">
        <f>IF(TargetLFY&lt;AcquirorLFY,(1-calendar)*'Target local FX'!H67+calendar*'Target local FX'!I67,(1+calendar)*'Target local FX'!I67+(-calendar*'Target local FX'!H67))*FX</f>
        <v>6362.1040191780821</v>
      </c>
      <c r="I67">
        <f>IF(TargetLFY&lt;AcquirorLFY,(1-calendar)*'Target local FX'!I67+calendar*'Target local FX'!J67,(1+calendar)*'Target local FX'!J67+(-calendar*'Target local FX'!I67))*FX</f>
        <v>5889.1365452054788</v>
      </c>
      <c r="J67">
        <f>IF(TargetLFY&lt;AcquirorLFY,(1-calendar)*'Target local FX'!J67+calendar*'Target local FX'!K67,(1+calendar)*'Target local FX'!K67+(-calendar*'Target local FX'!J67))*FX</f>
        <v>5417.4405452054789</v>
      </c>
    </row>
    <row r="68" spans="1:11" x14ac:dyDescent="0.45">
      <c r="B68" t="s">
        <v>76</v>
      </c>
      <c r="D68">
        <f>IF(TargetLFY&lt;AcquirorLFY,(1-calendar)*'Target local FX'!D68+calendar*'Target local FX'!E68,(1+calendar)*'Target local FX'!E68+(-calendar*'Target local FX'!D68))*FX</f>
        <v>430.77955068493151</v>
      </c>
      <c r="E68">
        <f>IF(TargetLFY&lt;AcquirorLFY,(1-calendar)*'Target local FX'!E68+calendar*'Target local FX'!F68,(1+calendar)*'Target local FX'!F68+(-calendar*'Target local FX'!E68))*FX</f>
        <v>237.58846027397263</v>
      </c>
      <c r="F68">
        <f>IF(TargetLFY&lt;AcquirorLFY,(1-calendar)*'Target local FX'!F68+calendar*'Target local FX'!G68,(1+calendar)*'Target local FX'!G68+(-calendar*'Target local FX'!F68))*FX</f>
        <v>88.257273912089701</v>
      </c>
      <c r="G68">
        <f>IF(TargetLFY&lt;AcquirorLFY,(1-calendar)*'Target local FX'!G68+calendar*'Target local FX'!H68,(1+calendar)*'Target local FX'!H68+(-calendar*'Target local FX'!G68))*FX</f>
        <v>140.26498040949002</v>
      </c>
      <c r="H68">
        <f>IF(TargetLFY&lt;AcquirorLFY,(1-calendar)*'Target local FX'!H68+calendar*'Target local FX'!I68,(1+calendar)*'Target local FX'!I68+(-calendar*'Target local FX'!H68))*FX</f>
        <v>152.7307509746752</v>
      </c>
      <c r="I68">
        <f>IF(TargetLFY&lt;AcquirorLFY,(1-calendar)*'Target local FX'!I68+calendar*'Target local FX'!J68,(1+calendar)*'Target local FX'!J68+(-calendar*'Target local FX'!I68))*FX</f>
        <v>163.03350298184245</v>
      </c>
      <c r="J68">
        <f>IF(TargetLFY&lt;AcquirorLFY,(1-calendar)*'Target local FX'!J68+calendar*'Target local FX'!K68,(1+calendar)*'Target local FX'!K68+(-calendar*'Target local FX'!J68))*FX</f>
        <v>172.58730215918817</v>
      </c>
    </row>
    <row r="69" spans="1:11" x14ac:dyDescent="0.45">
      <c r="B69" t="s">
        <v>79</v>
      </c>
      <c r="D69">
        <f>IF(TargetLFY&lt;AcquirorLFY,(1-calendar)*'Target local FX'!D69+calendar*'Target local FX'!E69,(1+calendar)*'Target local FX'!E69+(-calendar*'Target local FX'!D69))*FX</f>
        <v>325.25763287671231</v>
      </c>
      <c r="E69">
        <f>IF(TargetLFY&lt;AcquirorLFY,(1-calendar)*'Target local FX'!E69+calendar*'Target local FX'!F69,(1+calendar)*'Target local FX'!F69+(-calendar*'Target local FX'!E69))*FX</f>
        <v>330.570205479452</v>
      </c>
      <c r="F69">
        <f>IF(TargetLFY&lt;AcquirorLFY,(1-calendar)*'Target local FX'!F69+calendar*'Target local FX'!G69,(1+calendar)*'Target local FX'!G69+(-calendar*'Target local FX'!F69))*FX</f>
        <v>352.82099999999997</v>
      </c>
      <c r="G69">
        <f>IF(TargetLFY&lt;AcquirorLFY,(1-calendar)*'Target local FX'!G69+calendar*'Target local FX'!H69,(1+calendar)*'Target local FX'!H69+(-calendar*'Target local FX'!G69))*FX</f>
        <v>352.82099999999997</v>
      </c>
      <c r="H69">
        <f>IF(TargetLFY&lt;AcquirorLFY,(1-calendar)*'Target local FX'!H69+calendar*'Target local FX'!I69,(1+calendar)*'Target local FX'!I69+(-calendar*'Target local FX'!H69))*FX</f>
        <v>352.82099999999997</v>
      </c>
      <c r="I69">
        <f>IF(TargetLFY&lt;AcquirorLFY,(1-calendar)*'Target local FX'!I69+calendar*'Target local FX'!J69,(1+calendar)*'Target local FX'!J69+(-calendar*'Target local FX'!I69))*FX</f>
        <v>352.82099999999997</v>
      </c>
      <c r="J69">
        <f>IF(TargetLFY&lt;AcquirorLFY,(1-calendar)*'Target local FX'!J69+calendar*'Target local FX'!K69,(1+calendar)*'Target local FX'!K69+(-calendar*'Target local FX'!J69))*FX</f>
        <v>352.82099999999997</v>
      </c>
    </row>
    <row r="70" spans="1:11" x14ac:dyDescent="0.45">
      <c r="B70" t="s">
        <v>360</v>
      </c>
      <c r="D70">
        <f>IF(TargetLFY&lt;AcquirorLFY,(1-calendar)*'Target local FX'!D70+calendar*'Target local FX'!E70,(1+calendar)*'Target local FX'!E70+(-calendar*'Target local FX'!D70))*FX</f>
        <v>563.83878082191779</v>
      </c>
      <c r="E70">
        <f>IF(TargetLFY&lt;AcquirorLFY,(1-calendar)*'Target local FX'!E70+calendar*'Target local FX'!F70,(1+calendar)*'Target local FX'!F70+(-calendar*'Target local FX'!E70))*FX</f>
        <v>582.12143013698619</v>
      </c>
      <c r="F70">
        <f>IF(TargetLFY&lt;AcquirorLFY,(1-calendar)*'Target local FX'!F70+calendar*'Target local FX'!G70,(1+calendar)*'Target local FX'!G70+(-calendar*'Target local FX'!F70))*FX</f>
        <v>551.48414933488641</v>
      </c>
      <c r="G70">
        <f>IF(TargetLFY&lt;AcquirorLFY,(1-calendar)*'Target local FX'!G70+calendar*'Target local FX'!H70,(1+calendar)*'Target local FX'!H70+(-calendar*'Target local FX'!G70))*FX</f>
        <v>589.11291771985816</v>
      </c>
      <c r="H70">
        <f>IF(TargetLFY&lt;AcquirorLFY,(1-calendar)*'Target local FX'!H70+calendar*'Target local FX'!I70,(1+calendar)*'Target local FX'!I70+(-calendar*'Target local FX'!H70))*FX</f>
        <v>641.46915409363589</v>
      </c>
      <c r="I70">
        <f>IF(TargetLFY&lt;AcquirorLFY,(1-calendar)*'Target local FX'!I70+calendar*'Target local FX'!J70,(1+calendar)*'Target local FX'!J70+(-calendar*'Target local FX'!I70))*FX</f>
        <v>684.74071252373835</v>
      </c>
      <c r="J70">
        <f>IF(TargetLFY&lt;AcquirorLFY,(1-calendar)*'Target local FX'!J70+calendar*'Target local FX'!K70,(1+calendar)*'Target local FX'!K70+(-calendar*'Target local FX'!J70))*FX</f>
        <v>724.86666906859045</v>
      </c>
    </row>
    <row r="71" spans="1:11" x14ac:dyDescent="0.45">
      <c r="B71" t="s">
        <v>23</v>
      </c>
      <c r="D71">
        <f>IF(TargetLFY&lt;AcquirorLFY,(1-calendar)*'Target local FX'!D71+calendar*'Target local FX'!E71,(1+calendar)*'Target local FX'!E71+(-calendar*'Target local FX'!D71))*FX</f>
        <v>29.522687671232877</v>
      </c>
      <c r="E71">
        <f>IF(TargetLFY&lt;AcquirorLFY,(1-calendar)*'Target local FX'!E71+calendar*'Target local FX'!F71,(1+calendar)*'Target local FX'!F71+(-calendar*'Target local FX'!E71))*FX</f>
        <v>13.00394794520548</v>
      </c>
      <c r="F71">
        <f>IF(TargetLFY&lt;AcquirorLFY,(1-calendar)*'Target local FX'!F71+calendar*'Target local FX'!G71,(1+calendar)*'Target local FX'!G71+(-calendar*'Target local FX'!F71))*FX</f>
        <v>10.461</v>
      </c>
      <c r="G71">
        <f>IF(TargetLFY&lt;AcquirorLFY,(1-calendar)*'Target local FX'!G71+calendar*'Target local FX'!H71,(1+calendar)*'Target local FX'!H71+(-calendar*'Target local FX'!G71))*FX</f>
        <v>10.461</v>
      </c>
      <c r="H71">
        <f>IF(TargetLFY&lt;AcquirorLFY,(1-calendar)*'Target local FX'!H71+calendar*'Target local FX'!I71,(1+calendar)*'Target local FX'!I71+(-calendar*'Target local FX'!H71))*FX</f>
        <v>10.461</v>
      </c>
      <c r="I71">
        <f>IF(TargetLFY&lt;AcquirorLFY,(1-calendar)*'Target local FX'!I71+calendar*'Target local FX'!J71,(1+calendar)*'Target local FX'!J71+(-calendar*'Target local FX'!I71))*FX</f>
        <v>10.461</v>
      </c>
      <c r="J71">
        <f>IF(TargetLFY&lt;AcquirorLFY,(1-calendar)*'Target local FX'!J71+calendar*'Target local FX'!K71,(1+calendar)*'Target local FX'!K71+(-calendar*'Target local FX'!J71))*FX</f>
        <v>10.461</v>
      </c>
    </row>
    <row r="72" spans="1:11" x14ac:dyDescent="0.45">
      <c r="B72" t="s">
        <v>326</v>
      </c>
      <c r="D72">
        <f>IF(TargetLFY&lt;AcquirorLFY,(1-calendar)*'Target local FX'!D72+calendar*'Target local FX'!E72,(1+calendar)*'Target local FX'!E72+(-calendar*'Target local FX'!D72))*FX</f>
        <v>7210.1172328767125</v>
      </c>
      <c r="E72">
        <f>IF(TargetLFY&lt;AcquirorLFY,(1-calendar)*'Target local FX'!E72+calendar*'Target local FX'!F72,(1+calendar)*'Target local FX'!F72+(-calendar*'Target local FX'!E72))*FX</f>
        <v>5873.2040383561653</v>
      </c>
      <c r="F72">
        <f>IF(TargetLFY&lt;AcquirorLFY,(1-calendar)*'Target local FX'!F72+calendar*'Target local FX'!G72,(1+calendar)*'Target local FX'!G72+(-calendar*'Target local FX'!F72))*FX</f>
        <v>4635.3403653674559</v>
      </c>
      <c r="G72">
        <f>IF(TargetLFY&lt;AcquirorLFY,(1-calendar)*'Target local FX'!G72+calendar*'Target local FX'!H72,(1+calendar)*'Target local FX'!H72+(-calendar*'Target local FX'!G72))*FX</f>
        <v>5650.5478975311107</v>
      </c>
      <c r="H72">
        <f>IF(TargetLFY&lt;AcquirorLFY,(1-calendar)*'Target local FX'!H72+calendar*'Target local FX'!I72,(1+calendar)*'Target local FX'!I72+(-calendar*'Target local FX'!H72))*FX</f>
        <v>6776.151623091615</v>
      </c>
      <c r="I72">
        <f>IF(TargetLFY&lt;AcquirorLFY,(1-calendar)*'Target local FX'!I72+calendar*'Target local FX'!J72,(1+calendar)*'Target local FX'!J72+(-calendar*'Target local FX'!I72))*FX</f>
        <v>7986.1251146813784</v>
      </c>
      <c r="J72">
        <f>IF(TargetLFY&lt;AcquirorLFY,(1-calendar)*'Target local FX'!J72+calendar*'Target local FX'!K72,(1+calendar)*'Target local FX'!K72+(-calendar*'Target local FX'!J72))*FX</f>
        <v>9261.2610796635036</v>
      </c>
    </row>
    <row r="73" spans="1:11" s="3" customFormat="1" x14ac:dyDescent="0.45">
      <c r="A73" s="46"/>
      <c r="B73" t="s">
        <v>324</v>
      </c>
      <c r="C73"/>
      <c r="D73">
        <f>SUM(D63:D72)</f>
        <v>20844.648526027395</v>
      </c>
      <c r="E73">
        <f t="shared" ref="E73:J73" si="21">SUM(E63:E72)</f>
        <v>20157.385578082194</v>
      </c>
      <c r="F73">
        <f t="shared" si="21"/>
        <v>18681.271795840566</v>
      </c>
      <c r="G73">
        <f t="shared" si="21"/>
        <v>18867.257961817792</v>
      </c>
      <c r="H73">
        <f t="shared" si="21"/>
        <v>19984.853411041251</v>
      </c>
      <c r="I73">
        <f t="shared" si="21"/>
        <v>21159.204194683203</v>
      </c>
      <c r="J73">
        <f t="shared" si="21"/>
        <v>22368.196391045589</v>
      </c>
      <c r="K73"/>
    </row>
    <row r="74" spans="1:11" s="3" customFormat="1" x14ac:dyDescent="0.45">
      <c r="A74" s="46"/>
      <c r="B74"/>
      <c r="C74"/>
      <c r="D74"/>
      <c r="E74"/>
      <c r="F74"/>
      <c r="G74"/>
      <c r="H74"/>
      <c r="I74"/>
      <c r="J74"/>
      <c r="K74"/>
    </row>
    <row r="75" spans="1:11" x14ac:dyDescent="0.45">
      <c r="B75" t="s">
        <v>26</v>
      </c>
      <c r="D75">
        <f>D61-D73</f>
        <v>0</v>
      </c>
      <c r="E75">
        <f t="shared" ref="E75:J75" si="22">E61-E73</f>
        <v>0</v>
      </c>
      <c r="F75">
        <f t="shared" si="22"/>
        <v>0</v>
      </c>
      <c r="G75">
        <f t="shared" si="22"/>
        <v>0</v>
      </c>
      <c r="H75">
        <f t="shared" si="22"/>
        <v>0</v>
      </c>
      <c r="I75">
        <f t="shared" si="22"/>
        <v>0</v>
      </c>
      <c r="J75">
        <f t="shared" si="22"/>
        <v>0</v>
      </c>
    </row>
    <row r="77" spans="1:11" x14ac:dyDescent="0.45">
      <c r="A77" s="46" t="s">
        <v>129</v>
      </c>
    </row>
    <row r="78" spans="1:11" x14ac:dyDescent="0.45">
      <c r="B78" t="s">
        <v>81</v>
      </c>
      <c r="D78">
        <f t="shared" ref="D78:J78" si="23">+D54/D8*-365</f>
        <v>202.32910263835632</v>
      </c>
      <c r="E78">
        <f t="shared" si="23"/>
        <v>207.92484616968227</v>
      </c>
      <c r="F78">
        <f t="shared" si="23"/>
        <v>205.29486797579705</v>
      </c>
      <c r="G78">
        <f t="shared" si="23"/>
        <v>205</v>
      </c>
      <c r="H78">
        <f t="shared" si="23"/>
        <v>205</v>
      </c>
      <c r="I78">
        <f t="shared" si="23"/>
        <v>205.00000000000006</v>
      </c>
      <c r="J78">
        <f t="shared" si="23"/>
        <v>204.99999999999997</v>
      </c>
    </row>
    <row r="79" spans="1:11" x14ac:dyDescent="0.45">
      <c r="B79" t="s">
        <v>82</v>
      </c>
      <c r="D79">
        <f t="shared" ref="D79:J79" si="24">+D55/D7*365</f>
        <v>44.270275510442865</v>
      </c>
      <c r="E79">
        <f t="shared" si="24"/>
        <v>43.589830044884891</v>
      </c>
      <c r="F79">
        <f t="shared" si="24"/>
        <v>51.354891708908376</v>
      </c>
      <c r="G79">
        <f t="shared" si="24"/>
        <v>50.000000000000007</v>
      </c>
      <c r="H79">
        <f t="shared" si="24"/>
        <v>50</v>
      </c>
      <c r="I79">
        <f t="shared" si="24"/>
        <v>50</v>
      </c>
      <c r="J79">
        <f t="shared" si="24"/>
        <v>50</v>
      </c>
    </row>
    <row r="80" spans="1:11" x14ac:dyDescent="0.45">
      <c r="B80" t="s">
        <v>367</v>
      </c>
      <c r="D80" s="2">
        <f t="shared" ref="D80:J80" si="25">+D56/D7</f>
        <v>0.10828308327209141</v>
      </c>
      <c r="E80" s="2">
        <f t="shared" si="25"/>
        <v>0.1090886904498803</v>
      </c>
      <c r="F80" s="2">
        <f t="shared" si="25"/>
        <v>9.3606244419914608E-2</v>
      </c>
      <c r="G80" s="2">
        <f t="shared" si="25"/>
        <v>9.5000000000000001E-2</v>
      </c>
      <c r="H80" s="2">
        <f t="shared" si="25"/>
        <v>9.5000000000000001E-2</v>
      </c>
      <c r="I80" s="2">
        <f t="shared" si="25"/>
        <v>9.5000000000000001E-2</v>
      </c>
      <c r="J80" s="2">
        <f t="shared" si="25"/>
        <v>9.4999999999999987E-2</v>
      </c>
    </row>
    <row r="81" spans="1:10" x14ac:dyDescent="0.45">
      <c r="B81" t="s">
        <v>83</v>
      </c>
      <c r="D81" s="2">
        <f t="shared" ref="D81:J81" si="26">D98/D7</f>
        <v>6.3730384618159067E-2</v>
      </c>
      <c r="E81" s="2">
        <f t="shared" si="26"/>
        <v>6.5665266209619752E-2</v>
      </c>
      <c r="F81" s="2">
        <f t="shared" si="26"/>
        <v>6.7204067294125966E-2</v>
      </c>
      <c r="G81" s="2">
        <f t="shared" si="26"/>
        <v>6.5000000000000002E-2</v>
      </c>
      <c r="H81" s="2">
        <f t="shared" si="26"/>
        <v>6.5000000000000002E-2</v>
      </c>
      <c r="I81" s="2">
        <f t="shared" si="26"/>
        <v>6.5000000000000002E-2</v>
      </c>
      <c r="J81" s="2">
        <f t="shared" si="26"/>
        <v>6.5000000000000002E-2</v>
      </c>
    </row>
    <row r="82" spans="1:10" x14ac:dyDescent="0.45">
      <c r="B82" t="s">
        <v>84</v>
      </c>
      <c r="E82" s="2">
        <f t="shared" ref="E82:J82" si="27">-E18/D57</f>
        <v>0.11605486330596972</v>
      </c>
      <c r="F82" s="2">
        <f t="shared" si="27"/>
        <v>0.12286346269857229</v>
      </c>
      <c r="G82" s="2">
        <f t="shared" si="27"/>
        <v>0.12286346269857229</v>
      </c>
      <c r="H82" s="2">
        <f t="shared" si="27"/>
        <v>0.12286346269857229</v>
      </c>
      <c r="I82" s="2">
        <f t="shared" si="27"/>
        <v>0.12286346269857229</v>
      </c>
      <c r="J82" s="2">
        <f t="shared" si="27"/>
        <v>0.1228634626985723</v>
      </c>
    </row>
    <row r="83" spans="1:10" x14ac:dyDescent="0.45">
      <c r="B83" t="s">
        <v>325</v>
      </c>
      <c r="D83">
        <f t="shared" ref="D83:J83" si="28">+-D19</f>
        <v>131.5428410958904</v>
      </c>
      <c r="E83">
        <f t="shared" si="28"/>
        <v>127.48089863013698</v>
      </c>
      <c r="F83">
        <f t="shared" si="28"/>
        <v>110.31599999999999</v>
      </c>
      <c r="G83">
        <f t="shared" si="28"/>
        <v>110.31599999999999</v>
      </c>
      <c r="H83">
        <f t="shared" si="28"/>
        <v>110.31599999999999</v>
      </c>
      <c r="I83">
        <f t="shared" si="28"/>
        <v>110.31599999999999</v>
      </c>
      <c r="J83">
        <f t="shared" si="28"/>
        <v>110.31599999999999</v>
      </c>
    </row>
    <row r="84" spans="1:10" x14ac:dyDescent="0.45">
      <c r="B84" t="s">
        <v>357</v>
      </c>
      <c r="D84">
        <f t="shared" ref="D84:J84" si="29">+D60</f>
        <v>1111.7085780821919</v>
      </c>
      <c r="E84">
        <f t="shared" si="29"/>
        <v>969.86106575342455</v>
      </c>
      <c r="F84">
        <f t="shared" si="29"/>
        <v>1144.0529999999999</v>
      </c>
      <c r="G84">
        <f t="shared" si="29"/>
        <v>1144.0529999999999</v>
      </c>
      <c r="H84">
        <f t="shared" si="29"/>
        <v>1144.0529999999999</v>
      </c>
      <c r="I84">
        <f t="shared" si="29"/>
        <v>1144.0529999999999</v>
      </c>
      <c r="J84">
        <f t="shared" si="29"/>
        <v>1144.0529999999999</v>
      </c>
    </row>
    <row r="85" spans="1:10" x14ac:dyDescent="0.45">
      <c r="B85" t="s">
        <v>85</v>
      </c>
      <c r="D85">
        <f t="shared" ref="D85:J85" si="30">-D64/D8*365</f>
        <v>57.904137489276216</v>
      </c>
      <c r="E85">
        <f t="shared" si="30"/>
        <v>54.388064139808314</v>
      </c>
      <c r="F85">
        <f t="shared" si="30"/>
        <v>63.507974501217717</v>
      </c>
      <c r="G85">
        <f t="shared" si="30"/>
        <v>63.000000000000007</v>
      </c>
      <c r="H85">
        <f t="shared" si="30"/>
        <v>62.999999999999993</v>
      </c>
      <c r="I85">
        <f t="shared" si="30"/>
        <v>63.000000000000014</v>
      </c>
      <c r="J85">
        <f t="shared" si="30"/>
        <v>62.999999999999993</v>
      </c>
    </row>
    <row r="86" spans="1:10" x14ac:dyDescent="0.45">
      <c r="B86" t="s">
        <v>86</v>
      </c>
      <c r="D86" s="2">
        <f t="shared" ref="D86:J86" si="31">+D65/D7</f>
        <v>0.18294271325874981</v>
      </c>
      <c r="E86" s="2">
        <f t="shared" si="31"/>
        <v>0.20685963279842445</v>
      </c>
      <c r="F86" s="2">
        <f t="shared" si="31"/>
        <v>0.23128930892629715</v>
      </c>
      <c r="G86" s="2">
        <f t="shared" si="31"/>
        <v>0.23</v>
      </c>
      <c r="H86" s="2">
        <f t="shared" si="31"/>
        <v>0.22999999999999998</v>
      </c>
      <c r="I86" s="2">
        <f t="shared" si="31"/>
        <v>0.23</v>
      </c>
      <c r="J86" s="2">
        <f t="shared" si="31"/>
        <v>0.23000000000000004</v>
      </c>
    </row>
    <row r="87" spans="1:10" x14ac:dyDescent="0.45">
      <c r="B87" t="s">
        <v>368</v>
      </c>
      <c r="D87" s="2">
        <f t="shared" ref="D87:J87" si="32">+D66/D7</f>
        <v>5.8137589309576215E-2</v>
      </c>
      <c r="E87" s="2">
        <f t="shared" si="32"/>
        <v>5.9404766087405594E-2</v>
      </c>
      <c r="F87" s="2">
        <f t="shared" si="32"/>
        <v>7.2859409321848229E-2</v>
      </c>
      <c r="G87" s="2">
        <f t="shared" si="32"/>
        <v>7.0000000000000007E-2</v>
      </c>
      <c r="H87" s="2">
        <f t="shared" si="32"/>
        <v>7.0000000000000007E-2</v>
      </c>
      <c r="I87" s="2">
        <f t="shared" si="32"/>
        <v>7.0000000000000007E-2</v>
      </c>
      <c r="J87" s="2">
        <f t="shared" si="32"/>
        <v>6.9999999999999993E-2</v>
      </c>
    </row>
    <row r="88" spans="1:10" x14ac:dyDescent="0.45">
      <c r="D88" s="2"/>
      <c r="E88" s="2"/>
      <c r="F88" s="2"/>
      <c r="G88" s="2"/>
      <c r="H88" s="2"/>
      <c r="I88" s="2"/>
      <c r="J88" s="2"/>
    </row>
    <row r="89" spans="1:10" x14ac:dyDescent="0.45">
      <c r="B89" t="s">
        <v>87</v>
      </c>
      <c r="D89" s="2">
        <f t="shared" ref="D89:J89" si="33">+D68/D7</f>
        <v>2.9089291718253876E-2</v>
      </c>
      <c r="E89" s="2">
        <f t="shared" si="33"/>
        <v>1.7224828324064329E-2</v>
      </c>
      <c r="F89" s="2">
        <f t="shared" si="33"/>
        <v>6.7441791921463079E-3</v>
      </c>
      <c r="G89" s="2">
        <f t="shared" si="33"/>
        <v>0.01</v>
      </c>
      <c r="H89" s="2">
        <f t="shared" si="33"/>
        <v>9.9999999999999985E-3</v>
      </c>
      <c r="I89" s="2">
        <f t="shared" si="33"/>
        <v>0.01</v>
      </c>
      <c r="J89" s="2">
        <f t="shared" si="33"/>
        <v>9.9999999999999985E-3</v>
      </c>
    </row>
    <row r="90" spans="1:10" x14ac:dyDescent="0.45">
      <c r="B90" t="s">
        <v>79</v>
      </c>
      <c r="D90">
        <f t="shared" ref="D90:J90" si="34">+D69</f>
        <v>325.25763287671231</v>
      </c>
      <c r="E90">
        <f t="shared" si="34"/>
        <v>330.570205479452</v>
      </c>
      <c r="F90">
        <f t="shared" si="34"/>
        <v>352.82099999999997</v>
      </c>
      <c r="G90">
        <f t="shared" si="34"/>
        <v>352.82099999999997</v>
      </c>
      <c r="H90">
        <f t="shared" si="34"/>
        <v>352.82099999999997</v>
      </c>
      <c r="I90">
        <f t="shared" si="34"/>
        <v>352.82099999999997</v>
      </c>
      <c r="J90">
        <f t="shared" si="34"/>
        <v>352.82099999999997</v>
      </c>
    </row>
    <row r="91" spans="1:10" x14ac:dyDescent="0.45">
      <c r="B91" t="s">
        <v>369</v>
      </c>
      <c r="D91" s="2">
        <f t="shared" ref="D91:J91" si="35">+D70/D7</f>
        <v>3.8074395015536423E-2</v>
      </c>
      <c r="E91" s="2">
        <f t="shared" si="35"/>
        <v>4.2202982780838477E-2</v>
      </c>
      <c r="F91" s="2">
        <f t="shared" si="35"/>
        <v>4.2141658810440186E-2</v>
      </c>
      <c r="G91" s="2">
        <f t="shared" si="35"/>
        <v>4.200000000000001E-2</v>
      </c>
      <c r="H91" s="2">
        <f t="shared" si="35"/>
        <v>4.1999999999999996E-2</v>
      </c>
      <c r="I91" s="2">
        <f t="shared" si="35"/>
        <v>4.2000000000000003E-2</v>
      </c>
      <c r="J91" s="2">
        <f t="shared" si="35"/>
        <v>4.2000000000000003E-2</v>
      </c>
    </row>
    <row r="92" spans="1:10" x14ac:dyDescent="0.45">
      <c r="B92" t="s">
        <v>370</v>
      </c>
      <c r="F92" s="2">
        <v>3.85E-2</v>
      </c>
      <c r="G92" s="2">
        <v>3.85E-2</v>
      </c>
      <c r="H92" s="2">
        <v>3.85E-2</v>
      </c>
      <c r="I92" s="2">
        <v>3.85E-2</v>
      </c>
      <c r="J92" s="2">
        <v>3.85E-2</v>
      </c>
    </row>
    <row r="93" spans="1:10" x14ac:dyDescent="0.45">
      <c r="B93" t="s">
        <v>371</v>
      </c>
      <c r="F93" s="2">
        <v>1.4999999999999999E-2</v>
      </c>
      <c r="G93" s="2">
        <v>1.4999999999999999E-2</v>
      </c>
      <c r="H93" s="2">
        <v>1.4999999999999999E-2</v>
      </c>
      <c r="I93" s="2">
        <v>1.4999999999999999E-2</v>
      </c>
      <c r="J93" s="2">
        <v>1.4999999999999999E-2</v>
      </c>
    </row>
    <row r="94" spans="1:10" x14ac:dyDescent="0.45">
      <c r="B94" t="s">
        <v>96</v>
      </c>
      <c r="F94" s="2">
        <v>1E-3</v>
      </c>
      <c r="G94" s="2">
        <v>1E-3</v>
      </c>
      <c r="H94" s="2">
        <v>1E-3</v>
      </c>
      <c r="I94" s="2">
        <v>1E-3</v>
      </c>
      <c r="J94" s="2">
        <v>1E-3</v>
      </c>
    </row>
    <row r="96" spans="1:10" x14ac:dyDescent="0.45">
      <c r="A96" s="46" t="s">
        <v>88</v>
      </c>
    </row>
    <row r="97" spans="1:10" x14ac:dyDescent="0.45">
      <c r="B97" t="s">
        <v>89</v>
      </c>
    </row>
    <row r="98" spans="1:10" x14ac:dyDescent="0.45">
      <c r="B98" t="s">
        <v>27</v>
      </c>
      <c r="D98">
        <f>IF(TargetLFY&lt;AcquirorLFY,(1-calendar)*'Target local FX'!D98+calendar*'Target local FX'!E98,(1+calendar)*'Target local FX'!E98+(-calendar*'Target local FX'!D98))*FX</f>
        <v>943.77500547945203</v>
      </c>
      <c r="E98">
        <f>IF(TargetLFY&lt;AcquirorLFY,(1-calendar)*'Target local FX'!E98+calendar*'Target local FX'!F98,(1+calendar)*'Target local FX'!F98+(-calendar*'Target local FX'!E98))*FX</f>
        <v>905.7454273972603</v>
      </c>
      <c r="F98">
        <f>IF(TargetLFY&lt;AcquirorLFY,(1-calendar)*'Target local FX'!F98+calendar*'Target local FX'!G98,(1+calendar)*'Target local FX'!G98+(-calendar*'Target local FX'!F98))*FX</f>
        <v>879.46177083954206</v>
      </c>
      <c r="G98">
        <f>IF(TargetLFY&lt;AcquirorLFY,(1-calendar)*'Target local FX'!G98+calendar*'Target local FX'!H98,(1+calendar)*'Target local FX'!H98+(-calendar*'Target local FX'!G98))*FX</f>
        <v>911.72237266168509</v>
      </c>
      <c r="H98">
        <f>IF(TargetLFY&lt;AcquirorLFY,(1-calendar)*'Target local FX'!H98+calendar*'Target local FX'!I98,(1+calendar)*'Target local FX'!I98+(-calendar*'Target local FX'!H98))*FX</f>
        <v>992.74988133538909</v>
      </c>
      <c r="I98">
        <f>IF(TargetLFY&lt;AcquirorLFY,(1-calendar)*'Target local FX'!I98+calendar*'Target local FX'!J98,(1+calendar)*'Target local FX'!J98+(-calendar*'Target local FX'!I98))*FX</f>
        <v>1059.717769381976</v>
      </c>
      <c r="J98">
        <f>IF(TargetLFY&lt;AcquirorLFY,(1-calendar)*'Target local FX'!J98+calendar*'Target local FX'!K98,(1+calendar)*'Target local FX'!K98+(-calendar*'Target local FX'!J98))*FX</f>
        <v>1121.8174640347233</v>
      </c>
    </row>
    <row r="99" spans="1:10" x14ac:dyDescent="0.45">
      <c r="B99" t="s">
        <v>63</v>
      </c>
    </row>
    <row r="100" spans="1:10" x14ac:dyDescent="0.45">
      <c r="B100" t="s">
        <v>90</v>
      </c>
    </row>
    <row r="103" spans="1:10" x14ac:dyDescent="0.45">
      <c r="A103" s="46" t="str">
        <f>"Cash flow in "&amp;C3</f>
        <v>Cash flow in Euro</v>
      </c>
    </row>
    <row r="104" spans="1:10" x14ac:dyDescent="0.45">
      <c r="B104" t="s">
        <v>15</v>
      </c>
    </row>
    <row r="105" spans="1:10" x14ac:dyDescent="0.45">
      <c r="B105" t="s">
        <v>63</v>
      </c>
    </row>
    <row r="106" spans="1:10" x14ac:dyDescent="0.45">
      <c r="B106" t="s">
        <v>325</v>
      </c>
    </row>
    <row r="107" spans="1:10" x14ac:dyDescent="0.45">
      <c r="B107" t="str">
        <f>"Change in "&amp;LOWER(B54)</f>
        <v>Change in inventory</v>
      </c>
      <c r="F107">
        <f>IF(TargetLFY&lt;AcquirorLFY,(1-calendar)*'Target local FX'!F107+calendar*'Target local FX'!G107,(1+calendar)*'Target local FX'!G107+(-calendar*'Target local FX'!F107))*FX</f>
        <v>-40.380072995524422</v>
      </c>
      <c r="G107">
        <f>IF(TargetLFY&lt;AcquirorLFY,(1-calendar)*'Target local FX'!G107+calendar*'Target local FX'!H107,(1+calendar)*'Target local FX'!H107+(-calendar*'Target local FX'!G107))*FX</f>
        <v>-186.14531419819897</v>
      </c>
      <c r="H107">
        <f>IF(TargetLFY&lt;AcquirorLFY,(1-calendar)*'Target local FX'!H107+calendar*'Target local FX'!I107,(1+calendar)*'Target local FX'!I107+(-calendar*'Target local FX'!H107))*FX</f>
        <v>-294.05557415409493</v>
      </c>
      <c r="I107">
        <f>IF(TargetLFY&lt;AcquirorLFY,(1-calendar)*'Target local FX'!I107+calendar*'Target local FX'!J107,(1+calendar)*'Target local FX'!J107+(-calendar*'Target local FX'!I107))*FX</f>
        <v>-243.03204049783503</v>
      </c>
      <c r="J107">
        <f>IF(TargetLFY&lt;AcquirorLFY,(1-calendar)*'Target local FX'!J107+calendar*'Target local FX'!K107,(1+calendar)*'Target local FX'!K107+(-calendar*'Target local FX'!J107))*FX</f>
        <v>-225.3649614162924</v>
      </c>
    </row>
    <row r="108" spans="1:10" x14ac:dyDescent="0.45">
      <c r="B108" t="str">
        <f>"Change in "&amp;LOWER(B55)</f>
        <v>Change in accounts receivable</v>
      </c>
      <c r="F108">
        <f>IF(TargetLFY&lt;AcquirorLFY,(1-calendar)*'Target local FX'!F108+calendar*'Target local FX'!G108,(1+calendar)*'Target local FX'!G108+(-calendar*'Target local FX'!F108))*FX</f>
        <v>-9.6138307341995954</v>
      </c>
      <c r="G108">
        <f>IF(TargetLFY&lt;AcquirorLFY,(1-calendar)*'Target local FX'!G108+calendar*'Target local FX'!H108,(1+calendar)*'Target local FX'!H108+(-calendar*'Target local FX'!G108))*FX</f>
        <v>-80.198257067033666</v>
      </c>
      <c r="H108">
        <f>IF(TargetLFY&lt;AcquirorLFY,(1-calendar)*'Target local FX'!H108+calendar*'Target local FX'!I108,(1+calendar)*'Target local FX'!I108+(-calendar*'Target local FX'!H108))*FX</f>
        <v>-170.76398034500258</v>
      </c>
      <c r="I108">
        <f>IF(TargetLFY&lt;AcquirorLFY,(1-calendar)*'Target local FX'!I108+calendar*'Target local FX'!J108,(1+calendar)*'Target local FX'!J108+(-calendar*'Target local FX'!I108))*FX</f>
        <v>-141.13358913927723</v>
      </c>
      <c r="J108">
        <f>IF(TargetLFY&lt;AcquirorLFY,(1-calendar)*'Target local FX'!J108+calendar*'Target local FX'!K108,(1+calendar)*'Target local FX'!K108+(-calendar*'Target local FX'!J108))*FX</f>
        <v>-130.87396133350342</v>
      </c>
    </row>
    <row r="109" spans="1:10" x14ac:dyDescent="0.45">
      <c r="B109" t="str">
        <f>"Change in "&amp;LOWER(B56)</f>
        <v>Change in other short term operating assets</v>
      </c>
      <c r="F109">
        <f>IF(TargetLFY&lt;AcquirorLFY,(1-calendar)*'Target local FX'!F109+calendar*'Target local FX'!G109,(1+calendar)*'Target local FX'!G109+(-calendar*'Target local FX'!F109))*FX</f>
        <v>-32.41818983608524</v>
      </c>
      <c r="G109">
        <f>IF(TargetLFY&lt;AcquirorLFY,(1-calendar)*'Target local FX'!G109+calendar*'Target local FX'!H109,(1+calendar)*'Target local FX'!H109+(-calendar*'Target local FX'!G109))*FX</f>
        <v>-107.54512405407007</v>
      </c>
      <c r="H109">
        <f>IF(TargetLFY&lt;AcquirorLFY,(1-calendar)*'Target local FX'!H109+calendar*'Target local FX'!I109,(1+calendar)*'Target local FX'!I109+(-calendar*'Target local FX'!H109))*FX</f>
        <v>-118.42482036925934</v>
      </c>
      <c r="I109">
        <f>IF(TargetLFY&lt;AcquirorLFY,(1-calendar)*'Target local FX'!I109+calendar*'Target local FX'!J109,(1+calendar)*'Target local FX'!J109+(-calendar*'Target local FX'!I109))*FX</f>
        <v>-97.876144068088706</v>
      </c>
      <c r="J109">
        <f>IF(TargetLFY&lt;AcquirorLFY,(1-calendar)*'Target local FX'!J109+calendar*'Target local FX'!K109,(1+calendar)*'Target local FX'!K109+(-calendar*'Target local FX'!J109))*FX</f>
        <v>-90.761092184784445</v>
      </c>
    </row>
    <row r="110" spans="1:10" x14ac:dyDescent="0.45">
      <c r="B110" t="str">
        <f>"Change in "&amp;LOWER(B64)</f>
        <v>Change in accounts payable</v>
      </c>
      <c r="F110">
        <f>IF(TargetLFY&lt;AcquirorLFY,(1-calendar)*'Target local FX'!F110+calendar*'Target local FX'!G110,(1+calendar)*'Target local FX'!G110+(-calendar*'Target local FX'!F110))*FX</f>
        <v>9.2614693154973402</v>
      </c>
      <c r="G110">
        <f>IF(TargetLFY&lt;AcquirorLFY,(1-calendar)*'Target local FX'!G110+calendar*'Target local FX'!H110,(1+calendar)*'Target local FX'!H110+(-calendar*'Target local FX'!G110))*FX</f>
        <v>50.857566748915289</v>
      </c>
      <c r="H110">
        <f>IF(TargetLFY&lt;AcquirorLFY,(1-calendar)*'Target local FX'!H110+calendar*'Target local FX'!I110,(1+calendar)*'Target local FX'!I110+(-calendar*'Target local FX'!H110))*FX</f>
        <v>90.368298398575291</v>
      </c>
      <c r="I110">
        <f>IF(TargetLFY&lt;AcquirorLFY,(1-calendar)*'Target local FX'!I110+calendar*'Target local FX'!J110,(1+calendar)*'Target local FX'!J110+(-calendar*'Target local FX'!I110))*FX</f>
        <v>74.687895372505494</v>
      </c>
      <c r="J110">
        <f>IF(TargetLFY&lt;AcquirorLFY,(1-calendar)*'Target local FX'!J110+calendar*'Target local FX'!K110,(1+calendar)*'Target local FX'!K110+(-calendar*'Target local FX'!J110))*FX</f>
        <v>69.258500337689966</v>
      </c>
    </row>
    <row r="111" spans="1:10" x14ac:dyDescent="0.45">
      <c r="B111" t="str">
        <f>"Change in "&amp;LOWER(B65)</f>
        <v>Change in short term provisions</v>
      </c>
      <c r="F111">
        <f>IF(TargetLFY&lt;AcquirorLFY,(1-calendar)*'Target local FX'!F111+calendar*'Target local FX'!G111,(1+calendar)*'Target local FX'!G111+(-calendar*'Target local FX'!F111))*FX</f>
        <v>48.220894498611599</v>
      </c>
      <c r="G111">
        <f>IF(TargetLFY&lt;AcquirorLFY,(1-calendar)*'Target local FX'!G111+calendar*'Target local FX'!H111,(1+calendar)*'Target local FX'!H111+(-calendar*'Target local FX'!G111))*FX</f>
        <v>199.34165491965922</v>
      </c>
      <c r="H111">
        <f>IF(TargetLFY&lt;AcquirorLFY,(1-calendar)*'Target local FX'!H111+calendar*'Target local FX'!I111,(1+calendar)*'Target local FX'!I111+(-calendar*'Target local FX'!H111))*FX</f>
        <v>286.71272299925943</v>
      </c>
      <c r="I111">
        <f>IF(TargetLFY&lt;AcquirorLFY,(1-calendar)*'Target local FX'!I111+calendar*'Target local FX'!J111,(1+calendar)*'Target local FX'!J111+(-calendar*'Target local FX'!I111))*FX</f>
        <v>236.96329616484647</v>
      </c>
      <c r="J111">
        <f>IF(TargetLFY&lt;AcquirorLFY,(1-calendar)*'Target local FX'!J111+calendar*'Target local FX'!K111,(1+calendar)*'Target local FX'!K111+(-calendar*'Target local FX'!J111))*FX</f>
        <v>219.73738107895173</v>
      </c>
    </row>
    <row r="112" spans="1:10" x14ac:dyDescent="0.45">
      <c r="B112" t="s">
        <v>362</v>
      </c>
      <c r="F112">
        <f>IF(TargetLFY&lt;AcquirorLFY,(1-calendar)*'Target local FX'!F112+calendar*'Target local FX'!G112,(1+calendar)*'Target local FX'!G112+(-calendar*'Target local FX'!F112))*FX</f>
        <v>-1.3339538482486448</v>
      </c>
      <c r="G112">
        <f>IF(TargetLFY&lt;AcquirorLFY,(1-calendar)*'Target local FX'!G112+calendar*'Target local FX'!H112,(1+calendar)*'Target local FX'!H112+(-calendar*'Target local FX'!G112))*FX</f>
        <v>28.384816714678895</v>
      </c>
      <c r="H112">
        <f>IF(TargetLFY&lt;AcquirorLFY,(1-calendar)*'Target local FX'!H112+calendar*'Target local FX'!I112,(1+calendar)*'Target local FX'!I112+(-calendar*'Target local FX'!H112))*FX</f>
        <v>87.260393956296383</v>
      </c>
      <c r="I112">
        <f>IF(TargetLFY&lt;AcquirorLFY,(1-calendar)*'Target local FX'!I112+calendar*'Target local FX'!J112,(1+calendar)*'Target local FX'!J112+(-calendar*'Target local FX'!I112))*FX</f>
        <v>72.119264050170671</v>
      </c>
      <c r="J112">
        <f>IF(TargetLFY&lt;AcquirorLFY,(1-calendar)*'Target local FX'!J112+calendar*'Target local FX'!K112,(1+calendar)*'Target local FX'!K112+(-calendar*'Target local FX'!J112))*FX</f>
        <v>66.876594241420122</v>
      </c>
    </row>
    <row r="113" spans="1:11" x14ac:dyDescent="0.45">
      <c r="B113" t="s">
        <v>363</v>
      </c>
      <c r="F113">
        <f>IF(TargetLFY&lt;AcquirorLFY,(1-calendar)*'Target local FX'!F113+calendar*'Target local FX'!G113,(1+calendar)*'Target local FX'!G113+(-calendar*'Target local FX'!F113))*FX</f>
        <v>0</v>
      </c>
      <c r="G113">
        <f>IF(TargetLFY&lt;AcquirorLFY,(1-calendar)*'Target local FX'!G113+calendar*'Target local FX'!H113,(1+calendar)*'Target local FX'!H113+(-calendar*'Target local FX'!G113))*FX</f>
        <v>0</v>
      </c>
      <c r="H113">
        <f>IF(TargetLFY&lt;AcquirorLFY,(1-calendar)*'Target local FX'!H113+calendar*'Target local FX'!I113,(1+calendar)*'Target local FX'!I113+(-calendar*'Target local FX'!H113))*FX</f>
        <v>0</v>
      </c>
      <c r="I113">
        <f>IF(TargetLFY&lt;AcquirorLFY,(1-calendar)*'Target local FX'!I113+calendar*'Target local FX'!J113,(1+calendar)*'Target local FX'!J113+(-calendar*'Target local FX'!I113))*FX</f>
        <v>0</v>
      </c>
      <c r="J113">
        <f>IF(TargetLFY&lt;AcquirorLFY,(1-calendar)*'Target local FX'!J113+calendar*'Target local FX'!K113,(1+calendar)*'Target local FX'!K113+(-calendar*'Target local FX'!J113))*FX</f>
        <v>0</v>
      </c>
    </row>
    <row r="114" spans="1:11" x14ac:dyDescent="0.45">
      <c r="B114" t="str">
        <f>"Change in "&amp;LOWER(B68)</f>
        <v>Change in deferred taxes</v>
      </c>
      <c r="F114">
        <f>IF(TargetLFY&lt;AcquirorLFY,(1-calendar)*'Target local FX'!F114+calendar*'Target local FX'!G114,(1+calendar)*'Target local FX'!G114+(-calendar*'Target local FX'!F114))*FX</f>
        <v>23.589273912089716</v>
      </c>
      <c r="G114">
        <f>IF(TargetLFY&lt;AcquirorLFY,(1-calendar)*'Target local FX'!G114+calendar*'Target local FX'!H114,(1+calendar)*'Target local FX'!H114+(-calendar*'Target local FX'!G114))*FX</f>
        <v>52.007706497400314</v>
      </c>
      <c r="H114">
        <f>IF(TargetLFY&lt;AcquirorLFY,(1-calendar)*'Target local FX'!H114+calendar*'Target local FX'!I114,(1+calendar)*'Target local FX'!I114+(-calendar*'Target local FX'!H114))*FX</f>
        <v>12.465770565185196</v>
      </c>
      <c r="I114">
        <f>IF(TargetLFY&lt;AcquirorLFY,(1-calendar)*'Target local FX'!I114+calendar*'Target local FX'!J114,(1+calendar)*'Target local FX'!J114+(-calendar*'Target local FX'!I114))*FX</f>
        <v>10.302752007167227</v>
      </c>
      <c r="J114">
        <f>IF(TargetLFY&lt;AcquirorLFY,(1-calendar)*'Target local FX'!J114+calendar*'Target local FX'!K114,(1+calendar)*'Target local FX'!K114+(-calendar*'Target local FX'!J114))*FX</f>
        <v>9.5537991773457378</v>
      </c>
    </row>
    <row r="115" spans="1:11" x14ac:dyDescent="0.45">
      <c r="B115" t="str">
        <f>"Change in "&amp;LOWER(B69)</f>
        <v>Change in pension liabilities</v>
      </c>
      <c r="F115">
        <f>IF(TargetLFY&lt;AcquirorLFY,(1-calendar)*'Target local FX'!F115+calendar*'Target local FX'!G115,(1+calendar)*'Target local FX'!G115+(-calendar*'Target local FX'!F115))*FX</f>
        <v>0</v>
      </c>
      <c r="G115">
        <f>IF(TargetLFY&lt;AcquirorLFY,(1-calendar)*'Target local FX'!G115+calendar*'Target local FX'!H115,(1+calendar)*'Target local FX'!H115+(-calendar*'Target local FX'!G115))*FX</f>
        <v>0</v>
      </c>
      <c r="H115">
        <f>IF(TargetLFY&lt;AcquirorLFY,(1-calendar)*'Target local FX'!H115+calendar*'Target local FX'!I115,(1+calendar)*'Target local FX'!I115+(-calendar*'Target local FX'!H115))*FX</f>
        <v>0</v>
      </c>
      <c r="I115">
        <f>IF(TargetLFY&lt;AcquirorLFY,(1-calendar)*'Target local FX'!I115+calendar*'Target local FX'!J115,(1+calendar)*'Target local FX'!J115+(-calendar*'Target local FX'!I115))*FX</f>
        <v>0</v>
      </c>
      <c r="J115">
        <f>IF(TargetLFY&lt;AcquirorLFY,(1-calendar)*'Target local FX'!J115+calendar*'Target local FX'!K115,(1+calendar)*'Target local FX'!K115+(-calendar*'Target local FX'!J115))*FX</f>
        <v>0</v>
      </c>
    </row>
    <row r="116" spans="1:11" x14ac:dyDescent="0.45">
      <c r="B116" t="s">
        <v>364</v>
      </c>
      <c r="F116">
        <f>IF(TargetLFY&lt;AcquirorLFY,(1-calendar)*'Target local FX'!F116+calendar*'Target local FX'!G116,(1+calendar)*'Target local FX'!G116+(-calendar*'Target local FX'!F116))*FX</f>
        <v>9.4141493348864351</v>
      </c>
      <c r="G116">
        <f>IF(TargetLFY&lt;AcquirorLFY,(1-calendar)*'Target local FX'!G116+calendar*'Target local FX'!H116,(1+calendar)*'Target local FX'!H116+(-calendar*'Target local FX'!G116))*FX</f>
        <v>37.62876838497175</v>
      </c>
      <c r="H116">
        <f>IF(TargetLFY&lt;AcquirorLFY,(1-calendar)*'Target local FX'!H116+calendar*'Target local FX'!I116,(1+calendar)*'Target local FX'!I116+(-calendar*'Target local FX'!H116))*FX</f>
        <v>52.356236373777818</v>
      </c>
      <c r="I116">
        <f>IF(TargetLFY&lt;AcquirorLFY,(1-calendar)*'Target local FX'!I116+calendar*'Target local FX'!J116,(1+calendar)*'Target local FX'!J116+(-calendar*'Target local FX'!I116))*FX</f>
        <v>43.271558430102345</v>
      </c>
      <c r="J116">
        <f>IF(TargetLFY&lt;AcquirorLFY,(1-calendar)*'Target local FX'!J116+calendar*'Target local FX'!K116,(1+calendar)*'Target local FX'!K116+(-calendar*'Target local FX'!J116))*FX</f>
        <v>40.12595654485208</v>
      </c>
    </row>
    <row r="117" spans="1:11" s="3" customFormat="1" x14ac:dyDescent="0.45">
      <c r="A117" s="46"/>
      <c r="B117" t="s">
        <v>91</v>
      </c>
      <c r="C117"/>
      <c r="D117"/>
      <c r="E117"/>
      <c r="F117"/>
      <c r="G117"/>
      <c r="H117"/>
      <c r="I117"/>
      <c r="J117"/>
      <c r="K117"/>
    </row>
    <row r="119" spans="1:11" x14ac:dyDescent="0.45">
      <c r="A119" s="46" t="s">
        <v>330</v>
      </c>
    </row>
  </sheetData>
  <printOptions headings="1" gridLines="1"/>
  <pageMargins left="0.7" right="0.7" top="0.75" bottom="0.75" header="0.3" footer="0.3"/>
  <pageSetup paperSize="9" scale="45" orientation="landscape" r:id="rId1"/>
  <headerFooter>
    <oddHeader xml:space="preserve">&amp;R&amp;10&amp;F 
&amp;A
</oddHeader>
    <oddFooter>&amp;L&amp;10© 2017&amp;C&amp;10Page &amp;P of &amp;N&amp;R&amp;G</oddFooter>
  </headerFooter>
  <rowBreaks count="1" manualBreakCount="1">
    <brk id="62" max="16383" man="1"/>
  </row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33"/>
  <sheetViews>
    <sheetView zoomScaleNormal="100" workbookViewId="0">
      <pane xSplit="2" ySplit="2" topLeftCell="C3" activePane="bottomRight" state="frozen"/>
      <selection activeCell="N9" sqref="N9:Q9"/>
      <selection pane="topRight" activeCell="N9" sqref="N9:Q9"/>
      <selection pane="bottomLeft" activeCell="N9" sqref="N9:Q9"/>
      <selection pane="bottomRight"/>
    </sheetView>
  </sheetViews>
  <sheetFormatPr defaultRowHeight="15.75" x14ac:dyDescent="0.45"/>
  <cols>
    <col min="1" max="1" width="1.53125" style="46" customWidth="1"/>
    <col min="2" max="2" width="28.33203125" bestFit="1" customWidth="1"/>
    <col min="3" max="3" width="13.46484375" bestFit="1" customWidth="1"/>
    <col min="4" max="9" width="11.796875" customWidth="1"/>
    <col min="10" max="10" width="17.46484375" bestFit="1" customWidth="1"/>
    <col min="11" max="11" width="11.796875" customWidth="1"/>
    <col min="12" max="12" width="17.33203125" bestFit="1" customWidth="1"/>
    <col min="13" max="13" width="33.46484375" bestFit="1" customWidth="1"/>
    <col min="14" max="14" width="32.1328125" bestFit="1" customWidth="1"/>
    <col min="15" max="15" width="39" bestFit="1" customWidth="1"/>
    <col min="16" max="16" width="38.46484375" bestFit="1" customWidth="1"/>
    <col min="17" max="17" width="23.19921875" bestFit="1" customWidth="1"/>
    <col min="18" max="18" width="17.6640625" bestFit="1" customWidth="1"/>
  </cols>
  <sheetData>
    <row r="1" spans="1:13" ht="45" customHeight="1" x14ac:dyDescent="0.85">
      <c r="A1" s="41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</row>
    <row r="2" spans="1:13" ht="30" customHeight="1" x14ac:dyDescent="0.65">
      <c r="A2" s="42" t="str">
        <f>"Figures in "&amp;Acquiror!C3&amp;" m except per share data"</f>
        <v>Figures in Euro m except per share data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</row>
    <row r="4" spans="1:13" x14ac:dyDescent="0.45">
      <c r="C4" t="s">
        <v>2</v>
      </c>
      <c r="D4" t="s">
        <v>3</v>
      </c>
    </row>
    <row r="5" spans="1:13" x14ac:dyDescent="0.45">
      <c r="C5" s="61">
        <f>Acquiror!F2</f>
        <v>42735</v>
      </c>
      <c r="D5" s="61">
        <f>C5</f>
        <v>42735</v>
      </c>
      <c r="E5" s="61"/>
      <c r="F5" s="61"/>
      <c r="G5" s="61"/>
      <c r="H5" s="61"/>
      <c r="I5" s="61"/>
    </row>
    <row r="6" spans="1:13" x14ac:dyDescent="0.45">
      <c r="C6" s="61"/>
      <c r="D6" s="61"/>
      <c r="E6" s="61"/>
      <c r="F6" s="61"/>
      <c r="G6" s="61"/>
      <c r="I6" s="61"/>
    </row>
    <row r="7" spans="1:13" x14ac:dyDescent="0.45">
      <c r="B7" t="s">
        <v>18</v>
      </c>
      <c r="C7">
        <f>Acquiror!F53</f>
        <v>910.51206762376341</v>
      </c>
      <c r="D7">
        <f>'Calendar Target ACQ FX'!F53</f>
        <v>1427.3728315754238</v>
      </c>
    </row>
    <row r="8" spans="1:13" x14ac:dyDescent="0.45">
      <c r="B8" t="s">
        <v>73</v>
      </c>
      <c r="C8">
        <f>Acquiror!F54</f>
        <v>9150.5764383561655</v>
      </c>
      <c r="D8">
        <f>'Calendar Target ACQ FX'!F54</f>
        <v>3122.5710729955244</v>
      </c>
    </row>
    <row r="9" spans="1:13" x14ac:dyDescent="0.45">
      <c r="B9" t="s">
        <v>74</v>
      </c>
      <c r="C9">
        <f>Acquiror!F55</f>
        <v>10457.801643835617</v>
      </c>
      <c r="D9">
        <f>'Calendar Target ACQ FX'!F55</f>
        <v>1841.2398307341996</v>
      </c>
    </row>
    <row r="10" spans="1:13" x14ac:dyDescent="0.45">
      <c r="B10" t="s">
        <v>356</v>
      </c>
      <c r="C10">
        <f>Acquiror!F56</f>
        <v>3339.9604000000004</v>
      </c>
      <c r="D10">
        <f>'Calendar Target ACQ FX'!F56</f>
        <v>1224.9721898360851</v>
      </c>
    </row>
    <row r="11" spans="1:13" x14ac:dyDescent="0.45">
      <c r="B11" t="s">
        <v>19</v>
      </c>
      <c r="C11">
        <f>Acquiror!F57</f>
        <v>13465.915433041653</v>
      </c>
      <c r="D11">
        <f>'Calendar Target ACQ FX'!F57</f>
        <v>5064.7383802883742</v>
      </c>
    </row>
    <row r="12" spans="1:13" x14ac:dyDescent="0.45">
      <c r="B12" t="s">
        <v>20</v>
      </c>
      <c r="C12">
        <f>Acquiror!F58</f>
        <v>16096</v>
      </c>
      <c r="D12">
        <f>'Calendar Target ACQ FX'!F58</f>
        <v>3823.02</v>
      </c>
    </row>
    <row r="13" spans="1:13" x14ac:dyDescent="0.45">
      <c r="B13" t="s">
        <v>21</v>
      </c>
      <c r="C13">
        <f>Acquiror!F59</f>
        <v>13541</v>
      </c>
      <c r="D13">
        <f>'Calendar Target ACQ FX'!F59</f>
        <v>1033.3044904109588</v>
      </c>
    </row>
    <row r="14" spans="1:13" x14ac:dyDescent="0.45">
      <c r="B14" t="s">
        <v>357</v>
      </c>
      <c r="C14">
        <f>Acquiror!F60</f>
        <v>6447</v>
      </c>
      <c r="D14">
        <f>'Calendar Target ACQ FX'!F60</f>
        <v>1144.0529999999999</v>
      </c>
    </row>
    <row r="15" spans="1:13" x14ac:dyDescent="0.45">
      <c r="B15" t="s">
        <v>22</v>
      </c>
      <c r="C15">
        <f>SUM(C7:C14)</f>
        <v>73408.765982857207</v>
      </c>
      <c r="D15">
        <f>SUM(D7:D14)</f>
        <v>18681.271795840566</v>
      </c>
    </row>
    <row r="17" spans="2:4" x14ac:dyDescent="0.45">
      <c r="B17" t="s">
        <v>358</v>
      </c>
      <c r="C17">
        <f>Acquiror!F63</f>
        <v>0</v>
      </c>
      <c r="D17">
        <f>'Calendar Target ACQ FX'!F63</f>
        <v>1008.914597260274</v>
      </c>
    </row>
    <row r="18" spans="2:4" x14ac:dyDescent="0.45">
      <c r="B18" t="s">
        <v>77</v>
      </c>
      <c r="C18">
        <f>Acquiror!F64</f>
        <v>6274.6809863013705</v>
      </c>
      <c r="D18">
        <f>'Calendar Target ACQ FX'!F64</f>
        <v>965.9674693154974</v>
      </c>
    </row>
    <row r="19" spans="2:4" x14ac:dyDescent="0.45">
      <c r="B19" t="s">
        <v>78</v>
      </c>
      <c r="C19">
        <f>Acquiror!F65</f>
        <v>5248.5092000000004</v>
      </c>
      <c r="D19">
        <f>'Calendar Target ACQ FX'!F65</f>
        <v>3026.7528944986111</v>
      </c>
    </row>
    <row r="20" spans="2:4" x14ac:dyDescent="0.45">
      <c r="B20" t="s">
        <v>359</v>
      </c>
      <c r="C20">
        <f>Acquiror!F66</f>
        <v>2624.2546000000002</v>
      </c>
      <c r="D20">
        <f>'Calendar Target ACQ FX'!F66</f>
        <v>953.47004615175138</v>
      </c>
    </row>
    <row r="21" spans="2:4" x14ac:dyDescent="0.45">
      <c r="B21" t="s">
        <v>351</v>
      </c>
      <c r="C21">
        <f>Acquiror!F67</f>
        <v>16513</v>
      </c>
      <c r="D21">
        <f>'Calendar Target ACQ FX'!F67</f>
        <v>7087.8029999999999</v>
      </c>
    </row>
    <row r="22" spans="2:4" x14ac:dyDescent="0.45">
      <c r="B22" t="s">
        <v>348</v>
      </c>
    </row>
    <row r="23" spans="2:4" x14ac:dyDescent="0.45">
      <c r="B23" t="s">
        <v>38</v>
      </c>
    </row>
    <row r="24" spans="2:4" x14ac:dyDescent="0.45">
      <c r="B24" t="s">
        <v>76</v>
      </c>
      <c r="C24">
        <f>Acquiror!F68</f>
        <v>811.13324000000011</v>
      </c>
      <c r="D24">
        <f>'Calendar Target ACQ FX'!F68</f>
        <v>88.257273912089701</v>
      </c>
    </row>
    <row r="25" spans="2:4" x14ac:dyDescent="0.45">
      <c r="B25" t="s">
        <v>79</v>
      </c>
      <c r="C25">
        <f>Acquiror!F69</f>
        <v>10873</v>
      </c>
      <c r="D25">
        <f>'Calendar Target ACQ FX'!F69</f>
        <v>352.82099999999997</v>
      </c>
    </row>
    <row r="26" spans="2:4" x14ac:dyDescent="0.45">
      <c r="B26" t="s">
        <v>360</v>
      </c>
      <c r="C26">
        <f>Acquiror!F70</f>
        <v>3387.6741199999997</v>
      </c>
      <c r="D26">
        <f>'Calendar Target ACQ FX'!F70</f>
        <v>551.48414933488641</v>
      </c>
    </row>
    <row r="27" spans="2:4" x14ac:dyDescent="0.45">
      <c r="B27" t="s">
        <v>23</v>
      </c>
      <c r="C27">
        <f>Acquiror!F71</f>
        <v>1180</v>
      </c>
      <c r="D27">
        <f>'Calendar Target ACQ FX'!F71</f>
        <v>10.461</v>
      </c>
    </row>
    <row r="28" spans="2:4" x14ac:dyDescent="0.45">
      <c r="B28" t="s">
        <v>24</v>
      </c>
      <c r="C28">
        <f>Acquiror!F72</f>
        <v>26496.513836555827</v>
      </c>
      <c r="D28">
        <f>'Calendar Target ACQ FX'!F72</f>
        <v>4635.3403653674559</v>
      </c>
    </row>
    <row r="29" spans="2:4" x14ac:dyDescent="0.45">
      <c r="B29" t="s">
        <v>324</v>
      </c>
      <c r="C29">
        <f>SUM(C17:C28)</f>
        <v>73408.765982857192</v>
      </c>
      <c r="D29">
        <f>SUM(D17:D28)</f>
        <v>18681.271795840566</v>
      </c>
    </row>
    <row r="31" spans="2:4" x14ac:dyDescent="0.45">
      <c r="B31" t="s">
        <v>26</v>
      </c>
      <c r="C31">
        <f>C15-C29</f>
        <v>0</v>
      </c>
      <c r="D31">
        <f>D15-D29</f>
        <v>0</v>
      </c>
    </row>
    <row r="33" spans="1:1" x14ac:dyDescent="0.45">
      <c r="A33" s="46" t="s">
        <v>330</v>
      </c>
    </row>
  </sheetData>
  <printOptions headings="1" gridLines="1"/>
  <pageMargins left="0.7" right="0.7" top="0.75" bottom="0.75" header="0.3" footer="0.3"/>
  <pageSetup paperSize="9" scale="53" orientation="landscape" r:id="rId1"/>
  <headerFooter>
    <oddHeader xml:space="preserve">&amp;R&amp;10&amp;F 
&amp;A
</oddHeader>
    <oddFooter>&amp;L&amp;10© 2017&amp;C&amp;10Page &amp;P of &amp;N&amp;R&amp;G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77"/>
  <sheetViews>
    <sheetView zoomScaleNormal="100" workbookViewId="0">
      <pane xSplit="2" ySplit="2" topLeftCell="C3" activePane="bottomRight" state="frozen"/>
      <selection activeCell="N9" sqref="N9:Q9"/>
      <selection pane="topRight" activeCell="N9" sqref="N9:Q9"/>
      <selection pane="bottomLeft" activeCell="N9" sqref="N9:Q9"/>
      <selection pane="bottomRight"/>
    </sheetView>
  </sheetViews>
  <sheetFormatPr defaultRowHeight="15.75" x14ac:dyDescent="0.45"/>
  <cols>
    <col min="1" max="1" width="1.53125" style="46" customWidth="1"/>
    <col min="2" max="2" width="40.796875" customWidth="1"/>
    <col min="3" max="10" width="11.796875" customWidth="1"/>
  </cols>
  <sheetData>
    <row r="1" spans="1:11" ht="45" customHeight="1" x14ac:dyDescent="0.85">
      <c r="A1" s="41" t="s">
        <v>111</v>
      </c>
      <c r="B1" s="41"/>
      <c r="C1" s="41"/>
      <c r="D1" s="41"/>
      <c r="E1" s="41"/>
      <c r="F1" s="41"/>
      <c r="G1" s="41"/>
      <c r="H1" s="41"/>
      <c r="I1" s="41"/>
      <c r="J1" s="41"/>
    </row>
    <row r="2" spans="1:11" ht="30" customHeight="1" x14ac:dyDescent="0.65">
      <c r="A2" s="42" t="str">
        <f>"Figures in "&amp;Acquiror!C3&amp;" m except per share data"</f>
        <v>Figures in Euro m except per share data</v>
      </c>
      <c r="B2" s="42"/>
      <c r="C2" s="42"/>
      <c r="D2" s="63">
        <f>Acquiror!D2</f>
        <v>42004</v>
      </c>
      <c r="E2" s="63">
        <f>Acquiror!E2</f>
        <v>42369</v>
      </c>
      <c r="F2" s="64">
        <f>Acquiror!F2</f>
        <v>42735</v>
      </c>
      <c r="G2" s="64">
        <f>Acquiror!G2</f>
        <v>43100</v>
      </c>
      <c r="H2" s="64">
        <f>Acquiror!H2</f>
        <v>43465</v>
      </c>
      <c r="I2" s="64">
        <f>Acquiror!I2</f>
        <v>43830</v>
      </c>
      <c r="J2" s="64">
        <f>Acquiror!J2</f>
        <v>44196</v>
      </c>
    </row>
    <row r="3" spans="1:11" x14ac:dyDescent="0.45">
      <c r="A3" s="46" t="s">
        <v>112</v>
      </c>
    </row>
    <row r="4" spans="1:11" x14ac:dyDescent="0.45">
      <c r="B4" t="s">
        <v>113</v>
      </c>
      <c r="D4" s="56">
        <v>0</v>
      </c>
      <c r="E4" s="56">
        <v>0</v>
      </c>
      <c r="F4" s="72">
        <v>0</v>
      </c>
      <c r="G4" s="58">
        <v>1500</v>
      </c>
      <c r="H4" s="58">
        <v>1500</v>
      </c>
      <c r="I4" s="58">
        <v>1500</v>
      </c>
      <c r="J4" s="58">
        <v>1500</v>
      </c>
    </row>
    <row r="5" spans="1:11" x14ac:dyDescent="0.45">
      <c r="B5" t="s">
        <v>114</v>
      </c>
      <c r="D5" s="44">
        <v>0</v>
      </c>
      <c r="E5" s="44">
        <v>0</v>
      </c>
      <c r="F5" s="73">
        <v>0</v>
      </c>
      <c r="G5" s="62">
        <v>0.25</v>
      </c>
      <c r="H5" s="62">
        <v>0.5</v>
      </c>
      <c r="I5" s="62">
        <v>0.75</v>
      </c>
      <c r="J5" s="62">
        <v>1</v>
      </c>
    </row>
    <row r="6" spans="1:11" x14ac:dyDescent="0.45">
      <c r="B6" t="s">
        <v>115</v>
      </c>
      <c r="D6" s="44">
        <v>0</v>
      </c>
      <c r="E6" s="44">
        <v>0</v>
      </c>
      <c r="F6" s="73">
        <v>0</v>
      </c>
      <c r="G6" s="62">
        <v>0.8</v>
      </c>
      <c r="H6" s="62">
        <v>0.8</v>
      </c>
      <c r="I6" s="62">
        <v>0.8</v>
      </c>
      <c r="J6" s="62">
        <v>0.8</v>
      </c>
    </row>
    <row r="7" spans="1:11" s="3" customFormat="1" x14ac:dyDescent="0.45">
      <c r="A7" s="46"/>
      <c r="B7" t="s">
        <v>116</v>
      </c>
      <c r="C7"/>
      <c r="D7">
        <f>D4*D5*D6</f>
        <v>0</v>
      </c>
      <c r="E7">
        <f t="shared" ref="E7:J7" si="0">E4*E5*E6</f>
        <v>0</v>
      </c>
      <c r="F7">
        <f t="shared" si="0"/>
        <v>0</v>
      </c>
      <c r="G7">
        <f t="shared" si="0"/>
        <v>300</v>
      </c>
      <c r="H7">
        <f t="shared" si="0"/>
        <v>600</v>
      </c>
      <c r="I7">
        <f t="shared" si="0"/>
        <v>900</v>
      </c>
      <c r="J7">
        <f t="shared" si="0"/>
        <v>1200</v>
      </c>
      <c r="K7"/>
    </row>
    <row r="8" spans="1:11" x14ac:dyDescent="0.45">
      <c r="B8" t="s">
        <v>117</v>
      </c>
      <c r="D8" s="44">
        <v>0</v>
      </c>
      <c r="E8" s="44">
        <v>0</v>
      </c>
      <c r="F8" s="44">
        <v>0</v>
      </c>
      <c r="G8" s="2">
        <f>1-G6</f>
        <v>0.19999999999999996</v>
      </c>
      <c r="H8" s="2">
        <f t="shared" ref="H8:J8" si="1">1-H6</f>
        <v>0.19999999999999996</v>
      </c>
      <c r="I8" s="2">
        <f t="shared" si="1"/>
        <v>0.19999999999999996</v>
      </c>
      <c r="J8" s="2">
        <f t="shared" si="1"/>
        <v>0.19999999999999996</v>
      </c>
    </row>
    <row r="9" spans="1:11" x14ac:dyDescent="0.45">
      <c r="B9" t="s">
        <v>118</v>
      </c>
      <c r="D9">
        <f>D4*D5*D8</f>
        <v>0</v>
      </c>
      <c r="E9">
        <f t="shared" ref="E9:J9" si="2">E4*E5*E8</f>
        <v>0</v>
      </c>
      <c r="F9">
        <f t="shared" si="2"/>
        <v>0</v>
      </c>
      <c r="G9">
        <f t="shared" si="2"/>
        <v>74.999999999999986</v>
      </c>
      <c r="H9">
        <f t="shared" si="2"/>
        <v>149.99999999999997</v>
      </c>
      <c r="I9">
        <f t="shared" si="2"/>
        <v>224.99999999999994</v>
      </c>
      <c r="J9">
        <f t="shared" si="2"/>
        <v>299.99999999999994</v>
      </c>
    </row>
    <row r="11" spans="1:11" x14ac:dyDescent="0.45">
      <c r="B11" t="s">
        <v>119</v>
      </c>
      <c r="D11" s="56">
        <v>0</v>
      </c>
      <c r="E11" s="56">
        <v>0</v>
      </c>
      <c r="F11" s="72">
        <v>0</v>
      </c>
      <c r="G11" s="58">
        <v>-200</v>
      </c>
      <c r="H11" s="58">
        <v>-200</v>
      </c>
      <c r="I11" s="58">
        <v>-200</v>
      </c>
      <c r="J11" s="58">
        <v>0</v>
      </c>
    </row>
    <row r="13" spans="1:11" x14ac:dyDescent="0.45">
      <c r="B13" t="s">
        <v>120</v>
      </c>
      <c r="D13" s="56">
        <v>0</v>
      </c>
      <c r="E13" s="56">
        <v>0</v>
      </c>
      <c r="F13" s="72">
        <v>0</v>
      </c>
      <c r="G13" s="58">
        <v>150</v>
      </c>
      <c r="H13" s="58">
        <v>300</v>
      </c>
      <c r="I13" s="58">
        <v>300</v>
      </c>
      <c r="J13" s="58">
        <v>300</v>
      </c>
    </row>
    <row r="15" spans="1:11" x14ac:dyDescent="0.45">
      <c r="B15" t="s">
        <v>173</v>
      </c>
    </row>
    <row r="16" spans="1:11" x14ac:dyDescent="0.45">
      <c r="B16" t="s">
        <v>174</v>
      </c>
      <c r="C16" t="s">
        <v>329</v>
      </c>
    </row>
    <row r="17" spans="1:5" x14ac:dyDescent="0.45">
      <c r="B17" s="65">
        <f>+G2</f>
        <v>43100</v>
      </c>
      <c r="C17" s="58">
        <v>10</v>
      </c>
    </row>
    <row r="18" spans="1:5" x14ac:dyDescent="0.45">
      <c r="B18" s="65">
        <f>+H2</f>
        <v>43465</v>
      </c>
      <c r="C18" s="58">
        <v>10</v>
      </c>
    </row>
    <row r="19" spans="1:5" x14ac:dyDescent="0.45">
      <c r="B19" s="65">
        <f>+I2</f>
        <v>43830</v>
      </c>
      <c r="C19" s="58">
        <v>10</v>
      </c>
    </row>
    <row r="20" spans="1:5" x14ac:dyDescent="0.45">
      <c r="B20" s="65">
        <f>+J2</f>
        <v>44196</v>
      </c>
      <c r="C20" s="58">
        <v>10</v>
      </c>
    </row>
    <row r="21" spans="1:5" x14ac:dyDescent="0.45">
      <c r="B21" t="s">
        <v>175</v>
      </c>
    </row>
    <row r="23" spans="1:5" x14ac:dyDescent="0.45">
      <c r="A23" s="46" t="s">
        <v>166</v>
      </c>
    </row>
    <row r="24" spans="1:5" x14ac:dyDescent="0.45">
      <c r="B24" t="s">
        <v>168</v>
      </c>
    </row>
    <row r="25" spans="1:5" x14ac:dyDescent="0.45">
      <c r="B25" t="s">
        <v>169</v>
      </c>
    </row>
    <row r="26" spans="1:5" x14ac:dyDescent="0.45">
      <c r="B26" t="s">
        <v>170</v>
      </c>
    </row>
    <row r="27" spans="1:5" x14ac:dyDescent="0.45">
      <c r="B27" t="s">
        <v>171</v>
      </c>
    </row>
    <row r="28" spans="1:5" x14ac:dyDescent="0.45">
      <c r="B28" t="s">
        <v>172</v>
      </c>
    </row>
    <row r="29" spans="1:5" x14ac:dyDescent="0.45">
      <c r="B29" t="s">
        <v>176</v>
      </c>
    </row>
    <row r="30" spans="1:5" x14ac:dyDescent="0.45">
      <c r="B30" t="s">
        <v>167</v>
      </c>
      <c r="E30" s="6"/>
    </row>
    <row r="32" spans="1:5" x14ac:dyDescent="0.45">
      <c r="A32" s="46" t="s">
        <v>126</v>
      </c>
    </row>
    <row r="33" spans="1:5" x14ac:dyDescent="0.45">
      <c r="B33" t="s">
        <v>123</v>
      </c>
    </row>
    <row r="34" spans="1:5" x14ac:dyDescent="0.45">
      <c r="B34" t="s">
        <v>63</v>
      </c>
    </row>
    <row r="35" spans="1:5" x14ac:dyDescent="0.45">
      <c r="B35" t="s">
        <v>124</v>
      </c>
      <c r="E35" s="6"/>
    </row>
    <row r="37" spans="1:5" x14ac:dyDescent="0.45">
      <c r="A37" s="46" t="s">
        <v>231</v>
      </c>
    </row>
    <row r="38" spans="1:5" x14ac:dyDescent="0.45">
      <c r="B38" t="s">
        <v>123</v>
      </c>
    </row>
    <row r="39" spans="1:5" x14ac:dyDescent="0.45">
      <c r="B39" t="s">
        <v>325</v>
      </c>
    </row>
    <row r="40" spans="1:5" x14ac:dyDescent="0.45">
      <c r="B40" t="s">
        <v>124</v>
      </c>
      <c r="E40" s="6"/>
    </row>
    <row r="42" spans="1:5" x14ac:dyDescent="0.45">
      <c r="A42" s="46" t="s">
        <v>127</v>
      </c>
    </row>
    <row r="43" spans="1:5" x14ac:dyDescent="0.45">
      <c r="B43" t="s">
        <v>123</v>
      </c>
    </row>
    <row r="44" spans="1:5" x14ac:dyDescent="0.45">
      <c r="B44" t="s">
        <v>128</v>
      </c>
    </row>
    <row r="45" spans="1:5" x14ac:dyDescent="0.45">
      <c r="B45" t="s">
        <v>124</v>
      </c>
      <c r="E45" s="6"/>
    </row>
    <row r="47" spans="1:5" x14ac:dyDescent="0.45">
      <c r="A47" s="46" t="s">
        <v>351</v>
      </c>
    </row>
    <row r="48" spans="1:5" x14ac:dyDescent="0.45">
      <c r="B48" t="s">
        <v>123</v>
      </c>
    </row>
    <row r="49" spans="1:10" x14ac:dyDescent="0.45">
      <c r="B49" t="s">
        <v>130</v>
      </c>
      <c r="G49" s="58">
        <f>-2500*amortize</f>
        <v>-2500</v>
      </c>
      <c r="H49" s="58">
        <f>-2500*amortize</f>
        <v>-2500</v>
      </c>
      <c r="I49" s="58">
        <f>-2500*amortize</f>
        <v>-2500</v>
      </c>
      <c r="J49" s="58">
        <f>-2500*amortize</f>
        <v>-2500</v>
      </c>
    </row>
    <row r="50" spans="1:10" x14ac:dyDescent="0.45">
      <c r="B50" t="s">
        <v>124</v>
      </c>
      <c r="E50" s="6"/>
    </row>
    <row r="52" spans="1:10" x14ac:dyDescent="0.45">
      <c r="A52" s="46" t="s">
        <v>139</v>
      </c>
    </row>
    <row r="53" spans="1:10" x14ac:dyDescent="0.45">
      <c r="B53" t="s">
        <v>140</v>
      </c>
      <c r="G53" s="2"/>
      <c r="H53" s="2"/>
      <c r="I53" s="2"/>
      <c r="J53" s="2"/>
    </row>
    <row r="54" spans="1:10" x14ac:dyDescent="0.45">
      <c r="B54" t="s">
        <v>141</v>
      </c>
      <c r="G54" s="62">
        <v>2.5000000000000001E-2</v>
      </c>
      <c r="H54" s="62">
        <v>2.5000000000000001E-2</v>
      </c>
      <c r="I54" s="62">
        <v>2.5000000000000001E-2</v>
      </c>
      <c r="J54" s="62">
        <v>2.5000000000000001E-2</v>
      </c>
    </row>
    <row r="55" spans="1:10" x14ac:dyDescent="0.45">
      <c r="B55" t="s">
        <v>142</v>
      </c>
      <c r="G55" s="2"/>
      <c r="H55" s="2"/>
      <c r="I55" s="2"/>
      <c r="J55" s="2"/>
    </row>
    <row r="56" spans="1:10" x14ac:dyDescent="0.45">
      <c r="B56" t="s">
        <v>143</v>
      </c>
      <c r="G56" s="2"/>
      <c r="H56" s="2"/>
      <c r="I56" s="2"/>
      <c r="J56" s="2"/>
    </row>
    <row r="58" spans="1:10" x14ac:dyDescent="0.45">
      <c r="B58" t="str">
        <f>acquiror&amp;" standalone long term interest expense"</f>
        <v>Bayer standalone long term interest expense</v>
      </c>
    </row>
    <row r="59" spans="1:10" x14ac:dyDescent="0.45">
      <c r="B59" t="str">
        <f>target&amp;" standalone long term interest expense"</f>
        <v>Monsanto standalone long term interest expense</v>
      </c>
    </row>
    <row r="60" spans="1:10" x14ac:dyDescent="0.45">
      <c r="B60" t="s">
        <v>144</v>
      </c>
    </row>
    <row r="61" spans="1:10" x14ac:dyDescent="0.45">
      <c r="B61" t="s">
        <v>350</v>
      </c>
    </row>
    <row r="62" spans="1:10" x14ac:dyDescent="0.45">
      <c r="B62" t="s">
        <v>366</v>
      </c>
    </row>
    <row r="63" spans="1:10" x14ac:dyDescent="0.45">
      <c r="B63" t="s">
        <v>145</v>
      </c>
    </row>
    <row r="64" spans="1:10" x14ac:dyDescent="0.45">
      <c r="B64" t="s">
        <v>146</v>
      </c>
    </row>
    <row r="66" spans="1:10" x14ac:dyDescent="0.45">
      <c r="B66" t="s">
        <v>149</v>
      </c>
    </row>
    <row r="68" spans="1:10" x14ac:dyDescent="0.45">
      <c r="A68" s="46" t="s">
        <v>147</v>
      </c>
    </row>
    <row r="69" spans="1:10" x14ac:dyDescent="0.45">
      <c r="B69" t="s">
        <v>148</v>
      </c>
      <c r="G69" s="2"/>
      <c r="H69" s="2"/>
      <c r="I69" s="2"/>
      <c r="J69" s="2"/>
    </row>
    <row r="71" spans="1:10" x14ac:dyDescent="0.45">
      <c r="B71" t="s">
        <v>150</v>
      </c>
    </row>
    <row r="72" spans="1:10" x14ac:dyDescent="0.45">
      <c r="B72" t="s">
        <v>151</v>
      </c>
    </row>
    <row r="73" spans="1:10" x14ac:dyDescent="0.45">
      <c r="B73" t="s">
        <v>354</v>
      </c>
    </row>
    <row r="74" spans="1:10" x14ac:dyDescent="0.45">
      <c r="B74" t="s">
        <v>235</v>
      </c>
    </row>
    <row r="75" spans="1:10" x14ac:dyDescent="0.45">
      <c r="B75" t="s">
        <v>152</v>
      </c>
    </row>
    <row r="77" spans="1:10" x14ac:dyDescent="0.45">
      <c r="A77" s="46" t="s">
        <v>330</v>
      </c>
    </row>
  </sheetData>
  <printOptions headings="1" gridLines="1"/>
  <pageMargins left="0.7" right="0.7" top="0.75" bottom="0.75" header="0.3" footer="0.3"/>
  <pageSetup paperSize="9" scale="58" orientation="landscape" r:id="rId1"/>
  <headerFooter>
    <oddHeader xml:space="preserve">&amp;R&amp;10&amp;F 
&amp;A
</oddHeader>
    <oddFooter>&amp;L&amp;10© 2017&amp;C&amp;10Page &amp;P of &amp;N&amp;R&amp;G</oddFooter>
  </headerFooter>
  <rowBreaks count="1" manualBreakCount="1">
    <brk id="46" max="16383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9eded41-6c5d-4718-b7b7-dbfd1652bccf">
      <Terms xmlns="http://schemas.microsoft.com/office/infopath/2007/PartnerControls"/>
    </lcf76f155ced4ddcb4097134ff3c332f>
    <TaxCatchAll xmlns="6ea4884f-dd23-4a9e-9674-e0962577458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002F8CDD7ACF40A6C36B1C9FA62C55" ma:contentTypeVersion="14" ma:contentTypeDescription="Create a new document." ma:contentTypeScope="" ma:versionID="6c89911dbbba69f85380b0cbe19a7a97">
  <xsd:schema xmlns:xsd="http://www.w3.org/2001/XMLSchema" xmlns:xs="http://www.w3.org/2001/XMLSchema" xmlns:p="http://schemas.microsoft.com/office/2006/metadata/properties" xmlns:ns2="69eded41-6c5d-4718-b7b7-dbfd1652bccf" xmlns:ns3="6ea4884f-dd23-4a9e-9674-e0962577458b" targetNamespace="http://schemas.microsoft.com/office/2006/metadata/properties" ma:root="true" ma:fieldsID="293c7e17b22c7855182087285b20e1b3" ns2:_="" ns3:_="">
    <xsd:import namespace="69eded41-6c5d-4718-b7b7-dbfd1652bccf"/>
    <xsd:import namespace="6ea4884f-dd23-4a9e-9674-e096257745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ded41-6c5d-4718-b7b7-dbfd1652bc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32ff089-c713-41da-a7f8-7725fa36ebb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4884f-dd23-4a9e-9674-e0962577458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797a576b-233c-4f6a-bc99-79689ae6a87f}" ma:internalName="TaxCatchAll" ma:showField="CatchAllData" ma:web="6ea4884f-dd23-4a9e-9674-e096257745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A0F3C8E-C256-4EC8-954F-2674B1A91D23}">
  <ds:schemaRefs>
    <ds:schemaRef ds:uri="http://schemas.microsoft.com/office/2006/metadata/properties"/>
    <ds:schemaRef ds:uri="http://schemas.microsoft.com/office/infopath/2007/PartnerControls"/>
    <ds:schemaRef ds:uri="69eded41-6c5d-4718-b7b7-dbfd1652bccf"/>
    <ds:schemaRef ds:uri="6ea4884f-dd23-4a9e-9674-e0962577458b"/>
  </ds:schemaRefs>
</ds:datastoreItem>
</file>

<file path=customXml/itemProps2.xml><?xml version="1.0" encoding="utf-8"?>
<ds:datastoreItem xmlns:ds="http://schemas.openxmlformats.org/officeDocument/2006/customXml" ds:itemID="{410B29D5-7FE2-4F26-A8E7-A7674F08EA0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BAD4712-730A-4E19-8DB9-D5A885267246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15</vt:i4>
      </vt:variant>
    </vt:vector>
  </HeadingPairs>
  <TitlesOfParts>
    <vt:vector size="30" baseType="lpstr">
      <vt:lpstr>Welcome</vt:lpstr>
      <vt:lpstr>Info</vt:lpstr>
      <vt:lpstr>Model intro</vt:lpstr>
      <vt:lpstr>Assumptions</vt:lpstr>
      <vt:lpstr>Acquiror</vt:lpstr>
      <vt:lpstr>Target local FX</vt:lpstr>
      <vt:lpstr>Calendar Target ACQ FX</vt:lpstr>
      <vt:lpstr>Opening BS</vt:lpstr>
      <vt:lpstr>Calcs</vt:lpstr>
      <vt:lpstr>Newco</vt:lpstr>
      <vt:lpstr>Analysis</vt:lpstr>
      <vt:lpstr>Value creation</vt:lpstr>
      <vt:lpstr>DCF</vt:lpstr>
      <vt:lpstr>AVP</vt:lpstr>
      <vt:lpstr>Side by side</vt:lpstr>
      <vt:lpstr>acquiror</vt:lpstr>
      <vt:lpstr>AcquirorLFY</vt:lpstr>
      <vt:lpstr>amortize</vt:lpstr>
      <vt:lpstr>calendar</vt:lpstr>
      <vt:lpstr>circ</vt:lpstr>
      <vt:lpstr>equity</vt:lpstr>
      <vt:lpstr>FX</vt:lpstr>
      <vt:lpstr>'Calendar Target ACQ FX'!Print_Area</vt:lpstr>
      <vt:lpstr>Newco!Print_Area</vt:lpstr>
      <vt:lpstr>'Opening BS'!Print_Area</vt:lpstr>
      <vt:lpstr>refinance</vt:lpstr>
      <vt:lpstr>Switch</vt:lpstr>
      <vt:lpstr>target</vt:lpstr>
      <vt:lpstr>TargetLFY</vt:lpstr>
      <vt:lpstr>targetname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Ward</dc:creator>
  <cp:lastModifiedBy>Andrew Jones</cp:lastModifiedBy>
  <cp:lastPrinted>2019-03-11T13:59:03Z</cp:lastPrinted>
  <dcterms:created xsi:type="dcterms:W3CDTF">2016-07-25T06:55:32Z</dcterms:created>
  <dcterms:modified xsi:type="dcterms:W3CDTF">2025-03-28T15:21:48Z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0x0101004F002F8CDD7ACF40A6C36B1C9FA62C55</vt:lpwstr>
  </property>
  <property fmtid="{D5CDD505-2E9C-101B-9397-08002B2CF9AE}" pid="3" name="MediaServiceImageTags">
    <vt:lpwstr/>
  </property>
</Properties>
</file>