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phil_sparks_fe_training/Documents/Documents/Phil Sparks own files/MAIN PREP/7090 Complex LBOs/Basic version of Debs model/"/>
    </mc:Choice>
  </mc:AlternateContent>
  <xr:revisionPtr revIDLastSave="1" documentId="8_{8C872E16-118D-407B-B495-97BC1157953A}" xr6:coauthVersionLast="47" xr6:coauthVersionMax="47" xr10:uidLastSave="{7D0EAC8D-12BB-425C-AF9F-8EA5856334A7}"/>
  <bookViews>
    <workbookView xWindow="2220" yWindow="-19980" windowWidth="21980" windowHeight="17080" activeTab="6" xr2:uid="{00000000-000D-0000-FFFF-FFFF00000000}"/>
  </bookViews>
  <sheets>
    <sheet name="Welcome" sheetId="1" r:id="rId1"/>
    <sheet name="Info" sheetId="6" r:id="rId2"/>
    <sheet name="LBO" sheetId="27" r:id="rId3"/>
    <sheet name="Input" sheetId="22" r:id="rId4"/>
    <sheet name="Calc" sheetId="23" r:id="rId5"/>
    <sheet name="IS" sheetId="24" r:id="rId6"/>
    <sheet name="BS" sheetId="25" r:id="rId7"/>
    <sheet name="CFS" sheetId="26" r:id="rId8"/>
    <sheet name="Debt" sheetId="28" r:id="rId9"/>
  </sheets>
  <definedNames>
    <definedName name="case">Input!$J$6</definedName>
    <definedName name="CIQWBGuid" hidden="1">"571ab0c3-d74c-43bc-a7ba-442a57d4d174"</definedName>
    <definedName name="date">Info!$N$7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IQRBWSM104" localSheetId="8" hidden="1">#REF!</definedName>
    <definedName name="IQRBWSM104" localSheetId="2" hidden="1">#REF!</definedName>
    <definedName name="IQRBWSM104" hidden="1">#REF!</definedName>
    <definedName name="IQRDECKM104" localSheetId="8" hidden="1">#REF!</definedName>
    <definedName name="IQRDECKM104" localSheetId="2" hidden="1">#REF!</definedName>
    <definedName name="IQRDECKM104" hidden="1">#REF!</definedName>
    <definedName name="IQRDSWM104" localSheetId="8" hidden="1">#REF!</definedName>
    <definedName name="IQRDSWM104" localSheetId="2" hidden="1">#REF!</definedName>
    <definedName name="IQRDSWM104" hidden="1">#REF!</definedName>
    <definedName name="IQRFINLM104" localSheetId="8" hidden="1">#REF!</definedName>
    <definedName name="IQRFINLM104" localSheetId="2" hidden="1">#REF!</definedName>
    <definedName name="IQRFINLM104" hidden="1">#REF!</definedName>
    <definedName name="IQRGCOM104" localSheetId="8" hidden="1">#REF!</definedName>
    <definedName name="IQRGCOM104" localSheetId="2" hidden="1">#REF!</definedName>
    <definedName name="IQRGCOM104" hidden="1">#REF!</definedName>
    <definedName name="IQRSHOOM104" localSheetId="8" hidden="1">#REF!</definedName>
    <definedName name="IQRSHOOM104" localSheetId="2" hidden="1">#REF!</definedName>
    <definedName name="IQRSHOOM104" hidden="1">#REF!</definedName>
    <definedName name="IQRSKXM104" localSheetId="8" hidden="1">#REF!</definedName>
    <definedName name="IQRSKXM104" localSheetId="2" hidden="1">#REF!</definedName>
    <definedName name="IQRSKXM104" hidden="1">#REF!</definedName>
    <definedName name="IQRTargetM104" localSheetId="8" hidden="1">#REF!</definedName>
    <definedName name="IQRTargetM104" localSheetId="2" hidden="1">#REF!</definedName>
    <definedName name="IQRTargetM104" hidden="1">#REF!</definedName>
    <definedName name="IQRTODM104" localSheetId="8" hidden="1">#REF!</definedName>
    <definedName name="IQRTODM104" localSheetId="2" hidden="1">#REF!</definedName>
    <definedName name="IQRTODM104" hidden="1">#REF!</definedName>
    <definedName name="IQRWWWM104" localSheetId="8" hidden="1">#REF!</definedName>
    <definedName name="IQRWWWM104" localSheetId="2" hidden="1">#REF!</definedName>
    <definedName name="IQRWWWM104" hidden="1">#REF!</definedName>
    <definedName name="switch">Info!$N$12</definedName>
    <definedName name="Switch2">Input!$F$5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6" l="1"/>
  <c r="K16" i="24"/>
  <c r="L16" i="24"/>
  <c r="M16" i="24"/>
  <c r="N16" i="24"/>
  <c r="O16" i="24"/>
  <c r="P16" i="24"/>
  <c r="Q16" i="24"/>
  <c r="J16" i="24"/>
  <c r="I33" i="25" l="1"/>
  <c r="J14" i="24"/>
  <c r="H15" i="27"/>
  <c r="L17" i="24" l="1"/>
  <c r="M17" i="24"/>
  <c r="N17" i="24"/>
  <c r="O17" i="24"/>
  <c r="P17" i="24"/>
  <c r="Q17" i="24"/>
  <c r="K17" i="24"/>
  <c r="K5" i="26" s="1"/>
  <c r="C20" i="24"/>
  <c r="D17" i="24"/>
  <c r="E17" i="24"/>
  <c r="F17" i="24"/>
  <c r="C17" i="24"/>
  <c r="H17" i="25"/>
  <c r="O5" i="26" l="1"/>
  <c r="N5" i="26"/>
  <c r="P5" i="26"/>
  <c r="M5" i="26"/>
  <c r="L5" i="26"/>
  <c r="J17" i="24"/>
  <c r="J5" i="26" s="1"/>
  <c r="Q5" i="26"/>
  <c r="C24" i="27"/>
  <c r="C27" i="27" s="1"/>
  <c r="D26" i="27" s="1"/>
  <c r="A1" i="28"/>
  <c r="A1" i="26"/>
  <c r="A1" i="24"/>
  <c r="A1" i="25"/>
  <c r="A1" i="23"/>
  <c r="A1" i="27"/>
  <c r="A1" i="22"/>
  <c r="D24" i="27" l="1"/>
  <c r="D27" i="27" s="1"/>
  <c r="K15" i="22"/>
  <c r="L15" i="22"/>
  <c r="M15" i="22"/>
  <c r="N15" i="22"/>
  <c r="O15" i="22"/>
  <c r="P15" i="22"/>
  <c r="Q15" i="22"/>
  <c r="J15" i="22"/>
  <c r="K31" i="27" l="1"/>
  <c r="K27" i="25"/>
  <c r="L27" i="25"/>
  <c r="M27" i="25"/>
  <c r="N27" i="25"/>
  <c r="O27" i="25"/>
  <c r="O9" i="26" s="1"/>
  <c r="P27" i="25"/>
  <c r="Q27" i="25"/>
  <c r="N9" i="26"/>
  <c r="K13" i="25"/>
  <c r="L13" i="25"/>
  <c r="M13" i="25"/>
  <c r="N13" i="25"/>
  <c r="O13" i="25"/>
  <c r="P13" i="25"/>
  <c r="Q13" i="25"/>
  <c r="L13" i="24"/>
  <c r="M13" i="24"/>
  <c r="N13" i="24"/>
  <c r="O13" i="24"/>
  <c r="P13" i="24"/>
  <c r="Q13" i="24"/>
  <c r="J27" i="25"/>
  <c r="J13" i="25"/>
  <c r="K13" i="24"/>
  <c r="J13" i="24"/>
  <c r="J5" i="24"/>
  <c r="K5" i="24" s="1"/>
  <c r="H30" i="25"/>
  <c r="H23" i="25"/>
  <c r="I43" i="28" s="1"/>
  <c r="H24" i="25"/>
  <c r="I49" i="28" s="1"/>
  <c r="H25" i="25"/>
  <c r="I25" i="25" s="1"/>
  <c r="H22" i="25"/>
  <c r="I22" i="25" s="1"/>
  <c r="H21" i="25"/>
  <c r="I21" i="25" s="1"/>
  <c r="J21" i="25" s="1"/>
  <c r="H5" i="25"/>
  <c r="I5" i="25" s="1"/>
  <c r="I27" i="25"/>
  <c r="I18" i="25"/>
  <c r="I22" i="23" s="1"/>
  <c r="I17" i="25"/>
  <c r="I19" i="25" s="1"/>
  <c r="I13" i="25"/>
  <c r="I12" i="25"/>
  <c r="I11" i="25"/>
  <c r="I9" i="23" s="1"/>
  <c r="J6" i="23" s="1"/>
  <c r="J8" i="23" s="1"/>
  <c r="J12" i="24" s="1"/>
  <c r="I8" i="25"/>
  <c r="I21" i="23" s="1"/>
  <c r="I7" i="25"/>
  <c r="I20" i="23" s="1"/>
  <c r="I6" i="25"/>
  <c r="I19" i="23" s="1"/>
  <c r="K17" i="27"/>
  <c r="K15" i="27"/>
  <c r="K16" i="27"/>
  <c r="K14" i="27"/>
  <c r="I23" i="23" l="1"/>
  <c r="N8" i="26"/>
  <c r="Q9" i="26"/>
  <c r="M9" i="26"/>
  <c r="I9" i="25"/>
  <c r="J11" i="28"/>
  <c r="I25" i="26"/>
  <c r="J23" i="26" s="1"/>
  <c r="K21" i="25"/>
  <c r="L21" i="25" s="1"/>
  <c r="M21" i="25" s="1"/>
  <c r="N21" i="25" s="1"/>
  <c r="J17" i="26"/>
  <c r="J6" i="24"/>
  <c r="J7" i="25" s="1"/>
  <c r="J20" i="23" s="1"/>
  <c r="J8" i="25"/>
  <c r="J21" i="23" s="1"/>
  <c r="K9" i="26"/>
  <c r="J9" i="24"/>
  <c r="J8" i="26"/>
  <c r="Q8" i="26"/>
  <c r="M8" i="26"/>
  <c r="J12" i="25"/>
  <c r="K12" i="25" s="1"/>
  <c r="L12" i="25" s="1"/>
  <c r="M12" i="25" s="1"/>
  <c r="N12" i="25" s="1"/>
  <c r="O12" i="25" s="1"/>
  <c r="P12" i="25" s="1"/>
  <c r="Q12" i="25" s="1"/>
  <c r="J9" i="26"/>
  <c r="O8" i="26"/>
  <c r="I25" i="28"/>
  <c r="J23" i="28" s="1"/>
  <c r="L31" i="27"/>
  <c r="K6" i="25"/>
  <c r="K19" i="23" s="1"/>
  <c r="L5" i="24"/>
  <c r="L6" i="24" s="1"/>
  <c r="K8" i="25"/>
  <c r="K21" i="23" s="1"/>
  <c r="K9" i="24"/>
  <c r="K6" i="24"/>
  <c r="K7" i="23"/>
  <c r="K13" i="26" s="1"/>
  <c r="K14" i="26" s="1"/>
  <c r="K13" i="28" s="1"/>
  <c r="P8" i="26"/>
  <c r="K8" i="26"/>
  <c r="L8" i="26"/>
  <c r="J7" i="23"/>
  <c r="J6" i="25"/>
  <c r="J19" i="23" s="1"/>
  <c r="L9" i="26"/>
  <c r="P9" i="26"/>
  <c r="I23" i="25"/>
  <c r="K48" i="28"/>
  <c r="K19" i="28" s="1"/>
  <c r="O48" i="28"/>
  <c r="O19" i="28" s="1"/>
  <c r="J47" i="28"/>
  <c r="L48" i="28"/>
  <c r="L19" i="28" s="1"/>
  <c r="P48" i="28"/>
  <c r="P19" i="28" s="1"/>
  <c r="M48" i="28"/>
  <c r="M19" i="28" s="1"/>
  <c r="Q48" i="28"/>
  <c r="Q19" i="28" s="1"/>
  <c r="N48" i="28"/>
  <c r="N19" i="28" s="1"/>
  <c r="J48" i="28"/>
  <c r="J19" i="28" s="1"/>
  <c r="J40" i="28"/>
  <c r="J41" i="28" s="1"/>
  <c r="J18" i="28" s="1"/>
  <c r="I34" i="28"/>
  <c r="I24" i="25"/>
  <c r="J3" i="28"/>
  <c r="K3" i="28" s="1"/>
  <c r="L3" i="28" s="1"/>
  <c r="M3" i="28" s="1"/>
  <c r="N3" i="28" s="1"/>
  <c r="O3" i="28" s="1"/>
  <c r="P3" i="28" s="1"/>
  <c r="Q3" i="28" s="1"/>
  <c r="E3" i="28"/>
  <c r="D3" i="28" s="1"/>
  <c r="C3" i="28" s="1"/>
  <c r="J7" i="24" l="1"/>
  <c r="J10" i="24" s="1"/>
  <c r="J18" i="25"/>
  <c r="J22" i="23" s="1"/>
  <c r="K17" i="26"/>
  <c r="M17" i="26"/>
  <c r="L17" i="26"/>
  <c r="M31" i="27"/>
  <c r="N31" i="27" s="1"/>
  <c r="J66" i="28"/>
  <c r="M5" i="24"/>
  <c r="L7" i="23"/>
  <c r="L6" i="25"/>
  <c r="L19" i="23" s="1"/>
  <c r="L8" i="25"/>
  <c r="L21" i="23" s="1"/>
  <c r="L9" i="24"/>
  <c r="J23" i="23"/>
  <c r="J10" i="26" s="1"/>
  <c r="K18" i="25"/>
  <c r="K22" i="23" s="1"/>
  <c r="K7" i="25"/>
  <c r="K20" i="23" s="1"/>
  <c r="K7" i="24"/>
  <c r="K10" i="24" s="1"/>
  <c r="L7" i="24"/>
  <c r="L18" i="25"/>
  <c r="L22" i="23" s="1"/>
  <c r="L7" i="25"/>
  <c r="L20" i="23" s="1"/>
  <c r="J13" i="26"/>
  <c r="J14" i="26" s="1"/>
  <c r="J13" i="28" s="1"/>
  <c r="J9" i="23"/>
  <c r="I68" i="28"/>
  <c r="J31" i="28"/>
  <c r="J32" i="28" s="1"/>
  <c r="J17" i="28" s="1"/>
  <c r="J49" i="28"/>
  <c r="O21" i="25"/>
  <c r="N17" i="26"/>
  <c r="B26" i="25"/>
  <c r="B25" i="25"/>
  <c r="B24" i="25"/>
  <c r="B23" i="25"/>
  <c r="B22" i="25"/>
  <c r="B6" i="28" s="1"/>
  <c r="B17" i="28" s="1"/>
  <c r="J3" i="27"/>
  <c r="K3" i="27" s="1"/>
  <c r="L3" i="27" s="1"/>
  <c r="M3" i="27" s="1"/>
  <c r="N3" i="27" s="1"/>
  <c r="O3" i="27" s="1"/>
  <c r="P3" i="27" s="1"/>
  <c r="Q3" i="27" s="1"/>
  <c r="E3" i="27"/>
  <c r="D3" i="27" s="1"/>
  <c r="C3" i="27" s="1"/>
  <c r="J3" i="26"/>
  <c r="K3" i="26" s="1"/>
  <c r="L3" i="26" s="1"/>
  <c r="M3" i="26" s="1"/>
  <c r="N3" i="26" s="1"/>
  <c r="O3" i="26" s="1"/>
  <c r="P3" i="26" s="1"/>
  <c r="Q3" i="26" s="1"/>
  <c r="E3" i="26"/>
  <c r="D3" i="26" s="1"/>
  <c r="C3" i="26" s="1"/>
  <c r="J3" i="25"/>
  <c r="K3" i="25" s="1"/>
  <c r="L3" i="25" s="1"/>
  <c r="M3" i="25" s="1"/>
  <c r="N3" i="25" s="1"/>
  <c r="O3" i="25" s="1"/>
  <c r="P3" i="25" s="1"/>
  <c r="Q3" i="25" s="1"/>
  <c r="E3" i="25"/>
  <c r="D3" i="25" s="1"/>
  <c r="C3" i="25" s="1"/>
  <c r="J3" i="24"/>
  <c r="K3" i="24" s="1"/>
  <c r="L3" i="24" s="1"/>
  <c r="M3" i="24" s="1"/>
  <c r="N3" i="24" s="1"/>
  <c r="O3" i="24" s="1"/>
  <c r="P3" i="24" s="1"/>
  <c r="Q3" i="24" s="1"/>
  <c r="E3" i="24"/>
  <c r="D3" i="24"/>
  <c r="C3" i="24" s="1"/>
  <c r="E3" i="23"/>
  <c r="D3" i="23" s="1"/>
  <c r="C3" i="23" s="1"/>
  <c r="J3" i="23"/>
  <c r="K3" i="23" s="1"/>
  <c r="L3" i="23" s="1"/>
  <c r="M3" i="23" s="1"/>
  <c r="N3" i="23" s="1"/>
  <c r="O3" i="23" s="1"/>
  <c r="P3" i="23" s="1"/>
  <c r="Q3" i="23" s="1"/>
  <c r="B14" i="27"/>
  <c r="F9" i="27"/>
  <c r="D15" i="27" s="1"/>
  <c r="L10" i="24" l="1"/>
  <c r="K23" i="23"/>
  <c r="K10" i="26" s="1"/>
  <c r="L23" i="23"/>
  <c r="O31" i="27"/>
  <c r="J67" i="28"/>
  <c r="L13" i="26"/>
  <c r="L14" i="26" s="1"/>
  <c r="L13" i="28" s="1"/>
  <c r="M8" i="25"/>
  <c r="M21" i="23" s="1"/>
  <c r="M6" i="25"/>
  <c r="M19" i="23" s="1"/>
  <c r="M7" i="23"/>
  <c r="M13" i="26" s="1"/>
  <c r="M14" i="26" s="1"/>
  <c r="M13" i="28" s="1"/>
  <c r="N5" i="24"/>
  <c r="M9" i="24"/>
  <c r="M6" i="24"/>
  <c r="J11" i="25"/>
  <c r="K6" i="23"/>
  <c r="K47" i="28"/>
  <c r="K49" i="28" s="1"/>
  <c r="K50" i="28" s="1"/>
  <c r="J20" i="26"/>
  <c r="J50" i="28"/>
  <c r="O17" i="26"/>
  <c r="P21" i="25"/>
  <c r="L10" i="26"/>
  <c r="B19" i="26"/>
  <c r="B7" i="28"/>
  <c r="B18" i="28" s="1"/>
  <c r="B20" i="26"/>
  <c r="B8" i="28"/>
  <c r="B19" i="28" s="1"/>
  <c r="B18" i="26"/>
  <c r="P31" i="27" l="1"/>
  <c r="Q31" i="27" s="1"/>
  <c r="M7" i="24"/>
  <c r="M10" i="24" s="1"/>
  <c r="M18" i="25"/>
  <c r="M22" i="23" s="1"/>
  <c r="M7" i="25"/>
  <c r="M20" i="23" s="1"/>
  <c r="K8" i="23"/>
  <c r="K12" i="24" s="1"/>
  <c r="K14" i="24" s="1"/>
  <c r="N8" i="25"/>
  <c r="N21" i="23" s="1"/>
  <c r="N6" i="25"/>
  <c r="N19" i="23" s="1"/>
  <c r="N6" i="24"/>
  <c r="O5" i="24"/>
  <c r="N9" i="24"/>
  <c r="N7" i="23"/>
  <c r="N13" i="26" s="1"/>
  <c r="N14" i="26" s="1"/>
  <c r="N13" i="28" s="1"/>
  <c r="K20" i="26"/>
  <c r="L47" i="28"/>
  <c r="L49" i="28" s="1"/>
  <c r="L50" i="28" s="1"/>
  <c r="P17" i="26"/>
  <c r="Q21" i="25"/>
  <c r="Q17" i="26" s="1"/>
  <c r="D14" i="22"/>
  <c r="E14" i="22"/>
  <c r="C14" i="22"/>
  <c r="F14" i="22"/>
  <c r="E11" i="22"/>
  <c r="F11" i="22"/>
  <c r="D11" i="22"/>
  <c r="D26" i="22"/>
  <c r="E26" i="22"/>
  <c r="F26" i="22"/>
  <c r="C26" i="22"/>
  <c r="D23" i="22"/>
  <c r="E23" i="22"/>
  <c r="F23" i="22"/>
  <c r="C23" i="22"/>
  <c r="D25" i="22"/>
  <c r="E25" i="22"/>
  <c r="F25" i="22"/>
  <c r="C25" i="22"/>
  <c r="D22" i="22"/>
  <c r="E22" i="22"/>
  <c r="F22" i="22"/>
  <c r="C22" i="22"/>
  <c r="D21" i="22"/>
  <c r="E21" i="22"/>
  <c r="F21" i="22"/>
  <c r="C21" i="22"/>
  <c r="D20" i="22"/>
  <c r="E20" i="22"/>
  <c r="F20" i="22"/>
  <c r="C20" i="22"/>
  <c r="D19" i="22"/>
  <c r="E19" i="22"/>
  <c r="F19" i="22"/>
  <c r="C19" i="22"/>
  <c r="D15" i="22"/>
  <c r="C15" i="22"/>
  <c r="D12" i="22"/>
  <c r="C12" i="22"/>
  <c r="D7" i="24"/>
  <c r="D10" i="24" s="1"/>
  <c r="D14" i="24" s="1"/>
  <c r="E7" i="24"/>
  <c r="E10" i="24" s="1"/>
  <c r="E14" i="24" s="1"/>
  <c r="F7" i="24"/>
  <c r="F10" i="24" s="1"/>
  <c r="C7" i="24"/>
  <c r="C10" i="24" s="1"/>
  <c r="C14" i="24" s="1"/>
  <c r="D19" i="25"/>
  <c r="D28" i="25" s="1"/>
  <c r="D31" i="25" s="1"/>
  <c r="E19" i="25"/>
  <c r="E28" i="25" s="1"/>
  <c r="E31" i="25" s="1"/>
  <c r="F19" i="25"/>
  <c r="C19" i="25"/>
  <c r="C28" i="25" s="1"/>
  <c r="C31" i="25" s="1"/>
  <c r="F20" i="24" l="1"/>
  <c r="F23" i="24" s="1"/>
  <c r="F14" i="24"/>
  <c r="F6" i="27" s="1"/>
  <c r="K66" i="28"/>
  <c r="K67" i="28" s="1"/>
  <c r="M23" i="23"/>
  <c r="N7" i="24"/>
  <c r="N10" i="24" s="1"/>
  <c r="N18" i="25"/>
  <c r="N22" i="23" s="1"/>
  <c r="N7" i="25"/>
  <c r="N20" i="23" s="1"/>
  <c r="O6" i="25"/>
  <c r="O19" i="23" s="1"/>
  <c r="O8" i="25"/>
  <c r="O21" i="23" s="1"/>
  <c r="O6" i="24"/>
  <c r="O9" i="24"/>
  <c r="P5" i="24"/>
  <c r="O7" i="23"/>
  <c r="O13" i="26" s="1"/>
  <c r="O14" i="26" s="1"/>
  <c r="O13" i="28" s="1"/>
  <c r="K9" i="23"/>
  <c r="M47" i="28"/>
  <c r="M49" i="28" s="1"/>
  <c r="F28" i="25"/>
  <c r="C23" i="24"/>
  <c r="E20" i="24"/>
  <c r="E23" i="24" s="1"/>
  <c r="D20" i="24"/>
  <c r="D23" i="24" s="1"/>
  <c r="D9" i="25"/>
  <c r="C9" i="25"/>
  <c r="C15" i="25" l="1"/>
  <c r="C33" i="25" s="1"/>
  <c r="N23" i="23"/>
  <c r="N10" i="26" s="1"/>
  <c r="D15" i="25"/>
  <c r="D33" i="25" s="1"/>
  <c r="H14" i="27"/>
  <c r="H16" i="27" s="1"/>
  <c r="H17" i="27" s="1"/>
  <c r="H18" i="27" s="1"/>
  <c r="F8" i="27"/>
  <c r="D16" i="27" s="1"/>
  <c r="G30" i="25" s="1"/>
  <c r="I30" i="25" s="1"/>
  <c r="I16" i="23" s="1"/>
  <c r="J13" i="23" s="1"/>
  <c r="O18" i="25"/>
  <c r="O22" i="23" s="1"/>
  <c r="O7" i="25"/>
  <c r="O20" i="23" s="1"/>
  <c r="P8" i="25"/>
  <c r="P21" i="23" s="1"/>
  <c r="P6" i="25"/>
  <c r="P19" i="23" s="1"/>
  <c r="P6" i="24"/>
  <c r="P9" i="24"/>
  <c r="Q5" i="24"/>
  <c r="P7" i="23"/>
  <c r="M10" i="26"/>
  <c r="K11" i="25"/>
  <c r="L6" i="23"/>
  <c r="O7" i="24"/>
  <c r="O10" i="24" s="1"/>
  <c r="M20" i="26"/>
  <c r="N47" i="28"/>
  <c r="N49" i="28" s="1"/>
  <c r="M50" i="28"/>
  <c r="L20" i="26"/>
  <c r="F31" i="25"/>
  <c r="E16" i="22"/>
  <c r="F16" i="22"/>
  <c r="D16" i="22"/>
  <c r="C16" i="22"/>
  <c r="F10" i="27" l="1"/>
  <c r="D14" i="27" s="1"/>
  <c r="H24" i="27" s="1"/>
  <c r="O23" i="23"/>
  <c r="O10" i="26" s="1"/>
  <c r="L8" i="23"/>
  <c r="L12" i="24" s="1"/>
  <c r="L14" i="24" s="1"/>
  <c r="P7" i="24"/>
  <c r="P10" i="24" s="1"/>
  <c r="P18" i="25"/>
  <c r="P22" i="23" s="1"/>
  <c r="P7" i="25"/>
  <c r="P20" i="23" s="1"/>
  <c r="Q8" i="25"/>
  <c r="Q21" i="23" s="1"/>
  <c r="Q6" i="25"/>
  <c r="Q19" i="23" s="1"/>
  <c r="Q9" i="24"/>
  <c r="Q6" i="24"/>
  <c r="Q7" i="23"/>
  <c r="Q13" i="26" s="1"/>
  <c r="Q14" i="26" s="1"/>
  <c r="Q13" i="28" s="1"/>
  <c r="P13" i="26"/>
  <c r="P14" i="26" s="1"/>
  <c r="P13" i="28" s="1"/>
  <c r="N20" i="26"/>
  <c r="O47" i="28"/>
  <c r="O49" i="28" s="1"/>
  <c r="N50" i="28"/>
  <c r="D17" i="27"/>
  <c r="G19" i="27" s="1"/>
  <c r="F15" i="22"/>
  <c r="B22" i="23"/>
  <c r="B21" i="23"/>
  <c r="B20" i="23"/>
  <c r="B19" i="23"/>
  <c r="E15" i="22"/>
  <c r="F12" i="22"/>
  <c r="E12" i="22"/>
  <c r="J3" i="22"/>
  <c r="K3" i="22" s="1"/>
  <c r="L3" i="22" s="1"/>
  <c r="M3" i="22" s="1"/>
  <c r="N3" i="22" s="1"/>
  <c r="O3" i="22" s="1"/>
  <c r="P3" i="22" s="1"/>
  <c r="Q3" i="22" s="1"/>
  <c r="E3" i="22"/>
  <c r="D3" i="22" s="1"/>
  <c r="C3" i="22" s="1"/>
  <c r="P23" i="23" l="1"/>
  <c r="L66" i="28"/>
  <c r="L67" i="28" s="1"/>
  <c r="P10" i="26"/>
  <c r="Q7" i="24"/>
  <c r="Q10" i="24" s="1"/>
  <c r="Q18" i="25"/>
  <c r="Q22" i="23" s="1"/>
  <c r="Q7" i="25"/>
  <c r="Q20" i="23" s="1"/>
  <c r="Q23" i="23" s="1"/>
  <c r="Q10" i="26" s="1"/>
  <c r="L9" i="23"/>
  <c r="H26" i="25"/>
  <c r="I26" i="25" s="1"/>
  <c r="I28" i="25" s="1"/>
  <c r="I31" i="25" s="1"/>
  <c r="O20" i="26"/>
  <c r="P47" i="28"/>
  <c r="P49" i="28" s="1"/>
  <c r="O50" i="28"/>
  <c r="G21" i="27"/>
  <c r="I19" i="27" s="1"/>
  <c r="F13" i="22"/>
  <c r="M6" i="23" l="1"/>
  <c r="L11" i="25"/>
  <c r="J15" i="23"/>
  <c r="I15" i="27"/>
  <c r="I16" i="27"/>
  <c r="I20" i="27"/>
  <c r="I17" i="27"/>
  <c r="I14" i="27"/>
  <c r="I18" i="27"/>
  <c r="P20" i="26"/>
  <c r="Q47" i="28"/>
  <c r="Q49" i="28" s="1"/>
  <c r="P50" i="28"/>
  <c r="A1" i="6"/>
  <c r="M8" i="23" l="1"/>
  <c r="M12" i="24" s="1"/>
  <c r="M14" i="24" s="1"/>
  <c r="Q50" i="28"/>
  <c r="Q20" i="26"/>
  <c r="E9" i="25"/>
  <c r="F9" i="25"/>
  <c r="F15" i="25" s="1"/>
  <c r="H25" i="27" s="1"/>
  <c r="H26" i="27" s="1"/>
  <c r="G14" i="25" s="1"/>
  <c r="I14" i="25" s="1"/>
  <c r="E15" i="25" l="1"/>
  <c r="E33" i="25" s="1"/>
  <c r="I15" i="25"/>
  <c r="J14" i="25"/>
  <c r="K14" i="25" s="1"/>
  <c r="L14" i="25" s="1"/>
  <c r="M14" i="25" s="1"/>
  <c r="N14" i="25" s="1"/>
  <c r="O14" i="25" s="1"/>
  <c r="P14" i="25" s="1"/>
  <c r="Q14" i="25" s="1"/>
  <c r="M9" i="23"/>
  <c r="N6" i="23" s="1"/>
  <c r="M66" i="28"/>
  <c r="M67" i="28" s="1"/>
  <c r="F33" i="25"/>
  <c r="M11" i="25" l="1"/>
  <c r="N8" i="23"/>
  <c r="N12" i="24" s="1"/>
  <c r="N14" i="24" s="1"/>
  <c r="K15" i="23"/>
  <c r="N9" i="23" l="1"/>
  <c r="O6" i="23" s="1"/>
  <c r="N66" i="28"/>
  <c r="N67" i="28" s="1"/>
  <c r="N11" i="25"/>
  <c r="O8" i="23" l="1"/>
  <c r="O12" i="24" s="1"/>
  <c r="O14" i="24" s="1"/>
  <c r="L15" i="23"/>
  <c r="O9" i="23" l="1"/>
  <c r="O66" i="28"/>
  <c r="O67" i="28" s="1"/>
  <c r="P6" i="23"/>
  <c r="O11" i="25"/>
  <c r="P8" i="23" l="1"/>
  <c r="P12" i="24" s="1"/>
  <c r="P14" i="24" s="1"/>
  <c r="P9" i="23"/>
  <c r="M15" i="23"/>
  <c r="P66" i="28" l="1"/>
  <c r="P67" i="28" s="1"/>
  <c r="Q6" i="23"/>
  <c r="P11" i="25"/>
  <c r="Q8" i="23" l="1"/>
  <c r="Q12" i="24" s="1"/>
  <c r="Q14" i="24" s="1"/>
  <c r="N15" i="23"/>
  <c r="Q66" i="28" l="1"/>
  <c r="Q67" i="28" s="1"/>
  <c r="Q9" i="23"/>
  <c r="Q11" i="25" s="1"/>
  <c r="O15" i="23" l="1"/>
  <c r="P15" i="23" l="1"/>
  <c r="Q15" i="23" l="1"/>
  <c r="J18" i="26" l="1"/>
  <c r="K18" i="26"/>
  <c r="L18" i="26"/>
  <c r="M18" i="26"/>
  <c r="N18" i="26"/>
  <c r="O18" i="26"/>
  <c r="P18" i="26"/>
  <c r="Q18" i="26"/>
  <c r="J19" i="26"/>
  <c r="K19" i="26"/>
  <c r="L19" i="26"/>
  <c r="M19" i="26"/>
  <c r="N19" i="26"/>
  <c r="O19" i="26"/>
  <c r="P19" i="26"/>
  <c r="Q19" i="26"/>
  <c r="M15" i="27"/>
  <c r="M16" i="27"/>
  <c r="L16" i="27" l="1"/>
  <c r="L15" i="27"/>
  <c r="J6" i="26"/>
  <c r="K6" i="26"/>
  <c r="L6" i="26"/>
  <c r="M6" i="26"/>
  <c r="N6" i="26"/>
  <c r="O6" i="26"/>
  <c r="P6" i="26"/>
  <c r="Q6" i="26"/>
  <c r="M7" i="26"/>
  <c r="M11" i="26" s="1"/>
  <c r="J19" i="24"/>
  <c r="J20" i="24" s="1"/>
  <c r="K19" i="24"/>
  <c r="K20" i="24" s="1"/>
  <c r="L19" i="24"/>
  <c r="L20" i="24" s="1"/>
  <c r="M19" i="24"/>
  <c r="M20" i="24" s="1"/>
  <c r="M22" i="24" s="1"/>
  <c r="N19" i="24"/>
  <c r="O19" i="24"/>
  <c r="P19" i="24"/>
  <c r="P20" i="24" s="1"/>
  <c r="Q19" i="24"/>
  <c r="Q20" i="24" s="1"/>
  <c r="N20" i="24"/>
  <c r="O20" i="24"/>
  <c r="P22" i="24"/>
  <c r="P7" i="26" s="1"/>
  <c r="P11" i="26" s="1"/>
  <c r="P12" i="28" s="1"/>
  <c r="Q22" i="24"/>
  <c r="Q7" i="26" s="1"/>
  <c r="Q11" i="26" s="1"/>
  <c r="M23" i="24"/>
  <c r="M14" i="23" s="1"/>
  <c r="J22" i="24" l="1"/>
  <c r="J7" i="26" s="1"/>
  <c r="J23" i="24"/>
  <c r="J14" i="23" s="1"/>
  <c r="J16" i="23" s="1"/>
  <c r="Q12" i="28"/>
  <c r="M12" i="28"/>
  <c r="K22" i="24"/>
  <c r="K7" i="26" s="1"/>
  <c r="K11" i="26" s="1"/>
  <c r="K23" i="24"/>
  <c r="K14" i="23" s="1"/>
  <c r="O22" i="24"/>
  <c r="O7" i="26" s="1"/>
  <c r="O11" i="26" s="1"/>
  <c r="L22" i="24"/>
  <c r="L7" i="26" s="1"/>
  <c r="L11" i="26" s="1"/>
  <c r="P23" i="24"/>
  <c r="P14" i="23" s="1"/>
  <c r="J11" i="26"/>
  <c r="K13" i="23"/>
  <c r="K16" i="23" s="1"/>
  <c r="J30" i="25"/>
  <c r="Q23" i="24"/>
  <c r="Q14" i="23" s="1"/>
  <c r="N22" i="24"/>
  <c r="N7" i="26" s="1"/>
  <c r="N11" i="26" s="1"/>
  <c r="J12" i="28" l="1"/>
  <c r="J14" i="28" s="1"/>
  <c r="J20" i="28" s="1"/>
  <c r="L12" i="28"/>
  <c r="N12" i="28"/>
  <c r="L13" i="23"/>
  <c r="K30" i="25"/>
  <c r="O12" i="28"/>
  <c r="O23" i="24"/>
  <c r="O14" i="23" s="1"/>
  <c r="N23" i="24"/>
  <c r="N14" i="23" s="1"/>
  <c r="L23" i="24"/>
  <c r="L14" i="23" s="1"/>
  <c r="K12" i="28"/>
  <c r="L16" i="23" l="1"/>
  <c r="J24" i="28"/>
  <c r="J25" i="28" s="1"/>
  <c r="J28" i="28" l="1"/>
  <c r="J26" i="28"/>
  <c r="K23" i="28"/>
  <c r="M13" i="23"/>
  <c r="M16" i="23" s="1"/>
  <c r="L30" i="25"/>
  <c r="N13" i="23" l="1"/>
  <c r="N16" i="23" s="1"/>
  <c r="M30" i="25"/>
  <c r="J19" i="25"/>
  <c r="J28" i="25" s="1"/>
  <c r="J31" i="25" s="1"/>
  <c r="J16" i="26"/>
  <c r="J21" i="26" s="1"/>
  <c r="J24" i="26" s="1"/>
  <c r="J25" i="26" s="1"/>
  <c r="J33" i="28"/>
  <c r="J34" i="28" s="1"/>
  <c r="J37" i="28" l="1"/>
  <c r="J42" i="28" s="1"/>
  <c r="J43" i="28" s="1"/>
  <c r="J35" i="28"/>
  <c r="K31" i="28"/>
  <c r="J68" i="28"/>
  <c r="J5" i="25"/>
  <c r="K23" i="26"/>
  <c r="O13" i="23"/>
  <c r="O16" i="23" s="1"/>
  <c r="N30" i="25"/>
  <c r="O30" i="25" l="1"/>
  <c r="P13" i="23"/>
  <c r="P16" i="23" s="1"/>
  <c r="J70" i="28"/>
  <c r="J74" i="28"/>
  <c r="J71" i="28"/>
  <c r="K11" i="28"/>
  <c r="K14" i="28" s="1"/>
  <c r="J9" i="25"/>
  <c r="J15" i="25" s="1"/>
  <c r="J33" i="25" s="1"/>
  <c r="K32" i="28"/>
  <c r="K17" i="28" s="1"/>
  <c r="J44" i="28"/>
  <c r="K40" i="28"/>
  <c r="P30" i="25" l="1"/>
  <c r="Q13" i="23"/>
  <c r="Q16" i="23" s="1"/>
  <c r="Q30" i="25" s="1"/>
  <c r="K41" i="28"/>
  <c r="K18" i="28" s="1"/>
  <c r="K20" i="28" s="1"/>
  <c r="K24" i="28" l="1"/>
  <c r="K25" i="28" s="1"/>
  <c r="J72" i="28"/>
  <c r="J73" i="28"/>
  <c r="L23" i="28" l="1"/>
  <c r="K26" i="28"/>
  <c r="K28" i="28"/>
  <c r="K33" i="28" l="1"/>
  <c r="K34" i="28" s="1"/>
  <c r="K19" i="25"/>
  <c r="K28" i="25" s="1"/>
  <c r="K31" i="25" s="1"/>
  <c r="K16" i="26"/>
  <c r="K21" i="26" s="1"/>
  <c r="K24" i="26" s="1"/>
  <c r="K25" i="26" s="1"/>
  <c r="K5" i="25" l="1"/>
  <c r="L23" i="26"/>
  <c r="K37" i="28"/>
  <c r="K42" i="28" s="1"/>
  <c r="K43" i="28" s="1"/>
  <c r="L31" i="28"/>
  <c r="K35" i="28"/>
  <c r="L40" i="28" l="1"/>
  <c r="K44" i="28"/>
  <c r="K68" i="28"/>
  <c r="L32" i="28"/>
  <c r="L17" i="28" s="1"/>
  <c r="L11" i="28"/>
  <c r="L14" i="28" s="1"/>
  <c r="K9" i="25"/>
  <c r="K15" i="25" s="1"/>
  <c r="K33" i="25" s="1"/>
  <c r="K72" i="28" l="1"/>
  <c r="K73" i="28"/>
  <c r="K70" i="28"/>
  <c r="K74" i="28"/>
  <c r="K71" i="28"/>
  <c r="L41" i="28"/>
  <c r="L18" i="28" s="1"/>
  <c r="L20" i="28" s="1"/>
  <c r="L24" i="28" l="1"/>
  <c r="L25" i="28" s="1"/>
  <c r="M23" i="28" l="1"/>
  <c r="L26" i="28"/>
  <c r="L28" i="28"/>
  <c r="L33" i="28" l="1"/>
  <c r="L34" i="28" s="1"/>
  <c r="L19" i="25"/>
  <c r="L28" i="25" s="1"/>
  <c r="L31" i="25" s="1"/>
  <c r="L16" i="26"/>
  <c r="L21" i="26" s="1"/>
  <c r="L24" i="26" s="1"/>
  <c r="L25" i="26" s="1"/>
  <c r="L5" i="25" l="1"/>
  <c r="M23" i="26"/>
  <c r="M31" i="28"/>
  <c r="L35" i="28"/>
  <c r="L37" i="28"/>
  <c r="L42" i="28" s="1"/>
  <c r="L43" i="28" s="1"/>
  <c r="L68" i="28" s="1"/>
  <c r="L74" i="28" l="1"/>
  <c r="L70" i="28"/>
  <c r="L71" i="28"/>
  <c r="M32" i="28"/>
  <c r="M17" i="28" s="1"/>
  <c r="M40" i="28"/>
  <c r="L44" i="28"/>
  <c r="M11" i="28"/>
  <c r="M14" i="28" s="1"/>
  <c r="L9" i="25"/>
  <c r="L15" i="25" s="1"/>
  <c r="L33" i="25" s="1"/>
  <c r="L73" i="28" l="1"/>
  <c r="L72" i="28"/>
  <c r="M41" i="28"/>
  <c r="M18" i="28" s="1"/>
  <c r="M20" i="28"/>
  <c r="M24" i="28" l="1"/>
  <c r="M25" i="28" s="1"/>
  <c r="M28" i="28" l="1"/>
  <c r="N23" i="28"/>
  <c r="M26" i="28"/>
  <c r="M16" i="26" l="1"/>
  <c r="M21" i="26" s="1"/>
  <c r="M24" i="26" s="1"/>
  <c r="M25" i="26" s="1"/>
  <c r="M19" i="25"/>
  <c r="M28" i="25" s="1"/>
  <c r="M31" i="25" s="1"/>
  <c r="M33" i="28"/>
  <c r="M34" i="28" s="1"/>
  <c r="M37" i="28" l="1"/>
  <c r="M42" i="28" s="1"/>
  <c r="M43" i="28" s="1"/>
  <c r="N31" i="28"/>
  <c r="M35" i="28"/>
  <c r="M68" i="28"/>
  <c r="N23" i="26"/>
  <c r="M5" i="25"/>
  <c r="M70" i="28" l="1"/>
  <c r="M71" i="28"/>
  <c r="M74" i="28"/>
  <c r="N32" i="28"/>
  <c r="N17" i="28" s="1"/>
  <c r="M9" i="25"/>
  <c r="M15" i="25" s="1"/>
  <c r="M33" i="25" s="1"/>
  <c r="N11" i="28"/>
  <c r="N14" i="28" s="1"/>
  <c r="N40" i="28"/>
  <c r="M44" i="28"/>
  <c r="M73" i="28" l="1"/>
  <c r="M72" i="28"/>
  <c r="N41" i="28"/>
  <c r="N18" i="28" s="1"/>
  <c r="N20" i="28" s="1"/>
  <c r="N24" i="28" l="1"/>
  <c r="N25" i="28" s="1"/>
  <c r="O23" i="28" l="1"/>
  <c r="N26" i="28"/>
  <c r="N28" i="28"/>
  <c r="N33" i="28" l="1"/>
  <c r="N34" i="28" s="1"/>
  <c r="N16" i="26"/>
  <c r="N21" i="26" s="1"/>
  <c r="N24" i="26" s="1"/>
  <c r="N25" i="26" s="1"/>
  <c r="N19" i="25"/>
  <c r="N28" i="25" s="1"/>
  <c r="N31" i="25" s="1"/>
  <c r="O23" i="26" l="1"/>
  <c r="N5" i="25"/>
  <c r="O31" i="28"/>
  <c r="N35" i="28"/>
  <c r="N37" i="28"/>
  <c r="N42" i="28" s="1"/>
  <c r="N43" i="28" s="1"/>
  <c r="O40" i="28" l="1"/>
  <c r="N44" i="28"/>
  <c r="N68" i="28"/>
  <c r="O32" i="28"/>
  <c r="O17" i="28" s="1"/>
  <c r="N9" i="25"/>
  <c r="N15" i="25" s="1"/>
  <c r="N33" i="25" s="1"/>
  <c r="O11" i="28"/>
  <c r="O14" i="28" s="1"/>
  <c r="N73" i="28" l="1"/>
  <c r="N72" i="28"/>
  <c r="N71" i="28"/>
  <c r="N70" i="28"/>
  <c r="N74" i="28"/>
  <c r="O41" i="28"/>
  <c r="O18" i="28" s="1"/>
  <c r="O20" i="28" s="1"/>
  <c r="O24" i="28" l="1"/>
  <c r="O25" i="28" s="1"/>
  <c r="P23" i="28" l="1"/>
  <c r="O26" i="28"/>
  <c r="O28" i="28"/>
  <c r="O16" i="26" l="1"/>
  <c r="O21" i="26" s="1"/>
  <c r="O24" i="26" s="1"/>
  <c r="O25" i="26" s="1"/>
  <c r="O19" i="25"/>
  <c r="O28" i="25" s="1"/>
  <c r="O31" i="25" s="1"/>
  <c r="O33" i="28"/>
  <c r="O34" i="28" s="1"/>
  <c r="P31" i="28" l="1"/>
  <c r="O35" i="28"/>
  <c r="O37" i="28"/>
  <c r="O42" i="28" s="1"/>
  <c r="O43" i="28" s="1"/>
  <c r="P23" i="26"/>
  <c r="O5" i="25"/>
  <c r="P40" i="28" l="1"/>
  <c r="O44" i="28"/>
  <c r="O68" i="28"/>
  <c r="O9" i="25"/>
  <c r="O15" i="25" s="1"/>
  <c r="O33" i="25" s="1"/>
  <c r="P11" i="28"/>
  <c r="P14" i="28" s="1"/>
  <c r="P32" i="28"/>
  <c r="P17" i="28" s="1"/>
  <c r="O73" i="28" l="1"/>
  <c r="O72" i="28"/>
  <c r="O71" i="28"/>
  <c r="O70" i="28"/>
  <c r="O74" i="28"/>
  <c r="P41" i="28"/>
  <c r="P18" i="28" s="1"/>
  <c r="P20" i="28" s="1"/>
  <c r="P24" i="28" l="1"/>
  <c r="P25" i="28" s="1"/>
  <c r="Q23" i="28" l="1"/>
  <c r="P26" i="28"/>
  <c r="P28" i="28"/>
  <c r="P33" i="28" l="1"/>
  <c r="P34" i="28" s="1"/>
  <c r="P16" i="26"/>
  <c r="P21" i="26" s="1"/>
  <c r="P24" i="26" s="1"/>
  <c r="P25" i="26" s="1"/>
  <c r="P19" i="25"/>
  <c r="P28" i="25" s="1"/>
  <c r="P31" i="25" s="1"/>
  <c r="Q23" i="26" l="1"/>
  <c r="P5" i="25"/>
  <c r="Q31" i="28"/>
  <c r="P35" i="28"/>
  <c r="P37" i="28"/>
  <c r="P42" i="28" s="1"/>
  <c r="P43" i="28" s="1"/>
  <c r="P68" i="28" s="1"/>
  <c r="P71" i="28" l="1"/>
  <c r="P70" i="28"/>
  <c r="P74" i="28"/>
  <c r="Q32" i="28"/>
  <c r="Q17" i="28" s="1"/>
  <c r="P9" i="25"/>
  <c r="P15" i="25" s="1"/>
  <c r="P33" i="25" s="1"/>
  <c r="Q11" i="28"/>
  <c r="Q14" i="28" s="1"/>
  <c r="Q40" i="28"/>
  <c r="P44" i="28"/>
  <c r="Q41" i="28" l="1"/>
  <c r="Q18" i="28" s="1"/>
  <c r="Q20" i="28" s="1"/>
  <c r="Q24" i="28" l="1"/>
  <c r="Q25" i="28" s="1"/>
  <c r="P73" i="28"/>
  <c r="P72" i="28"/>
  <c r="Q26" i="28" l="1"/>
  <c r="Q28" i="28"/>
  <c r="Q33" i="28" l="1"/>
  <c r="Q34" i="28" s="1"/>
  <c r="Q16" i="26"/>
  <c r="Q21" i="26" s="1"/>
  <c r="Q24" i="26" s="1"/>
  <c r="Q25" i="26" s="1"/>
  <c r="Q5" i="25" s="1"/>
  <c r="Q9" i="25" s="1"/>
  <c r="Q15" i="25" s="1"/>
  <c r="Q19" i="25"/>
  <c r="Q28" i="25" s="1"/>
  <c r="Q31" i="25" s="1"/>
  <c r="Q33" i="25" l="1"/>
  <c r="Q35" i="28"/>
  <c r="Q37" i="28"/>
  <c r="Q42" i="28" s="1"/>
  <c r="Q43" i="28" s="1"/>
  <c r="Q44" i="28" s="1"/>
  <c r="Q68" i="28" l="1"/>
  <c r="Q71" i="28" l="1"/>
  <c r="Q70" i="28"/>
  <c r="Q74" i="28"/>
  <c r="Q73" i="28"/>
  <c r="Q72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Includes other receivables, prepaid expenses, and prepaid income taxes</t>
        </r>
      </text>
    </comment>
    <comment ref="B21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Includes deferred tax liabilities</t>
        </r>
      </text>
    </comment>
  </commentList>
</comments>
</file>

<file path=xl/sharedStrings.xml><?xml version="1.0" encoding="utf-8"?>
<sst xmlns="http://schemas.openxmlformats.org/spreadsheetml/2006/main" count="336" uniqueCount="195">
  <si>
    <t>Features</t>
  </si>
  <si>
    <t>◦</t>
  </si>
  <si>
    <t>Model Details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</si>
  <si>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</si>
  <si>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</si>
  <si>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</si>
  <si>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</si>
  <si>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</si>
  <si>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</si>
  <si>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</si>
  <si>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</si>
  <si>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</si>
  <si>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</si>
  <si>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</si>
  <si>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Tab name here</t>
  </si>
  <si>
    <t>Tab description here</t>
  </si>
  <si>
    <t>Analysis date</t>
  </si>
  <si>
    <t>Goodwill</t>
  </si>
  <si>
    <t>Depreciation</t>
  </si>
  <si>
    <t>Target</t>
  </si>
  <si>
    <t>Model information</t>
  </si>
  <si>
    <t>Acquirer latest year end</t>
  </si>
  <si>
    <t>Figures in MMs</t>
  </si>
  <si>
    <t>Hist.</t>
  </si>
  <si>
    <t>Proj.</t>
  </si>
  <si>
    <t>Assumptions</t>
  </si>
  <si>
    <t>Circ switch</t>
  </si>
  <si>
    <t>COGS % sales</t>
  </si>
  <si>
    <t>Depreciation % of last year's net PP&amp;E</t>
  </si>
  <si>
    <t>SG&amp;A % sales</t>
  </si>
  <si>
    <t>Effective tax rate</t>
  </si>
  <si>
    <t>Balance sheet assumptions</t>
  </si>
  <si>
    <t>Inventory days</t>
  </si>
  <si>
    <t>Receivable days</t>
  </si>
  <si>
    <t>Other current assets % of sales</t>
  </si>
  <si>
    <t>Capex % sales</t>
  </si>
  <si>
    <t>Payable days</t>
  </si>
  <si>
    <t>Net PP&amp;E</t>
  </si>
  <si>
    <t>Beginning</t>
  </si>
  <si>
    <t>Capex</t>
  </si>
  <si>
    <t xml:space="preserve"> Ending</t>
  </si>
  <si>
    <t>Equity</t>
  </si>
  <si>
    <t>Net income</t>
  </si>
  <si>
    <t>Operating working capital</t>
  </si>
  <si>
    <t xml:space="preserve"> OWC</t>
  </si>
  <si>
    <t>Beginning cash</t>
  </si>
  <si>
    <t>Net sales</t>
  </si>
  <si>
    <t>Cost of sales</t>
  </si>
  <si>
    <t xml:space="preserve"> Gross profit</t>
  </si>
  <si>
    <t>SG&amp;A</t>
  </si>
  <si>
    <t xml:space="preserve"> EBIT</t>
  </si>
  <si>
    <t>Interest expense</t>
  </si>
  <si>
    <t>Income before tax</t>
  </si>
  <si>
    <t>Provision for income taxes</t>
  </si>
  <si>
    <t>Cash</t>
  </si>
  <si>
    <t>Accounts receivable</t>
  </si>
  <si>
    <t>Inventories</t>
  </si>
  <si>
    <t>Other current assets</t>
  </si>
  <si>
    <t xml:space="preserve"> Total current assets</t>
  </si>
  <si>
    <t>PP&amp;E</t>
  </si>
  <si>
    <t>Intangible assets</t>
  </si>
  <si>
    <t xml:space="preserve"> Total assets</t>
  </si>
  <si>
    <t>Revolver</t>
  </si>
  <si>
    <t>Accounts payable</t>
  </si>
  <si>
    <t xml:space="preserve"> Total current liabilities</t>
  </si>
  <si>
    <t xml:space="preserve"> Total liabilities</t>
  </si>
  <si>
    <t xml:space="preserve"> Total liabilities and equity</t>
  </si>
  <si>
    <t>Balance?</t>
  </si>
  <si>
    <t>(Inc) dec in other LT assets</t>
  </si>
  <si>
    <t>Inc (dec) in other LT liabilities</t>
  </si>
  <si>
    <t>(Inc) dec in OWC</t>
  </si>
  <si>
    <t xml:space="preserve"> Cash flow from operations</t>
  </si>
  <si>
    <t>(Capex)</t>
  </si>
  <si>
    <t xml:space="preserve"> Cash flow from investing activities</t>
  </si>
  <si>
    <t>Inc (dec) in revolver</t>
  </si>
  <si>
    <t xml:space="preserve"> Cash flow from financing activities</t>
  </si>
  <si>
    <t>Net cash flow</t>
  </si>
  <si>
    <t xml:space="preserve"> Ending cash</t>
  </si>
  <si>
    <t>Debenhams LBO model</t>
  </si>
  <si>
    <t>Other LT assets</t>
  </si>
  <si>
    <t>Debt</t>
  </si>
  <si>
    <t>Other LT liabilities</t>
  </si>
  <si>
    <t>Sales growth rate</t>
  </si>
  <si>
    <t>Income statement assumptions</t>
  </si>
  <si>
    <t>Amortization</t>
  </si>
  <si>
    <t>Amortization amount</t>
  </si>
  <si>
    <t>Inc (dec) in LT debt</t>
  </si>
  <si>
    <t>LBO</t>
  </si>
  <si>
    <t>Key assumptions</t>
  </si>
  <si>
    <t>Historic EBITDA</t>
  </si>
  <si>
    <t>EV/LTM EBITDA</t>
  </si>
  <si>
    <t>Acquisition EV</t>
  </si>
  <si>
    <t>Fees % EV</t>
  </si>
  <si>
    <t>LIBOR</t>
  </si>
  <si>
    <t>8 year GILT</t>
  </si>
  <si>
    <t>Exit year</t>
  </si>
  <si>
    <t>Sources and uses</t>
  </si>
  <si>
    <t>Net debt</t>
  </si>
  <si>
    <t>Acquisition equity value</t>
  </si>
  <si>
    <t>Refinanced net debt</t>
  </si>
  <si>
    <t>Fees</t>
  </si>
  <si>
    <t xml:space="preserve"> Total uses</t>
  </si>
  <si>
    <t>First Lien</t>
  </si>
  <si>
    <t>Second Lien</t>
  </si>
  <si>
    <t>Junior notes</t>
  </si>
  <si>
    <t>Prefs</t>
  </si>
  <si>
    <t>Common equity</t>
  </si>
  <si>
    <t xml:space="preserve"> Total sources</t>
  </si>
  <si>
    <t>Spread</t>
  </si>
  <si>
    <t>Rate</t>
  </si>
  <si>
    <t>Ownership</t>
  </si>
  <si>
    <t>At exit</t>
  </si>
  <si>
    <t>Institutions</t>
  </si>
  <si>
    <t>Mezzanine</t>
  </si>
  <si>
    <t>At entry</t>
  </si>
  <si>
    <t xml:space="preserve"> Total</t>
  </si>
  <si>
    <t>Equity purchase price</t>
  </si>
  <si>
    <t xml:space="preserve"> Goodwill</t>
  </si>
  <si>
    <t>Accounting</t>
  </si>
  <si>
    <t>Financing</t>
  </si>
  <si>
    <t>Combo</t>
  </si>
  <si>
    <t>Beginning cash balance</t>
  </si>
  <si>
    <t>Cash flow from operations</t>
  </si>
  <si>
    <t>Cash flow from investing</t>
  </si>
  <si>
    <t>Mandatory repayment</t>
  </si>
  <si>
    <t xml:space="preserve"> Cash flow for debt repayment</t>
  </si>
  <si>
    <t>Mandatory repayments</t>
  </si>
  <si>
    <t>Beginning balance</t>
  </si>
  <si>
    <t>Accelerated repayment</t>
  </si>
  <si>
    <t xml:space="preserve"> Ending balance</t>
  </si>
  <si>
    <t xml:space="preserve"> Cash flow for second lien acceleration</t>
  </si>
  <si>
    <t>Repayment</t>
  </si>
  <si>
    <t xml:space="preserve">Beginning </t>
  </si>
  <si>
    <t>Accrued interest</t>
  </si>
  <si>
    <t>Cash flow</t>
  </si>
  <si>
    <t>Preference shares</t>
  </si>
  <si>
    <t>Accrued dividends</t>
  </si>
  <si>
    <t xml:space="preserve"> Cash flow for revolver</t>
  </si>
  <si>
    <t>Issuance (repayment)</t>
  </si>
  <si>
    <t>Cash flow for first lien acceleration</t>
  </si>
  <si>
    <t>Total interest expense</t>
  </si>
  <si>
    <t>Total cash interest</t>
  </si>
  <si>
    <t>Preference dividends</t>
  </si>
  <si>
    <t>Income statement</t>
  </si>
  <si>
    <t>Balance sheet</t>
  </si>
  <si>
    <t>Cash flow statement</t>
  </si>
  <si>
    <t>Management</t>
  </si>
  <si>
    <t>PIK</t>
  </si>
  <si>
    <t>Mandatory repayment assumptions</t>
  </si>
  <si>
    <t>Cash interest</t>
  </si>
  <si>
    <t>Tax expense</t>
  </si>
  <si>
    <t>Credit ratios</t>
  </si>
  <si>
    <t>EBITDA</t>
  </si>
  <si>
    <t>EBITDA - capex</t>
  </si>
  <si>
    <t>Total debt</t>
  </si>
  <si>
    <t>Total debt / EBITDA</t>
  </si>
  <si>
    <t>Total debt / EBITDA - capex</t>
  </si>
  <si>
    <t>EBITDA / cash interest</t>
  </si>
  <si>
    <t>% of total debt repaid</t>
  </si>
  <si>
    <t>EBITDA - capex / cash interest</t>
  </si>
  <si>
    <t>Equity returns</t>
  </si>
  <si>
    <t>Year count</t>
  </si>
  <si>
    <t>Avg. life</t>
  </si>
  <si>
    <t>Repaid by year</t>
  </si>
  <si>
    <t>Debt/EBITDA</t>
  </si>
  <si>
    <t>% total</t>
  </si>
  <si>
    <t>Bank case</t>
  </si>
  <si>
    <t>Management case</t>
  </si>
  <si>
    <t>% cash sweep</t>
  </si>
  <si>
    <t>Enterprise value</t>
  </si>
  <si>
    <t>+ Cash</t>
  </si>
  <si>
    <t>- Preference shares</t>
  </si>
  <si>
    <t xml:space="preserve"> = Equity value</t>
  </si>
  <si>
    <t>- Total debt excluding mezzanine</t>
  </si>
  <si>
    <t>- Mezzanine</t>
  </si>
  <si>
    <t>Equity value</t>
  </si>
  <si>
    <t>Equity value of warrants</t>
  </si>
  <si>
    <t>Value of mezzanine loan</t>
  </si>
  <si>
    <t>Mezzanine cash flows</t>
  </si>
  <si>
    <t>IRR</t>
  </si>
  <si>
    <t>PE institutions</t>
  </si>
  <si>
    <t>Preference share value</t>
  </si>
  <si>
    <t>PE institution cash flows</t>
  </si>
  <si>
    <t>Management cash flows</t>
  </si>
  <si>
    <t xml:space="preserve">Other LT assets amount </t>
  </si>
  <si>
    <t>Other LT liabilities amount</t>
  </si>
  <si>
    <t>LBO Model</t>
  </si>
  <si>
    <t>Debenhams</t>
  </si>
  <si>
    <t>Net identifiable assets</t>
  </si>
  <si>
    <t>© 2025 Financial Edge Training</t>
  </si>
  <si>
    <t>EBITDA improvement</t>
  </si>
  <si>
    <t xml:space="preserve"> Adjusted EBITDA</t>
  </si>
  <si>
    <t xml:space="preserve">EBITDA </t>
  </si>
  <si>
    <t>EBITDA improvement (% net sales)</t>
  </si>
  <si>
    <t>Adjusted 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</si>
</sst>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_);\(#,##0.0\)"/>
    <numFmt numFmtId="176" formatCode="_ \ * #,##0.0_)_%;_ \ * \(#,##0.0\)_%;;_ \ * @_)_%"/>
    <numFmt numFmtId="177" formatCode="#,##0.0_)_%;\(#,##0.0\)_%;#,##0.0_)_%;@_)_%"/>
    <numFmt numFmtId="178" formatCode="0.00%_);\(0.00%\)"/>
  </numFmts>
  <fonts count="49" x14ac:knownFonts="1"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808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66CC"/>
      <name val="Arial"/>
      <family val="2"/>
    </font>
    <font>
      <u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0">
    <xf numFmtId="174" fontId="0" fillId="0" borderId="0" applyFill="0" applyBorder="0" applyAlignment="0" applyProtection="0"/>
    <xf numFmtId="0" fontId="8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5" applyNumberFormat="0" applyAlignment="0" applyProtection="0"/>
    <xf numFmtId="0" fontId="20" fillId="10" borderId="6" applyNumberFormat="0" applyAlignment="0" applyProtection="0"/>
    <xf numFmtId="0" fontId="21" fillId="10" borderId="5" applyNumberFormat="0" applyAlignment="0" applyProtection="0"/>
    <xf numFmtId="0" fontId="22" fillId="0" borderId="7" applyNumberFormat="0" applyFill="0" applyAlignment="0" applyProtection="0"/>
    <xf numFmtId="0" fontId="23" fillId="11" borderId="8" applyNumberFormat="0" applyAlignment="0" applyProtection="0"/>
    <xf numFmtId="0" fontId="24" fillId="0" borderId="0" applyNumberFormat="0" applyFill="0" applyBorder="0" applyAlignment="0" applyProtection="0"/>
    <xf numFmtId="0" fontId="11" fillId="12" borderId="9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7" fillId="36" borderId="0" applyNumberFormat="0" applyBorder="0" applyAlignment="0" applyProtection="0"/>
    <xf numFmtId="0" fontId="34" fillId="2" borderId="0" applyNumberFormat="0">
      <alignment horizontal="left"/>
    </xf>
    <xf numFmtId="0" fontId="10" fillId="3" borderId="0" applyNumberFormat="0" applyAlignment="0">
      <alignment horizontal="left"/>
    </xf>
    <xf numFmtId="0" fontId="6" fillId="0" borderId="0" applyNumberFormat="0" applyFill="0" applyBorder="0">
      <alignment horizontal="left" vertical="center"/>
    </xf>
    <xf numFmtId="0" fontId="4" fillId="5" borderId="0" applyNumberFormat="0" applyFont="0" applyAlignment="0" applyProtection="0">
      <alignment vertical="top"/>
    </xf>
    <xf numFmtId="168" fontId="30" fillId="3" borderId="0">
      <alignment horizontal="center"/>
    </xf>
    <xf numFmtId="170" fontId="29" fillId="2" borderId="0">
      <alignment horizontal="center"/>
    </xf>
    <xf numFmtId="170" fontId="5" fillId="0" borderId="0">
      <alignment vertical="top"/>
    </xf>
    <xf numFmtId="168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31" fillId="2" borderId="0" applyFont="0" applyFill="0" applyBorder="0" applyAlignment="0" applyProtection="0"/>
    <xf numFmtId="170" fontId="32" fillId="2" borderId="0" applyNumberFormat="0" applyFill="0" applyBorder="0" applyAlignment="0" applyProtection="0"/>
    <xf numFmtId="170" fontId="33" fillId="0" borderId="0" applyNumberFormat="0" applyFill="0" applyBorder="0" applyAlignment="0">
      <alignment vertical="top"/>
    </xf>
    <xf numFmtId="173" fontId="31" fillId="2" borderId="0" applyFont="0" applyFill="0" applyBorder="0" applyAlignment="0" applyProtection="0"/>
    <xf numFmtId="171" fontId="32" fillId="37" borderId="11" applyNumberFormat="0">
      <protection locked="0"/>
    </xf>
    <xf numFmtId="0" fontId="4" fillId="5" borderId="12" applyFont="0" applyAlignment="0" applyProtection="0">
      <alignment vertical="top"/>
    </xf>
    <xf numFmtId="170" fontId="34" fillId="3" borderId="0" applyNumberFormat="0" applyBorder="0">
      <alignment horizontal="center" vertical="top"/>
    </xf>
    <xf numFmtId="170" fontId="5" fillId="38" borderId="0" applyNumberFormat="0" applyFont="0" applyBorder="0" applyAlignment="0" applyProtection="0">
      <alignment vertical="top"/>
    </xf>
    <xf numFmtId="175" fontId="32" fillId="0" borderId="0" applyNumberFormat="0" applyFill="0" applyBorder="0" applyAlignment="0" applyProtection="0"/>
    <xf numFmtId="15" fontId="37" fillId="0" borderId="0" applyFill="0" applyBorder="0" applyAlignment="0" applyProtection="0"/>
    <xf numFmtId="176" fontId="38" fillId="39" borderId="0" applyFill="0" applyBorder="0" applyAlignment="0" applyProtection="0">
      <alignment horizontal="center"/>
    </xf>
    <xf numFmtId="0" fontId="39" fillId="39" borderId="13" applyNumberFormat="0" applyBorder="0" applyAlignment="0" applyProtection="0">
      <alignment horizontal="center"/>
    </xf>
    <xf numFmtId="0" fontId="40" fillId="0" borderId="0" applyNumberFormat="0" applyFill="0" applyBorder="0" applyAlignment="0" applyProtection="0"/>
    <xf numFmtId="171" fontId="2" fillId="0" borderId="0" applyFont="0" applyFill="0" applyBorder="0" applyAlignment="0" applyProtection="0"/>
    <xf numFmtId="177" fontId="41" fillId="0" borderId="0" applyFont="0" applyFill="0" applyBorder="0" applyAlignment="0" applyProtection="0">
      <alignment horizontal="right"/>
    </xf>
    <xf numFmtId="172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77" fontId="43" fillId="0" borderId="14" applyNumberFormat="0" applyFill="0" applyAlignment="0">
      <alignment horizontal="right"/>
    </xf>
    <xf numFmtId="175" fontId="1" fillId="0" borderId="0" applyFont="0" applyFill="0" applyBorder="0" applyAlignment="0" applyProtection="0"/>
    <xf numFmtId="15" fontId="1" fillId="0" borderId="0" applyFont="0" applyFill="0" applyBorder="0" applyAlignment="0" applyProtection="0"/>
    <xf numFmtId="174" fontId="45" fillId="0" borderId="0"/>
    <xf numFmtId="0" fontId="46" fillId="0" borderId="0" applyFill="0" applyBorder="0" applyAlignment="0" applyProtection="0"/>
    <xf numFmtId="0" fontId="47" fillId="4" borderId="0" applyNumberFormat="0" applyFill="0" applyBorder="0" applyAlignment="0" applyProtection="0">
      <alignment horizontal="right"/>
    </xf>
  </cellStyleXfs>
  <cellXfs count="92">
    <xf numFmtId="174" fontId="0" fillId="0" borderId="0" xfId="0"/>
    <xf numFmtId="174" fontId="4" fillId="5" borderId="0" xfId="0" applyFont="1" applyFill="1" applyBorder="1"/>
    <xf numFmtId="174" fontId="4" fillId="4" borderId="0" xfId="0" applyFont="1" applyFill="1" applyBorder="1"/>
    <xf numFmtId="174" fontId="4" fillId="5" borderId="0" xfId="0" applyFont="1" applyFill="1" applyBorder="1" applyAlignment="1">
      <alignment vertical="top" wrapText="1"/>
    </xf>
    <xf numFmtId="174" fontId="4" fillId="5" borderId="1" xfId="0" applyFont="1" applyFill="1" applyBorder="1" applyAlignment="1">
      <alignment vertical="top"/>
    </xf>
    <xf numFmtId="170" fontId="34" fillId="2" borderId="0" xfId="48" applyNumberFormat="1">
      <alignment horizontal="left"/>
    </xf>
    <xf numFmtId="174" fontId="27" fillId="2" borderId="0" xfId="0" applyFont="1" applyFill="1" applyBorder="1" applyAlignment="1"/>
    <xf numFmtId="174" fontId="28" fillId="3" borderId="0" xfId="0" applyFont="1" applyFill="1" applyBorder="1" applyAlignment="1"/>
    <xf numFmtId="174" fontId="5" fillId="5" borderId="0" xfId="0" applyFont="1" applyFill="1" applyBorder="1" applyAlignment="1">
      <alignment horizontal="center" vertical="top"/>
    </xf>
    <xf numFmtId="174" fontId="5" fillId="5" borderId="0" xfId="0" applyFont="1" applyFill="1" applyBorder="1" applyAlignment="1">
      <alignment vertical="top"/>
    </xf>
    <xf numFmtId="174" fontId="27" fillId="2" borderId="0" xfId="0" applyFont="1" applyFill="1" applyBorder="1" applyAlignment="1">
      <alignment vertical="center"/>
    </xf>
    <xf numFmtId="168" fontId="30" fillId="3" borderId="0" xfId="52">
      <alignment horizontal="center"/>
    </xf>
    <xf numFmtId="170" fontId="29" fillId="2" borderId="0" xfId="53">
      <alignment horizontal="center"/>
    </xf>
    <xf numFmtId="170" fontId="34" fillId="2" borderId="0" xfId="48" applyNumberFormat="1" applyAlignment="1"/>
    <xf numFmtId="170" fontId="10" fillId="3" borderId="0" xfId="49" applyNumberFormat="1" applyAlignment="1"/>
    <xf numFmtId="174" fontId="4" fillId="5" borderId="0" xfId="0" applyFont="1" applyFill="1" applyBorder="1" applyAlignment="1">
      <alignment horizontal="left" vertical="top"/>
    </xf>
    <xf numFmtId="174" fontId="4" fillId="5" borderId="0" xfId="0" applyFont="1" applyFill="1" applyBorder="1" applyAlignment="1">
      <alignment vertical="top"/>
    </xf>
    <xf numFmtId="174" fontId="4" fillId="0" borderId="0" xfId="0" applyFont="1" applyFill="1" applyBorder="1" applyAlignment="1">
      <alignment vertical="top" wrapText="1"/>
    </xf>
    <xf numFmtId="174" fontId="5" fillId="0" borderId="0" xfId="0" applyFont="1" applyFill="1" applyBorder="1" applyAlignment="1">
      <alignment vertical="top"/>
    </xf>
    <xf numFmtId="174" fontId="4" fillId="0" borderId="0" xfId="0" applyFont="1" applyFill="1" applyBorder="1" applyAlignment="1">
      <alignment horizontal="left" wrapText="1"/>
    </xf>
    <xf numFmtId="174" fontId="4" fillId="0" borderId="0" xfId="0" applyFont="1" applyFill="1" applyBorder="1" applyAlignment="1">
      <alignment vertical="top"/>
    </xf>
    <xf numFmtId="174" fontId="4" fillId="0" borderId="0" xfId="0" applyFont="1" applyFill="1" applyBorder="1"/>
    <xf numFmtId="174" fontId="6" fillId="0" borderId="0" xfId="0" applyFont="1" applyFill="1" applyBorder="1" applyAlignment="1">
      <alignment vertical="center"/>
    </xf>
    <xf numFmtId="174" fontId="7" fillId="0" borderId="0" xfId="0" applyFont="1" applyFill="1" applyBorder="1" applyAlignment="1">
      <alignment vertical="center" wrapText="1"/>
    </xf>
    <xf numFmtId="174" fontId="4" fillId="0" borderId="0" xfId="0" applyFont="1" applyFill="1" applyBorder="1" applyAlignment="1">
      <alignment horizontal="left" vertical="top"/>
    </xf>
    <xf numFmtId="174" fontId="5" fillId="0" borderId="0" xfId="0" applyFont="1" applyFill="1" applyBorder="1" applyAlignment="1">
      <alignment horizontal="center" vertical="top"/>
    </xf>
    <xf numFmtId="174" fontId="9" fillId="0" borderId="0" xfId="0" applyFont="1" applyFill="1" applyBorder="1" applyAlignment="1">
      <alignment vertical="center" wrapText="1"/>
    </xf>
    <xf numFmtId="168" fontId="4" fillId="0" borderId="0" xfId="0" applyNumberFormat="1" applyFont="1" applyFill="1" applyBorder="1" applyAlignment="1">
      <alignment horizontal="left"/>
    </xf>
    <xf numFmtId="174" fontId="4" fillId="0" borderId="0" xfId="0" applyFont="1" applyFill="1" applyBorder="1" applyAlignment="1">
      <alignment horizontal="left"/>
    </xf>
    <xf numFmtId="169" fontId="4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5" fillId="0" borderId="0" xfId="0" applyFont="1" applyFill="1" applyBorder="1" applyAlignment="1">
      <alignment horizontal="left" vertical="top"/>
    </xf>
    <xf numFmtId="174" fontId="5" fillId="0" borderId="0" xfId="0" applyFont="1" applyFill="1" applyBorder="1"/>
    <xf numFmtId="174" fontId="0" fillId="0" borderId="0" xfId="0" applyFill="1" applyBorder="1"/>
    <xf numFmtId="174" fontId="27" fillId="0" borderId="0" xfId="0" applyFont="1" applyFill="1" applyBorder="1" applyAlignment="1"/>
    <xf numFmtId="174" fontId="28" fillId="0" borderId="0" xfId="0" applyFont="1" applyFill="1" applyBorder="1" applyAlignment="1"/>
    <xf numFmtId="170" fontId="32" fillId="0" borderId="0" xfId="58" applyFill="1" applyBorder="1" applyAlignment="1">
      <alignment vertical="top"/>
    </xf>
    <xf numFmtId="170" fontId="4" fillId="5" borderId="0" xfId="51" applyNumberFormat="1" applyFont="1" applyAlignment="1">
      <alignment horizontal="left" vertical="top"/>
    </xf>
    <xf numFmtId="170" fontId="5" fillId="5" borderId="0" xfId="51" applyNumberFormat="1" applyFont="1" applyAlignment="1">
      <alignment horizontal="center" vertical="top"/>
    </xf>
    <xf numFmtId="170" fontId="4" fillId="5" borderId="0" xfId="51" applyNumberFormat="1" applyFont="1" applyAlignment="1"/>
    <xf numFmtId="170" fontId="7" fillId="5" borderId="0" xfId="51" applyNumberFormat="1" applyFont="1" applyAlignment="1">
      <alignment vertical="center" wrapText="1"/>
    </xf>
    <xf numFmtId="170" fontId="4" fillId="5" borderId="0" xfId="51" applyNumberFormat="1" applyFont="1" applyAlignment="1">
      <alignment vertical="top"/>
    </xf>
    <xf numFmtId="0" fontId="4" fillId="5" borderId="12" xfId="62" applyFont="1" applyAlignment="1">
      <alignment vertical="top"/>
    </xf>
    <xf numFmtId="0" fontId="5" fillId="5" borderId="12" xfId="62" applyFont="1" applyAlignment="1">
      <alignment horizontal="center" vertical="top"/>
    </xf>
    <xf numFmtId="0" fontId="4" fillId="5" borderId="12" xfId="62" applyFont="1" applyAlignment="1"/>
    <xf numFmtId="0" fontId="7" fillId="5" borderId="12" xfId="62" applyFont="1" applyAlignment="1">
      <alignment vertical="center" wrapText="1"/>
    </xf>
    <xf numFmtId="170" fontId="9" fillId="5" borderId="0" xfId="51" applyNumberFormat="1" applyFont="1" applyAlignment="1">
      <alignment vertical="center" wrapText="1"/>
    </xf>
    <xf numFmtId="0" fontId="5" fillId="5" borderId="12" xfId="62" applyFont="1" applyAlignment="1"/>
    <xf numFmtId="0" fontId="4" fillId="5" borderId="12" xfId="62" applyFont="1" applyAlignment="1">
      <alignment horizontal="left"/>
    </xf>
    <xf numFmtId="0" fontId="9" fillId="5" borderId="12" xfId="62" applyFont="1" applyAlignment="1">
      <alignment horizontal="center" vertical="center" wrapText="1"/>
    </xf>
    <xf numFmtId="0" fontId="9" fillId="5" borderId="12" xfId="62" applyFont="1" applyAlignment="1">
      <alignment vertical="center" wrapText="1"/>
    </xf>
    <xf numFmtId="170" fontId="32" fillId="37" borderId="11" xfId="61" applyNumberFormat="1">
      <protection locked="0"/>
    </xf>
    <xf numFmtId="170" fontId="4" fillId="0" borderId="0" xfId="51" applyNumberFormat="1" applyFont="1" applyFill="1" applyAlignment="1"/>
    <xf numFmtId="0" fontId="4" fillId="0" borderId="0" xfId="62" applyFont="1" applyFill="1" applyBorder="1" applyAlignment="1"/>
    <xf numFmtId="174" fontId="0" fillId="5" borderId="0" xfId="51" applyNumberFormat="1" applyFont="1" applyAlignment="1"/>
    <xf numFmtId="174" fontId="4" fillId="5" borderId="0" xfId="51" applyNumberFormat="1" applyFont="1" applyAlignment="1">
      <alignment vertical="top"/>
    </xf>
    <xf numFmtId="0" fontId="0" fillId="5" borderId="12" xfId="62" applyFont="1" applyAlignment="1"/>
    <xf numFmtId="174" fontId="6" fillId="5" borderId="0" xfId="51" applyNumberFormat="1" applyFont="1" applyAlignment="1">
      <alignment vertical="center"/>
    </xf>
    <xf numFmtId="0" fontId="5" fillId="5" borderId="12" xfId="62" applyFont="1" applyAlignment="1">
      <alignment horizontal="left" vertical="top"/>
    </xf>
    <xf numFmtId="170" fontId="4" fillId="5" borderId="0" xfId="51" applyNumberFormat="1" applyFont="1" applyAlignment="1">
      <alignment horizontal="left"/>
    </xf>
    <xf numFmtId="172" fontId="0" fillId="0" borderId="0" xfId="57" applyFont="1" applyFill="1"/>
    <xf numFmtId="174" fontId="32" fillId="0" borderId="0" xfId="65" applyNumberFormat="1"/>
    <xf numFmtId="174" fontId="44" fillId="0" borderId="0" xfId="0" applyFont="1"/>
    <xf numFmtId="172" fontId="32" fillId="0" borderId="0" xfId="57" applyFont="1" applyFill="1"/>
    <xf numFmtId="172" fontId="32" fillId="0" borderId="0" xfId="65" applyNumberFormat="1" applyFill="1"/>
    <xf numFmtId="172" fontId="0" fillId="0" borderId="0" xfId="72" applyFont="1"/>
    <xf numFmtId="174" fontId="0" fillId="0" borderId="0" xfId="0" applyAlignment="1">
      <alignment horizontal="right"/>
    </xf>
    <xf numFmtId="171" fontId="0" fillId="0" borderId="0" xfId="56" applyFont="1"/>
    <xf numFmtId="171" fontId="32" fillId="37" borderId="11" xfId="61">
      <protection locked="0"/>
    </xf>
    <xf numFmtId="174" fontId="32" fillId="37" borderId="11" xfId="61" applyNumberFormat="1">
      <protection locked="0"/>
    </xf>
    <xf numFmtId="172" fontId="32" fillId="37" borderId="11" xfId="72" applyFont="1" applyFill="1" applyBorder="1" applyProtection="1">
      <protection locked="0"/>
    </xf>
    <xf numFmtId="178" fontId="32" fillId="37" borderId="11" xfId="72" applyNumberFormat="1" applyFont="1" applyFill="1" applyBorder="1" applyProtection="1">
      <protection locked="0"/>
    </xf>
    <xf numFmtId="178" fontId="0" fillId="0" borderId="0" xfId="72" applyNumberFormat="1" applyFont="1"/>
    <xf numFmtId="172" fontId="32" fillId="37" borderId="11" xfId="57" applyFont="1" applyFill="1" applyBorder="1" applyProtection="1">
      <protection locked="0"/>
    </xf>
    <xf numFmtId="0" fontId="32" fillId="0" borderId="0" xfId="65" applyNumberFormat="1"/>
    <xf numFmtId="0" fontId="0" fillId="0" borderId="0" xfId="0" applyNumberFormat="1"/>
    <xf numFmtId="174" fontId="0" fillId="0" borderId="0" xfId="0" quotePrefix="1"/>
    <xf numFmtId="174" fontId="48" fillId="0" borderId="0" xfId="0" applyFont="1"/>
    <xf numFmtId="174" fontId="32" fillId="0" borderId="0" xfId="58" applyNumberFormat="1" applyFill="1"/>
    <xf numFmtId="172" fontId="32" fillId="37" borderId="11" xfId="61" applyNumberFormat="1">
      <protection locked="0"/>
    </xf>
    <xf numFmtId="170" fontId="34" fillId="2" borderId="0" xfId="48" applyNumberFormat="1" applyAlignment="1">
      <alignment horizontal="center"/>
    </xf>
    <xf numFmtId="174" fontId="7" fillId="0" borderId="0" xfId="0" applyFont="1" applyFill="1" applyBorder="1" applyAlignment="1">
      <alignment horizontal="center" vertical="center" wrapText="1"/>
    </xf>
    <xf numFmtId="170" fontId="4" fillId="5" borderId="0" xfId="51" applyNumberFormat="1" applyFont="1" applyAlignment="1">
      <alignment horizontal="left" vertical="top"/>
    </xf>
    <xf numFmtId="170" fontId="34" fillId="3" borderId="0" xfId="49" applyNumberFormat="1" applyFont="1" applyAlignment="1">
      <alignment horizontal="center" vertical="center"/>
    </xf>
    <xf numFmtId="170" fontId="33" fillId="5" borderId="0" xfId="59" applyNumberFormat="1" applyFill="1" applyBorder="1" applyAlignment="1">
      <alignment horizontal="center" vertical="center" wrapText="1"/>
    </xf>
    <xf numFmtId="174" fontId="9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6" fillId="5" borderId="0" xfId="0" applyFont="1" applyFill="1" applyBorder="1" applyAlignment="1">
      <alignment horizontal="left" vertical="center"/>
    </xf>
    <xf numFmtId="174" fontId="6" fillId="5" borderId="0" xfId="50" applyNumberFormat="1" applyFill="1">
      <alignment horizontal="left" vertical="center"/>
    </xf>
    <xf numFmtId="168" fontId="4" fillId="5" borderId="0" xfId="51" applyNumberFormat="1" applyFont="1" applyAlignment="1">
      <alignment horizontal="left"/>
    </xf>
    <xf numFmtId="170" fontId="4" fillId="5" borderId="0" xfId="51" applyNumberFormat="1" applyFont="1" applyAlignment="1">
      <alignment horizontal="left"/>
    </xf>
    <xf numFmtId="0" fontId="4" fillId="5" borderId="0" xfId="51" applyNumberFormat="1" applyFont="1" applyAlignment="1">
      <alignment horizontal="left"/>
    </xf>
  </cellXfs>
  <cellStyles count="8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" xfId="65" xr:uid="{00000000-0005-0000-0000-000018000000}"/>
    <cellStyle name="Background Fill" xfId="51" xr:uid="{00000000-0005-0000-0000-00001A000000}"/>
    <cellStyle name="Bad" xfId="13" builtinId="27" hidden="1"/>
    <cellStyle name="BG Border" xfId="62" xr:uid="{00000000-0005-0000-0000-00001C000000}"/>
    <cellStyle name="Blank" xfId="60" xr:uid="{00000000-0005-0000-0000-00001D000000}"/>
    <cellStyle name="Calculation" xfId="17" builtinId="22" hidden="1"/>
    <cellStyle name="CapIQ_date" xfId="66" xr:uid="{00000000-0005-0000-0000-00001F000000}"/>
    <cellStyle name="Check Cell" xfId="19" builtinId="23" hidden="1"/>
    <cellStyle name="Column_header" xfId="67" xr:uid="{00000000-0005-0000-0000-000021000000}"/>
    <cellStyle name="Comma" xfId="2" builtinId="3" hidden="1"/>
    <cellStyle name="Comma [0]" xfId="3" builtinId="6" hidden="1"/>
    <cellStyle name="Cover Title" xfId="63" xr:uid="{00000000-0005-0000-0000-000024000000}"/>
    <cellStyle name="Currency" xfId="4" builtinId="4" hidden="1"/>
    <cellStyle name="Currency [0]" xfId="5" builtinId="7" hidden="1"/>
    <cellStyle name="d" xfId="76" xr:uid="{00000000-0005-0000-0000-000027000000}"/>
    <cellStyle name="DataOutput" xfId="79" xr:uid="{00000000-0005-0000-0000-000028000000}"/>
    <cellStyle name="Date" xfId="55" xr:uid="{00000000-0005-0000-0000-000029000000}"/>
    <cellStyle name="Date Heading" xfId="52" xr:uid="{00000000-0005-0000-0000-00002A000000}"/>
    <cellStyle name="Explanatory Text" xfId="22" builtinId="53" hidden="1"/>
    <cellStyle name="Good" xfId="12" builtinId="26" hidden="1"/>
    <cellStyle name="Hard Coded Number" xfId="58" xr:uid="{00000000-0005-0000-0000-00002D000000}"/>
    <cellStyle name="Heading" xfId="68" xr:uid="{00000000-0005-0000-0000-00002E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33000000}"/>
    <cellStyle name="Hist Proj Title" xfId="53" xr:uid="{00000000-0005-0000-0000-000034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ain_heading" xfId="69" xr:uid="{00000000-0005-0000-0000-000039000000}"/>
    <cellStyle name="Multiple" xfId="56" xr:uid="{00000000-0005-0000-0000-00003A000000}"/>
    <cellStyle name="Multiple 2" xfId="70" xr:uid="{00000000-0005-0000-0000-00003B000000}"/>
    <cellStyle name="Neutral" xfId="14" builtinId="28" hidden="1"/>
    <cellStyle name="Normal" xfId="0" builtinId="0" customBuiltin="1"/>
    <cellStyle name="Normal 2" xfId="75" xr:uid="{00000000-0005-0000-0000-00003E000000}"/>
    <cellStyle name="Normal 3" xfId="77" xr:uid="{00000000-0005-0000-0000-00003F000000}"/>
    <cellStyle name="Normal 4" xfId="78" xr:uid="{00000000-0005-0000-0000-000040000000}"/>
    <cellStyle name="Note" xfId="21" builtinId="10" hidden="1"/>
    <cellStyle name="Notes and Comments" xfId="59" xr:uid="{00000000-0005-0000-0000-000042000000}"/>
    <cellStyle name="Number_1dp" xfId="71" xr:uid="{00000000-0005-0000-0000-000043000000}"/>
    <cellStyle name="Output" xfId="16" builtinId="21" hidden="1"/>
    <cellStyle name="P" xfId="72" xr:uid="{00000000-0005-0000-0000-000045000000}"/>
    <cellStyle name="Per cent" xfId="6" builtinId="5" hidden="1"/>
    <cellStyle name="Per cent" xfId="57" builtinId="5" customBuiltin="1"/>
    <cellStyle name="Primary Title" xfId="48" xr:uid="{00000000-0005-0000-0000-000049000000}"/>
    <cellStyle name="Row Label" xfId="54" xr:uid="{00000000-0005-0000-0000-00004A000000}"/>
    <cellStyle name="Secondary Title" xfId="49" xr:uid="{00000000-0005-0000-0000-00004B000000}"/>
    <cellStyle name="Section_heading" xfId="73" xr:uid="{00000000-0005-0000-0000-00004C000000}"/>
    <cellStyle name="Switch" xfId="74" xr:uid="{00000000-0005-0000-0000-00004D000000}"/>
    <cellStyle name="Tertiary Title" xfId="50" xr:uid="{00000000-0005-0000-0000-00004E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E2F1FE"/>
      <color rgb="FFF0F8FE"/>
      <color rgb="FF163260"/>
      <color rgb="FF085393"/>
      <color rgb="FFBBDEFB"/>
      <color rgb="FF0000FF"/>
      <color rgb="FFEBF1FB"/>
      <color rgb="FFD3E0F5"/>
      <color rgb="FFC9D9F3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style="30" customWidth="1"/>
    <col min="2" max="13" width="9.1328125" style="30" customWidth="1"/>
    <col min="14" max="14" width="9.86328125" style="30" customWidth="1"/>
    <col min="15" max="26" width="9.1328125" style="30" customWidth="1"/>
    <col min="27" max="16384" width="9.1328125" style="30"/>
  </cols>
  <sheetData>
    <row r="1" spans="1:14" s="34" customFormat="1" ht="189.75" customHeight="1" x14ac:dyDescent="0.8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20" customFormat="1" ht="75" customHeight="1" x14ac:dyDescent="0.45">
      <c r="A2" s="83" t="s">
        <v>78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21" customFormat="1" ht="7.5" customHeight="1" x14ac:dyDescent="0.45">
      <c r="B3" s="22"/>
      <c r="C3" s="22"/>
      <c r="F3" s="23"/>
      <c r="G3" s="23"/>
      <c r="H3" s="23"/>
      <c r="I3" s="23"/>
      <c r="J3" s="23"/>
      <c r="K3" s="23"/>
    </row>
    <row r="4" spans="1:14" s="21" customFormat="1" ht="15" customHeight="1" x14ac:dyDescent="0.45">
      <c r="A4" s="37"/>
      <c r="B4" s="38"/>
      <c r="C4" s="82"/>
      <c r="D4" s="82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1" customFormat="1" ht="15" customHeight="1" x14ac:dyDescent="0.45">
      <c r="A5" s="84" t="s">
        <v>8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s="21" customFormat="1" ht="15" customHeight="1" x14ac:dyDescent="0.4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s="21" customFormat="1" ht="15" customHeight="1" x14ac:dyDescent="0.45">
      <c r="A7" s="84" t="s">
        <v>189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s="21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1" customFormat="1" ht="15" customHeight="1" x14ac:dyDescent="0.45">
      <c r="F9" s="26"/>
      <c r="G9" s="85"/>
      <c r="H9" s="85"/>
      <c r="I9" s="85"/>
      <c r="J9" s="85"/>
      <c r="K9" s="26"/>
    </row>
    <row r="10" spans="1:14" s="21" customFormat="1" ht="15" customHeight="1" x14ac:dyDescent="0.45">
      <c r="B10" s="22"/>
      <c r="C10" s="22"/>
      <c r="F10" s="26"/>
      <c r="G10" s="85"/>
      <c r="H10" s="85"/>
      <c r="I10" s="85"/>
      <c r="J10" s="85"/>
      <c r="K10" s="26"/>
    </row>
    <row r="11" spans="1:14" s="21" customFormat="1" ht="15" customHeight="1" x14ac:dyDescent="0.45">
      <c r="B11" s="18"/>
      <c r="C11" s="18"/>
      <c r="D11" s="19"/>
      <c r="F11" s="23"/>
      <c r="G11" s="23"/>
      <c r="H11" s="23"/>
      <c r="I11" s="23"/>
      <c r="J11" s="23"/>
      <c r="K11" s="23"/>
    </row>
    <row r="12" spans="1:14" s="21" customFormat="1" ht="15" customHeight="1" x14ac:dyDescent="0.45">
      <c r="A12" s="24"/>
      <c r="B12" s="18"/>
      <c r="C12" s="18"/>
      <c r="D12" s="27"/>
      <c r="F12" s="23"/>
      <c r="G12" s="81"/>
      <c r="H12" s="81"/>
      <c r="I12" s="81"/>
      <c r="J12" s="81"/>
      <c r="K12" s="23"/>
    </row>
    <row r="13" spans="1:14" s="21" customFormat="1" ht="15" customHeight="1" x14ac:dyDescent="0.45">
      <c r="A13" s="17"/>
      <c r="B13" s="18"/>
      <c r="C13" s="18"/>
      <c r="D13" s="28"/>
      <c r="F13" s="23"/>
      <c r="G13" s="81"/>
      <c r="H13" s="81"/>
      <c r="I13" s="81"/>
      <c r="J13" s="81"/>
      <c r="K13" s="23"/>
    </row>
    <row r="14" spans="1:14" s="21" customFormat="1" ht="15" customHeight="1" x14ac:dyDescent="0.45">
      <c r="A14" s="20"/>
      <c r="B14" s="18"/>
      <c r="C14" s="18"/>
      <c r="D14" s="28"/>
      <c r="F14" s="23"/>
      <c r="G14" s="81"/>
      <c r="H14" s="81"/>
      <c r="I14" s="81"/>
      <c r="J14" s="81"/>
      <c r="K14" s="23"/>
    </row>
    <row r="15" spans="1:14" s="21" customFormat="1" ht="15" customHeight="1" x14ac:dyDescent="0.45">
      <c r="A15" s="20"/>
      <c r="B15" s="18"/>
      <c r="C15" s="18"/>
      <c r="D15" s="28"/>
      <c r="F15" s="23"/>
      <c r="G15" s="23"/>
      <c r="H15" s="23"/>
      <c r="I15" s="23"/>
      <c r="J15" s="23"/>
      <c r="K15" s="23"/>
    </row>
    <row r="16" spans="1:14" s="21" customFormat="1" ht="15" customHeight="1" x14ac:dyDescent="0.45">
      <c r="A16" s="20"/>
      <c r="B16" s="18"/>
      <c r="C16" s="18"/>
      <c r="D16" s="29"/>
      <c r="F16" s="23"/>
      <c r="G16" s="81"/>
      <c r="H16" s="81"/>
      <c r="I16" s="81"/>
      <c r="J16" s="81"/>
      <c r="K16" s="23"/>
    </row>
    <row r="17" spans="1:12" s="21" customFormat="1" ht="15" customHeight="1" x14ac:dyDescent="0.45">
      <c r="A17" s="20"/>
      <c r="B17" s="31"/>
      <c r="C17" s="32"/>
      <c r="D17" s="29"/>
      <c r="F17" s="23"/>
      <c r="G17" s="23"/>
      <c r="H17" s="23"/>
      <c r="I17" s="23"/>
      <c r="J17" s="23"/>
      <c r="K17" s="23"/>
    </row>
    <row r="18" spans="1:12" ht="15" customHeight="1" x14ac:dyDescent="0.4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x14ac:dyDescent="0.4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2" x14ac:dyDescent="0.4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x14ac:dyDescent="0.4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8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31.398437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86328125" bestFit="1" customWidth="1"/>
  </cols>
  <sheetData>
    <row r="1" spans="1:18" s="34" customFormat="1" ht="45" customHeight="1" x14ac:dyDescent="0.85">
      <c r="A1" s="13" t="str">
        <f>Welcome!A2</f>
        <v>Debenhams LBO model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20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7" t="s">
        <v>0</v>
      </c>
      <c r="C4" s="87"/>
      <c r="D4" s="87"/>
      <c r="E4" s="87"/>
      <c r="F4" s="87"/>
      <c r="G4" s="87"/>
      <c r="H4" s="87"/>
      <c r="I4" s="87"/>
      <c r="K4" s="1"/>
      <c r="L4" s="87" t="s">
        <v>2</v>
      </c>
      <c r="M4" s="87"/>
      <c r="N4" s="87"/>
      <c r="O4" s="87"/>
      <c r="P4" s="87"/>
      <c r="Q4" s="40"/>
      <c r="R4" s="40"/>
    </row>
    <row r="5" spans="1:18" s="2" customFormat="1" ht="15" customHeight="1" x14ac:dyDescent="0.45">
      <c r="A5" s="15"/>
      <c r="B5" s="8" t="s">
        <v>1</v>
      </c>
      <c r="C5" s="54" t="s">
        <v>186</v>
      </c>
      <c r="D5" s="16"/>
      <c r="E5" s="16"/>
      <c r="F5" s="16"/>
      <c r="G5" s="16"/>
      <c r="H5" s="16"/>
      <c r="I5" s="16"/>
      <c r="K5" s="1"/>
      <c r="L5" s="9"/>
      <c r="M5" s="9"/>
      <c r="N5" s="90"/>
      <c r="O5" s="90"/>
      <c r="P5" s="90"/>
      <c r="Q5" s="90"/>
      <c r="R5" s="40"/>
    </row>
    <row r="6" spans="1:18" s="2" customFormat="1" ht="15" customHeight="1" x14ac:dyDescent="0.45">
      <c r="A6" s="15"/>
      <c r="B6" s="8"/>
      <c r="C6" s="16"/>
      <c r="D6" s="16"/>
      <c r="E6" s="16"/>
      <c r="F6" s="16"/>
      <c r="G6" s="16"/>
      <c r="H6" s="16"/>
      <c r="I6" s="16"/>
      <c r="K6" s="1"/>
      <c r="L6" s="9" t="s">
        <v>19</v>
      </c>
      <c r="M6" s="9"/>
      <c r="N6" s="59" t="s">
        <v>187</v>
      </c>
      <c r="O6" s="59"/>
      <c r="P6" s="59"/>
      <c r="Q6" s="59"/>
      <c r="R6" s="40"/>
    </row>
    <row r="7" spans="1:18" s="2" customFormat="1" ht="15" customHeight="1" x14ac:dyDescent="0.45">
      <c r="A7" s="3"/>
      <c r="B7" s="8"/>
      <c r="C7" s="16"/>
      <c r="D7" s="16"/>
      <c r="E7" s="16"/>
      <c r="F7" s="16"/>
      <c r="G7" s="16"/>
      <c r="H7" s="16"/>
      <c r="I7" s="16"/>
      <c r="K7" s="15"/>
      <c r="L7" s="9" t="s">
        <v>16</v>
      </c>
      <c r="M7" s="9"/>
      <c r="N7" s="89">
        <v>42496</v>
      </c>
      <c r="O7" s="89"/>
      <c r="P7" s="89"/>
      <c r="Q7" s="89"/>
      <c r="R7" s="40"/>
    </row>
    <row r="8" spans="1:18" s="2" customFormat="1" ht="15" customHeight="1" x14ac:dyDescent="0.45">
      <c r="A8" s="3"/>
      <c r="B8" s="8"/>
      <c r="C8" s="16"/>
      <c r="D8" s="16"/>
      <c r="E8" s="16"/>
      <c r="F8" s="16"/>
      <c r="G8" s="16"/>
      <c r="H8" s="16"/>
      <c r="I8" s="16"/>
      <c r="K8" s="15"/>
      <c r="L8" s="9" t="s">
        <v>21</v>
      </c>
      <c r="M8" s="9"/>
      <c r="N8" s="89">
        <v>42369</v>
      </c>
      <c r="O8" s="89"/>
      <c r="P8" s="89"/>
      <c r="Q8" s="89"/>
      <c r="R8" s="40"/>
    </row>
    <row r="9" spans="1:18" s="2" customFormat="1" ht="15" customHeight="1" x14ac:dyDescent="0.45">
      <c r="A9" s="16"/>
      <c r="B9" s="8"/>
      <c r="C9" s="16"/>
      <c r="D9" s="16"/>
      <c r="E9" s="16"/>
      <c r="F9" s="16"/>
      <c r="G9" s="16"/>
      <c r="H9" s="16"/>
      <c r="I9" s="16"/>
      <c r="K9" s="3"/>
      <c r="L9" s="9"/>
      <c r="M9" s="9"/>
      <c r="N9" s="90"/>
      <c r="O9" s="90"/>
      <c r="P9" s="90"/>
      <c r="Q9" s="90"/>
      <c r="R9" s="40"/>
    </row>
    <row r="10" spans="1:18" s="2" customFormat="1" ht="15" customHeight="1" x14ac:dyDescent="0.45">
      <c r="A10" s="16"/>
      <c r="B10" s="8"/>
      <c r="C10" s="16"/>
      <c r="D10" s="16"/>
      <c r="E10" s="16"/>
      <c r="F10" s="16"/>
      <c r="G10" s="16"/>
      <c r="H10" s="16"/>
      <c r="I10" s="16"/>
      <c r="K10" s="16"/>
      <c r="L10" s="9" t="s">
        <v>3</v>
      </c>
      <c r="M10" s="9"/>
      <c r="N10" s="90" t="s">
        <v>6</v>
      </c>
      <c r="O10" s="90"/>
      <c r="P10" s="90"/>
      <c r="Q10" s="90"/>
      <c r="R10" s="40"/>
    </row>
    <row r="11" spans="1:18" s="2" customFormat="1" ht="15" customHeight="1" x14ac:dyDescent="0.45">
      <c r="A11" s="41"/>
      <c r="B11" s="38"/>
      <c r="C11" s="41"/>
      <c r="D11" s="41"/>
      <c r="E11" s="41"/>
      <c r="F11" s="41"/>
      <c r="G11" s="41"/>
      <c r="H11" s="41"/>
      <c r="I11" s="41"/>
      <c r="K11" s="16"/>
      <c r="L11" s="9" t="s">
        <v>4</v>
      </c>
      <c r="M11" s="9"/>
      <c r="N11" s="90" t="s">
        <v>7</v>
      </c>
      <c r="O11" s="90"/>
      <c r="P11" s="90"/>
      <c r="Q11" s="90"/>
      <c r="R11" s="40"/>
    </row>
    <row r="12" spans="1:18" s="2" customFormat="1" ht="15" customHeight="1" x14ac:dyDescent="0.45">
      <c r="A12" s="39"/>
      <c r="B12" s="39"/>
      <c r="C12" s="39"/>
      <c r="D12" s="39"/>
      <c r="E12" s="39"/>
      <c r="F12" s="39"/>
      <c r="G12" s="39"/>
      <c r="H12" s="39"/>
      <c r="I12" s="39"/>
      <c r="K12" s="16"/>
      <c r="L12" s="9" t="s">
        <v>5</v>
      </c>
      <c r="M12" s="9"/>
      <c r="N12" s="91">
        <v>0</v>
      </c>
      <c r="O12" s="91"/>
      <c r="P12" s="91"/>
      <c r="Q12" s="91"/>
      <c r="R12" s="46"/>
    </row>
    <row r="13" spans="1:18" s="2" customFormat="1" ht="15" customHeight="1" thickBot="1" x14ac:dyDescent="0.5">
      <c r="A13" s="44"/>
      <c r="B13" s="44"/>
      <c r="C13" s="44"/>
      <c r="D13" s="44"/>
      <c r="E13" s="44"/>
      <c r="F13" s="44"/>
      <c r="G13" s="44"/>
      <c r="H13" s="44"/>
      <c r="I13" s="44"/>
      <c r="K13" s="4"/>
      <c r="L13" s="58"/>
      <c r="M13" s="58"/>
      <c r="N13" s="47"/>
      <c r="O13" s="48"/>
      <c r="P13" s="48"/>
      <c r="Q13" s="49"/>
      <c r="R13" s="50"/>
    </row>
    <row r="14" spans="1:18" s="2" customFormat="1" ht="7.5" customHeight="1" x14ac:dyDescent="0.45">
      <c r="K14" s="23"/>
      <c r="L14" s="23"/>
      <c r="M14" s="23"/>
      <c r="N14" s="23"/>
      <c r="O14" s="23"/>
      <c r="P14" s="23"/>
      <c r="Q14" s="23"/>
      <c r="R14" s="23"/>
    </row>
    <row r="15" spans="1:18" s="2" customFormat="1" ht="22.5" customHeight="1" x14ac:dyDescent="0.45">
      <c r="A15" s="54"/>
      <c r="B15" s="88" t="s">
        <v>13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N15" s="1"/>
      <c r="O15" s="87" t="s">
        <v>9</v>
      </c>
      <c r="P15" s="87"/>
      <c r="Q15" s="87"/>
      <c r="R15" s="57"/>
    </row>
    <row r="16" spans="1:18" s="2" customFormat="1" ht="15" customHeight="1" x14ac:dyDescent="0.45">
      <c r="A16" s="55"/>
      <c r="B16" s="86" t="s">
        <v>14</v>
      </c>
      <c r="C16" s="86"/>
      <c r="D16" s="86" t="s">
        <v>15</v>
      </c>
      <c r="E16" s="86"/>
      <c r="F16" s="86"/>
      <c r="G16" s="86"/>
      <c r="H16" s="86"/>
      <c r="I16" s="86"/>
      <c r="J16" s="86"/>
      <c r="K16" s="86"/>
      <c r="L16" s="86"/>
      <c r="N16" s="15"/>
      <c r="O16" s="25"/>
      <c r="P16" s="20"/>
      <c r="Q16" s="20"/>
      <c r="R16" s="55"/>
    </row>
    <row r="17" spans="1:18" s="2" customFormat="1" ht="15" customHeight="1" x14ac:dyDescent="0.45">
      <c r="A17" s="55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N17" s="3"/>
      <c r="O17" s="25"/>
      <c r="P17" s="51" t="s">
        <v>10</v>
      </c>
      <c r="Q17" s="20"/>
      <c r="R17" s="55"/>
    </row>
    <row r="18" spans="1:18" s="2" customFormat="1" ht="15" customHeight="1" x14ac:dyDescent="0.45">
      <c r="A18" s="55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N18" s="16"/>
      <c r="O18" s="25"/>
      <c r="P18" s="36" t="s">
        <v>11</v>
      </c>
      <c r="Q18" s="20"/>
      <c r="R18" s="55"/>
    </row>
    <row r="19" spans="1:18" s="2" customFormat="1" ht="15" customHeight="1" x14ac:dyDescent="0.45">
      <c r="A19" s="55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N19" s="16"/>
      <c r="O19" s="25"/>
      <c r="P19" t="s">
        <v>12</v>
      </c>
      <c r="Q19" s="20"/>
      <c r="R19" s="55"/>
    </row>
    <row r="20" spans="1:18" s="2" customFormat="1" ht="15" customHeight="1" x14ac:dyDescent="0.45">
      <c r="A20" s="39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N20" s="39"/>
      <c r="O20" s="52"/>
      <c r="P20" s="52"/>
      <c r="Q20" s="52"/>
      <c r="R20" s="39"/>
    </row>
    <row r="21" spans="1:18" ht="14.65" thickBot="1" x14ac:dyDescent="0.5">
      <c r="A21" s="44"/>
      <c r="B21" s="44"/>
      <c r="C21" s="44"/>
      <c r="D21" s="56"/>
      <c r="E21" s="56"/>
      <c r="F21" s="56"/>
      <c r="G21" s="56"/>
      <c r="H21" s="56"/>
      <c r="I21" s="56"/>
      <c r="J21" s="56"/>
      <c r="K21" s="56"/>
      <c r="L21" s="56"/>
      <c r="N21" s="44"/>
      <c r="O21" s="44"/>
      <c r="P21" s="44"/>
      <c r="Q21" s="44"/>
      <c r="R21" s="44"/>
    </row>
    <row r="22" spans="1:18" x14ac:dyDescent="0.45">
      <c r="Q22" s="53"/>
      <c r="R22" s="33"/>
    </row>
    <row r="23" spans="1:18" x14ac:dyDescent="0.45"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8" x14ac:dyDescent="0.45"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x14ac:dyDescent="0.45">
      <c r="F25" s="33"/>
      <c r="G25" s="33"/>
      <c r="H25" s="33"/>
      <c r="I25" s="33"/>
      <c r="J25" s="33"/>
      <c r="K25" s="33"/>
      <c r="L25" s="33"/>
      <c r="M25" s="33"/>
      <c r="N25" s="30"/>
      <c r="O25" s="30"/>
      <c r="P25" s="30"/>
      <c r="Q25" s="30"/>
    </row>
    <row r="26" spans="1:18" x14ac:dyDescent="0.45"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1:18" x14ac:dyDescent="0.45"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8" x14ac:dyDescent="0.45"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</sheetData>
  <mergeCells count="21">
    <mergeCell ref="B20:C20"/>
    <mergeCell ref="D18:L18"/>
    <mergeCell ref="D19:L19"/>
    <mergeCell ref="D20:L20"/>
    <mergeCell ref="N5:Q5"/>
    <mergeCell ref="N7:Q7"/>
    <mergeCell ref="N9:Q9"/>
    <mergeCell ref="N10:Q10"/>
    <mergeCell ref="N11:Q11"/>
    <mergeCell ref="N12:Q12"/>
    <mergeCell ref="O15:Q15"/>
    <mergeCell ref="D16:L16"/>
    <mergeCell ref="D17:L17"/>
    <mergeCell ref="B16:C16"/>
    <mergeCell ref="B17:C17"/>
    <mergeCell ref="B18:C18"/>
    <mergeCell ref="B19:C19"/>
    <mergeCell ref="L4:P4"/>
    <mergeCell ref="B4:I4"/>
    <mergeCell ref="B15:L15"/>
    <mergeCell ref="N8:Q8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4"/>
  <sheetViews>
    <sheetView zoomScaleNormal="100" workbookViewId="0">
      <pane xSplit="2" ySplit="3" topLeftCell="J30" activePane="bottomRight" state="frozen"/>
      <selection sqref="A1:N1"/>
      <selection pane="topRight" sqref="A1:N1"/>
      <selection pane="bottomLeft" sqref="A1:N1"/>
      <selection pane="bottomRight" activeCell="I32" sqref="I32:Q54"/>
    </sheetView>
  </sheetViews>
  <sheetFormatPr defaultRowHeight="14.25" x14ac:dyDescent="0.45"/>
  <cols>
    <col min="1" max="1" width="1.59765625" customWidth="1"/>
    <col min="2" max="2" width="20.59765625" customWidth="1"/>
    <col min="3" max="4" width="10.59765625" customWidth="1"/>
    <col min="5" max="5" width="14.1328125" customWidth="1"/>
    <col min="6" max="14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87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118</v>
      </c>
      <c r="H3" s="11" t="s">
        <v>119</v>
      </c>
      <c r="I3" s="11" t="s">
        <v>120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A5" s="62" t="s">
        <v>88</v>
      </c>
    </row>
    <row r="6" spans="1:17" x14ac:dyDescent="0.45">
      <c r="B6" t="s">
        <v>89</v>
      </c>
      <c r="F6">
        <f>IS!F14</f>
        <v>238.5999999999998</v>
      </c>
      <c r="H6" t="s">
        <v>92</v>
      </c>
      <c r="J6" s="70">
        <v>0.03</v>
      </c>
    </row>
    <row r="7" spans="1:17" x14ac:dyDescent="0.45">
      <c r="B7" t="s">
        <v>90</v>
      </c>
      <c r="F7" s="68">
        <v>7.5</v>
      </c>
      <c r="H7" t="s">
        <v>93</v>
      </c>
      <c r="J7" s="70">
        <v>7.0000000000000001E-3</v>
      </c>
    </row>
    <row r="8" spans="1:17" x14ac:dyDescent="0.45">
      <c r="B8" t="s">
        <v>91</v>
      </c>
      <c r="F8">
        <f>F6*F7</f>
        <v>1789.4999999999984</v>
      </c>
      <c r="H8" t="s">
        <v>94</v>
      </c>
      <c r="J8" s="70">
        <v>0.01</v>
      </c>
    </row>
    <row r="9" spans="1:17" x14ac:dyDescent="0.45">
      <c r="B9" t="s">
        <v>97</v>
      </c>
      <c r="F9">
        <f>BS!F17+BS!F21-BS!F5</f>
        <v>302.39999999999998</v>
      </c>
      <c r="H9" t="s">
        <v>95</v>
      </c>
      <c r="J9" s="69">
        <v>7</v>
      </c>
    </row>
    <row r="10" spans="1:17" x14ac:dyDescent="0.45">
      <c r="B10" t="s">
        <v>98</v>
      </c>
      <c r="F10">
        <f>F8-F9</f>
        <v>1487.0999999999985</v>
      </c>
      <c r="H10" t="s">
        <v>168</v>
      </c>
      <c r="J10" s="70">
        <v>0.75</v>
      </c>
    </row>
    <row r="11" spans="1:17" x14ac:dyDescent="0.45">
      <c r="B11" t="s">
        <v>193</v>
      </c>
      <c r="F11" s="79">
        <v>0.02</v>
      </c>
    </row>
    <row r="13" spans="1:17" x14ac:dyDescent="0.45">
      <c r="A13" s="62" t="s">
        <v>96</v>
      </c>
      <c r="H13" s="66" t="s">
        <v>164</v>
      </c>
      <c r="I13" s="66" t="s">
        <v>165</v>
      </c>
      <c r="J13" s="66" t="s">
        <v>108</v>
      </c>
      <c r="K13" s="66" t="s">
        <v>109</v>
      </c>
      <c r="L13" t="s">
        <v>162</v>
      </c>
      <c r="M13" t="s">
        <v>163</v>
      </c>
    </row>
    <row r="14" spans="1:17" x14ac:dyDescent="0.45">
      <c r="B14" t="str">
        <f>B10</f>
        <v>Acquisition equity value</v>
      </c>
      <c r="D14">
        <f>F10</f>
        <v>1487.0999999999985</v>
      </c>
      <c r="E14" t="s">
        <v>62</v>
      </c>
      <c r="G14" s="69">
        <v>0</v>
      </c>
      <c r="H14" s="67">
        <f>G14/$F$6</f>
        <v>0</v>
      </c>
      <c r="I14" s="65">
        <f>G14/$G$21</f>
        <v>0</v>
      </c>
      <c r="J14" s="71">
        <v>0.05</v>
      </c>
      <c r="K14" s="72">
        <f>J14+$J$7</f>
        <v>5.7000000000000002E-2</v>
      </c>
    </row>
    <row r="15" spans="1:17" x14ac:dyDescent="0.45">
      <c r="B15" t="s">
        <v>99</v>
      </c>
      <c r="D15">
        <f>F9</f>
        <v>302.39999999999998</v>
      </c>
      <c r="E15" t="s">
        <v>102</v>
      </c>
      <c r="G15" s="69">
        <v>400</v>
      </c>
      <c r="H15" s="67">
        <f>G15/$F$6+H14</f>
        <v>1.67644593461861</v>
      </c>
      <c r="I15" s="65">
        <f t="shared" ref="I15:I20" si="1">G15/$G$21</f>
        <v>0.21701565496681033</v>
      </c>
      <c r="J15" s="71">
        <v>0.05</v>
      </c>
      <c r="K15" s="72">
        <f>J15+$J$7</f>
        <v>5.7000000000000002E-2</v>
      </c>
      <c r="L15">
        <f>SUMPRODUCT($J$31:$Q$31,CFS!J18:Q18)/-G15</f>
        <v>1</v>
      </c>
      <c r="M15">
        <f>COUNTIF(BS!I22:Q22,"&gt;.001")</f>
        <v>1</v>
      </c>
    </row>
    <row r="16" spans="1:17" x14ac:dyDescent="0.45">
      <c r="B16" t="s">
        <v>100</v>
      </c>
      <c r="D16">
        <f>J6*F8</f>
        <v>53.684999999999953</v>
      </c>
      <c r="E16" t="s">
        <v>103</v>
      </c>
      <c r="G16" s="69">
        <v>511</v>
      </c>
      <c r="H16" s="67">
        <f t="shared" ref="H16:H18" si="2">G16/$F$6+H15</f>
        <v>3.8181056160938844</v>
      </c>
      <c r="I16" s="65">
        <f t="shared" si="1"/>
        <v>0.27723749922010021</v>
      </c>
      <c r="J16" s="71">
        <v>0.09</v>
      </c>
      <c r="K16" s="72">
        <f>J16+$J$7</f>
        <v>9.7000000000000003E-2</v>
      </c>
      <c r="L16">
        <f>SUMPRODUCT($J$31:$Q$31,CFS!J19:Q19)/-G16</f>
        <v>1</v>
      </c>
      <c r="M16">
        <f>COUNTIF(BS!I23:Q23,"&gt;.001")</f>
        <v>1</v>
      </c>
    </row>
    <row r="17" spans="1:17" x14ac:dyDescent="0.45">
      <c r="B17" t="s">
        <v>101</v>
      </c>
      <c r="D17">
        <f>SUM(D14:D16)</f>
        <v>1843.1849999999986</v>
      </c>
      <c r="E17" t="s">
        <v>104</v>
      </c>
      <c r="G17" s="69">
        <v>0</v>
      </c>
      <c r="H17" s="67">
        <f t="shared" si="2"/>
        <v>3.8181056160938844</v>
      </c>
      <c r="I17" s="65">
        <f t="shared" si="1"/>
        <v>0</v>
      </c>
      <c r="J17" s="71">
        <v>0.09</v>
      </c>
      <c r="K17" s="72">
        <f>J17+J8</f>
        <v>9.9999999999999992E-2</v>
      </c>
    </row>
    <row r="18" spans="1:17" x14ac:dyDescent="0.45">
      <c r="E18" t="s">
        <v>113</v>
      </c>
      <c r="G18" s="69">
        <v>300</v>
      </c>
      <c r="H18" s="67">
        <f t="shared" si="2"/>
        <v>5.0754400670578423</v>
      </c>
      <c r="I18" s="65">
        <f t="shared" si="1"/>
        <v>0.16276174122510775</v>
      </c>
      <c r="K18" s="71">
        <v>0.12</v>
      </c>
      <c r="L18" t="s">
        <v>147</v>
      </c>
    </row>
    <row r="19" spans="1:17" x14ac:dyDescent="0.45">
      <c r="E19" t="s">
        <v>105</v>
      </c>
      <c r="G19">
        <f>D17-SUM(G14:G18,G20)</f>
        <v>622.18499999999858</v>
      </c>
      <c r="I19" s="65">
        <f t="shared" si="1"/>
        <v>0.33755971321381145</v>
      </c>
      <c r="K19" s="71">
        <v>0.12</v>
      </c>
      <c r="L19" t="s">
        <v>147</v>
      </c>
    </row>
    <row r="20" spans="1:17" x14ac:dyDescent="0.45">
      <c r="E20" t="s">
        <v>106</v>
      </c>
      <c r="G20" s="69">
        <v>10</v>
      </c>
      <c r="I20" s="65">
        <f t="shared" si="1"/>
        <v>5.425391374170258E-3</v>
      </c>
    </row>
    <row r="21" spans="1:17" x14ac:dyDescent="0.45">
      <c r="E21" t="s">
        <v>107</v>
      </c>
      <c r="G21">
        <f>SUM(G15:G20)</f>
        <v>1843.1849999999986</v>
      </c>
    </row>
    <row r="23" spans="1:17" x14ac:dyDescent="0.45">
      <c r="A23" s="62" t="s">
        <v>110</v>
      </c>
      <c r="C23" s="66" t="s">
        <v>114</v>
      </c>
      <c r="D23" s="66" t="s">
        <v>111</v>
      </c>
      <c r="F23" s="62" t="s">
        <v>17</v>
      </c>
    </row>
    <row r="24" spans="1:17" x14ac:dyDescent="0.45">
      <c r="B24" t="s">
        <v>112</v>
      </c>
      <c r="C24" s="65">
        <f>1-C25-C26</f>
        <v>0.9</v>
      </c>
      <c r="D24" s="65">
        <f>C24*(C27-D25)</f>
        <v>0.85499999999999998</v>
      </c>
      <c r="F24" t="s">
        <v>116</v>
      </c>
      <c r="H24">
        <f>D14</f>
        <v>1487.0999999999985</v>
      </c>
    </row>
    <row r="25" spans="1:17" x14ac:dyDescent="0.45">
      <c r="B25" t="s">
        <v>113</v>
      </c>
      <c r="C25" s="70">
        <v>0</v>
      </c>
      <c r="D25" s="70">
        <v>0.05</v>
      </c>
      <c r="F25" t="s">
        <v>188</v>
      </c>
      <c r="H25">
        <f>BS!F15-BS!F14-BS!F28</f>
        <v>853.3</v>
      </c>
    </row>
    <row r="26" spans="1:17" x14ac:dyDescent="0.45">
      <c r="B26" t="s">
        <v>146</v>
      </c>
      <c r="C26" s="70">
        <v>0.1</v>
      </c>
      <c r="D26" s="65">
        <f>C26*(C27-D25)</f>
        <v>9.5000000000000001E-2</v>
      </c>
      <c r="F26" t="s">
        <v>117</v>
      </c>
      <c r="H26">
        <f>H24-H25</f>
        <v>633.79999999999859</v>
      </c>
    </row>
    <row r="27" spans="1:17" x14ac:dyDescent="0.45">
      <c r="B27" t="s">
        <v>115</v>
      </c>
      <c r="C27" s="65">
        <f>SUM(C24:C26)</f>
        <v>1</v>
      </c>
      <c r="D27" s="65">
        <f>SUM(D24:D26)</f>
        <v>1</v>
      </c>
    </row>
    <row r="28" spans="1:17" x14ac:dyDescent="0.45">
      <c r="C28" s="65"/>
      <c r="D28" s="65"/>
    </row>
    <row r="30" spans="1:17" x14ac:dyDescent="0.45">
      <c r="A30" s="62" t="s">
        <v>160</v>
      </c>
    </row>
    <row r="31" spans="1:17" x14ac:dyDescent="0.45">
      <c r="B31" t="s">
        <v>161</v>
      </c>
      <c r="J31" s="74">
        <v>1</v>
      </c>
      <c r="K31" s="75">
        <f>J31+1</f>
        <v>2</v>
      </c>
      <c r="L31" s="75">
        <f t="shared" ref="L31:Q31" si="3">K31+1</f>
        <v>3</v>
      </c>
      <c r="M31" s="75">
        <f t="shared" si="3"/>
        <v>4</v>
      </c>
      <c r="N31" s="75">
        <f t="shared" si="3"/>
        <v>5</v>
      </c>
      <c r="O31" s="75">
        <f t="shared" si="3"/>
        <v>6</v>
      </c>
      <c r="P31" s="75">
        <f t="shared" si="3"/>
        <v>7</v>
      </c>
      <c r="Q31" s="75">
        <f t="shared" si="3"/>
        <v>8</v>
      </c>
    </row>
    <row r="32" spans="1:17" x14ac:dyDescent="0.45">
      <c r="B32" t="s">
        <v>194</v>
      </c>
    </row>
    <row r="33" spans="2:17" x14ac:dyDescent="0.45">
      <c r="B33" t="s">
        <v>169</v>
      </c>
    </row>
    <row r="34" spans="2:17" x14ac:dyDescent="0.45">
      <c r="B34" s="76" t="s">
        <v>170</v>
      </c>
    </row>
    <row r="35" spans="2:17" x14ac:dyDescent="0.45">
      <c r="B35" s="76" t="s">
        <v>173</v>
      </c>
    </row>
    <row r="36" spans="2:17" x14ac:dyDescent="0.45">
      <c r="B36" s="76" t="s">
        <v>174</v>
      </c>
    </row>
    <row r="37" spans="2:17" x14ac:dyDescent="0.45">
      <c r="B37" s="76" t="s">
        <v>171</v>
      </c>
    </row>
    <row r="38" spans="2:17" x14ac:dyDescent="0.45">
      <c r="B38" t="s">
        <v>172</v>
      </c>
    </row>
    <row r="39" spans="2:17" x14ac:dyDescent="0.45">
      <c r="K39" s="65"/>
      <c r="L39" s="65"/>
      <c r="M39" s="65"/>
      <c r="N39" s="65"/>
      <c r="O39" s="65"/>
      <c r="P39" s="65"/>
      <c r="Q39" s="65"/>
    </row>
    <row r="40" spans="2:17" x14ac:dyDescent="0.45">
      <c r="B40" s="77" t="s">
        <v>113</v>
      </c>
    </row>
    <row r="41" spans="2:17" x14ac:dyDescent="0.45">
      <c r="B41" t="s">
        <v>176</v>
      </c>
    </row>
    <row r="42" spans="2:17" x14ac:dyDescent="0.45">
      <c r="B42" t="s">
        <v>177</v>
      </c>
    </row>
    <row r="43" spans="2:17" x14ac:dyDescent="0.45">
      <c r="B43" t="s">
        <v>178</v>
      </c>
    </row>
    <row r="44" spans="2:17" x14ac:dyDescent="0.45">
      <c r="B44" t="s">
        <v>179</v>
      </c>
      <c r="I44" s="65"/>
    </row>
    <row r="46" spans="2:17" x14ac:dyDescent="0.45">
      <c r="B46" s="77" t="s">
        <v>180</v>
      </c>
    </row>
    <row r="47" spans="2:17" x14ac:dyDescent="0.45">
      <c r="B47" t="s">
        <v>181</v>
      </c>
    </row>
    <row r="48" spans="2:17" x14ac:dyDescent="0.45">
      <c r="B48" t="s">
        <v>175</v>
      </c>
    </row>
    <row r="49" spans="2:9" x14ac:dyDescent="0.45">
      <c r="B49" t="s">
        <v>182</v>
      </c>
    </row>
    <row r="50" spans="2:9" x14ac:dyDescent="0.45">
      <c r="I50" s="60"/>
    </row>
    <row r="52" spans="2:9" x14ac:dyDescent="0.45">
      <c r="B52" s="77" t="s">
        <v>146</v>
      </c>
    </row>
    <row r="53" spans="2:9" x14ac:dyDescent="0.45">
      <c r="B53" t="s">
        <v>183</v>
      </c>
    </row>
    <row r="54" spans="2:9" x14ac:dyDescent="0.45">
      <c r="I54" s="65"/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6"/>
  <sheetViews>
    <sheetView zoomScaleNormal="100" workbookViewId="0">
      <pane xSplit="2" ySplit="3" topLeftCell="C4" activePane="bottomRight" state="frozen"/>
      <selection sqref="A1:N1"/>
      <selection pane="topRight" sqref="A1:N1"/>
      <selection pane="bottomLeft" sqref="A1:N1"/>
      <selection pane="bottomRight" activeCell="F5" sqref="F5"/>
    </sheetView>
  </sheetViews>
  <sheetFormatPr defaultRowHeight="14.25" x14ac:dyDescent="0.45"/>
  <cols>
    <col min="1" max="1" width="1.59765625" customWidth="1"/>
    <col min="2" max="2" width="20.59765625" customWidth="1"/>
    <col min="3" max="17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25</v>
      </c>
      <c r="B3" s="7"/>
      <c r="C3" s="11">
        <f t="shared" ref="C3:D3" si="0">EDATE(D3,-12)</f>
        <v>41274</v>
      </c>
      <c r="D3" s="11">
        <f t="shared" si="0"/>
        <v>41639</v>
      </c>
      <c r="E3" s="11">
        <f>EDATE(F3,-12)</f>
        <v>42004</v>
      </c>
      <c r="F3" s="11">
        <v>42369</v>
      </c>
      <c r="G3" s="11" t="s">
        <v>118</v>
      </c>
      <c r="H3" s="11" t="s">
        <v>119</v>
      </c>
      <c r="I3" s="11" t="s">
        <v>120</v>
      </c>
      <c r="J3" s="11">
        <f>EDATE(F3,12)</f>
        <v>42735</v>
      </c>
      <c r="K3" s="11">
        <f t="shared" ref="K3:N3" si="1">EDATE(J3,12)</f>
        <v>43100</v>
      </c>
      <c r="L3" s="11">
        <f t="shared" si="1"/>
        <v>43465</v>
      </c>
      <c r="M3" s="11">
        <f t="shared" si="1"/>
        <v>43830</v>
      </c>
      <c r="N3" s="11">
        <f t="shared" si="1"/>
        <v>44196</v>
      </c>
      <c r="O3" s="11">
        <f t="shared" ref="O3" si="2">EDATE(N3,12)</f>
        <v>44561</v>
      </c>
      <c r="P3" s="11">
        <f t="shared" ref="P3" si="3">EDATE(O3,12)</f>
        <v>44926</v>
      </c>
      <c r="Q3" s="11">
        <f t="shared" ref="Q3" si="4">EDATE(P3,12)</f>
        <v>45291</v>
      </c>
    </row>
    <row r="5" spans="1:17" x14ac:dyDescent="0.45">
      <c r="B5" t="s">
        <v>26</v>
      </c>
      <c r="F5" s="61">
        <v>0</v>
      </c>
      <c r="G5" s="61"/>
      <c r="H5" s="61"/>
      <c r="I5" s="61"/>
    </row>
    <row r="6" spans="1:17" x14ac:dyDescent="0.45">
      <c r="B6" t="s">
        <v>29</v>
      </c>
      <c r="J6" t="s">
        <v>167</v>
      </c>
    </row>
    <row r="7" spans="1:17" x14ac:dyDescent="0.45">
      <c r="B7" t="s">
        <v>166</v>
      </c>
      <c r="J7" s="63">
        <v>-7.0000000000000007E-2</v>
      </c>
      <c r="K7" s="63">
        <v>-7.0000000000000007E-2</v>
      </c>
      <c r="L7" s="63">
        <v>-7.0000000000000007E-2</v>
      </c>
      <c r="M7" s="63">
        <v>-7.0000000000000007E-2</v>
      </c>
      <c r="N7" s="63">
        <v>-7.0000000000000007E-2</v>
      </c>
      <c r="O7" s="63">
        <v>-7.0000000000000007E-2</v>
      </c>
      <c r="P7" s="63">
        <v>-7.0000000000000007E-2</v>
      </c>
      <c r="Q7" s="63">
        <v>-7.0000000000000007E-2</v>
      </c>
    </row>
    <row r="8" spans="1:17" x14ac:dyDescent="0.45">
      <c r="B8" t="s">
        <v>167</v>
      </c>
      <c r="J8" s="63">
        <v>-0.06</v>
      </c>
      <c r="K8" s="63">
        <v>-0.05</v>
      </c>
      <c r="L8" s="63">
        <v>-0.05</v>
      </c>
      <c r="M8" s="63">
        <v>-0.05</v>
      </c>
      <c r="N8" s="63">
        <v>-0.05</v>
      </c>
      <c r="O8" s="63">
        <v>-0.05</v>
      </c>
      <c r="P8" s="63">
        <v>-0.05</v>
      </c>
      <c r="Q8" s="63">
        <v>-0.05</v>
      </c>
    </row>
    <row r="10" spans="1:17" x14ac:dyDescent="0.45">
      <c r="A10" s="62" t="s">
        <v>83</v>
      </c>
    </row>
    <row r="11" spans="1:17" x14ac:dyDescent="0.45">
      <c r="B11" t="s">
        <v>82</v>
      </c>
      <c r="D11" s="65">
        <f>IS!D5/IS!C5-1</f>
        <v>2.3499865458785463E-2</v>
      </c>
      <c r="E11" s="65">
        <f>IS!E5/IS!D5-1</f>
        <v>1.3364297607571629E-2</v>
      </c>
      <c r="F11" s="65">
        <f>IS!F5/IS!E5-1</f>
        <v>4.323950361049933E-3</v>
      </c>
      <c r="G11" s="65"/>
      <c r="H11" s="65"/>
      <c r="I11" s="65"/>
      <c r="J11" s="64">
        <v>1.2999999999999999E-2</v>
      </c>
      <c r="K11" s="64">
        <v>4.0000000000000001E-3</v>
      </c>
      <c r="L11" s="64">
        <v>0.25</v>
      </c>
      <c r="M11" s="64">
        <v>1.7000000000000001E-2</v>
      </c>
      <c r="N11" s="64">
        <v>1.6E-2</v>
      </c>
      <c r="O11" s="64">
        <v>1.6E-2</v>
      </c>
      <c r="P11" s="64">
        <v>1.6E-2</v>
      </c>
      <c r="Q11" s="64">
        <v>1.6E-2</v>
      </c>
    </row>
    <row r="12" spans="1:17" x14ac:dyDescent="0.45">
      <c r="B12" t="s">
        <v>27</v>
      </c>
      <c r="C12" s="60">
        <f>IS!C6/IS!C5</f>
        <v>-0.86510000896941419</v>
      </c>
      <c r="D12" s="60">
        <f>IS!D6/IS!D5</f>
        <v>-0.86951187450705458</v>
      </c>
      <c r="E12" s="60">
        <f>IS!E6/IS!E5</f>
        <v>-0.8802265749989191</v>
      </c>
      <c r="F12" s="60">
        <f>IS!F6/IS!F5</f>
        <v>-0.87256210444741045</v>
      </c>
      <c r="G12" s="60"/>
      <c r="H12" s="60"/>
      <c r="I12" s="60"/>
      <c r="J12" s="63">
        <v>-0.873</v>
      </c>
      <c r="K12" s="63">
        <v>-0.873</v>
      </c>
      <c r="L12" s="63">
        <v>-0.873</v>
      </c>
      <c r="M12" s="63">
        <v>-0.873</v>
      </c>
      <c r="N12" s="63">
        <v>-0.873</v>
      </c>
      <c r="O12" s="63">
        <v>-0.873</v>
      </c>
      <c r="P12" s="63">
        <v>-0.873</v>
      </c>
      <c r="Q12" s="63">
        <v>-0.873</v>
      </c>
    </row>
    <row r="13" spans="1:17" x14ac:dyDescent="0.45">
      <c r="B13" t="s">
        <v>28</v>
      </c>
      <c r="C13" s="60"/>
      <c r="D13" s="60"/>
      <c r="E13" s="60"/>
      <c r="F13" s="60" t="e">
        <f>Calc!F8/Calc!E9</f>
        <v>#DIV/0!</v>
      </c>
      <c r="G13" s="60"/>
      <c r="H13" s="60"/>
      <c r="I13" s="60"/>
      <c r="J13" s="63">
        <v>-0.109</v>
      </c>
      <c r="K13" s="63">
        <v>-0.109</v>
      </c>
      <c r="L13" s="63">
        <v>-0.109</v>
      </c>
      <c r="M13" s="63">
        <v>-0.109</v>
      </c>
      <c r="N13" s="63">
        <v>-0.109</v>
      </c>
      <c r="O13" s="63">
        <v>-0.109</v>
      </c>
      <c r="P13" s="63">
        <v>-0.109</v>
      </c>
      <c r="Q13" s="63">
        <v>-0.109</v>
      </c>
    </row>
    <row r="14" spans="1:17" x14ac:dyDescent="0.45">
      <c r="B14" t="s">
        <v>85</v>
      </c>
      <c r="C14">
        <f>IS!C13</f>
        <v>0</v>
      </c>
      <c r="D14">
        <f>IS!D13</f>
        <v>-11.4</v>
      </c>
      <c r="E14">
        <f>IS!E13</f>
        <v>0</v>
      </c>
      <c r="F14">
        <f>IS!F13</f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</row>
    <row r="15" spans="1:17" x14ac:dyDescent="0.45">
      <c r="B15" t="s">
        <v>29</v>
      </c>
      <c r="C15" s="60">
        <f>IS!C9/IS!C5</f>
        <v>-5.632792178670732E-2</v>
      </c>
      <c r="D15" s="60">
        <f>IS!D9/IS!D5</f>
        <v>-6.2308299009727452E-2</v>
      </c>
      <c r="E15" s="60">
        <f>IS!E9/IS!E5</f>
        <v>-6.3562070307432869E-2</v>
      </c>
      <c r="F15" s="60">
        <f>IS!F9/IS!F5</f>
        <v>-6.9574202436819221E-2</v>
      </c>
      <c r="G15" s="60"/>
      <c r="H15" s="60"/>
      <c r="I15" s="60"/>
      <c r="J15" s="60">
        <f>CHOOSE(MATCH($J$6,$B$7:$B$8,0),J7,J8)</f>
        <v>-0.06</v>
      </c>
      <c r="K15" s="60">
        <f t="shared" ref="K15:Q15" si="5">CHOOSE(MATCH($J$6,$B$7:$B$8,0),K7,K8)</f>
        <v>-0.05</v>
      </c>
      <c r="L15" s="60">
        <f t="shared" si="5"/>
        <v>-0.05</v>
      </c>
      <c r="M15" s="60">
        <f t="shared" si="5"/>
        <v>-0.05</v>
      </c>
      <c r="N15" s="60">
        <f t="shared" si="5"/>
        <v>-0.05</v>
      </c>
      <c r="O15" s="60">
        <f t="shared" si="5"/>
        <v>-0.05</v>
      </c>
      <c r="P15" s="60">
        <f t="shared" si="5"/>
        <v>-0.05</v>
      </c>
      <c r="Q15" s="60">
        <f t="shared" si="5"/>
        <v>-0.05</v>
      </c>
    </row>
    <row r="16" spans="1:17" x14ac:dyDescent="0.45">
      <c r="B16" t="s">
        <v>30</v>
      </c>
      <c r="C16" s="60">
        <f>IS!C22/IS!C20</f>
        <v>-0.20560747663551376</v>
      </c>
      <c r="D16" s="60">
        <f>IS!D22/IS!D20</f>
        <v>-0.16108786610878664</v>
      </c>
      <c r="E16" s="60">
        <f>IS!E22/IS!E20</f>
        <v>-0.16258741258741291</v>
      </c>
      <c r="F16" s="60">
        <f>IS!F22/IS!F20</f>
        <v>-0.17361111111111144</v>
      </c>
      <c r="G16" s="60"/>
      <c r="H16" s="60"/>
      <c r="I16" s="60"/>
      <c r="J16" s="63">
        <v>-0.2</v>
      </c>
      <c r="K16" s="63">
        <v>-0.2</v>
      </c>
      <c r="L16" s="63">
        <v>-0.2</v>
      </c>
      <c r="M16" s="63">
        <v>-0.2</v>
      </c>
      <c r="N16" s="63">
        <v>-0.2</v>
      </c>
      <c r="O16" s="63">
        <v>-0.2</v>
      </c>
      <c r="P16" s="63">
        <v>-0.2</v>
      </c>
      <c r="Q16" s="63">
        <v>-0.2</v>
      </c>
    </row>
    <row r="18" spans="1:17" x14ac:dyDescent="0.45">
      <c r="A18" s="62" t="s">
        <v>31</v>
      </c>
    </row>
    <row r="19" spans="1:17" x14ac:dyDescent="0.45">
      <c r="B19" t="s">
        <v>32</v>
      </c>
      <c r="C19">
        <f>BS!C7/IS!C6*365</f>
        <v>-62.876879212026957</v>
      </c>
      <c r="D19">
        <f>BS!D7/IS!D6*365</f>
        <v>-65.830225760935292</v>
      </c>
      <c r="E19">
        <f>BS!E7/IS!E6*365</f>
        <v>-61.983838483077065</v>
      </c>
      <c r="F19">
        <f>BS!F7/IS!F6*365</f>
        <v>-59.719741451620862</v>
      </c>
      <c r="J19" s="61">
        <v>-59.7</v>
      </c>
      <c r="K19" s="61">
        <v>-59.7</v>
      </c>
      <c r="L19" s="61">
        <v>-59.7</v>
      </c>
      <c r="M19" s="61">
        <v>-59.7</v>
      </c>
      <c r="N19" s="61">
        <v>-59.7</v>
      </c>
      <c r="O19" s="61">
        <v>-59.7</v>
      </c>
      <c r="P19" s="61">
        <v>-59.7</v>
      </c>
      <c r="Q19" s="61">
        <v>-59.7</v>
      </c>
    </row>
    <row r="20" spans="1:17" x14ac:dyDescent="0.45">
      <c r="B20" t="s">
        <v>33</v>
      </c>
      <c r="C20">
        <f>BS!C6/IS!C5*365</f>
        <v>3.4211588483272037</v>
      </c>
      <c r="D20">
        <f>BS!D6/IS!D5*365</f>
        <v>3.166681272456402</v>
      </c>
      <c r="E20">
        <f>BS!E6/IS!E5*365</f>
        <v>3.9929519609114892</v>
      </c>
      <c r="F20">
        <f>BS!F6/IS!F5*365</f>
        <v>3.9129030869246999</v>
      </c>
      <c r="J20" s="61">
        <v>3.9</v>
      </c>
      <c r="K20" s="61">
        <v>3.9</v>
      </c>
      <c r="L20" s="61">
        <v>3.9</v>
      </c>
      <c r="M20" s="61">
        <v>3.9</v>
      </c>
      <c r="N20" s="61">
        <v>3.9</v>
      </c>
      <c r="O20" s="61">
        <v>3.9</v>
      </c>
      <c r="P20" s="61">
        <v>3.9</v>
      </c>
      <c r="Q20" s="61">
        <v>3.9</v>
      </c>
    </row>
    <row r="21" spans="1:17" x14ac:dyDescent="0.45">
      <c r="B21" t="s">
        <v>34</v>
      </c>
      <c r="C21" s="65">
        <f>BS!C8/IS!C5</f>
        <v>2.4441653959996409E-2</v>
      </c>
      <c r="D21" s="65">
        <f>BS!D8/IS!D5</f>
        <v>2.5633160985014461E-2</v>
      </c>
      <c r="E21" s="65">
        <f>BS!E8/IS!E5</f>
        <v>2.1360314783586302E-2</v>
      </c>
      <c r="F21" s="65">
        <f>BS!F8/IS!F5</f>
        <v>2.2861325181900361E-2</v>
      </c>
      <c r="G21" s="65"/>
      <c r="H21" s="65"/>
      <c r="I21" s="65"/>
      <c r="J21" s="63">
        <v>2.3E-2</v>
      </c>
      <c r="K21" s="63">
        <v>2.3E-2</v>
      </c>
      <c r="L21" s="63">
        <v>2.3E-2</v>
      </c>
      <c r="M21" s="63">
        <v>2.3E-2</v>
      </c>
      <c r="N21" s="63">
        <v>2.3E-2</v>
      </c>
      <c r="O21" s="63">
        <v>2.3E-2</v>
      </c>
      <c r="P21" s="63">
        <v>2.3E-2</v>
      </c>
      <c r="Q21" s="63">
        <v>2.3E-2</v>
      </c>
    </row>
    <row r="22" spans="1:17" x14ac:dyDescent="0.45">
      <c r="B22" t="s">
        <v>35</v>
      </c>
      <c r="C22" s="65">
        <f>Calc!C7/IS!C5</f>
        <v>4.5474930487039197E-2</v>
      </c>
      <c r="D22" s="65">
        <f>Calc!D7/IS!D5</f>
        <v>4.9820348786258878E-2</v>
      </c>
      <c r="E22" s="65">
        <f>Calc!E7/IS!E5</f>
        <v>4.423401219354002E-2</v>
      </c>
      <c r="F22" s="65">
        <f>Calc!F7/IS!F5</f>
        <v>3.4270461101304515E-2</v>
      </c>
      <c r="G22" s="65"/>
      <c r="H22" s="65"/>
      <c r="I22" s="65"/>
      <c r="J22" s="63">
        <v>3.4000000000000002E-2</v>
      </c>
      <c r="K22" s="63">
        <v>3.4000000000000002E-2</v>
      </c>
      <c r="L22" s="63">
        <v>3.4000000000000002E-2</v>
      </c>
      <c r="M22" s="63">
        <v>3.4000000000000002E-2</v>
      </c>
      <c r="N22" s="63">
        <v>3.4000000000000002E-2</v>
      </c>
      <c r="O22" s="63">
        <v>3.4000000000000002E-2</v>
      </c>
      <c r="P22" s="63">
        <v>3.4000000000000002E-2</v>
      </c>
      <c r="Q22" s="63">
        <v>3.4000000000000002E-2</v>
      </c>
    </row>
    <row r="23" spans="1:17" x14ac:dyDescent="0.45">
      <c r="B23" t="s">
        <v>184</v>
      </c>
      <c r="C23">
        <f>BS!C13</f>
        <v>105.19999999999982</v>
      </c>
      <c r="D23">
        <f>BS!D13</f>
        <v>93.700000000000159</v>
      </c>
      <c r="E23">
        <f>BS!E13</f>
        <v>80.100000000000136</v>
      </c>
      <c r="F23">
        <f>BS!F13</f>
        <v>76.099999999999909</v>
      </c>
      <c r="J23" s="61">
        <v>76.099999999999994</v>
      </c>
      <c r="K23" s="61">
        <v>76.099999999999994</v>
      </c>
      <c r="L23" s="61">
        <v>76.099999999999994</v>
      </c>
      <c r="M23" s="61">
        <v>76.099999999999994</v>
      </c>
      <c r="N23" s="61">
        <v>76.099999999999994</v>
      </c>
      <c r="O23" s="61">
        <v>76.099999999999994</v>
      </c>
      <c r="P23" s="61">
        <v>76.099999999999994</v>
      </c>
      <c r="Q23" s="61">
        <v>76.099999999999994</v>
      </c>
    </row>
    <row r="25" spans="1:17" x14ac:dyDescent="0.45">
      <c r="B25" t="s">
        <v>36</v>
      </c>
      <c r="C25">
        <f>BS!C18/IS!C6*365</f>
        <v>-60.227838258164851</v>
      </c>
      <c r="D25">
        <f>BS!D18/IS!D6*365</f>
        <v>-63.457468252368479</v>
      </c>
      <c r="E25">
        <f>BS!E18/IS!E6*365</f>
        <v>-58.487498157881809</v>
      </c>
      <c r="F25">
        <f>BS!F18/IS!F6*365</f>
        <v>-58.837272413282676</v>
      </c>
      <c r="J25" s="61">
        <v>-58.8</v>
      </c>
      <c r="K25" s="61">
        <v>-58.8</v>
      </c>
      <c r="L25" s="61">
        <v>-58.8</v>
      </c>
      <c r="M25" s="61">
        <v>-58.8</v>
      </c>
      <c r="N25" s="61">
        <v>-58.8</v>
      </c>
      <c r="O25" s="61">
        <v>-58.8</v>
      </c>
      <c r="P25" s="61">
        <v>-58.8</v>
      </c>
      <c r="Q25" s="61">
        <v>-58.8</v>
      </c>
    </row>
    <row r="26" spans="1:17" x14ac:dyDescent="0.45">
      <c r="B26" t="s">
        <v>185</v>
      </c>
      <c r="C26">
        <f>BS!C27</f>
        <v>699.2</v>
      </c>
      <c r="D26">
        <f>BS!D27</f>
        <v>644.40000000000009</v>
      </c>
      <c r="E26">
        <f>BS!E27</f>
        <v>628.90000000000009</v>
      </c>
      <c r="F26">
        <f>BS!F27</f>
        <v>610.09999999999991</v>
      </c>
      <c r="J26" s="61">
        <v>610.1</v>
      </c>
      <c r="K26" s="61">
        <v>610.1</v>
      </c>
      <c r="L26" s="61">
        <v>610.1</v>
      </c>
      <c r="M26" s="61">
        <v>610.1</v>
      </c>
      <c r="N26" s="61">
        <v>610.1</v>
      </c>
      <c r="O26" s="61">
        <v>610.1</v>
      </c>
      <c r="P26" s="61">
        <v>610.1</v>
      </c>
      <c r="Q26" s="61">
        <v>610.1</v>
      </c>
    </row>
  </sheetData>
  <dataValidations count="1">
    <dataValidation type="list" allowBlank="1" showInputMessage="1" showErrorMessage="1" sqref="J6" xr:uid="{00000000-0002-0000-0300-000000000000}">
      <formula1>$B$7:$B$8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3"/>
  <sheetViews>
    <sheetView zoomScaleNormal="100" workbookViewId="0">
      <pane xSplit="2" ySplit="3" topLeftCell="C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4.25" x14ac:dyDescent="0.45"/>
  <cols>
    <col min="1" max="1" width="1.59765625" customWidth="1"/>
    <col min="2" max="2" width="20.59765625" customWidth="1"/>
    <col min="3" max="14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87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118</v>
      </c>
      <c r="H3" s="11" t="s">
        <v>119</v>
      </c>
      <c r="I3" s="11" t="s">
        <v>120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A5" s="62" t="s">
        <v>37</v>
      </c>
    </row>
    <row r="6" spans="1:17" x14ac:dyDescent="0.45">
      <c r="B6" t="s">
        <v>38</v>
      </c>
      <c r="J6">
        <f>I9</f>
        <v>675.3</v>
      </c>
      <c r="K6">
        <f>J9</f>
        <v>681.69073339999989</v>
      </c>
      <c r="L6">
        <f t="shared" ref="L6:Q6" si="1">K9</f>
        <v>687.7048705929999</v>
      </c>
      <c r="M6">
        <f t="shared" si="1"/>
        <v>713.14307361536294</v>
      </c>
      <c r="N6">
        <f t="shared" si="1"/>
        <v>737.51527908487742</v>
      </c>
      <c r="O6">
        <f t="shared" si="1"/>
        <v>760.86459096611225</v>
      </c>
      <c r="P6">
        <f t="shared" si="1"/>
        <v>783.32864348911619</v>
      </c>
      <c r="Q6">
        <f t="shared" si="1"/>
        <v>805.03048697412567</v>
      </c>
    </row>
    <row r="7" spans="1:17" x14ac:dyDescent="0.45">
      <c r="B7" t="s">
        <v>39</v>
      </c>
      <c r="C7" s="61">
        <v>101.4</v>
      </c>
      <c r="D7" s="61">
        <v>113.7</v>
      </c>
      <c r="E7" s="61">
        <v>102.3</v>
      </c>
      <c r="F7" s="61">
        <v>79.599999999999994</v>
      </c>
      <c r="J7">
        <f>Input!J22*IS!J5</f>
        <v>79.998433399999996</v>
      </c>
      <c r="K7">
        <f>Input!K22*IS!K5</f>
        <v>80.318427133599997</v>
      </c>
      <c r="L7">
        <f>Input!L22*IS!L5</f>
        <v>100.39803391699998</v>
      </c>
      <c r="M7">
        <f>Input!M22*IS!M5</f>
        <v>102.10480049358897</v>
      </c>
      <c r="N7">
        <f>Input!N22*IS!N5</f>
        <v>103.7384773014864</v>
      </c>
      <c r="O7">
        <f>Input!O22*IS!O5</f>
        <v>105.39829293831018</v>
      </c>
      <c r="P7">
        <f>Input!P22*IS!P5</f>
        <v>107.08466562532315</v>
      </c>
      <c r="Q7">
        <f>Input!Q22*IS!Q5</f>
        <v>108.79802027532831</v>
      </c>
    </row>
    <row r="8" spans="1:17" x14ac:dyDescent="0.45">
      <c r="B8" t="s">
        <v>18</v>
      </c>
      <c r="J8">
        <f>Input!J13*Calc!J6</f>
        <v>-73.607699999999994</v>
      </c>
      <c r="K8">
        <f>Input!K13*Calc!K6</f>
        <v>-74.304289940599986</v>
      </c>
      <c r="L8">
        <f>Input!L13*Calc!L6</f>
        <v>-74.959830894636994</v>
      </c>
      <c r="M8">
        <f>Input!M13*Calc!M6</f>
        <v>-77.732595024074556</v>
      </c>
      <c r="N8">
        <f>Input!N13*Calc!N6</f>
        <v>-80.389165420251643</v>
      </c>
      <c r="O8">
        <f>Input!O13*Calc!O6</f>
        <v>-82.934240415306235</v>
      </c>
      <c r="P8">
        <f>Input!P13*Calc!P6</f>
        <v>-85.382822140313664</v>
      </c>
      <c r="Q8">
        <f>Input!Q13*Calc!Q6</f>
        <v>-87.748323080179702</v>
      </c>
    </row>
    <row r="9" spans="1:17" x14ac:dyDescent="0.45">
      <c r="B9" t="s">
        <v>40</v>
      </c>
      <c r="I9">
        <f>BS!I11</f>
        <v>675.3</v>
      </c>
      <c r="J9">
        <f>SUM(J6:J8)</f>
        <v>681.69073339999989</v>
      </c>
      <c r="K9">
        <f>SUM(K6:K8)</f>
        <v>687.7048705929999</v>
      </c>
      <c r="L9">
        <f t="shared" ref="L9:Q9" si="2">SUM(L6:L8)</f>
        <v>713.14307361536294</v>
      </c>
      <c r="M9">
        <f t="shared" si="2"/>
        <v>737.51527908487742</v>
      </c>
      <c r="N9">
        <f t="shared" si="2"/>
        <v>760.86459096611225</v>
      </c>
      <c r="O9">
        <f t="shared" si="2"/>
        <v>783.32864348911619</v>
      </c>
      <c r="P9">
        <f t="shared" si="2"/>
        <v>805.03048697412567</v>
      </c>
      <c r="Q9">
        <f t="shared" si="2"/>
        <v>826.08018416927428</v>
      </c>
    </row>
    <row r="12" spans="1:17" x14ac:dyDescent="0.45">
      <c r="A12" s="62" t="s">
        <v>41</v>
      </c>
    </row>
    <row r="13" spans="1:17" x14ac:dyDescent="0.45">
      <c r="B13" t="s">
        <v>38</v>
      </c>
      <c r="J13">
        <f>I16</f>
        <v>-43.684999999999945</v>
      </c>
      <c r="K13">
        <f>J16</f>
        <v>120.07649895999998</v>
      </c>
      <c r="L13">
        <f t="shared" ref="L13:Q13" si="3">K16</f>
        <v>303.3914973590401</v>
      </c>
      <c r="M13">
        <f t="shared" si="3"/>
        <v>532.53524535783993</v>
      </c>
      <c r="N13">
        <f t="shared" si="3"/>
        <v>765.57443707261928</v>
      </c>
      <c r="O13">
        <f t="shared" si="3"/>
        <v>1002.3422558548352</v>
      </c>
      <c r="P13">
        <f t="shared" si="3"/>
        <v>1242.8983597375666</v>
      </c>
      <c r="Q13">
        <f t="shared" si="3"/>
        <v>1487.3033612824217</v>
      </c>
    </row>
    <row r="14" spans="1:17" x14ac:dyDescent="0.45">
      <c r="B14" t="s">
        <v>42</v>
      </c>
      <c r="J14">
        <f>IS!J23</f>
        <v>163.76149895999993</v>
      </c>
      <c r="K14">
        <f>IS!K23</f>
        <v>183.31499839904012</v>
      </c>
      <c r="L14">
        <f>IS!L23</f>
        <v>229.1437479987998</v>
      </c>
      <c r="M14">
        <f>IS!M23</f>
        <v>233.03919171477941</v>
      </c>
      <c r="N14">
        <f>IS!N23</f>
        <v>236.7678187822159</v>
      </c>
      <c r="O14">
        <f>IS!O23</f>
        <v>240.55610388273141</v>
      </c>
      <c r="P14">
        <f>IS!P23</f>
        <v>244.40500154485511</v>
      </c>
      <c r="Q14">
        <f>IS!Q23</f>
        <v>248.31548156957291</v>
      </c>
    </row>
    <row r="15" spans="1:17" x14ac:dyDescent="0.45">
      <c r="B15" t="s">
        <v>142</v>
      </c>
      <c r="J15">
        <f>-Debt!J59</f>
        <v>0</v>
      </c>
      <c r="K15">
        <f>-Debt!K59</f>
        <v>0</v>
      </c>
      <c r="L15">
        <f>-Debt!L59</f>
        <v>0</v>
      </c>
      <c r="M15">
        <f>-Debt!M59</f>
        <v>0</v>
      </c>
      <c r="N15">
        <f>-Debt!N59</f>
        <v>0</v>
      </c>
      <c r="O15">
        <f>-Debt!O59</f>
        <v>0</v>
      </c>
      <c r="P15">
        <f>-Debt!P59</f>
        <v>0</v>
      </c>
      <c r="Q15">
        <f>-Debt!Q59</f>
        <v>0</v>
      </c>
    </row>
    <row r="16" spans="1:17" x14ac:dyDescent="0.45">
      <c r="B16" t="s">
        <v>40</v>
      </c>
      <c r="I16">
        <f>BS!I30</f>
        <v>-43.684999999999945</v>
      </c>
      <c r="J16">
        <f>SUM(J13:J15)</f>
        <v>120.07649895999998</v>
      </c>
      <c r="K16">
        <f>SUM(K13:K15)</f>
        <v>303.3914973590401</v>
      </c>
      <c r="L16">
        <f t="shared" ref="L16:Q16" si="4">SUM(L13:L15)</f>
        <v>532.53524535783993</v>
      </c>
      <c r="M16">
        <f t="shared" si="4"/>
        <v>765.57443707261928</v>
      </c>
      <c r="N16">
        <f t="shared" si="4"/>
        <v>1002.3422558548352</v>
      </c>
      <c r="O16">
        <f t="shared" si="4"/>
        <v>1242.8983597375666</v>
      </c>
      <c r="P16">
        <f t="shared" si="4"/>
        <v>1487.3033612824217</v>
      </c>
      <c r="Q16">
        <f t="shared" si="4"/>
        <v>1735.6188428519947</v>
      </c>
    </row>
    <row r="18" spans="1:17" x14ac:dyDescent="0.45">
      <c r="A18" s="62" t="s">
        <v>43</v>
      </c>
    </row>
    <row r="19" spans="1:17" x14ac:dyDescent="0.45">
      <c r="B19" t="str">
        <f>BS!B6</f>
        <v>Accounts receivable</v>
      </c>
      <c r="I19">
        <f>BS!I6</f>
        <v>24.9</v>
      </c>
      <c r="J19">
        <f>BS!J6</f>
        <v>25.140522986301367</v>
      </c>
      <c r="K19">
        <f>BS!K6</f>
        <v>25.24108507824657</v>
      </c>
      <c r="L19">
        <f>BS!L6</f>
        <v>31.551356347808209</v>
      </c>
      <c r="M19">
        <f>BS!M6</f>
        <v>32.087729405720943</v>
      </c>
      <c r="N19">
        <f>BS!N6</f>
        <v>32.601133076212477</v>
      </c>
      <c r="O19">
        <f>BS!O6</f>
        <v>33.122751205431882</v>
      </c>
      <c r="P19">
        <f>BS!P6</f>
        <v>33.65271522471879</v>
      </c>
      <c r="Q19">
        <f>BS!Q6</f>
        <v>34.191158668314294</v>
      </c>
    </row>
    <row r="20" spans="1:17" x14ac:dyDescent="0.45">
      <c r="B20" t="str">
        <f>BS!B7</f>
        <v>Inventories</v>
      </c>
      <c r="I20">
        <f>BS!I7</f>
        <v>331.6</v>
      </c>
      <c r="J20">
        <f>BS!J7</f>
        <v>335.9682797570137</v>
      </c>
      <c r="K20">
        <f>BS!K7</f>
        <v>337.31215287604164</v>
      </c>
      <c r="L20">
        <f>BS!L7</f>
        <v>421.64019109505216</v>
      </c>
      <c r="M20">
        <f>BS!M7</f>
        <v>428.80807434366795</v>
      </c>
      <c r="N20">
        <f>BS!N7</f>
        <v>435.66900353316663</v>
      </c>
      <c r="O20">
        <f>BS!O7</f>
        <v>442.63970758969731</v>
      </c>
      <c r="P20">
        <f>BS!P7</f>
        <v>449.72194291113249</v>
      </c>
      <c r="Q20">
        <f>BS!Q7</f>
        <v>456.91749399771055</v>
      </c>
    </row>
    <row r="21" spans="1:17" x14ac:dyDescent="0.45">
      <c r="B21" t="str">
        <f>BS!B8</f>
        <v>Other current assets</v>
      </c>
      <c r="I21">
        <f>BS!I8</f>
        <v>53.099999999999966</v>
      </c>
      <c r="J21">
        <f>BS!J8</f>
        <v>54.116587299999992</v>
      </c>
      <c r="K21">
        <f>BS!K8</f>
        <v>54.333053649199989</v>
      </c>
      <c r="L21">
        <f>BS!L8</f>
        <v>67.916317061499981</v>
      </c>
      <c r="M21">
        <f>BS!M8</f>
        <v>69.07089445154547</v>
      </c>
      <c r="N21">
        <f>BS!N8</f>
        <v>70.176028762770201</v>
      </c>
      <c r="O21">
        <f>BS!O8</f>
        <v>71.298845222974535</v>
      </c>
      <c r="P21">
        <f>BS!P8</f>
        <v>72.439626746542118</v>
      </c>
      <c r="Q21">
        <f>BS!Q8</f>
        <v>73.598660774486802</v>
      </c>
    </row>
    <row r="22" spans="1:17" x14ac:dyDescent="0.45">
      <c r="B22" t="str">
        <f>BS!B18</f>
        <v>Accounts payable</v>
      </c>
      <c r="I22">
        <f>BS!I18</f>
        <v>326.7</v>
      </c>
      <c r="J22">
        <f>BS!J18</f>
        <v>330.90343131846572</v>
      </c>
      <c r="K22">
        <f>BS!K18</f>
        <v>332.22704504373951</v>
      </c>
      <c r="L22">
        <f>BS!L18</f>
        <v>415.28380630467444</v>
      </c>
      <c r="M22">
        <f>BS!M18</f>
        <v>422.34363101185386</v>
      </c>
      <c r="N22">
        <f>BS!N18</f>
        <v>429.10112910804349</v>
      </c>
      <c r="O22">
        <f>BS!O18</f>
        <v>435.96674717377221</v>
      </c>
      <c r="P22">
        <f>BS!P18</f>
        <v>442.94221512855256</v>
      </c>
      <c r="Q22">
        <f>BS!Q18</f>
        <v>450.02929057060936</v>
      </c>
    </row>
    <row r="23" spans="1:17" x14ac:dyDescent="0.45">
      <c r="B23" t="s">
        <v>44</v>
      </c>
      <c r="I23">
        <f>SUM(I19:I21)-I22</f>
        <v>82.899999999999977</v>
      </c>
      <c r="J23">
        <f t="shared" ref="J23:K23" si="5">SUM(J19:J21)-J22</f>
        <v>84.321958724849367</v>
      </c>
      <c r="K23">
        <f t="shared" si="5"/>
        <v>84.659246559748681</v>
      </c>
      <c r="L23">
        <f t="shared" ref="L23" si="6">SUM(L19:L21)-L22</f>
        <v>105.82405819968591</v>
      </c>
      <c r="M23">
        <f t="shared" ref="M23" si="7">SUM(M19:M21)-M22</f>
        <v>107.62306718908053</v>
      </c>
      <c r="N23">
        <f t="shared" ref="N23" si="8">SUM(N19:N21)-N22</f>
        <v>109.34503626410577</v>
      </c>
      <c r="O23">
        <f t="shared" ref="O23" si="9">SUM(O19:O21)-O22</f>
        <v>111.09455684433158</v>
      </c>
      <c r="P23">
        <f t="shared" ref="P23" si="10">SUM(P19:P21)-P22</f>
        <v>112.87206975384083</v>
      </c>
      <c r="Q23">
        <f t="shared" ref="Q23" si="11">SUM(Q19:Q21)-Q22</f>
        <v>114.67802286990224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3"/>
  <sheetViews>
    <sheetView zoomScaleNormal="100" workbookViewId="0">
      <pane xSplit="2" ySplit="3" topLeftCell="C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4.25" x14ac:dyDescent="0.45"/>
  <cols>
    <col min="1" max="1" width="1.59765625" customWidth="1"/>
    <col min="2" max="2" width="20.59765625" customWidth="1"/>
    <col min="3" max="4" width="11.86328125" customWidth="1"/>
    <col min="5" max="14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143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118</v>
      </c>
      <c r="H3" s="11" t="s">
        <v>119</v>
      </c>
      <c r="I3" s="11" t="s">
        <v>120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B5" t="s">
        <v>46</v>
      </c>
      <c r="C5" s="61">
        <v>2229.8000000000002</v>
      </c>
      <c r="D5" s="61">
        <v>2282.1999999999998</v>
      </c>
      <c r="E5" s="61">
        <v>2312.6999999999998</v>
      </c>
      <c r="F5" s="61">
        <v>2322.6999999999998</v>
      </c>
      <c r="J5">
        <f>(Input!J11+1)*IS!F5</f>
        <v>2352.8950999999997</v>
      </c>
      <c r="K5">
        <f>(Input!K11+1)*IS!J5</f>
        <v>2362.3066803999995</v>
      </c>
      <c r="L5">
        <f>(Input!L11+1)*IS!K5</f>
        <v>2952.8833504999993</v>
      </c>
      <c r="M5">
        <f>(Input!M11+1)*IS!L5</f>
        <v>3003.082367458499</v>
      </c>
      <c r="N5">
        <f>(Input!N11+1)*IS!M5</f>
        <v>3051.1316853378348</v>
      </c>
      <c r="O5">
        <f>(Input!O11+1)*IS!N5</f>
        <v>3099.9497923032404</v>
      </c>
      <c r="P5">
        <f>(Input!P11+1)*IS!O5</f>
        <v>3149.5489889800924</v>
      </c>
      <c r="Q5">
        <f>(Input!Q11+1)*IS!P5</f>
        <v>3199.9417728037738</v>
      </c>
    </row>
    <row r="6" spans="1:17" x14ac:dyDescent="0.45">
      <c r="B6" t="s">
        <v>47</v>
      </c>
      <c r="C6" s="61">
        <v>-1929</v>
      </c>
      <c r="D6" s="61">
        <v>-1984.3999999999999</v>
      </c>
      <c r="E6" s="61">
        <v>-2035.7</v>
      </c>
      <c r="F6" s="61">
        <v>-2026.7</v>
      </c>
      <c r="J6">
        <f>Input!J12*IS!J5</f>
        <v>-2054.0774222999999</v>
      </c>
      <c r="K6">
        <f>Input!K12*IS!K5</f>
        <v>-2062.2937319891994</v>
      </c>
      <c r="L6">
        <f>Input!L12*IS!L5</f>
        <v>-2577.8671649864996</v>
      </c>
      <c r="M6">
        <f>Input!M12*IS!M5</f>
        <v>-2621.6909067912698</v>
      </c>
      <c r="N6">
        <f>Input!N12*IS!N5</f>
        <v>-2663.6379612999299</v>
      </c>
      <c r="O6">
        <f>Input!O12*IS!O5</f>
        <v>-2706.2561686807289</v>
      </c>
      <c r="P6">
        <f>Input!P12*IS!P5</f>
        <v>-2749.5562673796207</v>
      </c>
      <c r="Q6">
        <f>Input!Q12*IS!Q5</f>
        <v>-2793.5491676576944</v>
      </c>
    </row>
    <row r="7" spans="1:17" x14ac:dyDescent="0.45">
      <c r="B7" t="s">
        <v>48</v>
      </c>
      <c r="C7">
        <f>SUM(C5:C6)</f>
        <v>300.80000000000018</v>
      </c>
      <c r="D7">
        <f t="shared" ref="D7:F7" si="1">SUM(D5:D6)</f>
        <v>297.79999999999995</v>
      </c>
      <c r="E7">
        <f t="shared" si="1"/>
        <v>276.99999999999977</v>
      </c>
      <c r="F7">
        <f t="shared" si="1"/>
        <v>295.99999999999977</v>
      </c>
      <c r="J7">
        <f t="shared" ref="J7:K7" si="2">SUM(J5:J6)</f>
        <v>298.81767769999988</v>
      </c>
      <c r="K7">
        <f t="shared" si="2"/>
        <v>300.01294841080016</v>
      </c>
      <c r="L7">
        <f t="shared" ref="L7:Q7" si="3">SUM(L5:L6)</f>
        <v>375.01618551349975</v>
      </c>
      <c r="M7">
        <f t="shared" si="3"/>
        <v>381.39146066722924</v>
      </c>
      <c r="N7">
        <f t="shared" si="3"/>
        <v>387.49372403790494</v>
      </c>
      <c r="O7">
        <f t="shared" si="3"/>
        <v>393.6936236225115</v>
      </c>
      <c r="P7">
        <f t="shared" si="3"/>
        <v>399.99272160047167</v>
      </c>
      <c r="Q7">
        <f t="shared" si="3"/>
        <v>406.3926051460794</v>
      </c>
    </row>
    <row r="9" spans="1:17" x14ac:dyDescent="0.45">
      <c r="B9" t="s">
        <v>49</v>
      </c>
      <c r="C9" s="61">
        <v>-125.6</v>
      </c>
      <c r="D9" s="61">
        <v>-142.19999999999999</v>
      </c>
      <c r="E9" s="61">
        <v>-147</v>
      </c>
      <c r="F9" s="61">
        <v>-161.6</v>
      </c>
      <c r="J9">
        <f>Input!J15*IS!J5</f>
        <v>-141.17370599999998</v>
      </c>
      <c r="K9">
        <f>Input!K15*IS!K5</f>
        <v>-118.11533401999998</v>
      </c>
      <c r="L9">
        <f>Input!L15*IS!L5</f>
        <v>-147.64416752499997</v>
      </c>
      <c r="M9">
        <f>Input!M15*IS!M5</f>
        <v>-150.15411837292496</v>
      </c>
      <c r="N9">
        <f>Input!N15*IS!N5</f>
        <v>-152.55658426689175</v>
      </c>
      <c r="O9">
        <f>Input!O15*IS!O5</f>
        <v>-154.99748961516204</v>
      </c>
      <c r="P9">
        <f>Input!P15*IS!P5</f>
        <v>-157.47744944900464</v>
      </c>
      <c r="Q9">
        <f>Input!Q15*IS!Q5</f>
        <v>-159.99708864018871</v>
      </c>
    </row>
    <row r="10" spans="1:17" x14ac:dyDescent="0.45">
      <c r="B10" t="s">
        <v>50</v>
      </c>
      <c r="C10">
        <f>C7+C9</f>
        <v>175.20000000000019</v>
      </c>
      <c r="D10">
        <f t="shared" ref="D10:F10" si="4">D7+D9</f>
        <v>155.59999999999997</v>
      </c>
      <c r="E10">
        <f t="shared" si="4"/>
        <v>129.99999999999977</v>
      </c>
      <c r="F10">
        <f t="shared" si="4"/>
        <v>134.39999999999978</v>
      </c>
      <c r="J10">
        <f>J7+J9</f>
        <v>157.6439716999999</v>
      </c>
      <c r="K10">
        <f>K7+K9</f>
        <v>181.89761439080019</v>
      </c>
      <c r="L10">
        <f t="shared" ref="L10:Q10" si="5">L7+L9</f>
        <v>227.37201798849978</v>
      </c>
      <c r="M10">
        <f t="shared" si="5"/>
        <v>231.23734229430428</v>
      </c>
      <c r="N10">
        <f t="shared" si="5"/>
        <v>234.93713977101319</v>
      </c>
      <c r="O10">
        <f t="shared" si="5"/>
        <v>238.69613400734946</v>
      </c>
      <c r="P10">
        <f t="shared" si="5"/>
        <v>242.51527215146703</v>
      </c>
      <c r="Q10">
        <f t="shared" si="5"/>
        <v>246.3955165058907</v>
      </c>
    </row>
    <row r="12" spans="1:17" x14ac:dyDescent="0.45">
      <c r="B12" t="s">
        <v>18</v>
      </c>
      <c r="C12" s="61">
        <v>-91.6</v>
      </c>
      <c r="D12" s="61">
        <v>-94.6</v>
      </c>
      <c r="E12" s="61">
        <v>-100.8</v>
      </c>
      <c r="F12" s="61">
        <v>-104.2</v>
      </c>
      <c r="J12">
        <f>Calc!J8</f>
        <v>-73.607699999999994</v>
      </c>
      <c r="K12">
        <f>Calc!K8</f>
        <v>-74.304289940599986</v>
      </c>
      <c r="L12">
        <f>Calc!L8</f>
        <v>-74.959830894636994</v>
      </c>
      <c r="M12">
        <f>Calc!M8</f>
        <v>-77.732595024074556</v>
      </c>
      <c r="N12">
        <f>Calc!N8</f>
        <v>-80.389165420251643</v>
      </c>
      <c r="O12">
        <f>Calc!O8</f>
        <v>-82.934240415306235</v>
      </c>
      <c r="P12">
        <f>Calc!P8</f>
        <v>-85.382822140313664</v>
      </c>
      <c r="Q12">
        <f>Calc!Q8</f>
        <v>-87.748323080179702</v>
      </c>
    </row>
    <row r="13" spans="1:17" x14ac:dyDescent="0.45">
      <c r="B13" t="s">
        <v>84</v>
      </c>
      <c r="C13" s="61">
        <v>0</v>
      </c>
      <c r="D13" s="61">
        <v>-11.4</v>
      </c>
      <c r="E13" s="61">
        <v>0</v>
      </c>
      <c r="F13" s="61">
        <v>0</v>
      </c>
      <c r="J13">
        <f>Input!J14</f>
        <v>0</v>
      </c>
      <c r="K13">
        <f>Input!K14</f>
        <v>0</v>
      </c>
      <c r="L13">
        <f>Input!L14</f>
        <v>0</v>
      </c>
      <c r="M13">
        <f>Input!M14</f>
        <v>0</v>
      </c>
      <c r="N13">
        <f>Input!N14</f>
        <v>0</v>
      </c>
      <c r="O13">
        <f>Input!O14</f>
        <v>0</v>
      </c>
      <c r="P13">
        <f>Input!P14</f>
        <v>0</v>
      </c>
      <c r="Q13">
        <f>Input!Q14</f>
        <v>0</v>
      </c>
    </row>
    <row r="14" spans="1:17" x14ac:dyDescent="0.45">
      <c r="B14" t="s">
        <v>192</v>
      </c>
      <c r="C14">
        <f>C10-C12-C13</f>
        <v>266.80000000000018</v>
      </c>
      <c r="D14">
        <f t="shared" ref="D14:F14" si="6">D10-D12-D13</f>
        <v>261.59999999999997</v>
      </c>
      <c r="E14">
        <f t="shared" si="6"/>
        <v>230.79999999999978</v>
      </c>
      <c r="F14">
        <f t="shared" si="6"/>
        <v>238.5999999999998</v>
      </c>
      <c r="J14">
        <f t="shared" ref="J14:K14" si="7">J10-J12-J13</f>
        <v>231.25167169999989</v>
      </c>
      <c r="K14">
        <f t="shared" si="7"/>
        <v>256.20190433140016</v>
      </c>
      <c r="L14">
        <f t="shared" ref="L14" si="8">L10-L12-L13</f>
        <v>302.33184888313679</v>
      </c>
      <c r="M14">
        <f t="shared" ref="M14" si="9">M10-M12-M13</f>
        <v>308.96993731837881</v>
      </c>
      <c r="N14">
        <f t="shared" ref="N14" si="10">N10-N12-N13</f>
        <v>315.32630519126485</v>
      </c>
      <c r="O14">
        <f t="shared" ref="O14" si="11">O10-O12-O13</f>
        <v>321.63037442265568</v>
      </c>
      <c r="P14">
        <f t="shared" ref="P14" si="12">P10-P12-P13</f>
        <v>327.89809429178069</v>
      </c>
      <c r="Q14">
        <f t="shared" ref="Q14" si="13">Q10-Q12-Q13</f>
        <v>334.14383958607038</v>
      </c>
    </row>
    <row r="16" spans="1:17" x14ac:dyDescent="0.45">
      <c r="B16" t="s">
        <v>190</v>
      </c>
      <c r="C16" s="78">
        <v>0</v>
      </c>
      <c r="D16" s="78">
        <v>0</v>
      </c>
      <c r="E16" s="78">
        <v>0</v>
      </c>
      <c r="F16" s="78">
        <v>0</v>
      </c>
      <c r="J16">
        <f>LBO!$F$11*J5</f>
        <v>47.057901999999999</v>
      </c>
      <c r="K16">
        <f>LBO!$F$11*K5</f>
        <v>47.246133607999994</v>
      </c>
      <c r="L16">
        <f>LBO!$F$11*L5</f>
        <v>59.057667009999989</v>
      </c>
      <c r="M16">
        <f>LBO!$F$11*M5</f>
        <v>60.061647349169981</v>
      </c>
      <c r="N16">
        <f>LBO!$F$11*N5</f>
        <v>61.0226337067567</v>
      </c>
      <c r="O16">
        <f>LBO!$F$11*O5</f>
        <v>61.998995846064808</v>
      </c>
      <c r="P16">
        <f>LBO!$F$11*P5</f>
        <v>62.990979779601851</v>
      </c>
      <c r="Q16">
        <f>LBO!$F$11*Q5</f>
        <v>63.998835456075476</v>
      </c>
    </row>
    <row r="17" spans="2:17" x14ac:dyDescent="0.45">
      <c r="B17" t="s">
        <v>191</v>
      </c>
      <c r="C17">
        <f>C14+C16</f>
        <v>266.80000000000018</v>
      </c>
      <c r="D17">
        <f t="shared" ref="D17:F17" si="14">D14+D16</f>
        <v>261.59999999999997</v>
      </c>
      <c r="E17">
        <f t="shared" si="14"/>
        <v>230.79999999999978</v>
      </c>
      <c r="F17">
        <f t="shared" si="14"/>
        <v>238.5999999999998</v>
      </c>
      <c r="J17">
        <f>J14+J16</f>
        <v>278.30957369999987</v>
      </c>
      <c r="K17">
        <f t="shared" ref="K17" si="15">K14+K16</f>
        <v>303.44803793940014</v>
      </c>
      <c r="L17">
        <f t="shared" ref="L17" si="16">L14+L16</f>
        <v>361.38951589313677</v>
      </c>
      <c r="M17">
        <f t="shared" ref="M17" si="17">M14+M16</f>
        <v>369.03158466754877</v>
      </c>
      <c r="N17">
        <f t="shared" ref="N17" si="18">N14+N16</f>
        <v>376.34893889802157</v>
      </c>
      <c r="O17">
        <f t="shared" ref="O17" si="19">O14+O16</f>
        <v>383.62937026872049</v>
      </c>
      <c r="P17">
        <f t="shared" ref="P17" si="20">P14+P16</f>
        <v>390.88907407138254</v>
      </c>
      <c r="Q17">
        <f t="shared" ref="Q17" si="21">Q14+Q16</f>
        <v>398.14267504214587</v>
      </c>
    </row>
    <row r="19" spans="2:17" x14ac:dyDescent="0.45">
      <c r="B19" t="s">
        <v>51</v>
      </c>
      <c r="C19" s="61">
        <v>-14.7</v>
      </c>
      <c r="D19" s="61">
        <v>-12.2</v>
      </c>
      <c r="E19" s="61">
        <v>-15.6</v>
      </c>
      <c r="F19" s="61">
        <v>-19.2</v>
      </c>
      <c r="J19">
        <f>IF(Switch2=1,Debt!J62,0)</f>
        <v>0</v>
      </c>
      <c r="K19">
        <f>IF(Switch2=1,Debt!K62,0)</f>
        <v>0</v>
      </c>
      <c r="L19">
        <f>IF(Switch2=1,Debt!L62,0)</f>
        <v>0</v>
      </c>
      <c r="M19">
        <f>IF(Switch2=1,Debt!M62,0)</f>
        <v>0</v>
      </c>
      <c r="N19">
        <f>IF(Switch2=1,Debt!N62,0)</f>
        <v>0</v>
      </c>
      <c r="O19">
        <f>IF(Switch2=1,Debt!O62,0)</f>
        <v>0</v>
      </c>
      <c r="P19">
        <f>IF(Switch2=1,Debt!P62,0)</f>
        <v>0</v>
      </c>
      <c r="Q19">
        <f>IF(Switch2=1,Debt!Q62,0)</f>
        <v>0</v>
      </c>
    </row>
    <row r="20" spans="2:17" x14ac:dyDescent="0.45">
      <c r="B20" t="s">
        <v>52</v>
      </c>
      <c r="C20">
        <f>SUM(C10,C19:C19)</f>
        <v>160.5000000000002</v>
      </c>
      <c r="D20">
        <f>SUM(D10,D19:D19)</f>
        <v>143.39999999999998</v>
      </c>
      <c r="E20">
        <f>SUM(E10,E19:E19)</f>
        <v>114.39999999999978</v>
      </c>
      <c r="F20">
        <f>SUM(F10,F19:F19)</f>
        <v>115.19999999999978</v>
      </c>
      <c r="J20">
        <f>SUM(J10,J16,J19:J19)</f>
        <v>204.70187369999991</v>
      </c>
      <c r="K20">
        <f t="shared" ref="K20:Q20" si="22">SUM(K10,K16,K19:K19)</f>
        <v>229.14374799880017</v>
      </c>
      <c r="L20">
        <f t="shared" si="22"/>
        <v>286.42968499849974</v>
      </c>
      <c r="M20">
        <f t="shared" si="22"/>
        <v>291.29898964347427</v>
      </c>
      <c r="N20">
        <f t="shared" si="22"/>
        <v>295.95977347776989</v>
      </c>
      <c r="O20">
        <f t="shared" si="22"/>
        <v>300.69512985341424</v>
      </c>
      <c r="P20">
        <f t="shared" si="22"/>
        <v>305.5062519310689</v>
      </c>
      <c r="Q20">
        <f t="shared" si="22"/>
        <v>310.39435196196615</v>
      </c>
    </row>
    <row r="22" spans="2:17" x14ac:dyDescent="0.45">
      <c r="B22" t="s">
        <v>53</v>
      </c>
      <c r="C22" s="61">
        <v>-33</v>
      </c>
      <c r="D22" s="61">
        <v>-23.1</v>
      </c>
      <c r="E22" s="61">
        <v>-18.600000000000001</v>
      </c>
      <c r="F22" s="61">
        <v>-20</v>
      </c>
      <c r="J22">
        <f>Input!J16*IS!J20</f>
        <v>-40.940374739999982</v>
      </c>
      <c r="K22">
        <f>Input!K16*IS!K20</f>
        <v>-45.828749599760037</v>
      </c>
      <c r="L22">
        <f>Input!L16*IS!L20</f>
        <v>-57.285936999699949</v>
      </c>
      <c r="M22">
        <f>Input!M16*IS!M20</f>
        <v>-58.259797928694859</v>
      </c>
      <c r="N22">
        <f>Input!N16*IS!N20</f>
        <v>-59.191954695553981</v>
      </c>
      <c r="O22">
        <f>Input!O16*IS!O20</f>
        <v>-60.139025970682852</v>
      </c>
      <c r="P22">
        <f>Input!P16*IS!P20</f>
        <v>-61.101250386213785</v>
      </c>
      <c r="Q22">
        <f>Input!Q16*IS!Q20</f>
        <v>-62.078870392393235</v>
      </c>
    </row>
    <row r="23" spans="2:17" x14ac:dyDescent="0.45">
      <c r="B23" t="s">
        <v>42</v>
      </c>
      <c r="C23">
        <f>C20+C22</f>
        <v>127.5000000000002</v>
      </c>
      <c r="D23">
        <f t="shared" ref="D23:F23" si="23">D20+D22</f>
        <v>120.29999999999998</v>
      </c>
      <c r="E23">
        <f t="shared" si="23"/>
        <v>95.799999999999784</v>
      </c>
      <c r="F23">
        <f t="shared" si="23"/>
        <v>95.199999999999775</v>
      </c>
      <c r="J23">
        <f>J20+J22</f>
        <v>163.76149895999993</v>
      </c>
      <c r="K23">
        <f>K20+K22</f>
        <v>183.31499839904012</v>
      </c>
      <c r="L23">
        <f t="shared" ref="L23:Q23" si="24">L20+L22</f>
        <v>229.1437479987998</v>
      </c>
      <c r="M23">
        <f t="shared" si="24"/>
        <v>233.03919171477941</v>
      </c>
      <c r="N23">
        <f t="shared" si="24"/>
        <v>236.7678187822159</v>
      </c>
      <c r="O23">
        <f t="shared" si="24"/>
        <v>240.55610388273141</v>
      </c>
      <c r="P23">
        <f t="shared" si="24"/>
        <v>244.40500154485511</v>
      </c>
      <c r="Q23">
        <f t="shared" si="24"/>
        <v>248.31548156957291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8"/>
  <sheetViews>
    <sheetView tabSelected="1" zoomScaleNormal="100" workbookViewId="0">
      <pane xSplit="2" ySplit="3" topLeftCell="C10" activePane="bottomRight" state="frozen"/>
      <selection sqref="A1:N1"/>
      <selection pane="topRight" sqref="A1:N1"/>
      <selection pane="bottomLeft" sqref="A1:N1"/>
      <selection pane="bottomRight" activeCell="K24" sqref="K24"/>
    </sheetView>
  </sheetViews>
  <sheetFormatPr defaultRowHeight="14.25" x14ac:dyDescent="0.45"/>
  <cols>
    <col min="1" max="1" width="1.59765625" customWidth="1"/>
    <col min="2" max="2" width="20.59765625" customWidth="1"/>
    <col min="3" max="14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144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118</v>
      </c>
      <c r="H3" s="11" t="s">
        <v>119</v>
      </c>
      <c r="I3" s="11" t="s">
        <v>120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B5" t="s">
        <v>54</v>
      </c>
      <c r="C5" s="61">
        <v>51.8</v>
      </c>
      <c r="D5" s="61">
        <v>34.299999999999997</v>
      </c>
      <c r="E5" s="61">
        <v>65.900000000000006</v>
      </c>
      <c r="F5" s="61">
        <v>50.1</v>
      </c>
      <c r="H5">
        <f>-F5</f>
        <v>-50.1</v>
      </c>
      <c r="I5">
        <f>SUM(F5:H5)</f>
        <v>0</v>
      </c>
      <c r="J5">
        <f>CFS!J25</f>
        <v>-755.05119316484956</v>
      </c>
      <c r="K5">
        <f>CFS!K25</f>
        <v>-578.08761979370877</v>
      </c>
      <c r="L5">
        <f>CFS!L25</f>
        <v>-395.54688645720915</v>
      </c>
      <c r="M5">
        <f>CFS!M25</f>
        <v>-188.67890920133885</v>
      </c>
      <c r="N5">
        <f>CFS!N25</f>
        <v>23.017628624617089</v>
      </c>
      <c r="O5">
        <f>CFS!O25</f>
        <v>239.36015940411875</v>
      </c>
      <c r="P5">
        <f>CFS!P25</f>
        <v>460.28580455445507</v>
      </c>
      <c r="Q5">
        <f>CFS!Q25</f>
        <v>685.74563581281791</v>
      </c>
    </row>
    <row r="6" spans="1:17" x14ac:dyDescent="0.45">
      <c r="B6" t="s">
        <v>55</v>
      </c>
      <c r="C6" s="61">
        <v>20.9</v>
      </c>
      <c r="D6" s="61">
        <v>19.8</v>
      </c>
      <c r="E6" s="61">
        <v>25.3</v>
      </c>
      <c r="F6" s="61">
        <v>24.9</v>
      </c>
      <c r="I6">
        <f>SUM(F6:H6)</f>
        <v>24.9</v>
      </c>
      <c r="J6">
        <f>Input!J20/365*IS!J5</f>
        <v>25.140522986301367</v>
      </c>
      <c r="K6">
        <f>Input!K20/365*IS!K5</f>
        <v>25.24108507824657</v>
      </c>
      <c r="L6">
        <f>Input!L20/365*IS!L5</f>
        <v>31.551356347808209</v>
      </c>
      <c r="M6">
        <f>Input!M20/365*IS!M5</f>
        <v>32.087729405720943</v>
      </c>
      <c r="N6">
        <f>Input!N20/365*IS!N5</f>
        <v>32.601133076212477</v>
      </c>
      <c r="O6">
        <f>Input!O20/365*IS!O5</f>
        <v>33.122751205431882</v>
      </c>
      <c r="P6">
        <f>Input!P20/365*IS!P5</f>
        <v>33.65271522471879</v>
      </c>
      <c r="Q6">
        <f>Input!Q20/365*IS!Q5</f>
        <v>34.191158668314294</v>
      </c>
    </row>
    <row r="7" spans="1:17" x14ac:dyDescent="0.45">
      <c r="B7" t="s">
        <v>56</v>
      </c>
      <c r="C7" s="61">
        <v>332.3</v>
      </c>
      <c r="D7" s="61">
        <v>357.9</v>
      </c>
      <c r="E7" s="61">
        <v>345.7</v>
      </c>
      <c r="F7" s="61">
        <v>331.6</v>
      </c>
      <c r="I7">
        <f>SUM(F7:H7)</f>
        <v>331.6</v>
      </c>
      <c r="J7">
        <f>Input!J19/365*IS!J6</f>
        <v>335.9682797570137</v>
      </c>
      <c r="K7">
        <f>Input!K19/365*IS!K6</f>
        <v>337.31215287604164</v>
      </c>
      <c r="L7">
        <f>Input!L19/365*IS!L6</f>
        <v>421.64019109505216</v>
      </c>
      <c r="M7">
        <f>Input!M19/365*IS!M6</f>
        <v>428.80807434366795</v>
      </c>
      <c r="N7">
        <f>Input!N19/365*IS!N6</f>
        <v>435.66900353316663</v>
      </c>
      <c r="O7">
        <f>Input!O19/365*IS!O6</f>
        <v>442.63970758969731</v>
      </c>
      <c r="P7">
        <f>Input!P19/365*IS!P6</f>
        <v>449.72194291113249</v>
      </c>
      <c r="Q7">
        <f>Input!Q19/365*IS!Q6</f>
        <v>456.91749399771055</v>
      </c>
    </row>
    <row r="8" spans="1:17" x14ac:dyDescent="0.45">
      <c r="B8" t="s">
        <v>57</v>
      </c>
      <c r="C8" s="61">
        <v>54.5</v>
      </c>
      <c r="D8" s="61">
        <v>58.5</v>
      </c>
      <c r="E8" s="61">
        <v>49.400000000000034</v>
      </c>
      <c r="F8" s="61">
        <v>53.099999999999966</v>
      </c>
      <c r="I8">
        <f>SUM(F8:H8)</f>
        <v>53.099999999999966</v>
      </c>
      <c r="J8">
        <f>Input!J21*IS!J5</f>
        <v>54.116587299999992</v>
      </c>
      <c r="K8">
        <f>Input!K21*IS!K5</f>
        <v>54.333053649199989</v>
      </c>
      <c r="L8">
        <f>Input!L21*IS!L5</f>
        <v>67.916317061499981</v>
      </c>
      <c r="M8">
        <f>Input!M21*IS!M5</f>
        <v>69.07089445154547</v>
      </c>
      <c r="N8">
        <f>Input!N21*IS!N5</f>
        <v>70.176028762770201</v>
      </c>
      <c r="O8">
        <f>Input!O21*IS!O5</f>
        <v>71.298845222974535</v>
      </c>
      <c r="P8">
        <f>Input!P21*IS!P5</f>
        <v>72.439626746542118</v>
      </c>
      <c r="Q8">
        <f>Input!Q21*IS!Q5</f>
        <v>73.598660774486802</v>
      </c>
    </row>
    <row r="9" spans="1:17" x14ac:dyDescent="0.45">
      <c r="B9" t="s">
        <v>58</v>
      </c>
      <c r="C9">
        <f t="shared" ref="C9:D9" si="1">SUM(C5:C8)</f>
        <v>459.5</v>
      </c>
      <c r="D9">
        <f t="shared" si="1"/>
        <v>470.5</v>
      </c>
      <c r="E9">
        <f>SUM(E5:E8)</f>
        <v>486.3</v>
      </c>
      <c r="F9">
        <f>SUM(F5:F8)</f>
        <v>459.7</v>
      </c>
      <c r="I9">
        <f>SUM(I5:I8)</f>
        <v>409.59999999999997</v>
      </c>
      <c r="J9">
        <f>SUM(J5:J8)</f>
        <v>-339.82580312153453</v>
      </c>
      <c r="K9">
        <f t="shared" ref="K9:Q9" si="2">SUM(K5:K8)</f>
        <v>-161.20132819022058</v>
      </c>
      <c r="L9">
        <f t="shared" si="2"/>
        <v>125.56097804715121</v>
      </c>
      <c r="M9">
        <f t="shared" si="2"/>
        <v>341.28778899959553</v>
      </c>
      <c r="N9">
        <f t="shared" si="2"/>
        <v>561.46379399676641</v>
      </c>
      <c r="O9">
        <f t="shared" si="2"/>
        <v>786.42146342222236</v>
      </c>
      <c r="P9">
        <f t="shared" si="2"/>
        <v>1016.1000894368484</v>
      </c>
      <c r="Q9">
        <f t="shared" si="2"/>
        <v>1250.4529492533297</v>
      </c>
    </row>
    <row r="11" spans="1:17" x14ac:dyDescent="0.45">
      <c r="B11" t="s">
        <v>59</v>
      </c>
      <c r="C11" s="61">
        <v>661.6</v>
      </c>
      <c r="D11" s="61">
        <v>692.1</v>
      </c>
      <c r="E11" s="61">
        <v>689.2</v>
      </c>
      <c r="F11" s="61">
        <v>675.3</v>
      </c>
      <c r="I11">
        <f>SUM(F11:H11)</f>
        <v>675.3</v>
      </c>
      <c r="J11">
        <f>Calc!J9</f>
        <v>681.69073339999989</v>
      </c>
      <c r="K11">
        <f>Calc!K9</f>
        <v>687.7048705929999</v>
      </c>
      <c r="L11">
        <f>Calc!L9</f>
        <v>713.14307361536294</v>
      </c>
      <c r="M11">
        <f>Calc!M9</f>
        <v>737.51527908487742</v>
      </c>
      <c r="N11">
        <f>Calc!N9</f>
        <v>760.86459096611225</v>
      </c>
      <c r="O11">
        <f>Calc!O9</f>
        <v>783.32864348911619</v>
      </c>
      <c r="P11">
        <f>Calc!P9</f>
        <v>805.03048697412567</v>
      </c>
      <c r="Q11">
        <f>Calc!Q9</f>
        <v>826.08018416927428</v>
      </c>
    </row>
    <row r="12" spans="1:17" x14ac:dyDescent="0.45">
      <c r="B12" t="s">
        <v>60</v>
      </c>
      <c r="C12" s="61">
        <v>864.9</v>
      </c>
      <c r="D12" s="61">
        <v>876.5</v>
      </c>
      <c r="E12" s="61">
        <v>892.8</v>
      </c>
      <c r="F12" s="61">
        <v>931.5</v>
      </c>
      <c r="I12">
        <f>SUM(F12:H12)</f>
        <v>931.5</v>
      </c>
      <c r="J12">
        <f>I12+IS!J13</f>
        <v>931.5</v>
      </c>
      <c r="K12">
        <f>J12+IS!K13</f>
        <v>931.5</v>
      </c>
      <c r="L12">
        <f>K12+IS!L13</f>
        <v>931.5</v>
      </c>
      <c r="M12">
        <f>L12+IS!M13</f>
        <v>931.5</v>
      </c>
      <c r="N12">
        <f>M12+IS!N13</f>
        <v>931.5</v>
      </c>
      <c r="O12">
        <f>N12+IS!O13</f>
        <v>931.5</v>
      </c>
      <c r="P12">
        <f>O12+IS!P13</f>
        <v>931.5</v>
      </c>
      <c r="Q12">
        <f>P12+IS!Q13</f>
        <v>931.5</v>
      </c>
    </row>
    <row r="13" spans="1:17" x14ac:dyDescent="0.45">
      <c r="B13" t="s">
        <v>79</v>
      </c>
      <c r="C13" s="61">
        <v>105.19999999999982</v>
      </c>
      <c r="D13" s="61">
        <v>93.700000000000159</v>
      </c>
      <c r="E13" s="61">
        <v>80.100000000000136</v>
      </c>
      <c r="F13" s="61">
        <v>76.099999999999909</v>
      </c>
      <c r="I13">
        <f>SUM(F13:H13)</f>
        <v>76.099999999999909</v>
      </c>
      <c r="J13">
        <f>Input!J23</f>
        <v>76.099999999999994</v>
      </c>
      <c r="K13">
        <f>Input!K23</f>
        <v>76.099999999999994</v>
      </c>
      <c r="L13">
        <f>Input!L23</f>
        <v>76.099999999999994</v>
      </c>
      <c r="M13">
        <f>Input!M23</f>
        <v>76.099999999999994</v>
      </c>
      <c r="N13">
        <f>Input!N23</f>
        <v>76.099999999999994</v>
      </c>
      <c r="O13">
        <f>Input!O23</f>
        <v>76.099999999999994</v>
      </c>
      <c r="P13">
        <f>Input!P23</f>
        <v>76.099999999999994</v>
      </c>
      <c r="Q13">
        <f>Input!Q23</f>
        <v>76.099999999999994</v>
      </c>
    </row>
    <row r="14" spans="1:17" x14ac:dyDescent="0.45">
      <c r="B14" t="s">
        <v>17</v>
      </c>
      <c r="C14" s="61">
        <v>0</v>
      </c>
      <c r="D14" s="61">
        <v>0</v>
      </c>
      <c r="E14" s="61">
        <v>0</v>
      </c>
      <c r="F14" s="61">
        <v>0</v>
      </c>
      <c r="G14">
        <f>-F14+LBO!H26</f>
        <v>633.79999999999859</v>
      </c>
      <c r="I14">
        <f>SUM(F14:H14)</f>
        <v>633.79999999999859</v>
      </c>
      <c r="J14">
        <f>I14</f>
        <v>633.79999999999859</v>
      </c>
      <c r="K14">
        <f t="shared" ref="K14:Q14" si="3">J14</f>
        <v>633.79999999999859</v>
      </c>
      <c r="L14">
        <f t="shared" si="3"/>
        <v>633.79999999999859</v>
      </c>
      <c r="M14">
        <f t="shared" si="3"/>
        <v>633.79999999999859</v>
      </c>
      <c r="N14">
        <f t="shared" si="3"/>
        <v>633.79999999999859</v>
      </c>
      <c r="O14">
        <f t="shared" si="3"/>
        <v>633.79999999999859</v>
      </c>
      <c r="P14">
        <f t="shared" si="3"/>
        <v>633.79999999999859</v>
      </c>
      <c r="Q14">
        <f t="shared" si="3"/>
        <v>633.79999999999859</v>
      </c>
    </row>
    <row r="15" spans="1:17" x14ac:dyDescent="0.45">
      <c r="B15" t="s">
        <v>61</v>
      </c>
      <c r="C15">
        <f>SUM(C9,C11:C14)</f>
        <v>2091.1999999999998</v>
      </c>
      <c r="D15">
        <f t="shared" ref="D15:F15" si="4">SUM(D9,D11:D14)</f>
        <v>2132.8000000000002</v>
      </c>
      <c r="E15">
        <f t="shared" si="4"/>
        <v>2148.4000000000005</v>
      </c>
      <c r="F15">
        <f t="shared" si="4"/>
        <v>2142.6</v>
      </c>
      <c r="I15">
        <f>SUM(I9,I11:I14)</f>
        <v>2726.2999999999984</v>
      </c>
      <c r="J15">
        <f>SUM(J9,J11:J14)</f>
        <v>1983.2649302784639</v>
      </c>
      <c r="K15">
        <f t="shared" ref="K15:Q15" si="5">SUM(K9,K11:K14)</f>
        <v>2167.9035424027779</v>
      </c>
      <c r="L15">
        <f t="shared" si="5"/>
        <v>2480.1040516625126</v>
      </c>
      <c r="M15">
        <f t="shared" si="5"/>
        <v>2720.2030680844719</v>
      </c>
      <c r="N15">
        <f t="shared" si="5"/>
        <v>2963.7283849628775</v>
      </c>
      <c r="O15">
        <f t="shared" si="5"/>
        <v>3211.1501069113374</v>
      </c>
      <c r="P15">
        <f t="shared" si="5"/>
        <v>3462.5305764109726</v>
      </c>
      <c r="Q15">
        <f t="shared" si="5"/>
        <v>3717.9331334226026</v>
      </c>
    </row>
    <row r="17" spans="2:17" x14ac:dyDescent="0.45">
      <c r="B17" t="s">
        <v>62</v>
      </c>
      <c r="C17" s="61">
        <v>163.4</v>
      </c>
      <c r="D17" s="61">
        <v>163.1</v>
      </c>
      <c r="E17" s="61">
        <v>202.1</v>
      </c>
      <c r="F17" s="61">
        <v>155.4</v>
      </c>
      <c r="H17" s="30">
        <f>-F17+LBO!G14</f>
        <v>-155.4</v>
      </c>
      <c r="I17">
        <f>SUM(F17:H17)</f>
        <v>0</v>
      </c>
    </row>
    <row r="18" spans="2:17" x14ac:dyDescent="0.45">
      <c r="B18" t="s">
        <v>63</v>
      </c>
      <c r="C18" s="61">
        <v>318.3</v>
      </c>
      <c r="D18" s="61">
        <v>345</v>
      </c>
      <c r="E18" s="61">
        <v>326.2</v>
      </c>
      <c r="F18" s="61">
        <v>326.7</v>
      </c>
      <c r="I18">
        <f>SUM(F18:H18)</f>
        <v>326.7</v>
      </c>
      <c r="J18">
        <f>Input!J25/365*IS!J6</f>
        <v>330.90343131846572</v>
      </c>
      <c r="K18">
        <f>Input!K25/365*IS!K6</f>
        <v>332.22704504373951</v>
      </c>
      <c r="L18">
        <f>Input!L25/365*IS!L6</f>
        <v>415.28380630467444</v>
      </c>
      <c r="M18">
        <f>Input!M25/365*IS!M6</f>
        <v>422.34363101185386</v>
      </c>
      <c r="N18">
        <f>Input!N25/365*IS!N6</f>
        <v>429.10112910804349</v>
      </c>
      <c r="O18">
        <f>Input!O25/365*IS!O6</f>
        <v>435.96674717377221</v>
      </c>
      <c r="P18">
        <f>Input!P25/365*IS!P6</f>
        <v>442.94221512855256</v>
      </c>
      <c r="Q18">
        <f>Input!Q25/365*IS!Q6</f>
        <v>450.02929057060936</v>
      </c>
    </row>
    <row r="19" spans="2:17" x14ac:dyDescent="0.45">
      <c r="B19" t="s">
        <v>64</v>
      </c>
      <c r="C19">
        <f>SUM(C17:C18)</f>
        <v>481.70000000000005</v>
      </c>
      <c r="D19">
        <f t="shared" ref="D19:F19" si="6">SUM(D17:D18)</f>
        <v>508.1</v>
      </c>
      <c r="E19">
        <f t="shared" si="6"/>
        <v>528.29999999999995</v>
      </c>
      <c r="F19">
        <f t="shared" si="6"/>
        <v>482.1</v>
      </c>
      <c r="I19">
        <f>SUM(I17:I18)</f>
        <v>326.7</v>
      </c>
      <c r="J19">
        <f>SUM(J17:J18)</f>
        <v>330.90343131846572</v>
      </c>
      <c r="K19">
        <f t="shared" ref="K19:Q19" si="7">SUM(K17:K18)</f>
        <v>332.22704504373951</v>
      </c>
      <c r="L19">
        <f t="shared" si="7"/>
        <v>415.28380630467444</v>
      </c>
      <c r="M19">
        <f t="shared" si="7"/>
        <v>422.34363101185386</v>
      </c>
      <c r="N19">
        <f t="shared" si="7"/>
        <v>429.10112910804349</v>
      </c>
      <c r="O19">
        <f t="shared" si="7"/>
        <v>435.96674717377221</v>
      </c>
      <c r="P19">
        <f t="shared" si="7"/>
        <v>442.94221512855256</v>
      </c>
      <c r="Q19">
        <f t="shared" si="7"/>
        <v>450.02929057060936</v>
      </c>
    </row>
    <row r="21" spans="2:17" x14ac:dyDescent="0.45">
      <c r="B21" t="s">
        <v>80</v>
      </c>
      <c r="C21" s="61">
        <v>249.3</v>
      </c>
      <c r="D21" s="61">
        <v>235.9</v>
      </c>
      <c r="E21" s="61">
        <v>223.79999999999998</v>
      </c>
      <c r="F21" s="61">
        <v>197.10000000000002</v>
      </c>
      <c r="H21">
        <f>-F21</f>
        <v>-197.10000000000002</v>
      </c>
      <c r="I21">
        <f t="shared" ref="I21:I27" si="8">SUM(F21:H21)</f>
        <v>0</v>
      </c>
      <c r="J21">
        <f>I21</f>
        <v>0</v>
      </c>
      <c r="K21">
        <f t="shared" ref="K21:Q21" si="9">J21</f>
        <v>0</v>
      </c>
      <c r="L21">
        <f t="shared" si="9"/>
        <v>0</v>
      </c>
      <c r="M21">
        <f t="shared" si="9"/>
        <v>0</v>
      </c>
      <c r="N21">
        <f t="shared" si="9"/>
        <v>0</v>
      </c>
      <c r="O21">
        <f t="shared" si="9"/>
        <v>0</v>
      </c>
      <c r="P21">
        <f t="shared" si="9"/>
        <v>0</v>
      </c>
      <c r="Q21">
        <f t="shared" si="9"/>
        <v>0</v>
      </c>
    </row>
    <row r="22" spans="2:17" x14ac:dyDescent="0.45">
      <c r="B22" t="str">
        <f>LBO!E15</f>
        <v>First Lien</v>
      </c>
      <c r="C22" s="61"/>
      <c r="D22" s="61"/>
      <c r="E22" s="61"/>
      <c r="F22" s="61"/>
      <c r="H22">
        <f>LBO!G15</f>
        <v>400</v>
      </c>
      <c r="I22">
        <f t="shared" si="8"/>
        <v>400</v>
      </c>
    </row>
    <row r="23" spans="2:17" x14ac:dyDescent="0.45">
      <c r="B23" t="str">
        <f>LBO!E16</f>
        <v>Second Lien</v>
      </c>
      <c r="C23" s="61"/>
      <c r="D23" s="61"/>
      <c r="E23" s="61"/>
      <c r="F23" s="61"/>
      <c r="H23">
        <f>LBO!G16</f>
        <v>511</v>
      </c>
      <c r="I23">
        <f t="shared" si="8"/>
        <v>511</v>
      </c>
    </row>
    <row r="24" spans="2:17" x14ac:dyDescent="0.45">
      <c r="B24" t="str">
        <f>LBO!E17</f>
        <v>Junior notes</v>
      </c>
      <c r="C24" s="61"/>
      <c r="D24" s="61"/>
      <c r="E24" s="61"/>
      <c r="F24" s="61"/>
      <c r="H24">
        <f>LBO!G17</f>
        <v>0</v>
      </c>
      <c r="I24">
        <f t="shared" si="8"/>
        <v>0</v>
      </c>
    </row>
    <row r="25" spans="2:17" x14ac:dyDescent="0.45">
      <c r="B25" t="str">
        <f>LBO!E18</f>
        <v>Mezzanine</v>
      </c>
      <c r="C25" s="61"/>
      <c r="D25" s="61"/>
      <c r="E25" s="61"/>
      <c r="F25" s="61"/>
      <c r="H25">
        <f>LBO!G18</f>
        <v>300</v>
      </c>
      <c r="I25">
        <f t="shared" si="8"/>
        <v>300</v>
      </c>
    </row>
    <row r="26" spans="2:17" x14ac:dyDescent="0.45">
      <c r="B26" t="str">
        <f>LBO!E19</f>
        <v>Prefs</v>
      </c>
      <c r="C26" s="61"/>
      <c r="D26" s="61"/>
      <c r="E26" s="61"/>
      <c r="F26" s="61"/>
      <c r="H26">
        <f>LBO!G19</f>
        <v>622.18499999999858</v>
      </c>
      <c r="I26">
        <f t="shared" si="8"/>
        <v>622.18499999999858</v>
      </c>
    </row>
    <row r="27" spans="2:17" x14ac:dyDescent="0.45">
      <c r="B27" t="s">
        <v>81</v>
      </c>
      <c r="C27" s="61">
        <v>699.2</v>
      </c>
      <c r="D27" s="61">
        <v>644.40000000000009</v>
      </c>
      <c r="E27" s="61">
        <v>628.90000000000009</v>
      </c>
      <c r="F27" s="61">
        <v>610.09999999999991</v>
      </c>
      <c r="I27">
        <f t="shared" si="8"/>
        <v>610.09999999999991</v>
      </c>
      <c r="J27">
        <f>Input!J26</f>
        <v>610.1</v>
      </c>
      <c r="K27">
        <f>Input!K26</f>
        <v>610.1</v>
      </c>
      <c r="L27">
        <f>Input!L26</f>
        <v>610.1</v>
      </c>
      <c r="M27">
        <f>Input!M26</f>
        <v>610.1</v>
      </c>
      <c r="N27">
        <f>Input!N26</f>
        <v>610.1</v>
      </c>
      <c r="O27">
        <f>Input!O26</f>
        <v>610.1</v>
      </c>
      <c r="P27">
        <f>Input!P26</f>
        <v>610.1</v>
      </c>
      <c r="Q27">
        <f>Input!Q26</f>
        <v>610.1</v>
      </c>
    </row>
    <row r="28" spans="2:17" x14ac:dyDescent="0.45">
      <c r="B28" t="s">
        <v>65</v>
      </c>
      <c r="C28">
        <f>SUM(C19,C21:C27)</f>
        <v>1430.2</v>
      </c>
      <c r="D28">
        <f>SUM(D19,D21:D27)</f>
        <v>1388.4</v>
      </c>
      <c r="E28">
        <f>SUM(E19,E21:E27)</f>
        <v>1381</v>
      </c>
      <c r="F28">
        <f>SUM(F19,F21:F27)</f>
        <v>1289.3</v>
      </c>
      <c r="I28">
        <f>SUM(I19,I21:I27)</f>
        <v>2769.9849999999983</v>
      </c>
      <c r="J28">
        <f>SUM(J19,J21:J27)</f>
        <v>941.0034313184658</v>
      </c>
      <c r="K28">
        <f t="shared" ref="K28:Q28" si="10">SUM(K19,K21:K27)</f>
        <v>942.32704504373953</v>
      </c>
      <c r="L28">
        <f t="shared" si="10"/>
        <v>1025.3838063046744</v>
      </c>
      <c r="M28">
        <f t="shared" si="10"/>
        <v>1032.443631011854</v>
      </c>
      <c r="N28">
        <f t="shared" si="10"/>
        <v>1039.2011291080435</v>
      </c>
      <c r="O28">
        <f t="shared" si="10"/>
        <v>1046.0667471737722</v>
      </c>
      <c r="P28">
        <f t="shared" si="10"/>
        <v>1053.0422151285525</v>
      </c>
      <c r="Q28">
        <f t="shared" si="10"/>
        <v>1060.1292905706093</v>
      </c>
    </row>
    <row r="30" spans="2:17" x14ac:dyDescent="0.45">
      <c r="B30" t="s">
        <v>41</v>
      </c>
      <c r="C30" s="61">
        <v>661</v>
      </c>
      <c r="D30" s="61">
        <v>744.4</v>
      </c>
      <c r="E30" s="61">
        <v>767.4</v>
      </c>
      <c r="F30" s="61">
        <v>853.3</v>
      </c>
      <c r="G30">
        <f>-F30-LBO!D16</f>
        <v>-906.9849999999999</v>
      </c>
      <c r="H30">
        <f>LBO!G20</f>
        <v>10</v>
      </c>
      <c r="I30">
        <f>SUM(F30:H30)</f>
        <v>-43.684999999999945</v>
      </c>
      <c r="J30">
        <f>Calc!J16</f>
        <v>120.07649895999998</v>
      </c>
      <c r="K30">
        <f>Calc!K16</f>
        <v>303.3914973590401</v>
      </c>
      <c r="L30">
        <f>Calc!L16</f>
        <v>532.53524535783993</v>
      </c>
      <c r="M30">
        <f>Calc!M16</f>
        <v>765.57443707261928</v>
      </c>
      <c r="N30">
        <f>Calc!N16</f>
        <v>1002.3422558548352</v>
      </c>
      <c r="O30">
        <f>Calc!O16</f>
        <v>1242.8983597375666</v>
      </c>
      <c r="P30">
        <f>Calc!P16</f>
        <v>1487.3033612824217</v>
      </c>
      <c r="Q30">
        <f>Calc!Q16</f>
        <v>1735.6188428519947</v>
      </c>
    </row>
    <row r="31" spans="2:17" x14ac:dyDescent="0.45">
      <c r="B31" t="s">
        <v>66</v>
      </c>
      <c r="C31">
        <f>SUM(C28,C30)</f>
        <v>2091.1999999999998</v>
      </c>
      <c r="D31">
        <f t="shared" ref="D31:F31" si="11">SUM(D28,D30)</f>
        <v>2132.8000000000002</v>
      </c>
      <c r="E31">
        <f t="shared" si="11"/>
        <v>2148.4</v>
      </c>
      <c r="F31">
        <f t="shared" si="11"/>
        <v>2142.6</v>
      </c>
      <c r="I31">
        <f>I28+I30</f>
        <v>2726.2999999999984</v>
      </c>
      <c r="J31">
        <f>J28+J30</f>
        <v>1061.0799302784658</v>
      </c>
      <c r="K31">
        <f t="shared" ref="K31:Q31" si="12">K28+K30</f>
        <v>1245.7185424027796</v>
      </c>
      <c r="L31">
        <f t="shared" si="12"/>
        <v>1557.9190516625144</v>
      </c>
      <c r="M31">
        <f t="shared" si="12"/>
        <v>1798.0180680844733</v>
      </c>
      <c r="N31">
        <f t="shared" si="12"/>
        <v>2041.5433849628787</v>
      </c>
      <c r="O31">
        <f t="shared" si="12"/>
        <v>2288.9651069113388</v>
      </c>
      <c r="P31">
        <f t="shared" si="12"/>
        <v>2540.345576410974</v>
      </c>
      <c r="Q31">
        <f t="shared" si="12"/>
        <v>2795.748133422604</v>
      </c>
    </row>
    <row r="33" spans="2:17" x14ac:dyDescent="0.45">
      <c r="B33" t="s">
        <v>67</v>
      </c>
      <c r="C33" s="66" t="str">
        <f>IF(C31=C15,"OK",C15-C31)</f>
        <v>OK</v>
      </c>
      <c r="D33" s="66" t="str">
        <f>IF(D31=D15,"OK",D15-D31)</f>
        <v>OK</v>
      </c>
      <c r="E33" s="66" t="str">
        <f>IF(E31=E15,"OK",E15-E31)</f>
        <v>OK</v>
      </c>
      <c r="F33" s="66" t="str">
        <f>IF(F31=F15,"OK",F15-F31)</f>
        <v>OK</v>
      </c>
      <c r="I33" s="66" t="str">
        <f>IF(ROUND(I31,3)=ROUND(I15,3),"OK",I15-I31)</f>
        <v>OK</v>
      </c>
      <c r="J33" s="66">
        <f t="shared" ref="J33:Q33" si="13">IF(ROUND(J31,3)=ROUND(J15,3),"OK",J15-J31)</f>
        <v>922.18499999999813</v>
      </c>
      <c r="K33" s="66">
        <f t="shared" si="13"/>
        <v>922.18499999999835</v>
      </c>
      <c r="L33" s="66">
        <f t="shared" si="13"/>
        <v>922.18499999999813</v>
      </c>
      <c r="M33" s="66">
        <f t="shared" si="13"/>
        <v>922.18499999999858</v>
      </c>
      <c r="N33" s="66">
        <f t="shared" si="13"/>
        <v>922.18499999999881</v>
      </c>
      <c r="O33" s="66">
        <f t="shared" si="13"/>
        <v>922.18499999999858</v>
      </c>
      <c r="P33" s="66">
        <f t="shared" si="13"/>
        <v>922.18499999999858</v>
      </c>
      <c r="Q33" s="66">
        <f t="shared" si="13"/>
        <v>922.18499999999858</v>
      </c>
    </row>
    <row r="38" spans="2:17" x14ac:dyDescent="0.45">
      <c r="G38" s="66"/>
      <c r="H38" s="66"/>
      <c r="I38" s="66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5"/>
  <sheetViews>
    <sheetView zoomScaleNormal="100" workbookViewId="0">
      <pane xSplit="2" ySplit="3" topLeftCell="C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4.25" x14ac:dyDescent="0.45"/>
  <cols>
    <col min="1" max="1" width="1.59765625" customWidth="1"/>
    <col min="2" max="2" width="20.59765625" customWidth="1"/>
    <col min="3" max="14" width="10.59765625" customWidth="1"/>
  </cols>
  <sheetData>
    <row r="1" spans="1:17" ht="28.5" x14ac:dyDescent="0.8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145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118</v>
      </c>
      <c r="H3" s="11" t="s">
        <v>119</v>
      </c>
      <c r="I3" s="11" t="s">
        <v>120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B5" t="str">
        <f>IS!B17</f>
        <v xml:space="preserve"> Adjusted EBITDA</v>
      </c>
      <c r="J5">
        <f>IS!J17</f>
        <v>278.30957369999987</v>
      </c>
      <c r="K5">
        <f>IS!K17</f>
        <v>303.44803793940014</v>
      </c>
      <c r="L5">
        <f>IS!L17</f>
        <v>361.38951589313677</v>
      </c>
      <c r="M5">
        <f>IS!M17</f>
        <v>369.03158466754877</v>
      </c>
      <c r="N5">
        <f>IS!N17</f>
        <v>376.34893889802157</v>
      </c>
      <c r="O5">
        <f>IS!O17</f>
        <v>383.62937026872049</v>
      </c>
      <c r="P5">
        <f>IS!P17</f>
        <v>390.88907407138254</v>
      </c>
      <c r="Q5">
        <f>IS!Q17</f>
        <v>398.14267504214587</v>
      </c>
    </row>
    <row r="6" spans="1:17" x14ac:dyDescent="0.45">
      <c r="B6" t="s">
        <v>149</v>
      </c>
      <c r="J6">
        <f>IF(Switch2=1,Debt!J63,0)</f>
        <v>0</v>
      </c>
      <c r="K6">
        <f>IF(Switch2=1,Debt!K63,0)</f>
        <v>0</v>
      </c>
      <c r="L6">
        <f>IF(Switch2=1,Debt!L63,0)</f>
        <v>0</v>
      </c>
      <c r="M6">
        <f>IF(Switch2=1,Debt!M63,0)</f>
        <v>0</v>
      </c>
      <c r="N6">
        <f>IF(Switch2=1,Debt!N63,0)</f>
        <v>0</v>
      </c>
      <c r="O6">
        <f>IF(Switch2=1,Debt!O63,0)</f>
        <v>0</v>
      </c>
      <c r="P6">
        <f>IF(Switch2=1,Debt!P63,0)</f>
        <v>0</v>
      </c>
      <c r="Q6">
        <f>IF(Switch2=1,Debt!Q63,0)</f>
        <v>0</v>
      </c>
    </row>
    <row r="7" spans="1:17" x14ac:dyDescent="0.45">
      <c r="B7" t="s">
        <v>150</v>
      </c>
      <c r="J7">
        <f>IS!J22</f>
        <v>-40.940374739999982</v>
      </c>
      <c r="K7">
        <f>IS!K22</f>
        <v>-45.828749599760037</v>
      </c>
      <c r="L7">
        <f>IS!L22</f>
        <v>-57.285936999699949</v>
      </c>
      <c r="M7">
        <f>IS!M22</f>
        <v>-58.259797928694859</v>
      </c>
      <c r="N7">
        <f>IS!N22</f>
        <v>-59.191954695553981</v>
      </c>
      <c r="O7">
        <f>IS!O22</f>
        <v>-60.139025970682852</v>
      </c>
      <c r="P7">
        <f>IS!P22</f>
        <v>-61.101250386213785</v>
      </c>
      <c r="Q7">
        <f>IS!Q22</f>
        <v>-62.078870392393235</v>
      </c>
    </row>
    <row r="8" spans="1:17" x14ac:dyDescent="0.45">
      <c r="B8" t="s">
        <v>68</v>
      </c>
      <c r="J8">
        <f>BS!I13-BS!J13</f>
        <v>0</v>
      </c>
      <c r="K8">
        <f>BS!J13-BS!K13</f>
        <v>0</v>
      </c>
      <c r="L8">
        <f>BS!K13-BS!L13</f>
        <v>0</v>
      </c>
      <c r="M8">
        <f>BS!L13-BS!M13</f>
        <v>0</v>
      </c>
      <c r="N8">
        <f>BS!M13-BS!N13</f>
        <v>0</v>
      </c>
      <c r="O8">
        <f>BS!N13-BS!O13</f>
        <v>0</v>
      </c>
      <c r="P8">
        <f>BS!O13-BS!P13</f>
        <v>0</v>
      </c>
      <c r="Q8">
        <f>BS!P13-BS!Q13</f>
        <v>0</v>
      </c>
    </row>
    <row r="9" spans="1:17" x14ac:dyDescent="0.45">
      <c r="B9" t="s">
        <v>69</v>
      </c>
      <c r="J9">
        <f>BS!J27-BS!I27</f>
        <v>0</v>
      </c>
      <c r="K9">
        <f>BS!K27-BS!J27</f>
        <v>0</v>
      </c>
      <c r="L9">
        <f>BS!L27-BS!K27</f>
        <v>0</v>
      </c>
      <c r="M9">
        <f>BS!M27-BS!L27</f>
        <v>0</v>
      </c>
      <c r="N9">
        <f>BS!N27-BS!M27</f>
        <v>0</v>
      </c>
      <c r="O9">
        <f>BS!O27-BS!N27</f>
        <v>0</v>
      </c>
      <c r="P9">
        <f>BS!P27-BS!O27</f>
        <v>0</v>
      </c>
      <c r="Q9">
        <f>BS!Q27-BS!P27</f>
        <v>0</v>
      </c>
    </row>
    <row r="10" spans="1:17" x14ac:dyDescent="0.45">
      <c r="B10" t="s">
        <v>70</v>
      </c>
      <c r="J10">
        <f>Calc!I23-Calc!J23</f>
        <v>-1.4219587248493895</v>
      </c>
      <c r="K10">
        <f>Calc!J23-Calc!K23</f>
        <v>-0.33728783489931402</v>
      </c>
      <c r="L10">
        <f>Calc!K23-Calc!L23</f>
        <v>-21.164811639937227</v>
      </c>
      <c r="M10">
        <f>Calc!L23-Calc!M23</f>
        <v>-1.7990089893946219</v>
      </c>
      <c r="N10">
        <f>Calc!M23-Calc!N23</f>
        <v>-1.7219690750252425</v>
      </c>
      <c r="O10">
        <f>Calc!N23-Calc!O23</f>
        <v>-1.7495205802258056</v>
      </c>
      <c r="P10">
        <f>Calc!O23-Calc!P23</f>
        <v>-1.7775129095092552</v>
      </c>
      <c r="Q10">
        <f>Calc!P23-Calc!Q23</f>
        <v>-1.8059531160614029</v>
      </c>
    </row>
    <row r="11" spans="1:17" x14ac:dyDescent="0.45">
      <c r="B11" t="s">
        <v>71</v>
      </c>
      <c r="J11">
        <f t="shared" ref="J11:Q11" si="1">SUM(J5:J10)</f>
        <v>235.9472402351505</v>
      </c>
      <c r="K11">
        <f t="shared" si="1"/>
        <v>257.28200050474078</v>
      </c>
      <c r="L11">
        <f t="shared" si="1"/>
        <v>282.93876725349958</v>
      </c>
      <c r="M11">
        <f t="shared" si="1"/>
        <v>308.97277774945928</v>
      </c>
      <c r="N11">
        <f t="shared" si="1"/>
        <v>315.43501512744234</v>
      </c>
      <c r="O11">
        <f t="shared" si="1"/>
        <v>321.74082371781185</v>
      </c>
      <c r="P11">
        <f t="shared" si="1"/>
        <v>328.01031077565949</v>
      </c>
      <c r="Q11">
        <f t="shared" si="1"/>
        <v>334.25785153369122</v>
      </c>
    </row>
    <row r="13" spans="1:17" x14ac:dyDescent="0.45">
      <c r="B13" t="s">
        <v>72</v>
      </c>
      <c r="J13">
        <f>-Calc!J7</f>
        <v>-79.998433399999996</v>
      </c>
      <c r="K13">
        <f>-Calc!K7</f>
        <v>-80.318427133599997</v>
      </c>
      <c r="L13">
        <f>-Calc!L7</f>
        <v>-100.39803391699998</v>
      </c>
      <c r="M13">
        <f>-Calc!M7</f>
        <v>-102.10480049358897</v>
      </c>
      <c r="N13">
        <f>-Calc!N7</f>
        <v>-103.7384773014864</v>
      </c>
      <c r="O13">
        <f>-Calc!O7</f>
        <v>-105.39829293831018</v>
      </c>
      <c r="P13">
        <f>-Calc!P7</f>
        <v>-107.08466562532315</v>
      </c>
      <c r="Q13">
        <f>-Calc!Q7</f>
        <v>-108.79802027532831</v>
      </c>
    </row>
    <row r="14" spans="1:17" x14ac:dyDescent="0.45">
      <c r="B14" t="s">
        <v>73</v>
      </c>
      <c r="J14">
        <f>J13</f>
        <v>-79.998433399999996</v>
      </c>
      <c r="K14">
        <f t="shared" ref="K14:Q14" si="2">K13</f>
        <v>-80.318427133599997</v>
      </c>
      <c r="L14">
        <f t="shared" si="2"/>
        <v>-100.39803391699998</v>
      </c>
      <c r="M14">
        <f t="shared" si="2"/>
        <v>-102.10480049358897</v>
      </c>
      <c r="N14">
        <f t="shared" si="2"/>
        <v>-103.7384773014864</v>
      </c>
      <c r="O14">
        <f t="shared" si="2"/>
        <v>-105.39829293831018</v>
      </c>
      <c r="P14">
        <f t="shared" si="2"/>
        <v>-107.08466562532315</v>
      </c>
      <c r="Q14">
        <f t="shared" si="2"/>
        <v>-108.79802027532831</v>
      </c>
    </row>
    <row r="16" spans="1:17" x14ac:dyDescent="0.45">
      <c r="B16" t="s">
        <v>74</v>
      </c>
      <c r="J16">
        <f>BS!J17-BS!I17</f>
        <v>0</v>
      </c>
      <c r="K16">
        <f>BS!K17-BS!J17</f>
        <v>0</v>
      </c>
      <c r="L16">
        <f>BS!L17-BS!K17</f>
        <v>0</v>
      </c>
      <c r="M16">
        <f>BS!M17-BS!L17</f>
        <v>0</v>
      </c>
      <c r="N16">
        <f>BS!N17-BS!M17</f>
        <v>0</v>
      </c>
      <c r="O16">
        <f>BS!O17-BS!N17</f>
        <v>0</v>
      </c>
      <c r="P16">
        <f>BS!P17-BS!O17</f>
        <v>0</v>
      </c>
      <c r="Q16">
        <f>BS!Q17-BS!P17</f>
        <v>0</v>
      </c>
    </row>
    <row r="17" spans="2:17" x14ac:dyDescent="0.45">
      <c r="B17" t="s">
        <v>86</v>
      </c>
      <c r="J17">
        <f>BS!J21-BS!I21</f>
        <v>0</v>
      </c>
      <c r="K17">
        <f>BS!K21-BS!J21</f>
        <v>0</v>
      </c>
      <c r="L17">
        <f>BS!L21-BS!K21</f>
        <v>0</v>
      </c>
      <c r="M17">
        <f>BS!M21-BS!L21</f>
        <v>0</v>
      </c>
      <c r="N17">
        <f>BS!N21-BS!M21</f>
        <v>0</v>
      </c>
      <c r="O17">
        <f>BS!O21-BS!N21</f>
        <v>0</v>
      </c>
      <c r="P17">
        <f>BS!P21-BS!O21</f>
        <v>0</v>
      </c>
      <c r="Q17">
        <f>BS!Q21-BS!P21</f>
        <v>0</v>
      </c>
    </row>
    <row r="18" spans="2:17" x14ac:dyDescent="0.45">
      <c r="B18" t="str">
        <f>"Inc (dec) in "&amp;BS!B22</f>
        <v>Inc (dec) in First Lien</v>
      </c>
      <c r="J18">
        <f>BS!J22-BS!I22</f>
        <v>-400</v>
      </c>
      <c r="K18">
        <f>BS!K22-BS!J22</f>
        <v>0</v>
      </c>
      <c r="L18">
        <f>BS!L22-BS!K22</f>
        <v>0</v>
      </c>
      <c r="M18">
        <f>BS!M22-BS!L22</f>
        <v>0</v>
      </c>
      <c r="N18">
        <f>BS!N22-BS!M22</f>
        <v>0</v>
      </c>
      <c r="O18">
        <f>BS!O22-BS!N22</f>
        <v>0</v>
      </c>
      <c r="P18">
        <f>BS!P22-BS!O22</f>
        <v>0</v>
      </c>
      <c r="Q18">
        <f>BS!Q22-BS!P22</f>
        <v>0</v>
      </c>
    </row>
    <row r="19" spans="2:17" x14ac:dyDescent="0.45">
      <c r="B19" t="str">
        <f>"Inc (dec) in "&amp;BS!B23</f>
        <v>Inc (dec) in Second Lien</v>
      </c>
      <c r="J19">
        <f>BS!J23-BS!I23</f>
        <v>-511</v>
      </c>
      <c r="K19">
        <f>BS!K23-BS!J23</f>
        <v>0</v>
      </c>
      <c r="L19">
        <f>BS!L23-BS!K23</f>
        <v>0</v>
      </c>
      <c r="M19">
        <f>BS!M23-BS!L23</f>
        <v>0</v>
      </c>
      <c r="N19">
        <f>BS!N23-BS!M23</f>
        <v>0</v>
      </c>
      <c r="O19">
        <f>BS!O23-BS!N23</f>
        <v>0</v>
      </c>
      <c r="P19">
        <f>BS!P23-BS!O23</f>
        <v>0</v>
      </c>
      <c r="Q19">
        <f>BS!Q23-BS!P23</f>
        <v>0</v>
      </c>
    </row>
    <row r="20" spans="2:17" x14ac:dyDescent="0.45">
      <c r="B20" t="str">
        <f>"Inc (dec) in "&amp;BS!B24</f>
        <v>Inc (dec) in Junior notes</v>
      </c>
      <c r="J20">
        <f>BS!J24-BS!I24</f>
        <v>0</v>
      </c>
      <c r="K20">
        <f>BS!K24-BS!J24</f>
        <v>0</v>
      </c>
      <c r="L20">
        <f>BS!L24-BS!K24</f>
        <v>0</v>
      </c>
      <c r="M20">
        <f>BS!M24-BS!L24</f>
        <v>0</v>
      </c>
      <c r="N20">
        <f>BS!N24-BS!M24</f>
        <v>0</v>
      </c>
      <c r="O20">
        <f>BS!O24-BS!N24</f>
        <v>0</v>
      </c>
      <c r="P20">
        <f>BS!P24-BS!O24</f>
        <v>0</v>
      </c>
      <c r="Q20">
        <f>BS!Q24-BS!P24</f>
        <v>0</v>
      </c>
    </row>
    <row r="21" spans="2:17" x14ac:dyDescent="0.45">
      <c r="B21" t="s">
        <v>75</v>
      </c>
      <c r="J21">
        <f t="shared" ref="J21:Q21" si="3">SUM(J16:J20)</f>
        <v>-911</v>
      </c>
      <c r="K21">
        <f t="shared" si="3"/>
        <v>0</v>
      </c>
      <c r="L21">
        <f t="shared" si="3"/>
        <v>0</v>
      </c>
      <c r="M21">
        <f t="shared" si="3"/>
        <v>0</v>
      </c>
      <c r="N21">
        <f t="shared" si="3"/>
        <v>0</v>
      </c>
      <c r="O21">
        <f t="shared" si="3"/>
        <v>0</v>
      </c>
      <c r="P21">
        <f t="shared" si="3"/>
        <v>0</v>
      </c>
      <c r="Q21">
        <f t="shared" si="3"/>
        <v>0</v>
      </c>
    </row>
    <row r="23" spans="2:17" x14ac:dyDescent="0.45">
      <c r="B23" t="s">
        <v>45</v>
      </c>
      <c r="J23">
        <f>I25</f>
        <v>0</v>
      </c>
      <c r="K23">
        <f t="shared" ref="K23:Q23" si="4">J25</f>
        <v>-755.05119316484956</v>
      </c>
      <c r="L23">
        <f t="shared" si="4"/>
        <v>-578.08761979370877</v>
      </c>
      <c r="M23">
        <f t="shared" si="4"/>
        <v>-395.54688645720915</v>
      </c>
      <c r="N23">
        <f t="shared" si="4"/>
        <v>-188.67890920133885</v>
      </c>
      <c r="O23">
        <f t="shared" si="4"/>
        <v>23.017628624617089</v>
      </c>
      <c r="P23">
        <f t="shared" si="4"/>
        <v>239.36015940411875</v>
      </c>
      <c r="Q23">
        <f t="shared" si="4"/>
        <v>460.28580455445507</v>
      </c>
    </row>
    <row r="24" spans="2:17" x14ac:dyDescent="0.45">
      <c r="B24" t="s">
        <v>76</v>
      </c>
      <c r="J24">
        <f t="shared" ref="J24:Q24" si="5">J11+J14+J21</f>
        <v>-755.05119316484956</v>
      </c>
      <c r="K24">
        <f t="shared" si="5"/>
        <v>176.9635733711408</v>
      </c>
      <c r="L24">
        <f t="shared" si="5"/>
        <v>182.54073333649961</v>
      </c>
      <c r="M24">
        <f t="shared" si="5"/>
        <v>206.8679772558703</v>
      </c>
      <c r="N24">
        <f t="shared" si="5"/>
        <v>211.69653782595594</v>
      </c>
      <c r="O24">
        <f t="shared" si="5"/>
        <v>216.34253077950166</v>
      </c>
      <c r="P24">
        <f t="shared" si="5"/>
        <v>220.92564515033632</v>
      </c>
      <c r="Q24">
        <f t="shared" si="5"/>
        <v>225.4598312583629</v>
      </c>
    </row>
    <row r="25" spans="2:17" x14ac:dyDescent="0.45">
      <c r="B25" t="s">
        <v>77</v>
      </c>
      <c r="I25">
        <f>BS!I5</f>
        <v>0</v>
      </c>
      <c r="J25">
        <f>SUM(J23:J24)</f>
        <v>-755.05119316484956</v>
      </c>
      <c r="K25">
        <f t="shared" ref="K25:Q25" si="6">SUM(K23:K24)</f>
        <v>-578.08761979370877</v>
      </c>
      <c r="L25">
        <f t="shared" si="6"/>
        <v>-395.54688645720915</v>
      </c>
      <c r="M25">
        <f t="shared" si="6"/>
        <v>-188.67890920133885</v>
      </c>
      <c r="N25">
        <f t="shared" si="6"/>
        <v>23.017628624617089</v>
      </c>
      <c r="O25">
        <f t="shared" si="6"/>
        <v>239.36015940411875</v>
      </c>
      <c r="P25">
        <f t="shared" si="6"/>
        <v>460.28580455445507</v>
      </c>
      <c r="Q25">
        <f t="shared" si="6"/>
        <v>685.74563581281791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74"/>
  <sheetViews>
    <sheetView zoomScaleNormal="100" workbookViewId="0">
      <pane xSplit="2" ySplit="3" topLeftCell="C4" activePane="bottomRight" state="frozen"/>
      <selection sqref="A1:N1"/>
      <selection pane="topRight" sqref="A1:N1"/>
      <selection pane="bottomLeft" sqref="A1:N1"/>
      <selection pane="bottomRight" activeCell="I52" sqref="I52"/>
    </sheetView>
  </sheetViews>
  <sheetFormatPr defaultRowHeight="14.25" x14ac:dyDescent="0.45"/>
  <cols>
    <col min="1" max="1" width="1.59765625" customWidth="1"/>
    <col min="2" max="2" width="20.59765625" customWidth="1"/>
    <col min="3" max="14" width="10.59765625" customWidth="1"/>
  </cols>
  <sheetData>
    <row r="1" spans="1:17" ht="28.5" x14ac:dyDescent="0.85">
      <c r="A1" s="5" t="str">
        <f>"Debenhams LBO - "&amp;TEXT(case,0)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6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65">
      <c r="A3" s="14" t="s">
        <v>80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118</v>
      </c>
      <c r="H3" s="11" t="s">
        <v>119</v>
      </c>
      <c r="I3" s="11" t="s">
        <v>120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45">
      <c r="A5" s="62" t="s">
        <v>148</v>
      </c>
    </row>
    <row r="6" spans="1:17" x14ac:dyDescent="0.45">
      <c r="B6" t="str">
        <f>BS!B22</f>
        <v>First Lien</v>
      </c>
      <c r="J6" s="73">
        <v>0.124</v>
      </c>
      <c r="K6" s="73">
        <v>0.13700000000000001</v>
      </c>
      <c r="L6" s="73">
        <v>0.112</v>
      </c>
      <c r="M6" s="73">
        <v>0.17799999999999999</v>
      </c>
      <c r="N6" s="73">
        <v>0.19800000000000001</v>
      </c>
      <c r="O6" s="73">
        <v>0.219</v>
      </c>
      <c r="P6" s="73">
        <v>3.2000000000000001E-2</v>
      </c>
      <c r="Q6" s="73">
        <v>0</v>
      </c>
    </row>
    <row r="7" spans="1:17" x14ac:dyDescent="0.45">
      <c r="B7" t="str">
        <f>BS!B23</f>
        <v>Second Lien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1</v>
      </c>
    </row>
    <row r="8" spans="1:17" x14ac:dyDescent="0.45">
      <c r="B8" t="str">
        <f>BS!B24</f>
        <v>Junior notes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</row>
    <row r="10" spans="1:17" x14ac:dyDescent="0.45">
      <c r="A10" s="62" t="s">
        <v>134</v>
      </c>
    </row>
    <row r="11" spans="1:17" x14ac:dyDescent="0.45">
      <c r="B11" t="s">
        <v>121</v>
      </c>
      <c r="J11">
        <f>BS!I5</f>
        <v>0</v>
      </c>
      <c r="K11">
        <f>BS!J5</f>
        <v>-755.05119316484956</v>
      </c>
      <c r="L11">
        <f>BS!K5</f>
        <v>-578.08761979370877</v>
      </c>
      <c r="M11">
        <f>BS!L5</f>
        <v>-395.54688645720915</v>
      </c>
      <c r="N11">
        <f>BS!M5</f>
        <v>-188.67890920133885</v>
      </c>
      <c r="O11">
        <f>BS!N5</f>
        <v>23.017628624617089</v>
      </c>
      <c r="P11">
        <f>BS!O5</f>
        <v>239.36015940411875</v>
      </c>
      <c r="Q11">
        <f>BS!P5</f>
        <v>460.28580455445507</v>
      </c>
    </row>
    <row r="12" spans="1:17" x14ac:dyDescent="0.45">
      <c r="B12" t="s">
        <v>122</v>
      </c>
      <c r="J12">
        <f>CFS!J11</f>
        <v>235.9472402351505</v>
      </c>
      <c r="K12">
        <f>CFS!K11</f>
        <v>257.28200050474078</v>
      </c>
      <c r="L12">
        <f>CFS!L11</f>
        <v>282.93876725349958</v>
      </c>
      <c r="M12">
        <f>CFS!M11</f>
        <v>308.97277774945928</v>
      </c>
      <c r="N12">
        <f>CFS!N11</f>
        <v>315.43501512744234</v>
      </c>
      <c r="O12">
        <f>CFS!O11</f>
        <v>321.74082371781185</v>
      </c>
      <c r="P12">
        <f>CFS!P11</f>
        <v>328.01031077565949</v>
      </c>
      <c r="Q12">
        <f>CFS!Q11</f>
        <v>334.25785153369122</v>
      </c>
    </row>
    <row r="13" spans="1:17" x14ac:dyDescent="0.45">
      <c r="B13" t="s">
        <v>123</v>
      </c>
      <c r="J13">
        <f>CFS!J14</f>
        <v>-79.998433399999996</v>
      </c>
      <c r="K13">
        <f>CFS!K14</f>
        <v>-80.318427133599997</v>
      </c>
      <c r="L13">
        <f>CFS!L14</f>
        <v>-100.39803391699998</v>
      </c>
      <c r="M13">
        <f>CFS!M14</f>
        <v>-102.10480049358897</v>
      </c>
      <c r="N13">
        <f>CFS!N14</f>
        <v>-103.7384773014864</v>
      </c>
      <c r="O13">
        <f>CFS!O14</f>
        <v>-105.39829293831018</v>
      </c>
      <c r="P13">
        <f>CFS!P14</f>
        <v>-107.08466562532315</v>
      </c>
      <c r="Q13">
        <f>CFS!Q14</f>
        <v>-108.79802027532831</v>
      </c>
    </row>
    <row r="14" spans="1:17" x14ac:dyDescent="0.45">
      <c r="B14" t="s">
        <v>125</v>
      </c>
      <c r="J14">
        <f>SUM(J11:J13)</f>
        <v>155.94880683515049</v>
      </c>
      <c r="K14">
        <f t="shared" ref="K14:Q14" si="1">SUM(K11:K13)</f>
        <v>-578.08761979370877</v>
      </c>
      <c r="L14">
        <f t="shared" si="1"/>
        <v>-395.54688645720915</v>
      </c>
      <c r="M14">
        <f t="shared" si="1"/>
        <v>-188.67890920133885</v>
      </c>
      <c r="N14">
        <f t="shared" si="1"/>
        <v>23.017628624617089</v>
      </c>
      <c r="O14">
        <f t="shared" si="1"/>
        <v>239.36015940411875</v>
      </c>
      <c r="P14">
        <f t="shared" si="1"/>
        <v>460.28580455445513</v>
      </c>
      <c r="Q14">
        <f t="shared" si="1"/>
        <v>685.74563581281791</v>
      </c>
    </row>
    <row r="16" spans="1:17" x14ac:dyDescent="0.45">
      <c r="B16" t="s">
        <v>126</v>
      </c>
    </row>
    <row r="17" spans="2:17" x14ac:dyDescent="0.45">
      <c r="B17" t="str">
        <f>B6</f>
        <v>First Lien</v>
      </c>
      <c r="J17">
        <f>J32</f>
        <v>-49.6</v>
      </c>
      <c r="K17">
        <f t="shared" ref="K17:Q17" si="2">K32</f>
        <v>-54.800000000000004</v>
      </c>
      <c r="L17">
        <f t="shared" si="2"/>
        <v>-44.800000000000004</v>
      </c>
      <c r="M17">
        <f t="shared" si="2"/>
        <v>-71.2</v>
      </c>
      <c r="N17">
        <f t="shared" si="2"/>
        <v>-79.2</v>
      </c>
      <c r="O17">
        <f t="shared" si="2"/>
        <v>-20.638394873637111</v>
      </c>
      <c r="P17">
        <f t="shared" si="2"/>
        <v>0</v>
      </c>
      <c r="Q17">
        <f t="shared" si="2"/>
        <v>0</v>
      </c>
    </row>
    <row r="18" spans="2:17" x14ac:dyDescent="0.45">
      <c r="B18" t="str">
        <f>B7</f>
        <v>Second Lien</v>
      </c>
      <c r="J18">
        <f>J41</f>
        <v>0</v>
      </c>
      <c r="K18">
        <f t="shared" ref="K18:Q18" si="3">K41</f>
        <v>0</v>
      </c>
      <c r="L18">
        <f t="shared" si="3"/>
        <v>0</v>
      </c>
      <c r="M18">
        <f t="shared" si="3"/>
        <v>0</v>
      </c>
      <c r="N18">
        <f t="shared" si="3"/>
        <v>0</v>
      </c>
      <c r="O18">
        <f t="shared" si="3"/>
        <v>0</v>
      </c>
      <c r="P18">
        <f t="shared" si="3"/>
        <v>0</v>
      </c>
      <c r="Q18">
        <f t="shared" si="3"/>
        <v>-511</v>
      </c>
    </row>
    <row r="19" spans="2:17" x14ac:dyDescent="0.45">
      <c r="B19" t="str">
        <f>B8</f>
        <v>Junior notes</v>
      </c>
      <c r="J19">
        <f>J48</f>
        <v>0</v>
      </c>
      <c r="K19">
        <f t="shared" ref="K19:Q19" si="4">K48</f>
        <v>0</v>
      </c>
      <c r="L19">
        <f t="shared" si="4"/>
        <v>0</v>
      </c>
      <c r="M19">
        <f t="shared" si="4"/>
        <v>0</v>
      </c>
      <c r="N19">
        <f t="shared" si="4"/>
        <v>0</v>
      </c>
      <c r="O19">
        <f t="shared" si="4"/>
        <v>0</v>
      </c>
      <c r="P19">
        <f t="shared" si="4"/>
        <v>0</v>
      </c>
      <c r="Q19">
        <f t="shared" si="4"/>
        <v>0</v>
      </c>
    </row>
    <row r="20" spans="2:17" x14ac:dyDescent="0.45">
      <c r="B20" t="s">
        <v>137</v>
      </c>
      <c r="J20">
        <f>SUM(J14,J17:J19)</f>
        <v>106.3488068351505</v>
      </c>
      <c r="K20">
        <f t="shared" ref="K20:Q20" si="5">SUM(K14,K17:K19)</f>
        <v>-632.88761979370872</v>
      </c>
      <c r="L20">
        <f t="shared" si="5"/>
        <v>-440.34688645720917</v>
      </c>
      <c r="M20">
        <f t="shared" si="5"/>
        <v>-259.87890920133884</v>
      </c>
      <c r="N20">
        <f t="shared" si="5"/>
        <v>-56.182371375382914</v>
      </c>
      <c r="O20">
        <f t="shared" si="5"/>
        <v>218.72176453048164</v>
      </c>
      <c r="P20">
        <f t="shared" si="5"/>
        <v>460.28580455445513</v>
      </c>
      <c r="Q20">
        <f t="shared" si="5"/>
        <v>174.74563581281791</v>
      </c>
    </row>
    <row r="22" spans="2:17" x14ac:dyDescent="0.45">
      <c r="B22" t="s">
        <v>62</v>
      </c>
    </row>
    <row r="23" spans="2:17" x14ac:dyDescent="0.45">
      <c r="B23" t="s">
        <v>38</v>
      </c>
      <c r="J23">
        <f>I25</f>
        <v>0</v>
      </c>
      <c r="K23">
        <f t="shared" ref="K23:Q23" si="6">J25</f>
        <v>0</v>
      </c>
      <c r="L23">
        <f t="shared" si="6"/>
        <v>632.88761979370872</v>
      </c>
      <c r="M23">
        <f t="shared" si="6"/>
        <v>1073.234506250918</v>
      </c>
      <c r="N23">
        <f t="shared" si="6"/>
        <v>1333.113415452257</v>
      </c>
      <c r="O23">
        <f t="shared" si="6"/>
        <v>1389.2957868276399</v>
      </c>
      <c r="P23">
        <f t="shared" si="6"/>
        <v>1170.5740222971583</v>
      </c>
      <c r="Q23">
        <f t="shared" si="6"/>
        <v>710.28821774270318</v>
      </c>
    </row>
    <row r="24" spans="2:17" x14ac:dyDescent="0.45">
      <c r="B24" t="s">
        <v>138</v>
      </c>
      <c r="J24">
        <f>-MIN(J23,J20)</f>
        <v>0</v>
      </c>
      <c r="K24">
        <f t="shared" ref="K24:Q24" si="7">-MIN(K23,K20)</f>
        <v>632.88761979370872</v>
      </c>
      <c r="L24">
        <f t="shared" si="7"/>
        <v>440.34688645720917</v>
      </c>
      <c r="M24">
        <f t="shared" si="7"/>
        <v>259.87890920133884</v>
      </c>
      <c r="N24">
        <f t="shared" si="7"/>
        <v>56.182371375382914</v>
      </c>
      <c r="O24">
        <f t="shared" si="7"/>
        <v>-218.72176453048164</v>
      </c>
      <c r="P24">
        <f t="shared" si="7"/>
        <v>-460.28580455445513</v>
      </c>
      <c r="Q24">
        <f t="shared" si="7"/>
        <v>-174.74563581281791</v>
      </c>
    </row>
    <row r="25" spans="2:17" x14ac:dyDescent="0.45">
      <c r="B25" t="s">
        <v>40</v>
      </c>
      <c r="I25">
        <f>BS!I17</f>
        <v>0</v>
      </c>
      <c r="J25">
        <f>SUM(J23:J24)</f>
        <v>0</v>
      </c>
      <c r="K25">
        <f t="shared" ref="K25:Q25" si="8">SUM(K23:K24)</f>
        <v>632.88761979370872</v>
      </c>
      <c r="L25">
        <f t="shared" si="8"/>
        <v>1073.234506250918</v>
      </c>
      <c r="M25">
        <f t="shared" si="8"/>
        <v>1333.113415452257</v>
      </c>
      <c r="N25">
        <f t="shared" si="8"/>
        <v>1389.2957868276399</v>
      </c>
      <c r="O25">
        <f t="shared" si="8"/>
        <v>1170.5740222971583</v>
      </c>
      <c r="P25">
        <f t="shared" si="8"/>
        <v>710.28821774270318</v>
      </c>
      <c r="Q25">
        <f t="shared" si="8"/>
        <v>535.54258192988527</v>
      </c>
    </row>
    <row r="26" spans="2:17" x14ac:dyDescent="0.45">
      <c r="B26" t="s">
        <v>51</v>
      </c>
      <c r="J26">
        <f>-LBO!$K$14*AVERAGE(Debt!I25:J25)</f>
        <v>0</v>
      </c>
      <c r="K26">
        <f>-LBO!$K$14*AVERAGE(Debt!J25:K25)</f>
        <v>-18.037297164120698</v>
      </c>
      <c r="L26">
        <f>-LBO!$K$14*AVERAGE(Debt!K25:L25)</f>
        <v>-48.624480592271865</v>
      </c>
      <c r="M26">
        <f>-LBO!$K$14*AVERAGE(Debt!L25:M25)</f>
        <v>-68.580915768540493</v>
      </c>
      <c r="N26">
        <f>-LBO!$K$14*AVERAGE(Debt!M25:N25)</f>
        <v>-77.58866226497706</v>
      </c>
      <c r="O26">
        <f>-LBO!$K$14*AVERAGE(Debt!N25:O25)</f>
        <v>-72.956289560056746</v>
      </c>
      <c r="P26">
        <f>-LBO!$K$14*AVERAGE(Debt!O25:P25)</f>
        <v>-53.604573841136052</v>
      </c>
      <c r="Q26">
        <f>-LBO!$K$14*AVERAGE(Debt!P25:Q25)</f>
        <v>-35.506177790668772</v>
      </c>
    </row>
    <row r="28" spans="2:17" x14ac:dyDescent="0.45">
      <c r="B28" t="s">
        <v>139</v>
      </c>
      <c r="J28">
        <f>(J20+J24)*LBO!$J$10</f>
        <v>79.761605126362866</v>
      </c>
      <c r="K28">
        <f>(K20+K24)*LBO!$J$10</f>
        <v>0</v>
      </c>
      <c r="L28">
        <f>(L20+L24)*LBO!$J$10</f>
        <v>0</v>
      </c>
      <c r="M28">
        <f>(M20+M24)*LBO!$J$10</f>
        <v>0</v>
      </c>
      <c r="N28">
        <f>(N20+N24)*LBO!$J$10</f>
        <v>0</v>
      </c>
      <c r="O28">
        <f>(O20+O24)*LBO!$J$10</f>
        <v>0</v>
      </c>
      <c r="P28">
        <f>(P20+P24)*LBO!$J$10</f>
        <v>0</v>
      </c>
      <c r="Q28">
        <f>(Q20+Q24)*LBO!$J$10</f>
        <v>0</v>
      </c>
    </row>
    <row r="30" spans="2:17" x14ac:dyDescent="0.45">
      <c r="B30" t="s">
        <v>102</v>
      </c>
    </row>
    <row r="31" spans="2:17" x14ac:dyDescent="0.45">
      <c r="B31" t="s">
        <v>127</v>
      </c>
      <c r="J31">
        <f>I34</f>
        <v>400</v>
      </c>
      <c r="K31">
        <f t="shared" ref="K31:Q31" si="9">J34</f>
        <v>270.63839487363714</v>
      </c>
      <c r="L31">
        <f t="shared" si="9"/>
        <v>215.83839487363713</v>
      </c>
      <c r="M31">
        <f t="shared" si="9"/>
        <v>171.03839487363712</v>
      </c>
      <c r="N31">
        <f t="shared" si="9"/>
        <v>99.838394873637114</v>
      </c>
      <c r="O31">
        <f t="shared" si="9"/>
        <v>20.638394873637111</v>
      </c>
      <c r="P31">
        <f t="shared" si="9"/>
        <v>0</v>
      </c>
      <c r="Q31">
        <f t="shared" si="9"/>
        <v>0</v>
      </c>
    </row>
    <row r="32" spans="2:17" x14ac:dyDescent="0.45">
      <c r="B32" t="s">
        <v>124</v>
      </c>
      <c r="J32">
        <f>-MIN($I$34*J6,J31)</f>
        <v>-49.6</v>
      </c>
      <c r="K32">
        <f t="shared" ref="K32:Q32" si="10">-MIN($I$34*K6,K31)</f>
        <v>-54.800000000000004</v>
      </c>
      <c r="L32">
        <f t="shared" si="10"/>
        <v>-44.800000000000004</v>
      </c>
      <c r="M32">
        <f t="shared" si="10"/>
        <v>-71.2</v>
      </c>
      <c r="N32">
        <f t="shared" si="10"/>
        <v>-79.2</v>
      </c>
      <c r="O32">
        <f t="shared" si="10"/>
        <v>-20.638394873637111</v>
      </c>
      <c r="P32">
        <f t="shared" si="10"/>
        <v>0</v>
      </c>
      <c r="Q32">
        <f t="shared" si="10"/>
        <v>0</v>
      </c>
    </row>
    <row r="33" spans="2:17" x14ac:dyDescent="0.45">
      <c r="B33" t="s">
        <v>128</v>
      </c>
      <c r="J33">
        <f>-MIN(J31+J32,J28)</f>
        <v>-79.761605126362866</v>
      </c>
      <c r="K33">
        <f t="shared" ref="K33:Q33" si="11">-MIN(K31+K32,K28)</f>
        <v>0</v>
      </c>
      <c r="L33">
        <f t="shared" si="11"/>
        <v>0</v>
      </c>
      <c r="M33">
        <f t="shared" si="11"/>
        <v>0</v>
      </c>
      <c r="N33">
        <f t="shared" si="11"/>
        <v>0</v>
      </c>
      <c r="O33">
        <f t="shared" si="11"/>
        <v>0</v>
      </c>
      <c r="P33">
        <f t="shared" si="11"/>
        <v>0</v>
      </c>
      <c r="Q33">
        <f t="shared" si="11"/>
        <v>0</v>
      </c>
    </row>
    <row r="34" spans="2:17" x14ac:dyDescent="0.45">
      <c r="B34" t="s">
        <v>129</v>
      </c>
      <c r="I34">
        <f>BS!H22</f>
        <v>400</v>
      </c>
      <c r="J34">
        <f>SUM(J31:J33)</f>
        <v>270.63839487363714</v>
      </c>
      <c r="K34">
        <f t="shared" ref="K34:Q34" si="12">SUM(K31:K33)</f>
        <v>215.83839487363713</v>
      </c>
      <c r="L34">
        <f t="shared" si="12"/>
        <v>171.03839487363712</v>
      </c>
      <c r="M34">
        <f t="shared" si="12"/>
        <v>99.838394873637114</v>
      </c>
      <c r="N34">
        <f t="shared" si="12"/>
        <v>20.638394873637111</v>
      </c>
      <c r="O34">
        <f t="shared" si="12"/>
        <v>0</v>
      </c>
      <c r="P34">
        <f t="shared" si="12"/>
        <v>0</v>
      </c>
      <c r="Q34">
        <f t="shared" si="12"/>
        <v>0</v>
      </c>
    </row>
    <row r="35" spans="2:17" x14ac:dyDescent="0.45">
      <c r="B35" t="s">
        <v>51</v>
      </c>
      <c r="J35">
        <f>-LBO!$K$15*AVERAGE(Debt!I34:J34)</f>
        <v>-19.113194253898659</v>
      </c>
      <c r="K35">
        <f>-LBO!$K$15*AVERAGE(Debt!J34:K34)</f>
        <v>-13.864588507797317</v>
      </c>
      <c r="L35">
        <f>-LBO!$K$15*AVERAGE(Debt!K34:L34)</f>
        <v>-11.025988507797317</v>
      </c>
      <c r="M35">
        <f>-LBO!$K$15*AVERAGE(Debt!L34:M34)</f>
        <v>-7.719988507797316</v>
      </c>
      <c r="N35">
        <f>-LBO!$K$15*AVERAGE(Debt!M34:N34)</f>
        <v>-3.4335885077973156</v>
      </c>
      <c r="O35">
        <f>-LBO!$K$15*AVERAGE(Debt!N34:O34)</f>
        <v>-0.58819425389865765</v>
      </c>
      <c r="P35">
        <f>-LBO!$K$15*AVERAGE(Debt!O34:P34)</f>
        <v>0</v>
      </c>
      <c r="Q35">
        <f>-LBO!$K$15*AVERAGE(Debt!P34:Q34)</f>
        <v>0</v>
      </c>
    </row>
    <row r="36" spans="2:17" x14ac:dyDescent="0.45">
      <c r="J36" s="60"/>
      <c r="K36" s="60"/>
      <c r="L36" s="60"/>
      <c r="M36" s="60"/>
      <c r="N36" s="60"/>
      <c r="O36" s="60"/>
      <c r="P36" s="60"/>
      <c r="Q36" s="60"/>
    </row>
    <row r="37" spans="2:17" x14ac:dyDescent="0.45">
      <c r="B37" t="s">
        <v>130</v>
      </c>
      <c r="J37">
        <f>J28+J33</f>
        <v>0</v>
      </c>
      <c r="K37">
        <f t="shared" ref="K37:Q37" si="13">K28+K33</f>
        <v>0</v>
      </c>
      <c r="L37">
        <f t="shared" si="13"/>
        <v>0</v>
      </c>
      <c r="M37">
        <f t="shared" si="13"/>
        <v>0</v>
      </c>
      <c r="N37">
        <f t="shared" si="13"/>
        <v>0</v>
      </c>
      <c r="O37">
        <f t="shared" si="13"/>
        <v>0</v>
      </c>
      <c r="P37">
        <f t="shared" si="13"/>
        <v>0</v>
      </c>
      <c r="Q37">
        <f t="shared" si="13"/>
        <v>0</v>
      </c>
    </row>
    <row r="39" spans="2:17" x14ac:dyDescent="0.45">
      <c r="B39" t="s">
        <v>103</v>
      </c>
    </row>
    <row r="40" spans="2:17" x14ac:dyDescent="0.45">
      <c r="B40" t="s">
        <v>127</v>
      </c>
      <c r="J40">
        <f>I43</f>
        <v>511</v>
      </c>
      <c r="K40">
        <f t="shared" ref="K40:Q40" si="14">J43</f>
        <v>511</v>
      </c>
      <c r="L40">
        <f t="shared" si="14"/>
        <v>511</v>
      </c>
      <c r="M40">
        <f t="shared" si="14"/>
        <v>511</v>
      </c>
      <c r="N40">
        <f t="shared" si="14"/>
        <v>511</v>
      </c>
      <c r="O40">
        <f t="shared" si="14"/>
        <v>511</v>
      </c>
      <c r="P40">
        <f t="shared" si="14"/>
        <v>511</v>
      </c>
      <c r="Q40">
        <f t="shared" si="14"/>
        <v>511</v>
      </c>
    </row>
    <row r="41" spans="2:17" x14ac:dyDescent="0.45">
      <c r="B41" t="s">
        <v>124</v>
      </c>
      <c r="J41">
        <f>-MIN($I$43*J7,J40)</f>
        <v>0</v>
      </c>
      <c r="K41">
        <f t="shared" ref="K41:Q41" si="15">-MIN($I$43*K7,K40)</f>
        <v>0</v>
      </c>
      <c r="L41">
        <f t="shared" si="15"/>
        <v>0</v>
      </c>
      <c r="M41">
        <f t="shared" si="15"/>
        <v>0</v>
      </c>
      <c r="N41">
        <f t="shared" si="15"/>
        <v>0</v>
      </c>
      <c r="O41">
        <f t="shared" si="15"/>
        <v>0</v>
      </c>
      <c r="P41">
        <f t="shared" si="15"/>
        <v>0</v>
      </c>
      <c r="Q41">
        <f t="shared" si="15"/>
        <v>-511</v>
      </c>
    </row>
    <row r="42" spans="2:17" x14ac:dyDescent="0.45">
      <c r="B42" t="s">
        <v>128</v>
      </c>
      <c r="J42">
        <f>-MIN(J40+J41,J37)</f>
        <v>0</v>
      </c>
      <c r="K42">
        <f t="shared" ref="K42:Q42" si="16">-MIN(K40+K41,K37)</f>
        <v>0</v>
      </c>
      <c r="L42">
        <f t="shared" si="16"/>
        <v>0</v>
      </c>
      <c r="M42">
        <f t="shared" si="16"/>
        <v>0</v>
      </c>
      <c r="N42">
        <f t="shared" si="16"/>
        <v>0</v>
      </c>
      <c r="O42">
        <f t="shared" si="16"/>
        <v>0</v>
      </c>
      <c r="P42">
        <f t="shared" si="16"/>
        <v>0</v>
      </c>
      <c r="Q42">
        <f t="shared" si="16"/>
        <v>0</v>
      </c>
    </row>
    <row r="43" spans="2:17" x14ac:dyDescent="0.45">
      <c r="B43" t="s">
        <v>129</v>
      </c>
      <c r="I43">
        <f>BS!H23</f>
        <v>511</v>
      </c>
      <c r="J43">
        <f>SUM(J40:J42)</f>
        <v>511</v>
      </c>
      <c r="K43">
        <f t="shared" ref="K43:Q43" si="17">SUM(K40:K42)</f>
        <v>511</v>
      </c>
      <c r="L43">
        <f t="shared" si="17"/>
        <v>511</v>
      </c>
      <c r="M43">
        <f t="shared" si="17"/>
        <v>511</v>
      </c>
      <c r="N43">
        <f t="shared" si="17"/>
        <v>511</v>
      </c>
      <c r="O43">
        <f t="shared" si="17"/>
        <v>511</v>
      </c>
      <c r="P43">
        <f t="shared" si="17"/>
        <v>511</v>
      </c>
      <c r="Q43">
        <f t="shared" si="17"/>
        <v>0</v>
      </c>
    </row>
    <row r="44" spans="2:17" x14ac:dyDescent="0.45">
      <c r="B44" t="s">
        <v>51</v>
      </c>
      <c r="J44">
        <f>-LBO!$K$16*AVERAGE(Debt!I43:J43)</f>
        <v>-49.567</v>
      </c>
      <c r="K44">
        <f>-LBO!$K$16*AVERAGE(Debt!J43:K43)</f>
        <v>-49.567</v>
      </c>
      <c r="L44">
        <f>-LBO!$K$16*AVERAGE(Debt!K43:L43)</f>
        <v>-49.567</v>
      </c>
      <c r="M44">
        <f>-LBO!$K$16*AVERAGE(Debt!L43:M43)</f>
        <v>-49.567</v>
      </c>
      <c r="N44">
        <f>-LBO!$K$16*AVERAGE(Debt!M43:N43)</f>
        <v>-49.567</v>
      </c>
      <c r="O44">
        <f>-LBO!$K$16*AVERAGE(Debt!N43:O43)</f>
        <v>-49.567</v>
      </c>
      <c r="P44">
        <f>-LBO!$K$16*AVERAGE(Debt!O43:P43)</f>
        <v>-49.567</v>
      </c>
      <c r="Q44">
        <f>-LBO!$K$16*AVERAGE(Debt!P43:Q43)</f>
        <v>-24.7835</v>
      </c>
    </row>
    <row r="46" spans="2:17" x14ac:dyDescent="0.45">
      <c r="B46" t="s">
        <v>104</v>
      </c>
    </row>
    <row r="47" spans="2:17" x14ac:dyDescent="0.45">
      <c r="B47" t="s">
        <v>38</v>
      </c>
      <c r="J47">
        <f>I49</f>
        <v>0</v>
      </c>
      <c r="K47">
        <f t="shared" ref="K47:Q47" si="18">J49</f>
        <v>0</v>
      </c>
      <c r="L47">
        <f t="shared" si="18"/>
        <v>0</v>
      </c>
      <c r="M47">
        <f t="shared" si="18"/>
        <v>0</v>
      </c>
      <c r="N47">
        <f t="shared" si="18"/>
        <v>0</v>
      </c>
      <c r="O47">
        <f t="shared" si="18"/>
        <v>0</v>
      </c>
      <c r="P47">
        <f t="shared" si="18"/>
        <v>0</v>
      </c>
      <c r="Q47">
        <f t="shared" si="18"/>
        <v>0</v>
      </c>
    </row>
    <row r="48" spans="2:17" x14ac:dyDescent="0.45">
      <c r="B48" t="s">
        <v>131</v>
      </c>
      <c r="J48">
        <f>-$I$49*J8</f>
        <v>0</v>
      </c>
      <c r="K48">
        <f t="shared" ref="K48:Q48" si="19">-$I$49*K8</f>
        <v>0</v>
      </c>
      <c r="L48">
        <f t="shared" si="19"/>
        <v>0</v>
      </c>
      <c r="M48">
        <f t="shared" si="19"/>
        <v>0</v>
      </c>
      <c r="N48">
        <f t="shared" si="19"/>
        <v>0</v>
      </c>
      <c r="O48">
        <f t="shared" si="19"/>
        <v>0</v>
      </c>
      <c r="P48">
        <f t="shared" si="19"/>
        <v>0</v>
      </c>
      <c r="Q48">
        <f t="shared" si="19"/>
        <v>0</v>
      </c>
    </row>
    <row r="49" spans="2:17" x14ac:dyDescent="0.45">
      <c r="B49" t="s">
        <v>40</v>
      </c>
      <c r="I49">
        <f>BS!H24</f>
        <v>0</v>
      </c>
      <c r="J49">
        <f>SUM(J47:J48)</f>
        <v>0</v>
      </c>
      <c r="K49">
        <f t="shared" ref="K49:Q49" si="20">SUM(K47:K48)</f>
        <v>0</v>
      </c>
      <c r="L49">
        <f t="shared" si="20"/>
        <v>0</v>
      </c>
      <c r="M49">
        <f t="shared" si="20"/>
        <v>0</v>
      </c>
      <c r="N49">
        <f t="shared" si="20"/>
        <v>0</v>
      </c>
      <c r="O49">
        <f t="shared" si="20"/>
        <v>0</v>
      </c>
      <c r="P49">
        <f t="shared" si="20"/>
        <v>0</v>
      </c>
      <c r="Q49">
        <f t="shared" si="20"/>
        <v>0</v>
      </c>
    </row>
    <row r="50" spans="2:17" x14ac:dyDescent="0.45">
      <c r="B50" t="s">
        <v>51</v>
      </c>
      <c r="J50">
        <f>-LBO!$K$17*AVERAGE(Debt!I49:J49)</f>
        <v>0</v>
      </c>
      <c r="K50">
        <f>-LBO!$K$17*AVERAGE(Debt!J49:K49)</f>
        <v>0</v>
      </c>
      <c r="L50">
        <f>-LBO!$K$17*AVERAGE(Debt!K49:L49)</f>
        <v>0</v>
      </c>
      <c r="M50">
        <f>-LBO!$K$17*AVERAGE(Debt!L49:M49)</f>
        <v>0</v>
      </c>
      <c r="N50">
        <f>-LBO!$K$17*AVERAGE(Debt!M49:N49)</f>
        <v>0</v>
      </c>
      <c r="O50">
        <f>-LBO!$K$17*AVERAGE(Debt!N49:O49)</f>
        <v>0</v>
      </c>
      <c r="P50">
        <f>-LBO!$K$17*AVERAGE(Debt!O49:P49)</f>
        <v>0</v>
      </c>
      <c r="Q50">
        <f>-LBO!$K$17*AVERAGE(Debt!P49:Q49)</f>
        <v>0</v>
      </c>
    </row>
    <row r="52" spans="2:17" x14ac:dyDescent="0.45">
      <c r="B52" t="s">
        <v>113</v>
      </c>
    </row>
    <row r="53" spans="2:17" x14ac:dyDescent="0.45">
      <c r="B53" t="s">
        <v>132</v>
      </c>
    </row>
    <row r="54" spans="2:17" x14ac:dyDescent="0.45">
      <c r="B54" t="s">
        <v>133</v>
      </c>
    </row>
    <row r="55" spans="2:17" x14ac:dyDescent="0.45">
      <c r="B55" t="s">
        <v>40</v>
      </c>
    </row>
    <row r="57" spans="2:17" x14ac:dyDescent="0.45">
      <c r="B57" t="s">
        <v>135</v>
      </c>
    </row>
    <row r="58" spans="2:17" x14ac:dyDescent="0.45">
      <c r="B58" t="s">
        <v>38</v>
      </c>
    </row>
    <row r="59" spans="2:17" x14ac:dyDescent="0.45">
      <c r="B59" t="s">
        <v>136</v>
      </c>
    </row>
    <row r="60" spans="2:17" x14ac:dyDescent="0.45">
      <c r="B60" t="s">
        <v>40</v>
      </c>
    </row>
    <row r="62" spans="2:17" x14ac:dyDescent="0.45">
      <c r="B62" t="s">
        <v>140</v>
      </c>
    </row>
    <row r="63" spans="2:17" x14ac:dyDescent="0.45">
      <c r="B63" t="s">
        <v>141</v>
      </c>
    </row>
    <row r="65" spans="1:17" x14ac:dyDescent="0.45">
      <c r="A65" s="62" t="s">
        <v>151</v>
      </c>
    </row>
    <row r="66" spans="1:17" x14ac:dyDescent="0.45">
      <c r="B66" t="s">
        <v>152</v>
      </c>
      <c r="J66">
        <f>CFS!J5</f>
        <v>278.30957369999987</v>
      </c>
      <c r="K66">
        <f>CFS!K5</f>
        <v>303.44803793940014</v>
      </c>
      <c r="L66">
        <f>CFS!L5</f>
        <v>361.38951589313677</v>
      </c>
      <c r="M66">
        <f>CFS!M5</f>
        <v>369.03158466754877</v>
      </c>
      <c r="N66">
        <f>CFS!N5</f>
        <v>376.34893889802157</v>
      </c>
      <c r="O66">
        <f>CFS!O5</f>
        <v>383.62937026872049</v>
      </c>
      <c r="P66">
        <f>CFS!P5</f>
        <v>390.88907407138254</v>
      </c>
      <c r="Q66">
        <f>CFS!Q5</f>
        <v>398.14267504214587</v>
      </c>
    </row>
    <row r="67" spans="1:17" x14ac:dyDescent="0.45">
      <c r="B67" t="s">
        <v>153</v>
      </c>
      <c r="J67">
        <f>J66+CFS!J13</f>
        <v>198.31114029999986</v>
      </c>
      <c r="K67">
        <f>K66+CFS!K13</f>
        <v>223.12961080580016</v>
      </c>
      <c r="L67">
        <f>L66+CFS!L13</f>
        <v>260.99148197613681</v>
      </c>
      <c r="M67">
        <f>M66+CFS!M13</f>
        <v>266.92678417395979</v>
      </c>
      <c r="N67">
        <f>N66+CFS!N13</f>
        <v>272.61046159653517</v>
      </c>
      <c r="O67">
        <f>O66+CFS!O13</f>
        <v>278.2310773304103</v>
      </c>
      <c r="P67">
        <f>P66+CFS!P13</f>
        <v>283.80440844605937</v>
      </c>
      <c r="Q67">
        <f>Q66+CFS!Q13</f>
        <v>289.34465476681754</v>
      </c>
    </row>
    <row r="68" spans="1:17" x14ac:dyDescent="0.45">
      <c r="B68" t="s">
        <v>154</v>
      </c>
      <c r="I68">
        <f>SUM(I25,I34,I43,I49,I55)</f>
        <v>911</v>
      </c>
      <c r="J68">
        <f>SUM(J25,J34,J43,J49,J55)</f>
        <v>781.63839487363714</v>
      </c>
      <c r="K68">
        <f t="shared" ref="K68:Q68" si="21">SUM(K25,K34,K43,K49,K55)</f>
        <v>1359.7260146673459</v>
      </c>
      <c r="L68">
        <f t="shared" si="21"/>
        <v>1755.2729011245551</v>
      </c>
      <c r="M68">
        <f t="shared" si="21"/>
        <v>1943.951810325894</v>
      </c>
      <c r="N68">
        <f t="shared" si="21"/>
        <v>1920.9341817012769</v>
      </c>
      <c r="O68">
        <f t="shared" si="21"/>
        <v>1681.5740222971583</v>
      </c>
      <c r="P68">
        <f t="shared" si="21"/>
        <v>1221.2882177427032</v>
      </c>
      <c r="Q68">
        <f t="shared" si="21"/>
        <v>535.54258192988527</v>
      </c>
    </row>
    <row r="70" spans="1:17" x14ac:dyDescent="0.45">
      <c r="B70" t="s">
        <v>155</v>
      </c>
      <c r="J70" s="67">
        <f>J68/J66</f>
        <v>2.80852140471529</v>
      </c>
      <c r="K70" s="67">
        <f t="shared" ref="K70:Q70" si="22">K68/K66</f>
        <v>4.4809187889324527</v>
      </c>
      <c r="L70" s="67">
        <f t="shared" si="22"/>
        <v>4.8570111304601076</v>
      </c>
      <c r="M70" s="67">
        <f t="shared" si="22"/>
        <v>5.2677111962574994</v>
      </c>
      <c r="N70" s="67">
        <f t="shared" si="22"/>
        <v>5.1041307232748387</v>
      </c>
      <c r="O70" s="67">
        <f t="shared" si="22"/>
        <v>4.3833297255610741</v>
      </c>
      <c r="P70" s="67">
        <f t="shared" si="22"/>
        <v>3.1243856601621887</v>
      </c>
      <c r="Q70" s="67">
        <f t="shared" si="22"/>
        <v>1.3451021844699134</v>
      </c>
    </row>
    <row r="71" spans="1:17" x14ac:dyDescent="0.45">
      <c r="B71" t="s">
        <v>156</v>
      </c>
      <c r="J71" s="67">
        <f>J68/J67</f>
        <v>3.9414749655072083</v>
      </c>
      <c r="K71" s="67">
        <f t="shared" ref="K71:Q71" si="23">K68/K67</f>
        <v>6.0938842216274791</v>
      </c>
      <c r="L71" s="67">
        <f t="shared" si="23"/>
        <v>6.7254030201837951</v>
      </c>
      <c r="M71" s="67">
        <f t="shared" si="23"/>
        <v>7.2827154320302094</v>
      </c>
      <c r="N71" s="67">
        <f t="shared" si="23"/>
        <v>7.0464433773061463</v>
      </c>
      <c r="O71" s="67">
        <f t="shared" si="23"/>
        <v>6.0438037275764964</v>
      </c>
      <c r="P71" s="67">
        <f t="shared" si="23"/>
        <v>4.3032743022905668</v>
      </c>
      <c r="Q71" s="67">
        <f t="shared" si="23"/>
        <v>1.8508812003507662</v>
      </c>
    </row>
    <row r="72" spans="1:17" x14ac:dyDescent="0.45">
      <c r="B72" t="s">
        <v>157</v>
      </c>
      <c r="J72" s="67" t="e">
        <f>J66/-J63</f>
        <v>#DIV/0!</v>
      </c>
      <c r="K72" s="67" t="e">
        <f t="shared" ref="K72:Q72" si="24">K66/-K63</f>
        <v>#DIV/0!</v>
      </c>
      <c r="L72" s="67" t="e">
        <f t="shared" si="24"/>
        <v>#DIV/0!</v>
      </c>
      <c r="M72" s="67" t="e">
        <f t="shared" si="24"/>
        <v>#DIV/0!</v>
      </c>
      <c r="N72" s="67" t="e">
        <f t="shared" si="24"/>
        <v>#DIV/0!</v>
      </c>
      <c r="O72" s="67" t="e">
        <f t="shared" si="24"/>
        <v>#DIV/0!</v>
      </c>
      <c r="P72" s="67" t="e">
        <f t="shared" si="24"/>
        <v>#DIV/0!</v>
      </c>
      <c r="Q72" s="67" t="e">
        <f t="shared" si="24"/>
        <v>#DIV/0!</v>
      </c>
    </row>
    <row r="73" spans="1:17" x14ac:dyDescent="0.45">
      <c r="B73" t="s">
        <v>159</v>
      </c>
      <c r="J73" s="67" t="e">
        <f>J67/-J63</f>
        <v>#DIV/0!</v>
      </c>
      <c r="K73" s="67" t="e">
        <f t="shared" ref="K73:Q73" si="25">K67/-K63</f>
        <v>#DIV/0!</v>
      </c>
      <c r="L73" s="67" t="e">
        <f t="shared" si="25"/>
        <v>#DIV/0!</v>
      </c>
      <c r="M73" s="67" t="e">
        <f t="shared" si="25"/>
        <v>#DIV/0!</v>
      </c>
      <c r="N73" s="67" t="e">
        <f t="shared" si="25"/>
        <v>#DIV/0!</v>
      </c>
      <c r="O73" s="67" t="e">
        <f t="shared" si="25"/>
        <v>#DIV/0!</v>
      </c>
      <c r="P73" s="67" t="e">
        <f t="shared" si="25"/>
        <v>#DIV/0!</v>
      </c>
      <c r="Q73" s="67" t="e">
        <f t="shared" si="25"/>
        <v>#DIV/0!</v>
      </c>
    </row>
    <row r="74" spans="1:17" x14ac:dyDescent="0.45">
      <c r="B74" t="s">
        <v>158</v>
      </c>
      <c r="J74" s="65">
        <f>1-J68/$I$68</f>
        <v>0.14199956654924573</v>
      </c>
      <c r="K74" s="65">
        <f t="shared" ref="K74:P74" si="26">1-K68/$I$68</f>
        <v>-0.49256423124845883</v>
      </c>
      <c r="L74" s="65">
        <f t="shared" si="26"/>
        <v>-0.92675400782058737</v>
      </c>
      <c r="M74" s="65">
        <f t="shared" si="26"/>
        <v>-1.1338658730251305</v>
      </c>
      <c r="N74" s="65">
        <f t="shared" si="26"/>
        <v>-1.1085995408356495</v>
      </c>
      <c r="O74" s="65">
        <f t="shared" si="26"/>
        <v>-0.8458551287564855</v>
      </c>
      <c r="P74" s="65">
        <f t="shared" si="26"/>
        <v>-0.34060177578781903</v>
      </c>
      <c r="Q74" s="65">
        <f>1-Q68/$I$68</f>
        <v>0.41213767076851238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3D5420-8BB9-4B32-A12E-9179454040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C9EB56-CD20-49B4-A32C-5DB84F1421DA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A3594475-9988-4CFD-A4A4-29D1685E9C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Welcome</vt:lpstr>
      <vt:lpstr>Info</vt:lpstr>
      <vt:lpstr>LBO</vt:lpstr>
      <vt:lpstr>Input</vt:lpstr>
      <vt:lpstr>Calc</vt:lpstr>
      <vt:lpstr>IS</vt:lpstr>
      <vt:lpstr>BS</vt:lpstr>
      <vt:lpstr>CFS</vt:lpstr>
      <vt:lpstr>Debt</vt:lpstr>
      <vt:lpstr>case</vt:lpstr>
      <vt:lpstr>date</vt:lpstr>
      <vt:lpstr>switch</vt:lpstr>
      <vt:lpstr>Switch2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 training</dc:creator>
  <cp:lastModifiedBy>Phil Sparks</cp:lastModifiedBy>
  <cp:lastPrinted>2016-08-02T18:28:31Z</cp:lastPrinted>
  <dcterms:created xsi:type="dcterms:W3CDTF">2016-02-03T14:06:14Z</dcterms:created>
  <dcterms:modified xsi:type="dcterms:W3CDTF">2025-11-27T15:29:50Z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