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maria_weber_fe_training/Documents/Maria Weber/General prep DONT DELETE/DCF_Andrea_KDP_USE THIS/KDP Update Nov 25/"/>
    </mc:Choice>
  </mc:AlternateContent>
  <xr:revisionPtr revIDLastSave="51" documentId="8_{9AE4732E-BBBB-42AB-9C8D-F880405E2172}" xr6:coauthVersionLast="47" xr6:coauthVersionMax="47" xr10:uidLastSave="{A6AB4F15-D2EF-4E09-A9B3-F1A57156CF92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DCF" sheetId="9" r:id="rId3"/>
    <sheet name="Discount Date" sheetId="10" r:id="rId4"/>
  </sheets>
  <definedNames>
    <definedName name="g">DCF!$E$40</definedName>
    <definedName name="_xlnm.Print_Area" localSheetId="2">DCF!$A$1:$K$311</definedName>
    <definedName name="_xlnm.Print_Area" localSheetId="3">'Discount Date'!$A$1:$K$314</definedName>
    <definedName name="ROIC">DCF!$E$39</definedName>
    <definedName name="WACC">DCF!$E$36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3" i="10" l="1"/>
  <c r="G45" i="9"/>
  <c r="E30" i="10"/>
  <c r="E22" i="10"/>
  <c r="E16" i="10"/>
  <c r="D16" i="10"/>
  <c r="E13" i="10"/>
  <c r="E30" i="9"/>
  <c r="E22" i="9"/>
  <c r="E16" i="9"/>
  <c r="D16" i="9"/>
  <c r="E13" i="9"/>
  <c r="D79" i="9" l="1"/>
  <c r="D80" i="9" s="1"/>
  <c r="D77" i="9"/>
  <c r="D76" i="9" s="1"/>
  <c r="D70" i="9"/>
  <c r="D71" i="9" s="1"/>
  <c r="D68" i="9"/>
  <c r="D67" i="9" s="1"/>
  <c r="E36" i="10"/>
  <c r="E19" i="10"/>
  <c r="E17" i="10" s="1"/>
  <c r="H75" i="9"/>
  <c r="I75" i="9" s="1"/>
  <c r="F75" i="9"/>
  <c r="E75" i="9" s="1"/>
  <c r="F66" i="9"/>
  <c r="E66" i="9" s="1"/>
  <c r="H66" i="9"/>
  <c r="I66" i="9" s="1"/>
  <c r="E19" i="9" l="1"/>
  <c r="E17" i="9" s="1"/>
  <c r="E64" i="10" l="1"/>
  <c r="A2" i="9"/>
  <c r="A2" i="10" s="1"/>
  <c r="H45" i="9"/>
  <c r="I45" i="9" s="1"/>
  <c r="J45" i="9" l="1"/>
  <c r="K45" i="9" l="1"/>
  <c r="L45" i="9" l="1"/>
  <c r="M45" i="9" l="1"/>
  <c r="F64" i="10" l="1"/>
  <c r="F62" i="10"/>
  <c r="F60" i="10"/>
  <c r="F59" i="10"/>
  <c r="F58" i="10"/>
  <c r="E12" i="10"/>
  <c r="E9" i="10"/>
  <c r="E8" i="10"/>
  <c r="E7" i="10"/>
  <c r="E2" i="10"/>
  <c r="F2" i="10" s="1"/>
  <c r="A1" i="10"/>
  <c r="F61" i="9"/>
  <c r="F59" i="9"/>
  <c r="F57" i="9"/>
  <c r="F56" i="9"/>
  <c r="F55" i="9"/>
  <c r="F27" i="10"/>
  <c r="E2" i="9"/>
  <c r="F2" i="9" s="1"/>
  <c r="G2" i="9" s="1"/>
  <c r="H2" i="9" s="1"/>
  <c r="I2" i="9" s="1"/>
  <c r="J2" i="9" s="1"/>
  <c r="K2" i="9" s="1"/>
  <c r="L2" i="9" s="1"/>
  <c r="M2" i="9" s="1"/>
  <c r="G16" i="10"/>
  <c r="E10" i="9"/>
  <c r="E9" i="9"/>
  <c r="E8" i="9"/>
  <c r="E7" i="9"/>
  <c r="A1" i="9"/>
  <c r="G2" i="10" l="1"/>
  <c r="F16" i="10"/>
  <c r="F13" i="10" s="1"/>
  <c r="E10" i="10"/>
  <c r="D2" i="10"/>
  <c r="C2" i="10" s="1"/>
  <c r="G13" i="10"/>
  <c r="D2" i="9"/>
  <c r="C2" i="9" s="1"/>
  <c r="F24" i="10"/>
  <c r="H16" i="10"/>
  <c r="G13" i="9"/>
  <c r="G24" i="10"/>
  <c r="F13" i="9"/>
  <c r="E12" i="9"/>
  <c r="F34" i="10" l="1"/>
  <c r="H2" i="10"/>
  <c r="F17" i="10"/>
  <c r="G17" i="10"/>
  <c r="H13" i="10"/>
  <c r="H13" i="9"/>
  <c r="H24" i="10"/>
  <c r="I16" i="10"/>
  <c r="I2" i="10" l="1"/>
  <c r="H17" i="10"/>
  <c r="H23" i="10"/>
  <c r="H29" i="10" s="1"/>
  <c r="F23" i="10"/>
  <c r="F29" i="10" s="1"/>
  <c r="G23" i="10"/>
  <c r="G29" i="10" s="1"/>
  <c r="G19" i="10"/>
  <c r="G22" i="10"/>
  <c r="G28" i="10" s="1"/>
  <c r="F22" i="10"/>
  <c r="F28" i="10" s="1"/>
  <c r="I13" i="10"/>
  <c r="I24" i="10"/>
  <c r="I13" i="9"/>
  <c r="J16" i="10"/>
  <c r="J2" i="10" l="1"/>
  <c r="I17" i="10"/>
  <c r="F30" i="10"/>
  <c r="G34" i="10" s="1"/>
  <c r="H22" i="10"/>
  <c r="H28" i="10" s="1"/>
  <c r="F19" i="10"/>
  <c r="I23" i="10"/>
  <c r="I29" i="10" s="1"/>
  <c r="J13" i="10"/>
  <c r="J24" i="10"/>
  <c r="K16" i="10"/>
  <c r="J13" i="9"/>
  <c r="K2" i="10" l="1"/>
  <c r="J17" i="10"/>
  <c r="F20" i="10"/>
  <c r="F21" i="10" s="1"/>
  <c r="G27" i="10"/>
  <c r="G30" i="10" s="1"/>
  <c r="H34" i="10" s="1"/>
  <c r="J23" i="10"/>
  <c r="J29" i="10" s="1"/>
  <c r="I22" i="10"/>
  <c r="I28" i="10" s="1"/>
  <c r="H19" i="10"/>
  <c r="G20" i="10"/>
  <c r="G21" i="10" s="1"/>
  <c r="K13" i="10"/>
  <c r="L16" i="10"/>
  <c r="K13" i="9"/>
  <c r="K24" i="10"/>
  <c r="L2" i="10" l="1"/>
  <c r="K17" i="10"/>
  <c r="G33" i="10"/>
  <c r="G32" i="10"/>
  <c r="G25" i="10"/>
  <c r="F33" i="10"/>
  <c r="F25" i="10"/>
  <c r="F32" i="10"/>
  <c r="J22" i="10"/>
  <c r="J28" i="10" s="1"/>
  <c r="H27" i="10"/>
  <c r="H30" i="10" s="1"/>
  <c r="I34" i="10" s="1"/>
  <c r="H20" i="10"/>
  <c r="H21" i="10" s="1"/>
  <c r="I19" i="10"/>
  <c r="L13" i="10"/>
  <c r="M16" i="10"/>
  <c r="L13" i="9"/>
  <c r="L24" i="10"/>
  <c r="M2" i="10" l="1"/>
  <c r="L17" i="10"/>
  <c r="I27" i="10"/>
  <c r="I30" i="10" s="1"/>
  <c r="J34" i="10" s="1"/>
  <c r="H33" i="10"/>
  <c r="H32" i="10"/>
  <c r="H25" i="10"/>
  <c r="I20" i="10"/>
  <c r="I21" i="10" s="1"/>
  <c r="K23" i="10"/>
  <c r="K29" i="10" s="1"/>
  <c r="J19" i="10"/>
  <c r="K19" i="10"/>
  <c r="K22" i="10"/>
  <c r="K28" i="10" s="1"/>
  <c r="M13" i="10"/>
  <c r="M24" i="10"/>
  <c r="M13" i="9"/>
  <c r="M17" i="10" l="1"/>
  <c r="J27" i="10"/>
  <c r="J30" i="10" s="1"/>
  <c r="K34" i="10" s="1"/>
  <c r="K20" i="10"/>
  <c r="K21" i="10" s="1"/>
  <c r="K33" i="10" s="1"/>
  <c r="L22" i="10"/>
  <c r="L28" i="10" s="1"/>
  <c r="L23" i="10"/>
  <c r="L29" i="10" s="1"/>
  <c r="J20" i="10"/>
  <c r="J21" i="10" s="1"/>
  <c r="M23" i="10"/>
  <c r="M29" i="10" s="1"/>
  <c r="I33" i="10"/>
  <c r="I25" i="10"/>
  <c r="I32" i="10"/>
  <c r="K25" i="10" l="1"/>
  <c r="K32" i="10"/>
  <c r="K27" i="10"/>
  <c r="K30" i="10" s="1"/>
  <c r="L34" i="10" s="1"/>
  <c r="L19" i="10"/>
  <c r="J32" i="10"/>
  <c r="J25" i="10"/>
  <c r="J33" i="10"/>
  <c r="M22" i="10"/>
  <c r="M28" i="10" s="1"/>
  <c r="L27" i="10" l="1"/>
  <c r="L30" i="10" s="1"/>
  <c r="M34" i="10" s="1"/>
  <c r="M19" i="10"/>
  <c r="L20" i="10"/>
  <c r="L21" i="10" s="1"/>
  <c r="L33" i="10" l="1"/>
  <c r="L32" i="10"/>
  <c r="L25" i="10"/>
  <c r="M27" i="10"/>
  <c r="M30" i="10" s="1"/>
  <c r="M20" i="10"/>
  <c r="M21" i="10" s="1"/>
  <c r="M33" i="10" l="1"/>
  <c r="M25" i="10"/>
  <c r="M32" i="10"/>
  <c r="M42" i="10"/>
  <c r="F54" i="10" s="1"/>
  <c r="M41" i="10" l="1"/>
  <c r="E54" i="10" s="1"/>
  <c r="E55" i="10" l="1"/>
  <c r="E61" i="10" s="1"/>
  <c r="E63" i="10" s="1"/>
  <c r="E65" i="10" s="1"/>
  <c r="F53" i="10"/>
  <c r="F55" i="10" s="1"/>
  <c r="F61" i="10" s="1"/>
  <c r="F63" i="10" s="1"/>
  <c r="F65" i="10" s="1"/>
  <c r="A7" i="1" l="1"/>
  <c r="A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Ward</author>
    <author>Maria Weber</author>
  </authors>
  <commentList>
    <comment ref="F7" authorId="0" shapeId="0" xr:uid="{639FF9D1-A59E-4891-A3AB-96B100BEEE2B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G7" authorId="0" shapeId="0" xr:uid="{528AECE2-4D2E-4F91-AC83-EFCC506EA645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H7" authorId="0" shapeId="0" xr:uid="{E193C0DD-7378-4E7A-B005-BC3B9E028DD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F8" authorId="0" shapeId="0" xr:uid="{E17B78C1-20C6-4479-B848-AD31801A7823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G8" authorId="0" shapeId="0" xr:uid="{6E743960-6A97-4408-AC12-1C8B66327524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H8" authorId="0" shapeId="0" xr:uid="{7C3E270C-860F-4A1D-BAC0-1EE535B19AFB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E13" authorId="1" shapeId="0" xr:uid="{989F59B1-1C43-4CFA-9139-E06F3E09CC1D}">
      <text>
        <r>
          <rPr>
            <b/>
            <sz val="9"/>
            <color indexed="81"/>
            <rFont val="Tahoma"/>
            <charset val="1"/>
          </rPr>
          <t>FE:</t>
        </r>
        <r>
          <rPr>
            <sz val="9"/>
            <color indexed="81"/>
            <rFont val="Tahoma"/>
            <charset val="1"/>
          </rPr>
          <t xml:space="preserve">
10K</t>
        </r>
      </text>
    </comment>
    <comment ref="D16" authorId="0" shapeId="0" xr:uid="{FA99EF55-D0B7-4BCA-BF58-FF824FA920E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16" authorId="0" shapeId="0" xr:uid="{5FCAB8B8-0004-497D-8910-787AAF69B2ED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19" authorId="0" shapeId="0" xr:uid="{5BAA33BF-D4FF-4978-94D8-2D3733583EFF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 Press Release Adjusted Number</t>
        </r>
      </text>
    </comment>
    <comment ref="E22" authorId="0" shapeId="0" xr:uid="{5FB73E99-B0DB-465F-9D30-D5F40AB91C59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24" authorId="0" shapeId="0" xr:uid="{F83389CB-7095-4DC1-A44C-083C24604434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30" authorId="0" shapeId="0" xr:uid="{2A03C9E1-C32A-4817-9F0B-E554B60961E6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36" authorId="0" shapeId="0" xr:uid="{D20412BD-7C68-4581-99DF-910251F906B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</t>
        </r>
      </text>
    </comment>
    <comment ref="E55" authorId="0" shapeId="0" xr:uid="{B7D69646-D142-4F5F-8E8F-4C121AA9FE57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
</t>
        </r>
      </text>
    </comment>
    <comment ref="E56" authorId="0" shapeId="0" xr:uid="{9AA31810-57F8-4F44-AA8F-A39F1D75C3BB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
</t>
        </r>
      </text>
    </comment>
    <comment ref="E57" authorId="0" shapeId="0" xr:uid="{DE9DA39A-BC4E-4FDD-AC05-A6B5D2E022A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
</t>
        </r>
      </text>
    </comment>
    <comment ref="E59" authorId="0" shapeId="0" xr:uid="{867BB739-F9AA-4E5B-ADD9-B38216CE3AE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
</t>
        </r>
      </text>
    </comment>
    <comment ref="E61" authorId="0" shapeId="0" xr:uid="{5A6F7B0E-3CFD-457F-B463-0950FA41A614}">
      <text>
        <r>
          <rPr>
            <b/>
            <sz val="9"/>
            <color indexed="81"/>
            <rFont val="Tahoma"/>
            <family val="2"/>
          </rPr>
          <t>FE</t>
        </r>
        <r>
          <rPr>
            <sz val="9"/>
            <color indexed="81"/>
            <rFont val="Tahoma"/>
            <family val="2"/>
          </rPr>
          <t xml:space="preserve">
Felix as of 20 Nov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Ward</author>
    <author>Maria Weber</author>
  </authors>
  <commentList>
    <comment ref="F7" authorId="0" shapeId="0" xr:uid="{BCE4F9EA-302D-4A9C-92D8-D4523C1687EB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G7" authorId="0" shapeId="0" xr:uid="{72EE6CE1-E4C4-43C3-B0C9-8CD88071D055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H7" authorId="0" shapeId="0" xr:uid="{931AC494-E268-4063-8F63-3F2923C95D86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F8" authorId="0" shapeId="0" xr:uid="{4B0EF989-AC8F-492C-BC48-F532A42B5C54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G8" authorId="0" shapeId="0" xr:uid="{7F946918-286E-4BDF-A19B-28871F27F576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H8" authorId="0" shapeId="0" xr:uid="{54AAA021-3401-4991-8A4B-A363C0573CA3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 - consensus forecasts</t>
        </r>
      </text>
    </comment>
    <comment ref="E13" authorId="1" shapeId="0" xr:uid="{60713F57-F224-4794-94E2-8BA7E607A25F}">
      <text>
        <r>
          <rPr>
            <b/>
            <sz val="9"/>
            <color indexed="81"/>
            <rFont val="Tahoma"/>
            <charset val="1"/>
          </rPr>
          <t>FE:</t>
        </r>
        <r>
          <rPr>
            <sz val="9"/>
            <color indexed="81"/>
            <rFont val="Tahoma"/>
            <charset val="1"/>
          </rPr>
          <t xml:space="preserve">
10K</t>
        </r>
      </text>
    </comment>
    <comment ref="D16" authorId="0" shapeId="0" xr:uid="{CEFD5FD0-B3C7-40DC-B233-CF4C52D5D9AB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16" authorId="0" shapeId="0" xr:uid="{90DAEA0A-C3D7-4C35-9A52-8FC16D7AC962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19" authorId="0" shapeId="0" xr:uid="{6F70D6A2-F92C-4658-977B-E5886B0E7770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 Press Release Adjusted Number</t>
        </r>
      </text>
    </comment>
    <comment ref="E22" authorId="0" shapeId="0" xr:uid="{48D9FD19-2A2D-468E-AF83-F34202960CD4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24" authorId="0" shapeId="0" xr:uid="{99278A94-784B-476D-8E39-CE08E51723DE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30" authorId="0" shapeId="0" xr:uid="{9CCA711B-17CC-4DDA-8002-D8E0A02F697E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10K</t>
        </r>
      </text>
    </comment>
    <comment ref="E58" authorId="0" shapeId="0" xr:uid="{25E99D12-A896-4840-BBBF-D94C8920F396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
</t>
        </r>
      </text>
    </comment>
    <comment ref="E59" authorId="0" shapeId="0" xr:uid="{66192458-985A-4C2E-81E5-053D36A37BD7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
</t>
        </r>
      </text>
    </comment>
    <comment ref="E60" authorId="0" shapeId="0" xr:uid="{6EE70D70-444D-4AEB-9D5E-3CF4CD623DE3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
</t>
        </r>
      </text>
    </comment>
    <comment ref="E62" authorId="0" shapeId="0" xr:uid="{F9EDE33C-7625-4736-BA5E-8138B8124F2F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Felix
</t>
        </r>
      </text>
    </comment>
  </commentList>
</comments>
</file>

<file path=xl/sharedStrings.xml><?xml version="1.0" encoding="utf-8"?>
<sst xmlns="http://schemas.openxmlformats.org/spreadsheetml/2006/main" count="161" uniqueCount="84">
  <si>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</si>
  <si>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</si>
  <si>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</si>
  <si>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</si>
  <si>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</si>
  <si>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</si>
  <si>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</si>
  <si>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</si>
  <si>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</si>
  <si>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</si>
  <si>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</si>
  <si>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</si>
  <si>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</si>
  <si>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</si>
  <si>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</si>
  <si>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</si>
  <si>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</si>
  <si>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Advanced Valuation</t>
  </si>
  <si>
    <t>Valuation date</t>
  </si>
  <si>
    <t>Long term growth rate</t>
  </si>
  <si>
    <t>WACC</t>
  </si>
  <si>
    <t>Discount factor</t>
  </si>
  <si>
    <t>Terminal value</t>
  </si>
  <si>
    <t>Enterprise value</t>
  </si>
  <si>
    <t>Equity value</t>
  </si>
  <si>
    <t>Mid-year valuation date</t>
  </si>
  <si>
    <t>Long term ROIC</t>
  </si>
  <si>
    <t>Value driver formula</t>
  </si>
  <si>
    <t>NOPAT</t>
  </si>
  <si>
    <t>Free cash flow</t>
  </si>
  <si>
    <t>EBIT</t>
  </si>
  <si>
    <t>Tax on EBIT</t>
  </si>
  <si>
    <t>Total debt</t>
  </si>
  <si>
    <t>Discounting</t>
  </si>
  <si>
    <t>Year</t>
  </si>
  <si>
    <t>Present value of free cash flows</t>
  </si>
  <si>
    <t>Sum of present value of free cash flows</t>
  </si>
  <si>
    <t>Present value of terminal value</t>
  </si>
  <si>
    <t>Cash and cash equivalents</t>
  </si>
  <si>
    <t>Hist.</t>
  </si>
  <si>
    <t>Proj.</t>
  </si>
  <si>
    <t>Sales</t>
  </si>
  <si>
    <t>EBITDA</t>
  </si>
  <si>
    <t>Assumptions</t>
  </si>
  <si>
    <t>EBITDA margin</t>
  </si>
  <si>
    <t>Capex % sales</t>
  </si>
  <si>
    <t>Effective Tax Rate</t>
  </si>
  <si>
    <t>OWC % Sales</t>
  </si>
  <si>
    <t>Sales growth</t>
  </si>
  <si>
    <t>Capex/D&amp;A</t>
  </si>
  <si>
    <t>No of fully diluted shares</t>
  </si>
  <si>
    <t>Implied value per share</t>
  </si>
  <si>
    <t>Current share price</t>
  </si>
  <si>
    <t>OWC</t>
  </si>
  <si>
    <t>Investments</t>
  </si>
  <si>
    <t>Premium / (Discount)</t>
  </si>
  <si>
    <t>Net reinvestment in PP&amp;E</t>
  </si>
  <si>
    <t>Net reinvestment in OWC</t>
  </si>
  <si>
    <t xml:space="preserve">Return on opening invested capital </t>
  </si>
  <si>
    <t>NOPAT margin</t>
  </si>
  <si>
    <t>Capital turnover</t>
  </si>
  <si>
    <t>Beginning invested capital</t>
  </si>
  <si>
    <t>Ending invested capital</t>
  </si>
  <si>
    <t>Terminal value based on perpetuity</t>
  </si>
  <si>
    <t>Terminal value based on value driver perpetuity</t>
  </si>
  <si>
    <t>Perpetuity</t>
  </si>
  <si>
    <t>Value Driver</t>
  </si>
  <si>
    <t>Keurig Dr Pepper</t>
  </si>
  <si>
    <t>Percentage of FCF received</t>
  </si>
  <si>
    <t>Date of occurrence</t>
  </si>
  <si>
    <t>Exact Valuation date</t>
  </si>
  <si>
    <t>Exact valuation date</t>
  </si>
  <si>
    <t>D&amp;A</t>
  </si>
  <si>
    <t>Change in OWC</t>
  </si>
  <si>
    <t>Capex</t>
  </si>
  <si>
    <t>End</t>
  </si>
  <si>
    <t>Number of years from valuation date</t>
  </si>
  <si>
    <t>Long-term growth rate</t>
  </si>
  <si>
    <t>Implied value per share using perpetuity formula</t>
  </si>
  <si>
    <t>DCF</t>
  </si>
  <si>
    <t>Discount Date</t>
  </si>
  <si>
    <t>NOTE: Valuation date is 21 Nov 2023</t>
  </si>
  <si>
    <t>Implied value per share using value driver formula</t>
  </si>
  <si>
    <t>Normal DCF &amp; value driver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</si>
</sst>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\ \x_);\(#,##0.0\ \x\)"/>
    <numFmt numFmtId="176" formatCode="#,##0.0_);\(#,##0.0\)"/>
    <numFmt numFmtId="177" formatCode="#,##0.0%_);\(#,##0.0%\)"/>
    <numFmt numFmtId="178" formatCode="#,##0.00_);\(#,##0.00\);0.00_);@_)"/>
  </numFmts>
  <fonts count="45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1"/>
      <color rgb="FF0853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u/>
      <sz val="11"/>
      <color theme="1" tint="0.2499465926084170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85393"/>
        <bgColor rgb="FF085393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6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5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170" fontId="3" fillId="0" borderId="0">
      <alignment vertical="top"/>
    </xf>
    <xf numFmtId="174" fontId="34" fillId="0" borderId="0" applyNumberFormat="0" applyFill="0" applyBorder="0" applyAlignment="0" applyProtection="0"/>
  </cellStyleXfs>
  <cellXfs count="106">
    <xf numFmtId="174" fontId="0" fillId="0" borderId="0" xfId="0"/>
    <xf numFmtId="168" fontId="0" fillId="0" borderId="0" xfId="0" applyNumberFormat="1" applyAlignment="1">
      <alignment horizontal="center"/>
    </xf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70" fontId="30" fillId="37" borderId="11" xfId="60" applyNumberFormat="1">
      <protection locked="0"/>
    </xf>
    <xf numFmtId="170" fontId="2" fillId="0" borderId="0" xfId="51" applyNumberFormat="1" applyFont="1" applyFill="1" applyAlignment="1"/>
    <xf numFmtId="0" fontId="2" fillId="0" borderId="0" xfId="61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1" applyFont="1" applyAlignment="1"/>
    <xf numFmtId="174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4" fontId="30" fillId="0" borderId="0" xfId="57" applyNumberFormat="1" applyFill="1"/>
    <xf numFmtId="172" fontId="30" fillId="0" borderId="0" xfId="57" applyNumberFormat="1" applyFill="1"/>
    <xf numFmtId="172" fontId="0" fillId="0" borderId="0" xfId="56" applyFont="1" applyFill="1"/>
    <xf numFmtId="174" fontId="33" fillId="0" borderId="0" xfId="0" applyFont="1"/>
    <xf numFmtId="172" fontId="30" fillId="0" borderId="0" xfId="56" applyFont="1" applyFill="1"/>
    <xf numFmtId="170" fontId="4" fillId="0" borderId="0" xfId="50" applyNumberFormat="1" applyFill="1">
      <alignment horizontal="left" vertical="center"/>
    </xf>
    <xf numFmtId="168" fontId="30" fillId="0" borderId="0" xfId="57" applyNumberFormat="1" applyFill="1" applyAlignment="1">
      <alignment horizontal="center"/>
    </xf>
    <xf numFmtId="172" fontId="0" fillId="0" borderId="0" xfId="56" applyFont="1" applyFill="1" applyAlignment="1">
      <alignment horizontal="right"/>
    </xf>
    <xf numFmtId="171" fontId="30" fillId="0" borderId="0" xfId="57" applyNumberFormat="1" applyFill="1"/>
    <xf numFmtId="174" fontId="0" fillId="0" borderId="0" xfId="0" applyAlignment="1">
      <alignment wrapText="1"/>
    </xf>
    <xf numFmtId="175" fontId="30" fillId="0" borderId="0" xfId="55" applyFont="1" applyFill="1"/>
    <xf numFmtId="172" fontId="30" fillId="37" borderId="11" xfId="60" applyNumberFormat="1">
      <protection locked="0"/>
    </xf>
    <xf numFmtId="174" fontId="30" fillId="0" borderId="0" xfId="57" applyNumberFormat="1" applyFill="1" applyBorder="1"/>
    <xf numFmtId="174" fontId="4" fillId="0" borderId="0" xfId="50" applyNumberFormat="1">
      <alignment horizontal="left" vertical="center"/>
    </xf>
    <xf numFmtId="170" fontId="3" fillId="0" borderId="0" xfId="64">
      <alignment vertical="top"/>
    </xf>
    <xf numFmtId="174" fontId="34" fillId="0" borderId="0" xfId="65"/>
    <xf numFmtId="172" fontId="30" fillId="37" borderId="11" xfId="56" applyFont="1" applyFill="1" applyBorder="1" applyProtection="1">
      <protection locked="0"/>
    </xf>
    <xf numFmtId="177" fontId="0" fillId="0" borderId="0" xfId="0" applyNumberFormat="1"/>
    <xf numFmtId="174" fontId="34" fillId="0" borderId="0" xfId="65" applyAlignment="1">
      <alignment horizontal="right"/>
    </xf>
    <xf numFmtId="177" fontId="30" fillId="37" borderId="11" xfId="60" applyNumberFormat="1">
      <protection locked="0"/>
    </xf>
    <xf numFmtId="176" fontId="30" fillId="0" borderId="0" xfId="57" applyNumberFormat="1" applyFill="1"/>
    <xf numFmtId="178" fontId="0" fillId="0" borderId="0" xfId="0" applyNumberFormat="1"/>
    <xf numFmtId="170" fontId="33" fillId="0" borderId="0" xfId="64" applyFont="1">
      <alignment vertical="top"/>
    </xf>
    <xf numFmtId="174" fontId="35" fillId="0" borderId="0" xfId="0" applyFont="1"/>
    <xf numFmtId="174" fontId="36" fillId="0" borderId="0" xfId="57" applyNumberFormat="1" applyFont="1" applyFill="1"/>
    <xf numFmtId="174" fontId="37" fillId="0" borderId="0" xfId="0" applyFont="1"/>
    <xf numFmtId="168" fontId="0" fillId="0" borderId="0" xfId="54" applyFont="1"/>
    <xf numFmtId="168" fontId="30" fillId="37" borderId="11" xfId="60" applyNumberFormat="1">
      <protection locked="0"/>
    </xf>
    <xf numFmtId="174" fontId="40" fillId="0" borderId="0" xfId="0" applyFont="1"/>
    <xf numFmtId="174" fontId="40" fillId="0" borderId="0" xfId="0" applyFont="1" applyAlignment="1">
      <alignment horizontal="center"/>
    </xf>
    <xf numFmtId="172" fontId="41" fillId="39" borderId="0" xfId="0" applyNumberFormat="1" applyFont="1" applyFill="1" applyAlignment="1">
      <alignment horizontal="center"/>
    </xf>
    <xf numFmtId="0" fontId="40" fillId="0" borderId="0" xfId="0" applyNumberFormat="1" applyFont="1"/>
    <xf numFmtId="0" fontId="42" fillId="0" borderId="0" xfId="0" applyNumberFormat="1" applyFont="1"/>
    <xf numFmtId="174" fontId="29" fillId="0" borderId="0" xfId="0" applyFont="1"/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6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Hyperlink" xfId="65" builtinId="8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7000000}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B000000}"/>
    <cellStyle name="Row Label" xfId="64" xr:uid="{0F688BA7-BB42-4B59-BD24-BB1A454D2981}"/>
    <cellStyle name="Secondary Title" xfId="49" xr:uid="{00000000-0005-0000-0000-00003D000000}"/>
    <cellStyle name="Tertiary Title" xfId="50" xr:uid="{00000000-0005-0000-0000-00003E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sqref="A1:N1"/>
    </sheetView>
  </sheetViews>
  <sheetFormatPr defaultColWidth="9.06640625" defaultRowHeight="14.25" x14ac:dyDescent="0.45"/>
  <cols>
    <col min="1" max="1" width="9.796875" customWidth="1"/>
    <col min="2" max="13" width="9.265625" customWidth="1"/>
    <col min="14" max="14" width="9.796875" customWidth="1"/>
    <col min="15" max="26" width="9.06640625" customWidth="1"/>
  </cols>
  <sheetData>
    <row r="1" spans="1:14" s="34" customFormat="1" ht="189.75" customHeight="1" x14ac:dyDescent="0.8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s="22" customFormat="1" ht="75" customHeight="1" x14ac:dyDescent="0.45">
      <c r="A2" s="97" t="s">
        <v>17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96"/>
      <c r="D4" s="96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98" t="s">
        <v>10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4" s="23" customFormat="1" ht="15" customHeight="1" x14ac:dyDescent="0.4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4" s="23" customFormat="1" ht="15" customHeight="1" x14ac:dyDescent="0.45">
      <c r="A7" s="98" t="str">
        <f ca="1">"© "&amp;YEAR(TODAY())&amp;" Financial Edge Training "</f>
        <v xml:space="preserve">© 2025 Financial Edge Training 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99"/>
      <c r="H9" s="99"/>
      <c r="I9" s="99"/>
      <c r="J9" s="99"/>
      <c r="K9" s="28"/>
    </row>
    <row r="10" spans="1:14" s="23" customFormat="1" ht="15" customHeight="1" x14ac:dyDescent="0.45">
      <c r="B10" s="24"/>
      <c r="C10" s="24"/>
      <c r="F10" s="28"/>
      <c r="G10" s="99"/>
      <c r="H10" s="99"/>
      <c r="I10" s="99"/>
      <c r="J10" s="99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95"/>
      <c r="H12" s="95"/>
      <c r="I12" s="95"/>
      <c r="J12" s="95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95"/>
      <c r="H13" s="95"/>
      <c r="I13" s="95"/>
      <c r="J13" s="95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95"/>
      <c r="H14" s="95"/>
      <c r="I14" s="95"/>
      <c r="J14" s="95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95"/>
      <c r="H16" s="95"/>
      <c r="I16" s="95"/>
      <c r="J16" s="95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06640625" defaultRowHeight="14.25" x14ac:dyDescent="0.45"/>
  <cols>
    <col min="1" max="1" width="1.33203125" customWidth="1"/>
    <col min="2" max="2" width="2.796875" customWidth="1"/>
    <col min="3" max="3" width="13.265625" customWidth="1"/>
    <col min="4" max="4" width="2.796875" customWidth="1"/>
    <col min="5" max="7" width="1.33203125" customWidth="1"/>
    <col min="8" max="8" width="2.796875" customWidth="1"/>
    <col min="9" max="9" width="42.73046875" customWidth="1"/>
    <col min="10" max="11" width="1.33203125" customWidth="1"/>
    <col min="12" max="12" width="15.59765625" bestFit="1" customWidth="1"/>
    <col min="13" max="14" width="1.33203125" customWidth="1"/>
    <col min="15" max="15" width="2.796875" customWidth="1"/>
    <col min="16" max="16" width="32.59765625" customWidth="1"/>
    <col min="17" max="17" width="2.796875" customWidth="1"/>
    <col min="18" max="18" width="1.33203125" customWidth="1"/>
    <col min="23" max="23" width="17.73046875" bestFit="1" customWidth="1"/>
  </cols>
  <sheetData>
    <row r="1" spans="1:18" s="34" customFormat="1" ht="45" customHeight="1" x14ac:dyDescent="0.85">
      <c r="A1" s="14" t="str">
        <f>Welcome!A2</f>
        <v>Advanced Valuation</v>
      </c>
      <c r="B1" s="14"/>
      <c r="C1" s="14"/>
      <c r="D1" s="14"/>
      <c r="E1" s="14"/>
      <c r="F1" s="14"/>
      <c r="G1" s="14"/>
      <c r="H1" s="14"/>
      <c r="I1" s="14"/>
      <c r="J1" s="7"/>
      <c r="K1" s="7"/>
      <c r="L1" s="7"/>
      <c r="M1" s="7"/>
      <c r="N1" s="7"/>
      <c r="O1" s="7"/>
      <c r="P1" s="7"/>
      <c r="Q1" s="7"/>
      <c r="R1" s="7"/>
    </row>
    <row r="2" spans="1:18" s="35" customFormat="1" ht="30" customHeight="1" x14ac:dyDescent="0.65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8"/>
      <c r="K2" s="8"/>
      <c r="L2" s="8"/>
      <c r="M2" s="8"/>
      <c r="N2" s="8"/>
      <c r="O2" s="8"/>
      <c r="P2" s="8"/>
      <c r="Q2" s="8"/>
      <c r="R2" s="8"/>
    </row>
    <row r="3" spans="1:18" s="3" customFormat="1" ht="7.5" customHeight="1" x14ac:dyDescent="0.45"/>
    <row r="4" spans="1:18" s="3" customFormat="1" ht="22.5" customHeight="1" x14ac:dyDescent="0.45">
      <c r="A4" s="2"/>
      <c r="B4" s="101" t="s">
        <v>0</v>
      </c>
      <c r="C4" s="101"/>
      <c r="D4" s="101"/>
      <c r="E4" s="101"/>
      <c r="F4" s="101"/>
      <c r="G4" s="101"/>
      <c r="H4" s="101"/>
      <c r="I4" s="101"/>
      <c r="K4" s="2"/>
      <c r="L4" s="101" t="s">
        <v>2</v>
      </c>
      <c r="M4" s="101"/>
      <c r="N4" s="101"/>
      <c r="O4" s="101"/>
      <c r="P4" s="101"/>
      <c r="Q4" s="40"/>
      <c r="R4" s="40"/>
    </row>
    <row r="5" spans="1:18" s="3" customFormat="1" ht="15" customHeight="1" x14ac:dyDescent="0.45">
      <c r="A5" s="17"/>
      <c r="B5" s="9" t="s">
        <v>1</v>
      </c>
      <c r="C5" s="55" t="s">
        <v>27</v>
      </c>
      <c r="D5" s="18"/>
      <c r="E5" s="18"/>
      <c r="F5" s="18"/>
      <c r="G5" s="18"/>
      <c r="H5" s="18"/>
      <c r="I5" s="18"/>
      <c r="K5" s="2"/>
      <c r="L5" s="10" t="s">
        <v>3</v>
      </c>
      <c r="M5" s="10"/>
      <c r="N5" s="103" t="s">
        <v>67</v>
      </c>
      <c r="O5" s="103"/>
      <c r="P5" s="103"/>
      <c r="Q5" s="103"/>
      <c r="R5" s="40"/>
    </row>
    <row r="6" spans="1:18" s="3" customFormat="1" ht="15" customHeight="1" x14ac:dyDescent="0.45">
      <c r="A6" s="4"/>
      <c r="B6" s="9" t="s">
        <v>1</v>
      </c>
      <c r="C6" s="55" t="s">
        <v>25</v>
      </c>
      <c r="D6" s="18"/>
      <c r="E6" s="18"/>
      <c r="F6" s="18"/>
      <c r="G6" s="18"/>
      <c r="H6" s="18"/>
      <c r="I6" s="18"/>
      <c r="K6" s="17"/>
      <c r="L6" s="10" t="s">
        <v>4</v>
      </c>
      <c r="M6" s="10"/>
      <c r="N6" s="104">
        <v>44926</v>
      </c>
      <c r="O6" s="104"/>
      <c r="P6" s="104"/>
      <c r="Q6" s="104"/>
      <c r="R6" s="40"/>
    </row>
    <row r="7" spans="1:18" s="3" customFormat="1" ht="15" customHeight="1" x14ac:dyDescent="0.45">
      <c r="A7" s="18"/>
      <c r="B7" s="9" t="s">
        <v>1</v>
      </c>
      <c r="C7" s="18" t="s">
        <v>70</v>
      </c>
      <c r="D7" s="18"/>
      <c r="E7" s="18"/>
      <c r="F7" s="18"/>
      <c r="G7" s="18"/>
      <c r="H7" s="18"/>
      <c r="I7" s="18"/>
      <c r="K7" s="4"/>
      <c r="L7" s="10" t="s">
        <v>5</v>
      </c>
      <c r="M7" s="10"/>
      <c r="N7" s="103"/>
      <c r="O7" s="103"/>
      <c r="P7" s="103"/>
      <c r="Q7" s="103"/>
      <c r="R7" s="40"/>
    </row>
    <row r="8" spans="1:18" s="3" customFormat="1" ht="15" customHeight="1" x14ac:dyDescent="0.45">
      <c r="A8" s="18"/>
      <c r="B8" s="9"/>
      <c r="C8" s="18"/>
      <c r="D8" s="18"/>
      <c r="E8" s="18"/>
      <c r="F8" s="18"/>
      <c r="G8" s="18"/>
      <c r="H8" s="18"/>
      <c r="I8" s="18"/>
      <c r="K8" s="18"/>
      <c r="L8" s="10" t="s">
        <v>6</v>
      </c>
      <c r="M8" s="10"/>
      <c r="N8" s="103"/>
      <c r="O8" s="103"/>
      <c r="P8" s="103"/>
      <c r="Q8" s="103"/>
      <c r="R8" s="40"/>
    </row>
    <row r="9" spans="1:18" s="3" customFormat="1" ht="15" customHeight="1" x14ac:dyDescent="0.45">
      <c r="A9" s="41"/>
      <c r="B9" s="9"/>
      <c r="C9" s="18"/>
      <c r="D9" s="41"/>
      <c r="E9" s="41"/>
      <c r="F9" s="41"/>
      <c r="G9" s="41"/>
      <c r="H9" s="41"/>
      <c r="I9" s="41"/>
      <c r="K9" s="18"/>
      <c r="L9" s="10" t="s">
        <v>7</v>
      </c>
      <c r="M9" s="10"/>
      <c r="N9" s="103" t="s">
        <v>9</v>
      </c>
      <c r="O9" s="103"/>
      <c r="P9" s="103"/>
      <c r="Q9" s="103"/>
      <c r="R9" s="40"/>
    </row>
    <row r="10" spans="1:18" s="3" customFormat="1" ht="15" customHeight="1" x14ac:dyDescent="0.45">
      <c r="A10" s="39"/>
      <c r="B10" s="9"/>
      <c r="C10" s="18"/>
      <c r="D10" s="39"/>
      <c r="E10" s="39"/>
      <c r="F10" s="39"/>
      <c r="G10" s="39"/>
      <c r="H10" s="39"/>
      <c r="I10" s="39"/>
      <c r="K10" s="18"/>
      <c r="L10" s="10" t="s">
        <v>8</v>
      </c>
      <c r="M10" s="10"/>
      <c r="N10" s="105">
        <v>0</v>
      </c>
      <c r="O10" s="105"/>
      <c r="P10" s="105"/>
      <c r="Q10" s="105"/>
      <c r="R10" s="47"/>
    </row>
    <row r="11" spans="1:18" s="3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5"/>
      <c r="L11" s="59"/>
      <c r="M11" s="59"/>
      <c r="N11" s="48"/>
      <c r="O11" s="49"/>
      <c r="P11" s="49"/>
      <c r="Q11" s="50"/>
      <c r="R11" s="51"/>
    </row>
    <row r="12" spans="1:18" s="3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3" customFormat="1" ht="22.5" customHeight="1" x14ac:dyDescent="0.45">
      <c r="A13" s="55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N13" s="2"/>
      <c r="O13" s="101" t="s">
        <v>11</v>
      </c>
      <c r="P13" s="101"/>
      <c r="Q13" s="101"/>
      <c r="R13" s="58"/>
    </row>
    <row r="14" spans="1:18" s="3" customFormat="1" ht="15" customHeight="1" x14ac:dyDescent="0.45">
      <c r="A14" s="56"/>
      <c r="B14" s="100" t="s">
        <v>79</v>
      </c>
      <c r="C14" s="100"/>
      <c r="D14" s="100" t="s">
        <v>83</v>
      </c>
      <c r="E14" s="100"/>
      <c r="F14" s="100"/>
      <c r="G14" s="100"/>
      <c r="H14" s="100"/>
      <c r="I14" s="100"/>
      <c r="J14" s="100"/>
      <c r="K14" s="100"/>
      <c r="L14" s="100"/>
      <c r="N14" s="17"/>
      <c r="O14" s="27"/>
      <c r="P14" s="22"/>
      <c r="Q14" s="22"/>
      <c r="R14" s="56"/>
    </row>
    <row r="15" spans="1:18" s="3" customFormat="1" ht="15" customHeight="1" x14ac:dyDescent="0.45">
      <c r="A15" s="56"/>
      <c r="B15" s="100" t="s">
        <v>80</v>
      </c>
      <c r="C15" s="100"/>
      <c r="D15" s="100" t="s">
        <v>71</v>
      </c>
      <c r="E15" s="100"/>
      <c r="F15" s="100"/>
      <c r="G15" s="100"/>
      <c r="H15" s="100"/>
      <c r="I15" s="100"/>
      <c r="J15" s="100"/>
      <c r="K15" s="100"/>
      <c r="L15" s="100"/>
      <c r="N15" s="4"/>
      <c r="O15" s="27"/>
      <c r="P15" s="52" t="s">
        <v>12</v>
      </c>
      <c r="Q15" s="22"/>
      <c r="R15" s="56"/>
    </row>
    <row r="16" spans="1:18" s="3" customFormat="1" ht="15" customHeight="1" x14ac:dyDescent="0.45">
      <c r="A16" s="56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N16" s="18"/>
      <c r="O16" s="27"/>
      <c r="P16" s="36" t="s">
        <v>13</v>
      </c>
      <c r="Q16" s="22"/>
      <c r="R16" s="56"/>
    </row>
    <row r="17" spans="1:18" s="3" customFormat="1" ht="15" customHeight="1" x14ac:dyDescent="0.45">
      <c r="A17" s="56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N17" s="18"/>
      <c r="O17" s="27"/>
      <c r="P17" t="s">
        <v>14</v>
      </c>
      <c r="Q17" s="22"/>
      <c r="R17" s="56"/>
    </row>
    <row r="18" spans="1:18" s="3" customFormat="1" ht="15" customHeight="1" x14ac:dyDescent="0.45">
      <c r="A18" s="3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3A21E-4292-4997-9C19-F3B85043A150}">
  <sheetPr>
    <pageSetUpPr fitToPage="1"/>
  </sheetPr>
  <dimension ref="A1:M310"/>
  <sheetViews>
    <sheetView zoomScaleNormal="10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12.59765625" defaultRowHeight="15" customHeight="1" x14ac:dyDescent="0.45"/>
  <cols>
    <col min="1" max="1" width="1.59765625" style="16" customWidth="1"/>
    <col min="2" max="2" width="49.86328125" bestFit="1" customWidth="1"/>
    <col min="3" max="5" width="9.1328125" customWidth="1"/>
    <col min="6" max="6" width="11" bestFit="1" customWidth="1"/>
    <col min="7" max="13" width="9.1328125" customWidth="1"/>
    <col min="14" max="39" width="12.59765625" customWidth="1"/>
  </cols>
  <sheetData>
    <row r="1" spans="1:13" s="46" customFormat="1" ht="45" customHeight="1" x14ac:dyDescent="0.85">
      <c r="A1" s="6" t="str">
        <f>Info!A1</f>
        <v>Advanced Valuation</v>
      </c>
      <c r="B1" s="11"/>
      <c r="C1" s="13" t="s">
        <v>39</v>
      </c>
      <c r="D1" s="13" t="s">
        <v>39</v>
      </c>
      <c r="E1" s="13" t="s">
        <v>39</v>
      </c>
      <c r="F1" s="13" t="s">
        <v>40</v>
      </c>
      <c r="G1" s="13" t="s">
        <v>40</v>
      </c>
      <c r="H1" s="13" t="s">
        <v>40</v>
      </c>
      <c r="I1" s="13" t="s">
        <v>40</v>
      </c>
      <c r="J1" s="13" t="s">
        <v>40</v>
      </c>
      <c r="K1" s="13" t="s">
        <v>40</v>
      </c>
      <c r="L1" s="13" t="s">
        <v>40</v>
      </c>
      <c r="M1" s="13" t="s">
        <v>40</v>
      </c>
    </row>
    <row r="2" spans="1:13" s="35" customFormat="1" ht="30" customHeight="1" x14ac:dyDescent="0.65">
      <c r="A2" s="15" t="str">
        <f>Info!N5</f>
        <v>Keurig Dr Pepper</v>
      </c>
      <c r="B2" s="8"/>
      <c r="C2" s="12">
        <f>DATE(YEAR(D2)-1,MONTH(D2),DAY(D2))</f>
        <v>44196</v>
      </c>
      <c r="D2" s="12">
        <f>DATE(YEAR(E2)-1,MONTH(E2),DAY(E2))</f>
        <v>44561</v>
      </c>
      <c r="E2" s="12">
        <f>Info!N6</f>
        <v>44926</v>
      </c>
      <c r="F2" s="12">
        <f>DATE(YEAR(E2)+1,MONTH(E2),DAY(E2))</f>
        <v>45291</v>
      </c>
      <c r="G2" s="12">
        <f>DATE(YEAR(F2)+1,MONTH(F2),DAY(F2))</f>
        <v>45657</v>
      </c>
      <c r="H2" s="12">
        <f>DATE(YEAR(G2)+1,MONTH(G2),DAY(G2))</f>
        <v>46022</v>
      </c>
      <c r="I2" s="12">
        <f>DATE(YEAR(H2)+1,MONTH(H2),DAY(H2))</f>
        <v>46387</v>
      </c>
      <c r="J2" s="12">
        <f>DATE(YEAR(I2)+1,MONTH(I2),DAY(I2))</f>
        <v>46752</v>
      </c>
      <c r="K2" s="12">
        <f t="shared" ref="K2:M2" si="0">DATE(YEAR(J2)+1,MONTH(J2),DAY(J2))</f>
        <v>47118</v>
      </c>
      <c r="L2" s="12">
        <f t="shared" si="0"/>
        <v>47483</v>
      </c>
      <c r="M2" s="12">
        <f t="shared" si="0"/>
        <v>47848</v>
      </c>
    </row>
    <row r="3" spans="1:13" ht="15" customHeight="1" x14ac:dyDescent="0.45">
      <c r="A3" s="73"/>
    </row>
    <row r="4" spans="1:13" ht="15" customHeight="1" x14ac:dyDescent="0.45">
      <c r="A4" s="73" t="s">
        <v>81</v>
      </c>
    </row>
    <row r="5" spans="1:13" ht="15" customHeight="1" x14ac:dyDescent="0.45">
      <c r="A5" s="73"/>
    </row>
    <row r="6" spans="1:13" ht="15" customHeight="1" x14ac:dyDescent="0.45">
      <c r="A6" s="73" t="s">
        <v>43</v>
      </c>
    </row>
    <row r="7" spans="1:13" ht="15" customHeight="1" x14ac:dyDescent="0.45">
      <c r="A7" s="73"/>
      <c r="B7" s="74" t="s">
        <v>48</v>
      </c>
      <c r="D7" s="77"/>
      <c r="E7" s="77">
        <f>+E16/D16-1</f>
        <v>0.1083339903808247</v>
      </c>
      <c r="F7" s="71">
        <v>6.9000000000000006E-2</v>
      </c>
      <c r="G7" s="71">
        <v>4.4999999999999998E-2</v>
      </c>
      <c r="H7" s="71">
        <v>4.2999999999999997E-2</v>
      </c>
      <c r="I7" s="71">
        <v>0.04</v>
      </c>
      <c r="J7" s="71">
        <v>0.04</v>
      </c>
      <c r="K7" s="71">
        <v>0.04</v>
      </c>
      <c r="L7" s="71">
        <v>0.04</v>
      </c>
      <c r="M7" s="71">
        <v>3.5000000000000003E-2</v>
      </c>
    </row>
    <row r="8" spans="1:13" ht="15" customHeight="1" x14ac:dyDescent="0.45">
      <c r="A8" s="73"/>
      <c r="B8" s="74" t="s">
        <v>44</v>
      </c>
      <c r="D8" s="77"/>
      <c r="E8" s="77">
        <f>+E17/E16</f>
        <v>0.27971828982001851</v>
      </c>
      <c r="F8" s="71">
        <v>0.28499999999999998</v>
      </c>
      <c r="G8" s="71">
        <v>0.28699999999999998</v>
      </c>
      <c r="H8" s="71">
        <v>0.28999999999999998</v>
      </c>
      <c r="I8" s="71">
        <v>0.28999999999999998</v>
      </c>
      <c r="J8" s="71">
        <v>0.28999999999999998</v>
      </c>
      <c r="K8" s="71">
        <v>0.28499999999999998</v>
      </c>
      <c r="L8" s="71">
        <v>0.28499999999999998</v>
      </c>
      <c r="M8" s="71">
        <v>0.28499999999999998</v>
      </c>
    </row>
    <row r="9" spans="1:13" ht="15" customHeight="1" x14ac:dyDescent="0.45">
      <c r="A9" s="73"/>
      <c r="B9" s="74" t="s">
        <v>45</v>
      </c>
      <c r="C9" s="62"/>
      <c r="D9" s="62"/>
      <c r="E9" s="62">
        <f>+E24/E16*-1</f>
        <v>2.5112043821583552E-2</v>
      </c>
      <c r="F9" s="76">
        <v>2.5000000000000001E-2</v>
      </c>
      <c r="G9" s="76">
        <v>2.5000000000000001E-2</v>
      </c>
      <c r="H9" s="76">
        <v>2.5000000000000001E-2</v>
      </c>
      <c r="I9" s="76">
        <v>2.5000000000000001E-2</v>
      </c>
      <c r="J9" s="76">
        <v>2.5000000000000001E-2</v>
      </c>
      <c r="K9" s="76">
        <v>2.5000000000000001E-2</v>
      </c>
      <c r="L9" s="76">
        <v>2.5000000000000001E-2</v>
      </c>
      <c r="M9" s="76">
        <v>2.5000000000000001E-2</v>
      </c>
    </row>
    <row r="10" spans="1:13" ht="15" customHeight="1" x14ac:dyDescent="0.45">
      <c r="A10" s="73"/>
      <c r="B10" s="74" t="s">
        <v>49</v>
      </c>
      <c r="C10" s="62"/>
      <c r="D10" s="62"/>
      <c r="E10" s="62">
        <f>+E24/E22*-1</f>
        <v>0.65735567970204845</v>
      </c>
      <c r="F10" s="71">
        <v>0.7</v>
      </c>
      <c r="G10" s="71">
        <v>0.75</v>
      </c>
      <c r="H10" s="71">
        <v>0.8</v>
      </c>
      <c r="I10" s="71">
        <v>0.85</v>
      </c>
      <c r="J10" s="71">
        <v>0.9</v>
      </c>
      <c r="K10" s="71">
        <v>0.95</v>
      </c>
      <c r="L10" s="71">
        <v>1</v>
      </c>
      <c r="M10" s="71">
        <v>1.02</v>
      </c>
    </row>
    <row r="11" spans="1:13" ht="15" customHeight="1" x14ac:dyDescent="0.45">
      <c r="A11" s="73"/>
      <c r="B11" s="74" t="s">
        <v>46</v>
      </c>
      <c r="E11" s="62"/>
      <c r="F11" s="76">
        <v>0.21</v>
      </c>
      <c r="G11" s="76">
        <v>0.21</v>
      </c>
      <c r="H11" s="76">
        <v>0.21</v>
      </c>
      <c r="I11" s="76">
        <v>0.21</v>
      </c>
      <c r="J11" s="76">
        <v>0.21</v>
      </c>
      <c r="K11" s="76">
        <v>0.21</v>
      </c>
      <c r="L11" s="76">
        <v>0.21</v>
      </c>
      <c r="M11" s="76">
        <v>0.21</v>
      </c>
    </row>
    <row r="12" spans="1:13" ht="15" customHeight="1" x14ac:dyDescent="0.45">
      <c r="A12" s="73"/>
      <c r="B12" s="74" t="s">
        <v>47</v>
      </c>
      <c r="E12" s="62">
        <f>+E13/E16</f>
        <v>-0.17130255388774276</v>
      </c>
      <c r="F12" s="76">
        <v>-0.17100000000000001</v>
      </c>
      <c r="G12" s="76">
        <v>-0.17100000000000001</v>
      </c>
      <c r="H12" s="76">
        <v>-0.17100000000000001</v>
      </c>
      <c r="I12" s="76">
        <v>-0.17100000000000001</v>
      </c>
      <c r="J12" s="76">
        <v>-0.17100000000000001</v>
      </c>
      <c r="K12" s="76">
        <v>-0.17100000000000001</v>
      </c>
      <c r="L12" s="76">
        <v>-0.17100000000000001</v>
      </c>
      <c r="M12" s="76">
        <v>-0.17100000000000001</v>
      </c>
    </row>
    <row r="13" spans="1:13" ht="15" customHeight="1" x14ac:dyDescent="0.45">
      <c r="A13" s="73"/>
      <c r="B13" s="74" t="s">
        <v>53</v>
      </c>
      <c r="E13" s="60">
        <f>1484+1314-5206</f>
        <v>-2408</v>
      </c>
      <c r="F13">
        <f>+F12*F16</f>
        <v>0</v>
      </c>
      <c r="G13">
        <f t="shared" ref="G13:M13" si="1">+G12*G16</f>
        <v>0</v>
      </c>
      <c r="H13">
        <f t="shared" si="1"/>
        <v>0</v>
      </c>
      <c r="I13">
        <f t="shared" si="1"/>
        <v>0</v>
      </c>
      <c r="J13">
        <f t="shared" si="1"/>
        <v>0</v>
      </c>
      <c r="K13">
        <f t="shared" si="1"/>
        <v>0</v>
      </c>
      <c r="L13">
        <f t="shared" si="1"/>
        <v>0</v>
      </c>
      <c r="M13">
        <f t="shared" si="1"/>
        <v>0</v>
      </c>
    </row>
    <row r="14" spans="1:13" ht="15" customHeight="1" x14ac:dyDescent="0.45">
      <c r="A14" s="73"/>
    </row>
    <row r="15" spans="1:13" ht="15" customHeight="1" x14ac:dyDescent="0.45">
      <c r="A15" s="73" t="s">
        <v>29</v>
      </c>
      <c r="E15" s="77"/>
    </row>
    <row r="16" spans="1:13" ht="15" customHeight="1" x14ac:dyDescent="0.45">
      <c r="A16" s="73"/>
      <c r="B16" s="74" t="s">
        <v>41</v>
      </c>
      <c r="C16" s="75"/>
      <c r="D16" s="60">
        <f>12683</f>
        <v>12683</v>
      </c>
      <c r="E16" s="60">
        <f>14057</f>
        <v>14057</v>
      </c>
    </row>
    <row r="17" spans="1:13" ht="15" customHeight="1" x14ac:dyDescent="0.45">
      <c r="A17" s="73"/>
      <c r="B17" s="74" t="s">
        <v>42</v>
      </c>
      <c r="C17" s="60"/>
      <c r="D17" s="60"/>
      <c r="E17">
        <f>E19+E22</f>
        <v>3932</v>
      </c>
    </row>
    <row r="18" spans="1:13" ht="15" customHeight="1" x14ac:dyDescent="0.45">
      <c r="A18" s="73"/>
    </row>
    <row r="19" spans="1:13" ht="15" customHeight="1" x14ac:dyDescent="0.45">
      <c r="B19" s="74" t="s">
        <v>30</v>
      </c>
      <c r="E19" s="60">
        <f>3538-138-5</f>
        <v>3395</v>
      </c>
      <c r="F19" s="93"/>
    </row>
    <row r="20" spans="1:13" ht="15" customHeight="1" x14ac:dyDescent="0.45">
      <c r="B20" s="74" t="s">
        <v>31</v>
      </c>
    </row>
    <row r="21" spans="1:13" s="83" customFormat="1" ht="15" customHeight="1" x14ac:dyDescent="0.45">
      <c r="A21" s="16"/>
      <c r="B21" s="82" t="s">
        <v>28</v>
      </c>
    </row>
    <row r="22" spans="1:13" ht="15" customHeight="1" x14ac:dyDescent="0.45">
      <c r="B22" s="74" t="s">
        <v>72</v>
      </c>
      <c r="C22" s="75"/>
      <c r="D22" s="75"/>
      <c r="E22" s="60">
        <f>399+138</f>
        <v>537</v>
      </c>
    </row>
    <row r="23" spans="1:13" ht="15" customHeight="1" x14ac:dyDescent="0.45">
      <c r="B23" s="74" t="s">
        <v>73</v>
      </c>
      <c r="C23" s="60"/>
    </row>
    <row r="24" spans="1:13" ht="15" customHeight="1" x14ac:dyDescent="0.45">
      <c r="B24" s="74" t="s">
        <v>74</v>
      </c>
      <c r="C24" s="78"/>
      <c r="D24" s="75"/>
      <c r="E24" s="60">
        <v>-353</v>
      </c>
    </row>
    <row r="25" spans="1:13" s="83" customFormat="1" ht="15" customHeight="1" x14ac:dyDescent="0.45">
      <c r="A25" s="16"/>
      <c r="B25" s="82" t="s">
        <v>29</v>
      </c>
      <c r="C25" s="84"/>
    </row>
    <row r="26" spans="1:13" ht="15" customHeight="1" x14ac:dyDescent="0.45">
      <c r="B26" s="74"/>
      <c r="C26" s="60"/>
      <c r="M26" s="77"/>
    </row>
    <row r="27" spans="1:13" ht="15" customHeight="1" x14ac:dyDescent="0.45">
      <c r="B27" s="74" t="s">
        <v>61</v>
      </c>
      <c r="C27" s="60"/>
    </row>
    <row r="28" spans="1:13" ht="15" customHeight="1" x14ac:dyDescent="0.45">
      <c r="B28" s="74" t="s">
        <v>56</v>
      </c>
      <c r="C28" s="60"/>
    </row>
    <row r="29" spans="1:13" ht="15" customHeight="1" x14ac:dyDescent="0.45">
      <c r="B29" s="74" t="s">
        <v>57</v>
      </c>
      <c r="C29" s="60"/>
    </row>
    <row r="30" spans="1:13" ht="15" customHeight="1" x14ac:dyDescent="0.45">
      <c r="B30" s="74" t="s">
        <v>62</v>
      </c>
      <c r="C30" s="60"/>
      <c r="E30" s="60">
        <f>25125+11072+895-535-1000</f>
        <v>35557</v>
      </c>
      <c r="F30" s="93"/>
    </row>
    <row r="31" spans="1:13" ht="15" customHeight="1" x14ac:dyDescent="0.45">
      <c r="B31" s="74"/>
      <c r="C31" s="60"/>
      <c r="M31" s="77"/>
    </row>
    <row r="32" spans="1:13" ht="15" customHeight="1" x14ac:dyDescent="0.45">
      <c r="B32" s="74" t="s">
        <v>58</v>
      </c>
      <c r="C32" s="60"/>
      <c r="F32" s="77"/>
      <c r="G32" s="77"/>
      <c r="H32" s="77"/>
      <c r="I32" s="77"/>
      <c r="J32" s="77"/>
      <c r="K32" s="77"/>
      <c r="L32" s="77"/>
      <c r="M32" s="77"/>
    </row>
    <row r="33" spans="1:13" ht="15" customHeight="1" x14ac:dyDescent="0.45">
      <c r="B33" s="74" t="s">
        <v>59</v>
      </c>
      <c r="C33" s="60"/>
      <c r="F33" s="77"/>
      <c r="G33" s="77"/>
      <c r="H33" s="77"/>
      <c r="I33" s="77"/>
      <c r="J33" s="77"/>
      <c r="K33" s="77"/>
      <c r="L33" s="77"/>
      <c r="M33" s="77"/>
    </row>
    <row r="34" spans="1:13" ht="15" customHeight="1" x14ac:dyDescent="0.45">
      <c r="B34" s="74" t="s">
        <v>60</v>
      </c>
      <c r="C34" s="60"/>
      <c r="F34" s="77"/>
      <c r="G34" s="77"/>
      <c r="H34" s="77"/>
      <c r="I34" s="77"/>
      <c r="J34" s="77"/>
      <c r="K34" s="77"/>
      <c r="L34" s="77"/>
      <c r="M34" s="77"/>
    </row>
    <row r="35" spans="1:13" ht="15" customHeight="1" x14ac:dyDescent="0.45">
      <c r="B35" s="74"/>
      <c r="C35" s="60"/>
      <c r="F35" s="77"/>
      <c r="M35" s="77"/>
    </row>
    <row r="36" spans="1:13" ht="15.75" x14ac:dyDescent="0.45">
      <c r="A36" s="16" t="s">
        <v>20</v>
      </c>
      <c r="B36" s="74"/>
      <c r="C36" s="60"/>
      <c r="E36" s="79">
        <v>8.1500000000000003E-2</v>
      </c>
    </row>
    <row r="37" spans="1:13" ht="15" customHeight="1" x14ac:dyDescent="0.45">
      <c r="B37" s="74"/>
    </row>
    <row r="38" spans="1:13" ht="15" customHeight="1" x14ac:dyDescent="0.45">
      <c r="A38" s="16" t="s">
        <v>22</v>
      </c>
      <c r="B38" s="74"/>
    </row>
    <row r="39" spans="1:13" ht="15" customHeight="1" x14ac:dyDescent="0.45">
      <c r="B39" s="74" t="s">
        <v>26</v>
      </c>
      <c r="E39" s="79">
        <v>0.105</v>
      </c>
    </row>
    <row r="40" spans="1:13" ht="15" customHeight="1" x14ac:dyDescent="0.45">
      <c r="B40" s="74" t="s">
        <v>19</v>
      </c>
      <c r="E40" s="79">
        <v>3.5000000000000003E-2</v>
      </c>
    </row>
    <row r="41" spans="1:13" ht="15" customHeight="1" x14ac:dyDescent="0.45">
      <c r="B41" s="74" t="s">
        <v>63</v>
      </c>
    </row>
    <row r="42" spans="1:13" ht="15" customHeight="1" x14ac:dyDescent="0.45">
      <c r="B42" s="74" t="s">
        <v>64</v>
      </c>
    </row>
    <row r="43" spans="1:13" ht="15" customHeight="1" x14ac:dyDescent="0.45">
      <c r="B43" s="74"/>
    </row>
    <row r="44" spans="1:13" ht="15" customHeight="1" x14ac:dyDescent="0.45">
      <c r="A44" s="16" t="s">
        <v>33</v>
      </c>
      <c r="B44" s="74"/>
    </row>
    <row r="45" spans="1:13" ht="15" customHeight="1" x14ac:dyDescent="0.45">
      <c r="B45" s="74" t="s">
        <v>34</v>
      </c>
      <c r="F45" s="80">
        <v>0.5</v>
      </c>
      <c r="G45">
        <f>F45+1</f>
        <v>1.5</v>
      </c>
      <c r="H45">
        <f>G45+1</f>
        <v>2.5</v>
      </c>
      <c r="I45">
        <f t="shared" ref="I45:M45" si="2">H45+1</f>
        <v>3.5</v>
      </c>
      <c r="J45">
        <f t="shared" si="2"/>
        <v>4.5</v>
      </c>
      <c r="K45">
        <f t="shared" si="2"/>
        <v>5.5</v>
      </c>
      <c r="L45">
        <f t="shared" si="2"/>
        <v>6.5</v>
      </c>
      <c r="M45">
        <f t="shared" si="2"/>
        <v>7.5</v>
      </c>
    </row>
    <row r="46" spans="1:13" ht="15" customHeight="1" x14ac:dyDescent="0.45">
      <c r="B46" s="74" t="s">
        <v>21</v>
      </c>
      <c r="C46" s="60"/>
      <c r="F46" s="81"/>
      <c r="G46" s="81"/>
      <c r="H46" s="81"/>
      <c r="I46" s="81"/>
      <c r="J46" s="81"/>
      <c r="K46" s="81"/>
      <c r="L46" s="81"/>
      <c r="M46" s="81"/>
    </row>
    <row r="47" spans="1:13" ht="15" customHeight="1" x14ac:dyDescent="0.45">
      <c r="B47" s="74" t="s">
        <v>35</v>
      </c>
      <c r="C47" s="60"/>
    </row>
    <row r="48" spans="1:13" ht="15" customHeight="1" x14ac:dyDescent="0.45">
      <c r="B48" s="74"/>
      <c r="C48" s="60"/>
    </row>
    <row r="49" spans="1:8" ht="15" customHeight="1" x14ac:dyDescent="0.45">
      <c r="B49" s="74"/>
      <c r="C49" s="60"/>
      <c r="E49" s="85" t="s">
        <v>65</v>
      </c>
      <c r="F49" s="85" t="s">
        <v>66</v>
      </c>
    </row>
    <row r="50" spans="1:8" ht="15" customHeight="1" x14ac:dyDescent="0.45">
      <c r="B50" s="74" t="s">
        <v>36</v>
      </c>
      <c r="C50" s="60"/>
    </row>
    <row r="51" spans="1:8" ht="15" customHeight="1" x14ac:dyDescent="0.45">
      <c r="B51" s="74" t="s">
        <v>37</v>
      </c>
      <c r="C51" s="60"/>
    </row>
    <row r="52" spans="1:8" ht="15" customHeight="1" x14ac:dyDescent="0.45">
      <c r="B52" s="74" t="s">
        <v>23</v>
      </c>
      <c r="C52" s="60"/>
    </row>
    <row r="53" spans="1:8" ht="15" customHeight="1" x14ac:dyDescent="0.45">
      <c r="B53" s="74"/>
      <c r="C53" s="61"/>
    </row>
    <row r="54" spans="1:8" ht="15" customHeight="1" x14ac:dyDescent="0.45">
      <c r="A54" s="16" t="s">
        <v>24</v>
      </c>
      <c r="B54" s="74"/>
      <c r="C54" s="61"/>
    </row>
    <row r="55" spans="1:8" ht="15" customHeight="1" x14ac:dyDescent="0.45">
      <c r="B55" s="74" t="s">
        <v>32</v>
      </c>
      <c r="E55" s="60">
        <v>14387</v>
      </c>
      <c r="F55">
        <f>+E55</f>
        <v>14387</v>
      </c>
    </row>
    <row r="56" spans="1:8" ht="15" customHeight="1" x14ac:dyDescent="0.45">
      <c r="B56" s="74" t="s">
        <v>38</v>
      </c>
      <c r="E56" s="60">
        <v>260</v>
      </c>
      <c r="F56">
        <f t="shared" ref="F56:F57" si="3">+E56</f>
        <v>260</v>
      </c>
    </row>
    <row r="57" spans="1:8" ht="15" customHeight="1" x14ac:dyDescent="0.45">
      <c r="B57" s="74" t="s">
        <v>54</v>
      </c>
      <c r="E57" s="60">
        <v>1336</v>
      </c>
      <c r="F57">
        <f t="shared" si="3"/>
        <v>1336</v>
      </c>
    </row>
    <row r="58" spans="1:8" ht="15" customHeight="1" x14ac:dyDescent="0.45">
      <c r="B58" s="74" t="s">
        <v>24</v>
      </c>
    </row>
    <row r="59" spans="1:8" ht="15" customHeight="1" x14ac:dyDescent="0.45">
      <c r="A59" s="73"/>
      <c r="B59" s="74" t="s">
        <v>50</v>
      </c>
      <c r="E59" s="60">
        <v>1416.5</v>
      </c>
      <c r="F59">
        <f>+E59</f>
        <v>1416.5</v>
      </c>
    </row>
    <row r="60" spans="1:8" ht="15" customHeight="1" x14ac:dyDescent="0.45">
      <c r="A60" s="73"/>
      <c r="B60" s="74" t="s">
        <v>51</v>
      </c>
    </row>
    <row r="61" spans="1:8" ht="15" customHeight="1" x14ac:dyDescent="0.45">
      <c r="A61" s="73"/>
      <c r="B61" s="74" t="s">
        <v>52</v>
      </c>
      <c r="E61" s="60">
        <v>31.78</v>
      </c>
      <c r="F61">
        <f>+E61</f>
        <v>31.78</v>
      </c>
    </row>
    <row r="62" spans="1:8" ht="15" customHeight="1" x14ac:dyDescent="0.45">
      <c r="A62" s="73"/>
      <c r="B62" s="74" t="s">
        <v>55</v>
      </c>
      <c r="E62" s="77"/>
      <c r="F62" s="77"/>
    </row>
    <row r="63" spans="1:8" ht="15" customHeight="1" x14ac:dyDescent="0.45">
      <c r="A63" s="73"/>
      <c r="C63" s="62"/>
    </row>
    <row r="64" spans="1:8" ht="15" customHeight="1" x14ac:dyDescent="0.45">
      <c r="C64" s="92" t="s">
        <v>78</v>
      </c>
      <c r="H64" s="93"/>
    </row>
    <row r="65" spans="1:9" ht="15" customHeight="1" x14ac:dyDescent="0.45">
      <c r="A65" s="73"/>
      <c r="C65" s="88"/>
      <c r="D65" s="88"/>
      <c r="G65" s="89" t="s">
        <v>77</v>
      </c>
      <c r="H65" s="88"/>
      <c r="I65" s="88"/>
    </row>
    <row r="66" spans="1:9" ht="15" customHeight="1" x14ac:dyDescent="0.45">
      <c r="A66" s="73"/>
      <c r="C66" s="88"/>
      <c r="D66" s="88"/>
      <c r="E66" s="90">
        <f>F66-0.5%</f>
        <v>2.5000000000000001E-2</v>
      </c>
      <c r="F66" s="90">
        <f>G66-0.5%</f>
        <v>3.0000000000000002E-2</v>
      </c>
      <c r="G66" s="90">
        <v>3.5000000000000003E-2</v>
      </c>
      <c r="H66" s="90">
        <f>G66+0.5%</f>
        <v>0.04</v>
      </c>
      <c r="I66" s="90">
        <f>H66+0.5%</f>
        <v>4.4999999999999998E-2</v>
      </c>
    </row>
    <row r="67" spans="1:9" ht="15" customHeight="1" x14ac:dyDescent="0.45">
      <c r="A67" s="73"/>
      <c r="C67" s="88"/>
      <c r="D67" s="90">
        <f>D68+0.5%</f>
        <v>9.1500000000000012E-2</v>
      </c>
      <c r="E67" s="88"/>
      <c r="F67" s="88"/>
      <c r="G67" s="88"/>
      <c r="H67" s="88"/>
      <c r="I67" s="88"/>
    </row>
    <row r="68" spans="1:9" ht="15" customHeight="1" x14ac:dyDescent="0.45">
      <c r="A68" s="73"/>
      <c r="C68" s="88"/>
      <c r="D68" s="90">
        <f>D69+0.5%</f>
        <v>8.6500000000000007E-2</v>
      </c>
      <c r="E68" s="88"/>
      <c r="F68" s="88"/>
      <c r="G68" s="88"/>
      <c r="H68" s="88"/>
      <c r="I68" s="88"/>
    </row>
    <row r="69" spans="1:9" ht="15" customHeight="1" x14ac:dyDescent="0.45">
      <c r="A69" s="73"/>
      <c r="C69" s="91" t="s">
        <v>20</v>
      </c>
      <c r="D69" s="90">
        <v>8.1500000000000003E-2</v>
      </c>
      <c r="E69" s="88"/>
      <c r="F69" s="88"/>
      <c r="G69" s="88"/>
      <c r="H69" s="88"/>
      <c r="I69" s="88"/>
    </row>
    <row r="70" spans="1:9" ht="15" customHeight="1" x14ac:dyDescent="0.45">
      <c r="A70" s="73"/>
      <c r="C70" s="88"/>
      <c r="D70" s="90">
        <f>D69-0.5%</f>
        <v>7.6499999999999999E-2</v>
      </c>
      <c r="E70" s="88"/>
      <c r="F70" s="88"/>
      <c r="G70" s="88"/>
      <c r="H70" s="88"/>
      <c r="I70" s="88"/>
    </row>
    <row r="71" spans="1:9" ht="15" customHeight="1" x14ac:dyDescent="0.45">
      <c r="A71" s="73"/>
      <c r="C71" s="88"/>
      <c r="D71" s="90">
        <f>D70-0.5%</f>
        <v>7.1499999999999994E-2</v>
      </c>
      <c r="E71" s="88"/>
      <c r="F71" s="88"/>
      <c r="G71" s="88"/>
      <c r="H71" s="88"/>
      <c r="I71" s="88"/>
    </row>
    <row r="72" spans="1:9" ht="15" customHeight="1" x14ac:dyDescent="0.45">
      <c r="A72" s="73"/>
    </row>
    <row r="73" spans="1:9" ht="15" customHeight="1" x14ac:dyDescent="0.45">
      <c r="C73" s="92" t="s">
        <v>82</v>
      </c>
    </row>
    <row r="74" spans="1:9" ht="15" customHeight="1" x14ac:dyDescent="0.45">
      <c r="A74" s="73"/>
      <c r="C74" s="88"/>
      <c r="D74" s="88"/>
      <c r="G74" s="89" t="s">
        <v>77</v>
      </c>
      <c r="H74" s="88"/>
      <c r="I74" s="88"/>
    </row>
    <row r="75" spans="1:9" ht="15" customHeight="1" x14ac:dyDescent="0.45">
      <c r="A75" s="73"/>
      <c r="C75" s="88"/>
      <c r="D75" s="88"/>
      <c r="E75" s="90">
        <f>F75-0.5%</f>
        <v>2.5000000000000001E-2</v>
      </c>
      <c r="F75" s="90">
        <f>G75-0.5%</f>
        <v>3.0000000000000002E-2</v>
      </c>
      <c r="G75" s="90">
        <v>3.5000000000000003E-2</v>
      </c>
      <c r="H75" s="90">
        <f>G75+0.5%</f>
        <v>0.04</v>
      </c>
      <c r="I75" s="90">
        <f>H75+0.5%</f>
        <v>4.4999999999999998E-2</v>
      </c>
    </row>
    <row r="76" spans="1:9" ht="15" customHeight="1" x14ac:dyDescent="0.45">
      <c r="A76" s="73"/>
      <c r="C76" s="88"/>
      <c r="D76" s="90">
        <f>D77+0.5%</f>
        <v>9.1500000000000012E-2</v>
      </c>
      <c r="E76" s="88"/>
      <c r="F76" s="88"/>
      <c r="G76" s="88"/>
      <c r="H76" s="88"/>
      <c r="I76" s="88"/>
    </row>
    <row r="77" spans="1:9" ht="15" customHeight="1" x14ac:dyDescent="0.45">
      <c r="A77" s="73"/>
      <c r="C77" s="88"/>
      <c r="D77" s="90">
        <f>D78+0.5%</f>
        <v>8.6500000000000007E-2</v>
      </c>
      <c r="E77" s="88"/>
      <c r="F77" s="88"/>
      <c r="G77" s="88"/>
      <c r="H77" s="88"/>
      <c r="I77" s="88"/>
    </row>
    <row r="78" spans="1:9" ht="15" customHeight="1" x14ac:dyDescent="0.45">
      <c r="A78" s="73"/>
      <c r="C78" s="91" t="s">
        <v>20</v>
      </c>
      <c r="D78" s="90">
        <v>8.1500000000000003E-2</v>
      </c>
      <c r="E78" s="88"/>
      <c r="F78" s="88"/>
      <c r="G78" s="88"/>
      <c r="H78" s="88"/>
      <c r="I78" s="88"/>
    </row>
    <row r="79" spans="1:9" ht="15" customHeight="1" x14ac:dyDescent="0.45">
      <c r="A79" s="73"/>
      <c r="C79" s="88"/>
      <c r="D79" s="90">
        <f>D78-0.5%</f>
        <v>7.6499999999999999E-2</v>
      </c>
      <c r="E79" s="88"/>
      <c r="F79" s="88"/>
      <c r="G79" s="88"/>
      <c r="H79" s="88"/>
      <c r="I79" s="88"/>
    </row>
    <row r="80" spans="1:9" ht="15" customHeight="1" x14ac:dyDescent="0.45">
      <c r="A80" s="73"/>
      <c r="C80" s="88"/>
      <c r="D80" s="90">
        <f>D79-0.5%</f>
        <v>7.1499999999999994E-2</v>
      </c>
      <c r="E80" s="88"/>
      <c r="F80" s="88"/>
      <c r="G80" s="88"/>
      <c r="H80" s="88"/>
      <c r="I80" s="88"/>
    </row>
    <row r="81" spans="1:7" ht="15" customHeight="1" x14ac:dyDescent="0.45">
      <c r="A81" s="73"/>
      <c r="C81" s="88"/>
      <c r="E81" s="69"/>
      <c r="F81" s="69"/>
      <c r="G81" s="69"/>
    </row>
    <row r="82" spans="1:7" ht="15" customHeight="1" x14ac:dyDescent="0.45">
      <c r="A82" s="16" t="s">
        <v>75</v>
      </c>
      <c r="C82" s="72"/>
      <c r="E82" s="69"/>
      <c r="F82" s="69"/>
      <c r="G82" s="69"/>
    </row>
    <row r="83" spans="1:7" ht="15" customHeight="1" x14ac:dyDescent="0.45">
      <c r="A83" s="73"/>
      <c r="E83" s="69"/>
      <c r="F83" s="69"/>
      <c r="G83" s="69"/>
    </row>
    <row r="84" spans="1:7" ht="15" customHeight="1" x14ac:dyDescent="0.45">
      <c r="A84" s="73"/>
    </row>
    <row r="92" spans="1:7" ht="15" customHeight="1" x14ac:dyDescent="0.45">
      <c r="A92" s="73"/>
    </row>
    <row r="93" spans="1:7" ht="15" customHeight="1" x14ac:dyDescent="0.45">
      <c r="A93" s="73"/>
    </row>
    <row r="94" spans="1:7" ht="15" customHeight="1" x14ac:dyDescent="0.45">
      <c r="A94" s="73"/>
    </row>
    <row r="95" spans="1:7" ht="15" customHeight="1" x14ac:dyDescent="0.45">
      <c r="A95" s="73"/>
    </row>
    <row r="96" spans="1:7" ht="15" customHeight="1" x14ac:dyDescent="0.45">
      <c r="A96" s="73"/>
    </row>
    <row r="97" spans="1:6" ht="15" customHeight="1" x14ac:dyDescent="0.45">
      <c r="A97" s="73"/>
    </row>
    <row r="98" spans="1:6" ht="15" customHeight="1" x14ac:dyDescent="0.45">
      <c r="A98" s="73"/>
    </row>
    <row r="99" spans="1:6" ht="15" customHeight="1" x14ac:dyDescent="0.45">
      <c r="A99" s="73"/>
    </row>
    <row r="100" spans="1:6" ht="15" customHeight="1" x14ac:dyDescent="0.45">
      <c r="A100" s="73"/>
    </row>
    <row r="101" spans="1:6" ht="15" customHeight="1" x14ac:dyDescent="0.45">
      <c r="A101" s="73"/>
    </row>
    <row r="102" spans="1:6" ht="15" customHeight="1" x14ac:dyDescent="0.45">
      <c r="A102" s="73"/>
    </row>
    <row r="103" spans="1:6" ht="15" customHeight="1" x14ac:dyDescent="0.45">
      <c r="A103" s="73"/>
    </row>
    <row r="104" spans="1:6" ht="15" customHeight="1" x14ac:dyDescent="0.45">
      <c r="A104" s="73"/>
    </row>
    <row r="105" spans="1:6" ht="15" customHeight="1" x14ac:dyDescent="0.45">
      <c r="A105" s="73"/>
      <c r="C105" s="62"/>
      <c r="D105" s="62"/>
      <c r="E105" s="62"/>
      <c r="F105" s="62"/>
    </row>
    <row r="106" spans="1:6" ht="15" customHeight="1" x14ac:dyDescent="0.45">
      <c r="A106" s="73"/>
    </row>
    <row r="107" spans="1:6" ht="15" customHeight="1" x14ac:dyDescent="0.45">
      <c r="A107" s="73"/>
    </row>
    <row r="108" spans="1:6" ht="15" customHeight="1" x14ac:dyDescent="0.45">
      <c r="A108" s="73"/>
    </row>
    <row r="109" spans="1:6" ht="15" customHeight="1" x14ac:dyDescent="0.45">
      <c r="A109" s="73"/>
    </row>
    <row r="110" spans="1:6" ht="15" customHeight="1" x14ac:dyDescent="0.45">
      <c r="A110" s="73"/>
    </row>
    <row r="111" spans="1:6" ht="15" customHeight="1" x14ac:dyDescent="0.45">
      <c r="A111" s="73"/>
    </row>
    <row r="112" spans="1:6" ht="15" customHeight="1" x14ac:dyDescent="0.45">
      <c r="A112" s="73"/>
    </row>
    <row r="113" spans="1:6" ht="15" customHeight="1" x14ac:dyDescent="0.45">
      <c r="A113" s="73"/>
    </row>
    <row r="115" spans="1:6" ht="15" customHeight="1" x14ac:dyDescent="0.45">
      <c r="A115"/>
    </row>
    <row r="116" spans="1:6" ht="15" customHeight="1" x14ac:dyDescent="0.45">
      <c r="A116"/>
    </row>
    <row r="117" spans="1:6" ht="15" customHeight="1" x14ac:dyDescent="0.45">
      <c r="A117"/>
    </row>
    <row r="118" spans="1:6" ht="15" customHeight="1" x14ac:dyDescent="0.45">
      <c r="A118"/>
      <c r="C118" s="66"/>
    </row>
    <row r="119" spans="1:6" ht="15" customHeight="1" x14ac:dyDescent="0.45">
      <c r="A119"/>
      <c r="C119" s="61"/>
    </row>
    <row r="120" spans="1:6" ht="15" customHeight="1" x14ac:dyDescent="0.45">
      <c r="A120"/>
      <c r="C120" s="61"/>
    </row>
    <row r="121" spans="1:6" ht="15" customHeight="1" x14ac:dyDescent="0.45">
      <c r="A121"/>
    </row>
    <row r="122" spans="1:6" ht="15" customHeight="1" x14ac:dyDescent="0.45">
      <c r="A122"/>
    </row>
    <row r="123" spans="1:6" ht="15" customHeight="1" x14ac:dyDescent="0.45">
      <c r="A123"/>
    </row>
    <row r="124" spans="1:6" ht="15" customHeight="1" x14ac:dyDescent="0.45">
      <c r="A124"/>
    </row>
    <row r="125" spans="1:6" ht="15" customHeight="1" x14ac:dyDescent="0.45">
      <c r="A125"/>
      <c r="C125" s="1"/>
      <c r="D125" s="1"/>
      <c r="E125" s="1"/>
      <c r="F125" s="1"/>
    </row>
    <row r="126" spans="1:6" ht="15" customHeight="1" x14ac:dyDescent="0.45">
      <c r="A126"/>
    </row>
    <row r="127" spans="1:6" ht="15" customHeight="1" x14ac:dyDescent="0.45">
      <c r="A127"/>
    </row>
    <row r="128" spans="1:6" ht="15" customHeight="1" x14ac:dyDescent="0.45">
      <c r="A128"/>
      <c r="C128" s="62"/>
      <c r="D128" s="62"/>
      <c r="E128" s="62"/>
      <c r="F128" s="62"/>
    </row>
    <row r="129" spans="1:3" ht="15" customHeight="1" x14ac:dyDescent="0.45">
      <c r="A129"/>
    </row>
    <row r="130" spans="1:3" ht="15" customHeight="1" x14ac:dyDescent="0.45">
      <c r="A130"/>
    </row>
    <row r="131" spans="1:3" ht="15" customHeight="1" x14ac:dyDescent="0.45">
      <c r="A131"/>
    </row>
    <row r="132" spans="1:3" ht="15" customHeight="1" x14ac:dyDescent="0.45">
      <c r="A132"/>
    </row>
    <row r="133" spans="1:3" ht="15" customHeight="1" x14ac:dyDescent="0.45">
      <c r="A133"/>
    </row>
    <row r="134" spans="1:3" ht="15" customHeight="1" x14ac:dyDescent="0.45">
      <c r="A134"/>
    </row>
    <row r="135" spans="1:3" ht="15" customHeight="1" x14ac:dyDescent="0.45">
      <c r="A135"/>
    </row>
    <row r="136" spans="1:3" ht="15" customHeight="1" x14ac:dyDescent="0.45">
      <c r="A136"/>
    </row>
    <row r="137" spans="1:3" ht="15" customHeight="1" x14ac:dyDescent="0.45">
      <c r="A137" s="65"/>
    </row>
    <row r="138" spans="1:3" ht="15" customHeight="1" x14ac:dyDescent="0.45">
      <c r="A138"/>
    </row>
    <row r="139" spans="1:3" ht="15" customHeight="1" x14ac:dyDescent="0.45">
      <c r="A139"/>
    </row>
    <row r="140" spans="1:3" ht="15" customHeight="1" x14ac:dyDescent="0.45">
      <c r="A140"/>
    </row>
    <row r="141" spans="1:3" ht="15" customHeight="1" x14ac:dyDescent="0.45">
      <c r="A141"/>
    </row>
    <row r="142" spans="1:3" ht="15" customHeight="1" x14ac:dyDescent="0.45">
      <c r="A142"/>
      <c r="C142" s="64"/>
    </row>
    <row r="143" spans="1:3" ht="15" customHeight="1" x14ac:dyDescent="0.45">
      <c r="A143"/>
      <c r="C143" s="64"/>
    </row>
    <row r="144" spans="1:3" ht="15" customHeight="1" x14ac:dyDescent="0.45">
      <c r="A144"/>
      <c r="C144" s="64"/>
    </row>
    <row r="145" spans="1:3" ht="15" customHeight="1" x14ac:dyDescent="0.45">
      <c r="A145"/>
      <c r="C145" s="64"/>
    </row>
    <row r="146" spans="1:3" ht="15" customHeight="1" x14ac:dyDescent="0.45">
      <c r="A146"/>
      <c r="C146" s="64"/>
    </row>
    <row r="147" spans="1:3" ht="15" customHeight="1" x14ac:dyDescent="0.45">
      <c r="A147"/>
    </row>
    <row r="148" spans="1:3" ht="15" customHeight="1" x14ac:dyDescent="0.45">
      <c r="A148"/>
      <c r="B148" s="63"/>
    </row>
    <row r="149" spans="1:3" ht="15" customHeight="1" x14ac:dyDescent="0.45">
      <c r="A149"/>
      <c r="C149" s="67"/>
    </row>
    <row r="150" spans="1:3" ht="15" customHeight="1" x14ac:dyDescent="0.45">
      <c r="A150"/>
    </row>
    <row r="151" spans="1:3" ht="15" customHeight="1" x14ac:dyDescent="0.45">
      <c r="A151"/>
      <c r="B151" s="63"/>
    </row>
    <row r="152" spans="1:3" ht="15" customHeight="1" x14ac:dyDescent="0.45">
      <c r="A152"/>
      <c r="C152" s="61"/>
    </row>
    <row r="153" spans="1:3" ht="15" customHeight="1" x14ac:dyDescent="0.45">
      <c r="A153"/>
      <c r="C153" s="62"/>
    </row>
    <row r="154" spans="1:3" ht="15" customHeight="1" x14ac:dyDescent="0.45">
      <c r="A154"/>
    </row>
    <row r="155" spans="1:3" ht="15" customHeight="1" x14ac:dyDescent="0.45">
      <c r="A155"/>
      <c r="C155" s="67"/>
    </row>
    <row r="156" spans="1:3" ht="15" customHeight="1" x14ac:dyDescent="0.45">
      <c r="A156"/>
    </row>
    <row r="157" spans="1:3" ht="15" customHeight="1" x14ac:dyDescent="0.45">
      <c r="A157"/>
    </row>
    <row r="158" spans="1:3" ht="15" customHeight="1" x14ac:dyDescent="0.45">
      <c r="A158" s="65"/>
    </row>
    <row r="159" spans="1:3" ht="15" customHeight="1" x14ac:dyDescent="0.45">
      <c r="A159"/>
    </row>
    <row r="160" spans="1:3" ht="15" customHeight="1" x14ac:dyDescent="0.45">
      <c r="A160"/>
    </row>
    <row r="161" spans="1:5" ht="15" customHeight="1" x14ac:dyDescent="0.45">
      <c r="A161"/>
      <c r="C161" s="64"/>
    </row>
    <row r="162" spans="1:5" ht="15" customHeight="1" x14ac:dyDescent="0.45">
      <c r="A162"/>
      <c r="C162" s="64"/>
    </row>
    <row r="163" spans="1:5" ht="15" customHeight="1" x14ac:dyDescent="0.45">
      <c r="A163"/>
      <c r="C163" s="64"/>
    </row>
    <row r="164" spans="1:5" ht="15" customHeight="1" x14ac:dyDescent="0.45">
      <c r="A164"/>
      <c r="C164" s="64"/>
    </row>
    <row r="165" spans="1:5" ht="15" customHeight="1" x14ac:dyDescent="0.45">
      <c r="A165"/>
      <c r="C165" s="64"/>
    </row>
    <row r="166" spans="1:5" ht="15" customHeight="1" x14ac:dyDescent="0.45">
      <c r="A166"/>
    </row>
    <row r="167" spans="1:5" ht="15" customHeight="1" x14ac:dyDescent="0.45">
      <c r="A167"/>
      <c r="C167" s="60"/>
      <c r="D167" s="62"/>
      <c r="E167" s="62"/>
    </row>
    <row r="168" spans="1:5" ht="15" customHeight="1" x14ac:dyDescent="0.45">
      <c r="A168"/>
      <c r="C168" s="60"/>
      <c r="D168" s="62"/>
      <c r="E168" s="62"/>
    </row>
    <row r="169" spans="1:5" ht="15" customHeight="1" x14ac:dyDescent="0.45">
      <c r="A169"/>
      <c r="C169" s="60"/>
      <c r="D169" s="62"/>
      <c r="E169" s="62"/>
    </row>
    <row r="170" spans="1:5" ht="15" customHeight="1" x14ac:dyDescent="0.45">
      <c r="A170"/>
      <c r="C170" s="60"/>
      <c r="D170" s="62"/>
      <c r="E170" s="62"/>
    </row>
    <row r="171" spans="1:5" ht="15" customHeight="1" x14ac:dyDescent="0.45">
      <c r="A171"/>
    </row>
    <row r="172" spans="1:5" ht="15" customHeight="1" x14ac:dyDescent="0.45">
      <c r="A172"/>
    </row>
    <row r="173" spans="1:5" ht="15" customHeight="1" x14ac:dyDescent="0.45">
      <c r="A173"/>
      <c r="C173" s="62"/>
    </row>
    <row r="174" spans="1:5" ht="15" customHeight="1" x14ac:dyDescent="0.45">
      <c r="A174"/>
    </row>
    <row r="175" spans="1:5" ht="15" customHeight="1" x14ac:dyDescent="0.45">
      <c r="A175" s="65"/>
    </row>
    <row r="176" spans="1:5" ht="15" customHeight="1" x14ac:dyDescent="0.45">
      <c r="A176"/>
    </row>
    <row r="177" spans="1:4" ht="15" customHeight="1" x14ac:dyDescent="0.45">
      <c r="A177"/>
    </row>
    <row r="178" spans="1:4" ht="15" customHeight="1" x14ac:dyDescent="0.45">
      <c r="A178"/>
    </row>
    <row r="179" spans="1:4" ht="15" customHeight="1" x14ac:dyDescent="0.45">
      <c r="A179"/>
      <c r="C179" s="60"/>
      <c r="D179" s="68"/>
    </row>
    <row r="180" spans="1:4" ht="15" customHeight="1" x14ac:dyDescent="0.45">
      <c r="A180"/>
      <c r="C180" s="60"/>
      <c r="D180" s="68"/>
    </row>
    <row r="181" spans="1:4" ht="15" customHeight="1" x14ac:dyDescent="0.45">
      <c r="A181"/>
      <c r="C181" s="60"/>
      <c r="D181" s="68"/>
    </row>
    <row r="182" spans="1:4" ht="15" customHeight="1" x14ac:dyDescent="0.45">
      <c r="A182"/>
    </row>
    <row r="183" spans="1:4" ht="15" customHeight="1" x14ac:dyDescent="0.45">
      <c r="A183"/>
    </row>
    <row r="184" spans="1:4" ht="15" customHeight="1" x14ac:dyDescent="0.45">
      <c r="A184"/>
    </row>
    <row r="185" spans="1:4" ht="15" customHeight="1" x14ac:dyDescent="0.45">
      <c r="A185"/>
    </row>
    <row r="186" spans="1:4" ht="15" customHeight="1" x14ac:dyDescent="0.45">
      <c r="A186"/>
    </row>
    <row r="187" spans="1:4" ht="15" customHeight="1" x14ac:dyDescent="0.45">
      <c r="A187"/>
    </row>
    <row r="188" spans="1:4" ht="15" customHeight="1" x14ac:dyDescent="0.45">
      <c r="A188"/>
      <c r="C188" s="60"/>
    </row>
    <row r="189" spans="1:4" ht="15" customHeight="1" x14ac:dyDescent="0.45">
      <c r="A189"/>
      <c r="C189" s="60"/>
    </row>
    <row r="190" spans="1:4" ht="15" customHeight="1" x14ac:dyDescent="0.45">
      <c r="A190"/>
      <c r="C190" s="60"/>
    </row>
    <row r="191" spans="1:4" ht="15" customHeight="1" x14ac:dyDescent="0.45">
      <c r="A191"/>
    </row>
    <row r="192" spans="1:4" ht="15" customHeight="1" x14ac:dyDescent="0.45">
      <c r="A192"/>
    </row>
    <row r="193" spans="1:4" ht="15" customHeight="1" x14ac:dyDescent="0.45">
      <c r="A193" s="65"/>
    </row>
    <row r="194" spans="1:4" ht="15" customHeight="1" x14ac:dyDescent="0.45">
      <c r="A194"/>
    </row>
    <row r="195" spans="1:4" ht="15" customHeight="1" x14ac:dyDescent="0.45">
      <c r="A195"/>
    </row>
    <row r="196" spans="1:4" ht="27.4" customHeight="1" x14ac:dyDescent="0.45">
      <c r="A196"/>
      <c r="D196" s="69"/>
    </row>
    <row r="197" spans="1:4" ht="15" customHeight="1" x14ac:dyDescent="0.45">
      <c r="A197"/>
      <c r="C197" s="60"/>
      <c r="D197" s="68"/>
    </row>
    <row r="198" spans="1:4" ht="15" customHeight="1" x14ac:dyDescent="0.45">
      <c r="A198"/>
      <c r="C198" s="60"/>
      <c r="D198" s="68"/>
    </row>
    <row r="199" spans="1:4" ht="15" customHeight="1" x14ac:dyDescent="0.45">
      <c r="A199"/>
      <c r="C199" s="60"/>
      <c r="D199" s="68"/>
    </row>
    <row r="200" spans="1:4" ht="15" customHeight="1" x14ac:dyDescent="0.45">
      <c r="A200"/>
      <c r="C200" s="60"/>
      <c r="D200" s="70"/>
    </row>
    <row r="201" spans="1:4" ht="15" customHeight="1" x14ac:dyDescent="0.45">
      <c r="A201"/>
    </row>
    <row r="202" spans="1:4" ht="15" customHeight="1" x14ac:dyDescent="0.45">
      <c r="A202"/>
    </row>
    <row r="203" spans="1:4" ht="15" customHeight="1" x14ac:dyDescent="0.45">
      <c r="A203"/>
    </row>
    <row r="204" spans="1:4" ht="15" customHeight="1" x14ac:dyDescent="0.45">
      <c r="A204"/>
    </row>
    <row r="205" spans="1:4" ht="15" customHeight="1" x14ac:dyDescent="0.45">
      <c r="A205"/>
    </row>
    <row r="206" spans="1:4" ht="15" customHeight="1" x14ac:dyDescent="0.45">
      <c r="A206"/>
    </row>
    <row r="207" spans="1:4" ht="15" customHeight="1" x14ac:dyDescent="0.45">
      <c r="A207"/>
    </row>
    <row r="208" spans="1:4" ht="15" customHeight="1" x14ac:dyDescent="0.45">
      <c r="A208"/>
      <c r="C208" s="60"/>
    </row>
    <row r="209" spans="1:3" ht="15" customHeight="1" x14ac:dyDescent="0.45">
      <c r="A209"/>
      <c r="C209" s="60"/>
    </row>
    <row r="210" spans="1:3" ht="15" customHeight="1" x14ac:dyDescent="0.45">
      <c r="A210"/>
      <c r="C210" s="60"/>
    </row>
    <row r="211" spans="1:3" ht="15" customHeight="1" x14ac:dyDescent="0.45">
      <c r="A211"/>
      <c r="C211" s="60"/>
    </row>
    <row r="212" spans="1:3" ht="15" customHeight="1" x14ac:dyDescent="0.45">
      <c r="A212"/>
      <c r="C212" s="60"/>
    </row>
    <row r="213" spans="1:3" ht="15" customHeight="1" x14ac:dyDescent="0.45">
      <c r="A213"/>
    </row>
    <row r="214" spans="1:3" ht="15" customHeight="1" x14ac:dyDescent="0.45">
      <c r="A214"/>
    </row>
    <row r="215" spans="1:3" ht="15" customHeight="1" x14ac:dyDescent="0.45">
      <c r="A215"/>
    </row>
    <row r="216" spans="1:3" ht="15" customHeight="1" x14ac:dyDescent="0.45">
      <c r="A216"/>
    </row>
    <row r="217" spans="1:3" ht="15" customHeight="1" x14ac:dyDescent="0.45">
      <c r="A217" s="65"/>
    </row>
    <row r="218" spans="1:3" ht="15" customHeight="1" x14ac:dyDescent="0.45">
      <c r="A218"/>
    </row>
    <row r="219" spans="1:3" ht="15" customHeight="1" x14ac:dyDescent="0.45">
      <c r="A219"/>
    </row>
    <row r="220" spans="1:3" ht="15" customHeight="1" x14ac:dyDescent="0.45">
      <c r="A220"/>
    </row>
    <row r="221" spans="1:3" ht="15" customHeight="1" x14ac:dyDescent="0.45">
      <c r="A221"/>
    </row>
    <row r="222" spans="1:3" ht="15" customHeight="1" x14ac:dyDescent="0.45">
      <c r="A222"/>
      <c r="C222" s="60"/>
    </row>
    <row r="223" spans="1:3" ht="15" customHeight="1" x14ac:dyDescent="0.45">
      <c r="A223"/>
      <c r="C223" s="60"/>
    </row>
    <row r="224" spans="1:3" ht="15" customHeight="1" x14ac:dyDescent="0.45">
      <c r="A224"/>
      <c r="C224" s="60"/>
    </row>
    <row r="225" spans="1:3" ht="15" customHeight="1" x14ac:dyDescent="0.45">
      <c r="A225"/>
      <c r="C225" s="70"/>
    </row>
    <row r="226" spans="1:3" ht="15" customHeight="1" x14ac:dyDescent="0.45">
      <c r="A226"/>
      <c r="C226" s="70"/>
    </row>
    <row r="227" spans="1:3" ht="15" customHeight="1" x14ac:dyDescent="0.45">
      <c r="A227"/>
    </row>
    <row r="228" spans="1:3" ht="15" customHeight="1" x14ac:dyDescent="0.45">
      <c r="A228"/>
    </row>
    <row r="229" spans="1:3" ht="15" customHeight="1" x14ac:dyDescent="0.45">
      <c r="A229"/>
    </row>
    <row r="230" spans="1:3" ht="15" customHeight="1" x14ac:dyDescent="0.45">
      <c r="A230"/>
    </row>
    <row r="231" spans="1:3" ht="15" customHeight="1" x14ac:dyDescent="0.45">
      <c r="A231"/>
    </row>
    <row r="232" spans="1:3" ht="15" customHeight="1" x14ac:dyDescent="0.45">
      <c r="A232"/>
    </row>
    <row r="233" spans="1:3" ht="15" customHeight="1" x14ac:dyDescent="0.45">
      <c r="A233"/>
    </row>
    <row r="234" spans="1:3" ht="15" customHeight="1" x14ac:dyDescent="0.45">
      <c r="A234"/>
    </row>
    <row r="235" spans="1:3" ht="15" customHeight="1" x14ac:dyDescent="0.45">
      <c r="A235"/>
    </row>
    <row r="236" spans="1:3" ht="15" customHeight="1" x14ac:dyDescent="0.45">
      <c r="A236"/>
    </row>
    <row r="237" spans="1:3" ht="15" customHeight="1" x14ac:dyDescent="0.45">
      <c r="A237"/>
    </row>
    <row r="238" spans="1:3" ht="15" customHeight="1" x14ac:dyDescent="0.45">
      <c r="A238"/>
    </row>
    <row r="239" spans="1:3" ht="15" customHeight="1" x14ac:dyDescent="0.45">
      <c r="A239"/>
    </row>
    <row r="240" spans="1:3" ht="15" customHeight="1" x14ac:dyDescent="0.45">
      <c r="A240"/>
    </row>
    <row r="241" spans="1:1" ht="15" customHeight="1" x14ac:dyDescent="0.45">
      <c r="A241"/>
    </row>
    <row r="242" spans="1:1" ht="15" customHeight="1" x14ac:dyDescent="0.45">
      <c r="A242"/>
    </row>
    <row r="243" spans="1:1" ht="15" customHeight="1" x14ac:dyDescent="0.45">
      <c r="A243"/>
    </row>
    <row r="244" spans="1:1" ht="15" customHeight="1" x14ac:dyDescent="0.45">
      <c r="A244"/>
    </row>
    <row r="245" spans="1:1" ht="15" customHeight="1" x14ac:dyDescent="0.45">
      <c r="A245"/>
    </row>
    <row r="246" spans="1:1" ht="15" customHeight="1" x14ac:dyDescent="0.45">
      <c r="A246"/>
    </row>
    <row r="247" spans="1:1" ht="15" customHeight="1" x14ac:dyDescent="0.45">
      <c r="A247"/>
    </row>
    <row r="248" spans="1:1" ht="15" customHeight="1" x14ac:dyDescent="0.45">
      <c r="A248"/>
    </row>
    <row r="249" spans="1:1" ht="15" customHeight="1" x14ac:dyDescent="0.45">
      <c r="A249"/>
    </row>
    <row r="250" spans="1:1" ht="15" customHeight="1" x14ac:dyDescent="0.45">
      <c r="A250"/>
    </row>
    <row r="251" spans="1:1" ht="15" customHeight="1" x14ac:dyDescent="0.45">
      <c r="A251"/>
    </row>
    <row r="252" spans="1:1" ht="15" customHeight="1" x14ac:dyDescent="0.45">
      <c r="A252"/>
    </row>
    <row r="253" spans="1:1" ht="15" customHeight="1" x14ac:dyDescent="0.45">
      <c r="A253"/>
    </row>
    <row r="254" spans="1:1" ht="15" customHeight="1" x14ac:dyDescent="0.45">
      <c r="A254"/>
    </row>
    <row r="255" spans="1:1" ht="15" customHeight="1" x14ac:dyDescent="0.45">
      <c r="A255"/>
    </row>
    <row r="256" spans="1:1" ht="15" customHeight="1" x14ac:dyDescent="0.45">
      <c r="A256"/>
    </row>
    <row r="257" spans="1:1" ht="15" customHeight="1" x14ac:dyDescent="0.45">
      <c r="A257"/>
    </row>
    <row r="258" spans="1:1" ht="15" customHeight="1" x14ac:dyDescent="0.45">
      <c r="A258"/>
    </row>
    <row r="259" spans="1:1" ht="15" customHeight="1" x14ac:dyDescent="0.45">
      <c r="A259"/>
    </row>
    <row r="260" spans="1:1" ht="15" customHeight="1" x14ac:dyDescent="0.45">
      <c r="A260"/>
    </row>
    <row r="261" spans="1:1" ht="15" customHeight="1" x14ac:dyDescent="0.45">
      <c r="A261"/>
    </row>
    <row r="262" spans="1:1" ht="15" customHeight="1" x14ac:dyDescent="0.45">
      <c r="A262"/>
    </row>
    <row r="263" spans="1:1" ht="15" customHeight="1" x14ac:dyDescent="0.45">
      <c r="A263"/>
    </row>
    <row r="264" spans="1:1" ht="15" customHeight="1" x14ac:dyDescent="0.45">
      <c r="A264"/>
    </row>
    <row r="265" spans="1:1" ht="15" customHeight="1" x14ac:dyDescent="0.45">
      <c r="A265"/>
    </row>
    <row r="266" spans="1:1" ht="15" customHeight="1" x14ac:dyDescent="0.45">
      <c r="A266"/>
    </row>
    <row r="267" spans="1:1" ht="15" customHeight="1" x14ac:dyDescent="0.45">
      <c r="A267"/>
    </row>
    <row r="268" spans="1:1" ht="15" customHeight="1" x14ac:dyDescent="0.45">
      <c r="A268"/>
    </row>
    <row r="269" spans="1:1" ht="15" customHeight="1" x14ac:dyDescent="0.45">
      <c r="A269"/>
    </row>
    <row r="270" spans="1:1" ht="15" customHeight="1" x14ac:dyDescent="0.45">
      <c r="A270"/>
    </row>
    <row r="271" spans="1:1" ht="15" customHeight="1" x14ac:dyDescent="0.45">
      <c r="A271"/>
    </row>
    <row r="272" spans="1:1" ht="15" customHeight="1" x14ac:dyDescent="0.45">
      <c r="A272"/>
    </row>
    <row r="273" spans="1:3" ht="15" customHeight="1" x14ac:dyDescent="0.45">
      <c r="A273"/>
    </row>
    <row r="274" spans="1:3" ht="15" customHeight="1" x14ac:dyDescent="0.45">
      <c r="A274"/>
    </row>
    <row r="275" spans="1:3" ht="15" customHeight="1" x14ac:dyDescent="0.45">
      <c r="A275"/>
    </row>
    <row r="276" spans="1:3" ht="15" customHeight="1" x14ac:dyDescent="0.45">
      <c r="A276"/>
    </row>
    <row r="277" spans="1:3" ht="15" customHeight="1" x14ac:dyDescent="0.45">
      <c r="A277"/>
    </row>
    <row r="278" spans="1:3" ht="15" customHeight="1" x14ac:dyDescent="0.45">
      <c r="A278"/>
    </row>
    <row r="279" spans="1:3" ht="15" customHeight="1" x14ac:dyDescent="0.45">
      <c r="A279"/>
    </row>
    <row r="280" spans="1:3" ht="15" customHeight="1" x14ac:dyDescent="0.45">
      <c r="A280"/>
    </row>
    <row r="281" spans="1:3" ht="15" customHeight="1" x14ac:dyDescent="0.45">
      <c r="A281"/>
      <c r="B281" s="63"/>
    </row>
    <row r="282" spans="1:3" ht="15" customHeight="1" x14ac:dyDescent="0.45">
      <c r="A282"/>
      <c r="C282" s="60"/>
    </row>
    <row r="283" spans="1:3" ht="15" customHeight="1" x14ac:dyDescent="0.45">
      <c r="A283"/>
      <c r="C283" s="60"/>
    </row>
    <row r="284" spans="1:3" ht="15" customHeight="1" x14ac:dyDescent="0.45">
      <c r="A284"/>
      <c r="C284" s="60"/>
    </row>
    <row r="285" spans="1:3" ht="15" customHeight="1" x14ac:dyDescent="0.45">
      <c r="A285"/>
      <c r="C285" s="60"/>
    </row>
    <row r="286" spans="1:3" ht="15" customHeight="1" x14ac:dyDescent="0.45">
      <c r="A286"/>
      <c r="C286" s="60"/>
    </row>
    <row r="287" spans="1:3" ht="15" customHeight="1" x14ac:dyDescent="0.45">
      <c r="A287"/>
      <c r="C287" s="60"/>
    </row>
    <row r="288" spans="1:3" ht="15" customHeight="1" x14ac:dyDescent="0.45">
      <c r="A288"/>
    </row>
    <row r="289" spans="1:3" ht="15" customHeight="1" x14ac:dyDescent="0.45">
      <c r="A289"/>
    </row>
    <row r="290" spans="1:3" ht="15" customHeight="1" x14ac:dyDescent="0.45">
      <c r="A290"/>
    </row>
    <row r="291" spans="1:3" ht="15" customHeight="1" x14ac:dyDescent="0.45">
      <c r="A291"/>
    </row>
    <row r="292" spans="1:3" ht="15" customHeight="1" x14ac:dyDescent="0.45">
      <c r="A292"/>
    </row>
    <row r="293" spans="1:3" ht="15" customHeight="1" x14ac:dyDescent="0.45">
      <c r="A293"/>
      <c r="C293" s="60"/>
    </row>
    <row r="294" spans="1:3" ht="15" customHeight="1" x14ac:dyDescent="0.45">
      <c r="A294"/>
      <c r="C294" s="60"/>
    </row>
    <row r="295" spans="1:3" ht="15" customHeight="1" x14ac:dyDescent="0.45">
      <c r="A295"/>
      <c r="C295" s="60"/>
    </row>
    <row r="296" spans="1:3" ht="15" customHeight="1" x14ac:dyDescent="0.45">
      <c r="A296"/>
      <c r="C296" s="60"/>
    </row>
    <row r="297" spans="1:3" ht="15" customHeight="1" x14ac:dyDescent="0.45">
      <c r="A297"/>
      <c r="C297" s="60"/>
    </row>
    <row r="298" spans="1:3" ht="15" customHeight="1" x14ac:dyDescent="0.45">
      <c r="A298"/>
      <c r="C298" s="60"/>
    </row>
    <row r="299" spans="1:3" ht="15" customHeight="1" x14ac:dyDescent="0.45">
      <c r="A299"/>
      <c r="C299" s="60"/>
    </row>
    <row r="300" spans="1:3" ht="15" customHeight="1" x14ac:dyDescent="0.45">
      <c r="A300"/>
    </row>
    <row r="301" spans="1:3" ht="15" customHeight="1" x14ac:dyDescent="0.45">
      <c r="A301"/>
      <c r="C301" s="60"/>
    </row>
    <row r="302" spans="1:3" ht="15" customHeight="1" x14ac:dyDescent="0.45">
      <c r="A302"/>
    </row>
    <row r="303" spans="1:3" ht="15" customHeight="1" x14ac:dyDescent="0.45">
      <c r="A303"/>
    </row>
    <row r="304" spans="1:3" ht="15" customHeight="1" x14ac:dyDescent="0.45">
      <c r="A304"/>
      <c r="B304" s="63"/>
    </row>
    <row r="305" spans="1:3" ht="15" customHeight="1" x14ac:dyDescent="0.45">
      <c r="A305"/>
      <c r="C305" s="60"/>
    </row>
    <row r="306" spans="1:3" ht="15" customHeight="1" x14ac:dyDescent="0.45">
      <c r="A306"/>
    </row>
    <row r="307" spans="1:3" ht="15" customHeight="1" x14ac:dyDescent="0.45">
      <c r="A307"/>
    </row>
    <row r="308" spans="1:3" ht="15" customHeight="1" x14ac:dyDescent="0.45">
      <c r="A308"/>
    </row>
    <row r="309" spans="1:3" ht="15" customHeight="1" x14ac:dyDescent="0.45">
      <c r="A309"/>
    </row>
    <row r="310" spans="1:3" ht="15" customHeight="1" x14ac:dyDescent="0.45">
      <c r="A310"/>
    </row>
  </sheetData>
  <printOptions horizontalCentered="1" headings="1" gridLines="1"/>
  <pageMargins left="0.11811023622047245" right="0.11811023622047245" top="0.55118110236220474" bottom="0.55118110236220474" header="0.31496062992125984" footer="0.31496062992125984"/>
  <pageSetup paperSize="9" scale="74" fitToHeight="0" orientation="landscape" cellComments="asDisplayed" horizontalDpi="2400" verticalDpi="2400" r:id="rId1"/>
  <headerFooter>
    <oddHeader xml:space="preserve">&amp;R&amp;10&amp;F 
&amp;A
</oddHeader>
    <oddFooter>&amp;L&amp;10© 2018&amp;C&amp;10Page &amp;P of &amp;N&amp;R&amp;G</oddFooter>
  </headerFooter>
  <rowBreaks count="7" manualBreakCount="7">
    <brk id="36" max="10" man="1"/>
    <brk id="113" max="10" man="1"/>
    <brk id="136" max="10" man="1"/>
    <brk id="174" max="10" man="1"/>
    <brk id="215" max="10" man="1"/>
    <brk id="249" max="10" man="1"/>
    <brk id="280" max="10" man="1"/>
  </rowBreaks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05214-57BE-4F7A-A886-51CC9544F0F9}">
  <sheetPr>
    <pageSetUpPr fitToPage="1"/>
  </sheetPr>
  <dimension ref="A1:M199"/>
  <sheetViews>
    <sheetView zoomScaleNormal="10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12.59765625" defaultRowHeight="15" customHeight="1" x14ac:dyDescent="0.45"/>
  <cols>
    <col min="1" max="1" width="1.59765625" customWidth="1"/>
    <col min="2" max="2" width="49.86328125" bestFit="1" customWidth="1"/>
    <col min="3" max="5" width="9.1328125" customWidth="1"/>
    <col min="6" max="6" width="11" bestFit="1" customWidth="1"/>
    <col min="7" max="13" width="9.1328125" customWidth="1"/>
    <col min="14" max="39" width="12.59765625" customWidth="1"/>
  </cols>
  <sheetData>
    <row r="1" spans="1:13" s="46" customFormat="1" ht="45" customHeight="1" x14ac:dyDescent="0.85">
      <c r="A1" s="6" t="str">
        <f>Info!A1</f>
        <v>Advanced Valuation</v>
      </c>
      <c r="B1" s="11"/>
      <c r="C1" s="13" t="s">
        <v>39</v>
      </c>
      <c r="D1" s="13" t="s">
        <v>39</v>
      </c>
      <c r="E1" s="13" t="s">
        <v>39</v>
      </c>
      <c r="F1" s="13" t="s">
        <v>40</v>
      </c>
      <c r="G1" s="13" t="s">
        <v>40</v>
      </c>
      <c r="H1" s="13" t="s">
        <v>40</v>
      </c>
      <c r="I1" s="13" t="s">
        <v>40</v>
      </c>
      <c r="J1" s="13" t="s">
        <v>40</v>
      </c>
      <c r="K1" s="13" t="s">
        <v>40</v>
      </c>
      <c r="L1" s="13" t="s">
        <v>40</v>
      </c>
      <c r="M1" s="13" t="s">
        <v>40</v>
      </c>
    </row>
    <row r="2" spans="1:13" s="35" customFormat="1" ht="30" customHeight="1" x14ac:dyDescent="0.65">
      <c r="A2" s="15" t="str">
        <f>DCF!A2</f>
        <v>Keurig Dr Pepper</v>
      </c>
      <c r="B2" s="8"/>
      <c r="C2" s="12">
        <f>DATE(YEAR(D2)-1,MONTH(D2),DAY(D2))</f>
        <v>44196</v>
      </c>
      <c r="D2" s="12">
        <f>DATE(YEAR(E2)-1,MONTH(E2),DAY(E2))</f>
        <v>44561</v>
      </c>
      <c r="E2" s="12">
        <f>Info!N6</f>
        <v>44926</v>
      </c>
      <c r="F2" s="12">
        <f>DATE(YEAR(E2)+1,MONTH(E2),DAY(E2))</f>
        <v>45291</v>
      </c>
      <c r="G2" s="12">
        <f>DATE(YEAR(F2)+1,MONTH(F2),DAY(F2))</f>
        <v>45657</v>
      </c>
      <c r="H2" s="12">
        <f>DATE(YEAR(G2)+1,MONTH(G2),DAY(G2))</f>
        <v>46022</v>
      </c>
      <c r="I2" s="12">
        <f>DATE(YEAR(H2)+1,MONTH(H2),DAY(H2))</f>
        <v>46387</v>
      </c>
      <c r="J2" s="12">
        <f>DATE(YEAR(I2)+1,MONTH(I2),DAY(I2))</f>
        <v>46752</v>
      </c>
      <c r="K2" s="12">
        <f t="shared" ref="K2:M2" si="0">DATE(YEAR(J2)+1,MONTH(J2),DAY(J2))</f>
        <v>47118</v>
      </c>
      <c r="L2" s="12">
        <f t="shared" si="0"/>
        <v>47483</v>
      </c>
      <c r="M2" s="12">
        <f t="shared" si="0"/>
        <v>47848</v>
      </c>
    </row>
    <row r="3" spans="1:13" ht="15" customHeight="1" x14ac:dyDescent="0.45">
      <c r="A3" s="73"/>
    </row>
    <row r="4" spans="1:13" ht="15" customHeight="1" x14ac:dyDescent="0.45">
      <c r="A4" s="73" t="s">
        <v>81</v>
      </c>
    </row>
    <row r="5" spans="1:13" ht="15" customHeight="1" x14ac:dyDescent="0.45">
      <c r="A5" s="73"/>
    </row>
    <row r="6" spans="1:13" ht="15" customHeight="1" x14ac:dyDescent="0.45">
      <c r="A6" s="73" t="s">
        <v>43</v>
      </c>
    </row>
    <row r="7" spans="1:13" ht="15" customHeight="1" x14ac:dyDescent="0.45">
      <c r="A7" s="73"/>
      <c r="B7" s="74" t="s">
        <v>48</v>
      </c>
      <c r="D7" s="77"/>
      <c r="E7" s="77">
        <f>+E16/D16-1</f>
        <v>0.1083339903808247</v>
      </c>
      <c r="F7" s="71">
        <v>6.9000000000000006E-2</v>
      </c>
      <c r="G7" s="71">
        <v>4.4999999999999998E-2</v>
      </c>
      <c r="H7" s="71">
        <v>4.2999999999999997E-2</v>
      </c>
      <c r="I7" s="71">
        <v>0.04</v>
      </c>
      <c r="J7" s="71">
        <v>0.04</v>
      </c>
      <c r="K7" s="71">
        <v>0.04</v>
      </c>
      <c r="L7" s="71">
        <v>0.04</v>
      </c>
      <c r="M7" s="71">
        <v>3.5000000000000003E-2</v>
      </c>
    </row>
    <row r="8" spans="1:13" ht="15" customHeight="1" x14ac:dyDescent="0.45">
      <c r="A8" s="73"/>
      <c r="B8" s="74" t="s">
        <v>44</v>
      </c>
      <c r="D8" s="77"/>
      <c r="E8" s="77">
        <f>+E17/E16</f>
        <v>0.27971828982001851</v>
      </c>
      <c r="F8" s="71">
        <v>0.28499999999999998</v>
      </c>
      <c r="G8" s="71">
        <v>0.28699999999999998</v>
      </c>
      <c r="H8" s="71">
        <v>0.28999999999999998</v>
      </c>
      <c r="I8" s="71">
        <v>0.28999999999999998</v>
      </c>
      <c r="J8" s="71">
        <v>0.28999999999999998</v>
      </c>
      <c r="K8" s="71">
        <v>0.28499999999999998</v>
      </c>
      <c r="L8" s="71">
        <v>0.28499999999999998</v>
      </c>
      <c r="M8" s="71">
        <v>0.28499999999999998</v>
      </c>
    </row>
    <row r="9" spans="1:13" ht="15" customHeight="1" x14ac:dyDescent="0.45">
      <c r="A9" s="73"/>
      <c r="B9" s="74" t="s">
        <v>45</v>
      </c>
      <c r="C9" s="62"/>
      <c r="D9" s="62"/>
      <c r="E9" s="62">
        <f>+E24/E16*-1</f>
        <v>2.5112043821583552E-2</v>
      </c>
      <c r="F9" s="76">
        <v>2.5000000000000001E-2</v>
      </c>
      <c r="G9" s="76">
        <v>2.5000000000000001E-2</v>
      </c>
      <c r="H9" s="76">
        <v>2.5000000000000001E-2</v>
      </c>
      <c r="I9" s="76">
        <v>2.5000000000000001E-2</v>
      </c>
      <c r="J9" s="76">
        <v>2.5000000000000001E-2</v>
      </c>
      <c r="K9" s="76">
        <v>2.5000000000000001E-2</v>
      </c>
      <c r="L9" s="76">
        <v>2.5000000000000001E-2</v>
      </c>
      <c r="M9" s="76">
        <v>2.5000000000000001E-2</v>
      </c>
    </row>
    <row r="10" spans="1:13" ht="15" customHeight="1" x14ac:dyDescent="0.45">
      <c r="A10" s="73"/>
      <c r="B10" s="74" t="s">
        <v>49</v>
      </c>
      <c r="C10" s="62"/>
      <c r="D10" s="62"/>
      <c r="E10" s="62">
        <f>+E24/E22*-1</f>
        <v>0.65735567970204845</v>
      </c>
      <c r="F10" s="71">
        <v>0.7</v>
      </c>
      <c r="G10" s="71">
        <v>0.75</v>
      </c>
      <c r="H10" s="71">
        <v>0.8</v>
      </c>
      <c r="I10" s="71">
        <v>0.85</v>
      </c>
      <c r="J10" s="71">
        <v>0.9</v>
      </c>
      <c r="K10" s="71">
        <v>0.95</v>
      </c>
      <c r="L10" s="71">
        <v>1</v>
      </c>
      <c r="M10" s="71">
        <v>1.02</v>
      </c>
    </row>
    <row r="11" spans="1:13" ht="15" customHeight="1" x14ac:dyDescent="0.45">
      <c r="A11" s="73"/>
      <c r="B11" s="74" t="s">
        <v>46</v>
      </c>
      <c r="E11" s="62"/>
      <c r="F11" s="76">
        <v>0.21</v>
      </c>
      <c r="G11" s="76">
        <v>0.21</v>
      </c>
      <c r="H11" s="76">
        <v>0.21</v>
      </c>
      <c r="I11" s="76">
        <v>0.21</v>
      </c>
      <c r="J11" s="76">
        <v>0.21</v>
      </c>
      <c r="K11" s="76">
        <v>0.21</v>
      </c>
      <c r="L11" s="76">
        <v>0.21</v>
      </c>
      <c r="M11" s="76">
        <v>0.21</v>
      </c>
    </row>
    <row r="12" spans="1:13" ht="15" customHeight="1" x14ac:dyDescent="0.45">
      <c r="A12" s="73"/>
      <c r="B12" s="74" t="s">
        <v>47</v>
      </c>
      <c r="E12" s="62">
        <f>+E13/E16</f>
        <v>-0.17130255388774276</v>
      </c>
      <c r="F12" s="76">
        <v>-0.17100000000000001</v>
      </c>
      <c r="G12" s="76">
        <v>-0.17100000000000001</v>
      </c>
      <c r="H12" s="76">
        <v>-0.17100000000000001</v>
      </c>
      <c r="I12" s="76">
        <v>-0.17100000000000001</v>
      </c>
      <c r="J12" s="76">
        <v>-0.17100000000000001</v>
      </c>
      <c r="K12" s="76">
        <v>-0.17100000000000001</v>
      </c>
      <c r="L12" s="76">
        <v>-0.17100000000000001</v>
      </c>
      <c r="M12" s="76">
        <v>-0.17100000000000001</v>
      </c>
    </row>
    <row r="13" spans="1:13" ht="15" customHeight="1" x14ac:dyDescent="0.45">
      <c r="A13" s="73"/>
      <c r="B13" s="74" t="s">
        <v>53</v>
      </c>
      <c r="E13" s="60">
        <f>1484+1314-5206</f>
        <v>-2408</v>
      </c>
      <c r="F13">
        <f>+F12*F16</f>
        <v>0</v>
      </c>
      <c r="G13">
        <f t="shared" ref="G13:M13" si="1">+G12*G16</f>
        <v>0</v>
      </c>
      <c r="H13">
        <f t="shared" si="1"/>
        <v>0</v>
      </c>
      <c r="I13">
        <f t="shared" si="1"/>
        <v>0</v>
      </c>
      <c r="J13">
        <f t="shared" si="1"/>
        <v>0</v>
      </c>
      <c r="K13">
        <f t="shared" si="1"/>
        <v>0</v>
      </c>
      <c r="L13">
        <f t="shared" si="1"/>
        <v>0</v>
      </c>
      <c r="M13">
        <f t="shared" si="1"/>
        <v>0</v>
      </c>
    </row>
    <row r="14" spans="1:13" ht="15" customHeight="1" x14ac:dyDescent="0.45">
      <c r="A14" s="73"/>
    </row>
    <row r="15" spans="1:13" ht="15" customHeight="1" x14ac:dyDescent="0.45">
      <c r="A15" s="73" t="s">
        <v>29</v>
      </c>
      <c r="E15" s="77"/>
    </row>
    <row r="16" spans="1:13" ht="15" customHeight="1" x14ac:dyDescent="0.45">
      <c r="A16" s="73"/>
      <c r="B16" s="74" t="s">
        <v>41</v>
      </c>
      <c r="C16" s="75"/>
      <c r="D16" s="60">
        <f>12683</f>
        <v>12683</v>
      </c>
      <c r="E16" s="60">
        <f>14057</f>
        <v>14057</v>
      </c>
      <c r="F16">
        <f>+DCF!F16</f>
        <v>0</v>
      </c>
      <c r="G16">
        <f>+DCF!G16</f>
        <v>0</v>
      </c>
      <c r="H16">
        <f>+DCF!H16</f>
        <v>0</v>
      </c>
      <c r="I16">
        <f>+DCF!I16</f>
        <v>0</v>
      </c>
      <c r="J16">
        <f>+DCF!J16</f>
        <v>0</v>
      </c>
      <c r="K16">
        <f>+DCF!K16</f>
        <v>0</v>
      </c>
      <c r="L16">
        <f>+DCF!L16</f>
        <v>0</v>
      </c>
      <c r="M16">
        <f>+DCF!M16</f>
        <v>0</v>
      </c>
    </row>
    <row r="17" spans="1:13" ht="15" customHeight="1" x14ac:dyDescent="0.45">
      <c r="A17" s="73"/>
      <c r="B17" s="74" t="s">
        <v>42</v>
      </c>
      <c r="C17" s="60"/>
      <c r="D17" s="60"/>
      <c r="E17">
        <f>E19+E22</f>
        <v>3932</v>
      </c>
      <c r="F17">
        <f>+DCF!F17</f>
        <v>0</v>
      </c>
      <c r="G17">
        <f>+DCF!G17</f>
        <v>0</v>
      </c>
      <c r="H17">
        <f>+DCF!H17</f>
        <v>0</v>
      </c>
      <c r="I17">
        <f>+DCF!I17</f>
        <v>0</v>
      </c>
      <c r="J17">
        <f>+DCF!J17</f>
        <v>0</v>
      </c>
      <c r="K17">
        <f>+DCF!K17</f>
        <v>0</v>
      </c>
      <c r="L17">
        <f>+DCF!L17</f>
        <v>0</v>
      </c>
      <c r="M17">
        <f>+DCF!M17</f>
        <v>0</v>
      </c>
    </row>
    <row r="18" spans="1:13" ht="15" customHeight="1" x14ac:dyDescent="0.45">
      <c r="A18" s="73"/>
    </row>
    <row r="19" spans="1:13" ht="15" customHeight="1" x14ac:dyDescent="0.45">
      <c r="A19" s="16"/>
      <c r="B19" s="74" t="s">
        <v>30</v>
      </c>
      <c r="E19" s="60">
        <f>3538-138-5</f>
        <v>3395</v>
      </c>
      <c r="F19">
        <f>+DCF!F19</f>
        <v>0</v>
      </c>
      <c r="G19">
        <f>+DCF!G19</f>
        <v>0</v>
      </c>
      <c r="H19">
        <f>+DCF!H19</f>
        <v>0</v>
      </c>
      <c r="I19">
        <f>+DCF!I19</f>
        <v>0</v>
      </c>
      <c r="J19">
        <f>+DCF!J19</f>
        <v>0</v>
      </c>
      <c r="K19">
        <f>+DCF!K19</f>
        <v>0</v>
      </c>
      <c r="L19">
        <f>+DCF!L19</f>
        <v>0</v>
      </c>
      <c r="M19">
        <f>+DCF!M19</f>
        <v>0</v>
      </c>
    </row>
    <row r="20" spans="1:13" ht="15" customHeight="1" x14ac:dyDescent="0.45">
      <c r="A20" s="16"/>
      <c r="B20" s="74" t="s">
        <v>31</v>
      </c>
      <c r="F20">
        <f>+DCF!F20</f>
        <v>0</v>
      </c>
      <c r="G20">
        <f>+DCF!G20</f>
        <v>0</v>
      </c>
      <c r="H20">
        <f>+DCF!H20</f>
        <v>0</v>
      </c>
      <c r="I20">
        <f>+DCF!I20</f>
        <v>0</v>
      </c>
      <c r="J20">
        <f>+DCF!J20</f>
        <v>0</v>
      </c>
      <c r="K20">
        <f>+DCF!K20</f>
        <v>0</v>
      </c>
      <c r="L20">
        <f>+DCF!L20</f>
        <v>0</v>
      </c>
      <c r="M20">
        <f>+DCF!M20</f>
        <v>0</v>
      </c>
    </row>
    <row r="21" spans="1:13" s="83" customFormat="1" ht="15" customHeight="1" x14ac:dyDescent="0.45">
      <c r="A21" s="16"/>
      <c r="B21" s="82" t="s">
        <v>28</v>
      </c>
      <c r="F21" s="83">
        <f>SUM(F19:F20)</f>
        <v>0</v>
      </c>
      <c r="G21" s="83">
        <f t="shared" ref="G21:M21" si="2">SUM(G19:G20)</f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3">
        <f t="shared" si="2"/>
        <v>0</v>
      </c>
    </row>
    <row r="22" spans="1:13" ht="15" customHeight="1" x14ac:dyDescent="0.45">
      <c r="A22" s="16"/>
      <c r="B22" s="74" t="s">
        <v>72</v>
      </c>
      <c r="C22" s="75"/>
      <c r="D22" s="75"/>
      <c r="E22" s="60">
        <f>399+138</f>
        <v>537</v>
      </c>
      <c r="F22">
        <f>+DCF!F22</f>
        <v>0</v>
      </c>
      <c r="G22">
        <f>+DCF!G22</f>
        <v>0</v>
      </c>
      <c r="H22">
        <f>+DCF!H22</f>
        <v>0</v>
      </c>
      <c r="I22">
        <f>+DCF!I22</f>
        <v>0</v>
      </c>
      <c r="J22">
        <f>+DCF!J22</f>
        <v>0</v>
      </c>
      <c r="K22">
        <f>+DCF!K22</f>
        <v>0</v>
      </c>
      <c r="L22">
        <f>+DCF!L22</f>
        <v>0</v>
      </c>
      <c r="M22">
        <f>+DCF!M22</f>
        <v>0</v>
      </c>
    </row>
    <row r="23" spans="1:13" ht="15" customHeight="1" x14ac:dyDescent="0.45">
      <c r="A23" s="16"/>
      <c r="B23" s="74" t="s">
        <v>73</v>
      </c>
      <c r="C23" s="60"/>
      <c r="F23">
        <f>+DCF!F23</f>
        <v>0</v>
      </c>
      <c r="G23">
        <f>+DCF!G23</f>
        <v>0</v>
      </c>
      <c r="H23">
        <f>+DCF!H23</f>
        <v>0</v>
      </c>
      <c r="I23">
        <f>+DCF!I23</f>
        <v>0</v>
      </c>
      <c r="J23">
        <f>+DCF!J23</f>
        <v>0</v>
      </c>
      <c r="K23">
        <f>+DCF!K23</f>
        <v>0</v>
      </c>
      <c r="L23">
        <f>+DCF!L23</f>
        <v>0</v>
      </c>
      <c r="M23">
        <f>+DCF!M23</f>
        <v>0</v>
      </c>
    </row>
    <row r="24" spans="1:13" ht="15" customHeight="1" x14ac:dyDescent="0.45">
      <c r="A24" s="16"/>
      <c r="B24" s="74" t="s">
        <v>74</v>
      </c>
      <c r="C24" s="78"/>
      <c r="D24" s="75"/>
      <c r="E24" s="60">
        <v>-353</v>
      </c>
      <c r="F24">
        <f>+DCF!F24</f>
        <v>0</v>
      </c>
      <c r="G24">
        <f>+DCF!G24</f>
        <v>0</v>
      </c>
      <c r="H24">
        <f>+DCF!H24</f>
        <v>0</v>
      </c>
      <c r="I24">
        <f>+DCF!I24</f>
        <v>0</v>
      </c>
      <c r="J24">
        <f>+DCF!J24</f>
        <v>0</v>
      </c>
      <c r="K24">
        <f>+DCF!K24</f>
        <v>0</v>
      </c>
      <c r="L24">
        <f>+DCF!L24</f>
        <v>0</v>
      </c>
      <c r="M24">
        <f>+DCF!M24</f>
        <v>0</v>
      </c>
    </row>
    <row r="25" spans="1:13" s="83" customFormat="1" ht="15" customHeight="1" x14ac:dyDescent="0.45">
      <c r="A25" s="16"/>
      <c r="B25" s="82" t="s">
        <v>29</v>
      </c>
      <c r="C25" s="84"/>
      <c r="F25" s="83">
        <f>SUM(F21:F24)</f>
        <v>0</v>
      </c>
      <c r="G25" s="83">
        <f t="shared" ref="G25:M25" si="3">SUM(G21:G24)</f>
        <v>0</v>
      </c>
      <c r="H25" s="83">
        <f t="shared" si="3"/>
        <v>0</v>
      </c>
      <c r="I25" s="83">
        <f t="shared" si="3"/>
        <v>0</v>
      </c>
      <c r="J25" s="83">
        <f t="shared" si="3"/>
        <v>0</v>
      </c>
      <c r="K25" s="83">
        <f t="shared" si="3"/>
        <v>0</v>
      </c>
      <c r="L25" s="83">
        <f t="shared" si="3"/>
        <v>0</v>
      </c>
      <c r="M25" s="83">
        <f t="shared" si="3"/>
        <v>0</v>
      </c>
    </row>
    <row r="26" spans="1:13" ht="15" customHeight="1" x14ac:dyDescent="0.45">
      <c r="A26" s="16"/>
      <c r="B26" s="74"/>
      <c r="C26" s="60"/>
      <c r="M26" s="77"/>
    </row>
    <row r="27" spans="1:13" ht="15" customHeight="1" x14ac:dyDescent="0.45">
      <c r="A27" s="16"/>
      <c r="B27" s="74" t="s">
        <v>61</v>
      </c>
      <c r="C27" s="60"/>
      <c r="F27">
        <f>+DCF!F27</f>
        <v>0</v>
      </c>
      <c r="G27">
        <f>+DCF!G27</f>
        <v>0</v>
      </c>
      <c r="H27">
        <f>+DCF!H27</f>
        <v>0</v>
      </c>
      <c r="I27">
        <f>+DCF!I27</f>
        <v>0</v>
      </c>
      <c r="J27">
        <f>+DCF!J27</f>
        <v>0</v>
      </c>
      <c r="K27">
        <f>+DCF!K27</f>
        <v>0</v>
      </c>
      <c r="L27">
        <f>+DCF!L27</f>
        <v>0</v>
      </c>
      <c r="M27">
        <f>+DCF!M27</f>
        <v>0</v>
      </c>
    </row>
    <row r="28" spans="1:13" ht="15" customHeight="1" x14ac:dyDescent="0.45">
      <c r="A28" s="16"/>
      <c r="B28" s="74" t="s">
        <v>56</v>
      </c>
      <c r="C28" s="60"/>
      <c r="F28">
        <f>-F24-F22</f>
        <v>0</v>
      </c>
      <c r="G28">
        <f t="shared" ref="G28:M28" si="4">-G24-G22</f>
        <v>0</v>
      </c>
      <c r="H28">
        <f t="shared" si="4"/>
        <v>0</v>
      </c>
      <c r="I28">
        <f t="shared" si="4"/>
        <v>0</v>
      </c>
      <c r="J28">
        <f t="shared" si="4"/>
        <v>0</v>
      </c>
      <c r="K28">
        <f t="shared" si="4"/>
        <v>0</v>
      </c>
      <c r="L28">
        <f t="shared" si="4"/>
        <v>0</v>
      </c>
      <c r="M28">
        <f t="shared" si="4"/>
        <v>0</v>
      </c>
    </row>
    <row r="29" spans="1:13" ht="15" customHeight="1" x14ac:dyDescent="0.45">
      <c r="A29" s="16"/>
      <c r="B29" s="74" t="s">
        <v>57</v>
      </c>
      <c r="C29" s="60"/>
      <c r="F29">
        <f>-F23</f>
        <v>0</v>
      </c>
      <c r="G29">
        <f t="shared" ref="G29:M29" si="5">-G23</f>
        <v>0</v>
      </c>
      <c r="H29">
        <f t="shared" si="5"/>
        <v>0</v>
      </c>
      <c r="I29">
        <f t="shared" si="5"/>
        <v>0</v>
      </c>
      <c r="J29">
        <f t="shared" si="5"/>
        <v>0</v>
      </c>
      <c r="K29">
        <f t="shared" si="5"/>
        <v>0</v>
      </c>
      <c r="L29">
        <f t="shared" si="5"/>
        <v>0</v>
      </c>
      <c r="M29">
        <f t="shared" si="5"/>
        <v>0</v>
      </c>
    </row>
    <row r="30" spans="1:13" ht="15" customHeight="1" x14ac:dyDescent="0.45">
      <c r="A30" s="16"/>
      <c r="B30" s="74" t="s">
        <v>62</v>
      </c>
      <c r="C30" s="60"/>
      <c r="E30" s="60">
        <f>25125+11072+895-535-1000</f>
        <v>35557</v>
      </c>
      <c r="F30">
        <f>SUM(F27:F29)</f>
        <v>0</v>
      </c>
      <c r="G30">
        <f t="shared" ref="G30:M30" si="6">SUM(G27:G29)</f>
        <v>0</v>
      </c>
      <c r="H30">
        <f t="shared" si="6"/>
        <v>0</v>
      </c>
      <c r="I30">
        <f t="shared" si="6"/>
        <v>0</v>
      </c>
      <c r="J30">
        <f t="shared" si="6"/>
        <v>0</v>
      </c>
      <c r="K30">
        <f t="shared" si="6"/>
        <v>0</v>
      </c>
      <c r="L30">
        <f t="shared" si="6"/>
        <v>0</v>
      </c>
      <c r="M30">
        <f t="shared" si="6"/>
        <v>0</v>
      </c>
    </row>
    <row r="31" spans="1:13" ht="15" customHeight="1" x14ac:dyDescent="0.45">
      <c r="A31" s="16"/>
      <c r="B31" s="74"/>
      <c r="C31" s="60"/>
      <c r="M31" s="77"/>
    </row>
    <row r="32" spans="1:13" ht="15" customHeight="1" x14ac:dyDescent="0.45">
      <c r="A32" s="16"/>
      <c r="B32" s="74" t="s">
        <v>58</v>
      </c>
      <c r="C32" s="60"/>
      <c r="F32" s="77">
        <f>+F21/E30</f>
        <v>0</v>
      </c>
      <c r="G32" s="77" t="e">
        <f t="shared" ref="G32:M32" si="7">+G21/F30</f>
        <v>#DIV/0!</v>
      </c>
      <c r="H32" s="77" t="e">
        <f t="shared" si="7"/>
        <v>#DIV/0!</v>
      </c>
      <c r="I32" s="77" t="e">
        <f t="shared" si="7"/>
        <v>#DIV/0!</v>
      </c>
      <c r="J32" s="77" t="e">
        <f t="shared" si="7"/>
        <v>#DIV/0!</v>
      </c>
      <c r="K32" s="77" t="e">
        <f t="shared" si="7"/>
        <v>#DIV/0!</v>
      </c>
      <c r="L32" s="77" t="e">
        <f t="shared" si="7"/>
        <v>#DIV/0!</v>
      </c>
      <c r="M32" s="77" t="e">
        <f t="shared" si="7"/>
        <v>#DIV/0!</v>
      </c>
    </row>
    <row r="33" spans="1:13" ht="15" customHeight="1" x14ac:dyDescent="0.45">
      <c r="A33" s="16"/>
      <c r="B33" s="74" t="s">
        <v>59</v>
      </c>
      <c r="C33" s="60"/>
      <c r="F33" s="77" t="e">
        <f>+F21/F16</f>
        <v>#DIV/0!</v>
      </c>
      <c r="G33" s="77" t="e">
        <f t="shared" ref="G33:M33" si="8">+G21/G16</f>
        <v>#DIV/0!</v>
      </c>
      <c r="H33" s="77" t="e">
        <f t="shared" si="8"/>
        <v>#DIV/0!</v>
      </c>
      <c r="I33" s="77" t="e">
        <f t="shared" si="8"/>
        <v>#DIV/0!</v>
      </c>
      <c r="J33" s="77" t="e">
        <f t="shared" si="8"/>
        <v>#DIV/0!</v>
      </c>
      <c r="K33" s="77" t="e">
        <f t="shared" si="8"/>
        <v>#DIV/0!</v>
      </c>
      <c r="L33" s="77" t="e">
        <f t="shared" si="8"/>
        <v>#DIV/0!</v>
      </c>
      <c r="M33" s="77" t="e">
        <f t="shared" si="8"/>
        <v>#DIV/0!</v>
      </c>
    </row>
    <row r="34" spans="1:13" ht="15" customHeight="1" x14ac:dyDescent="0.45">
      <c r="A34" s="16"/>
      <c r="B34" s="74" t="s">
        <v>60</v>
      </c>
      <c r="C34" s="60"/>
      <c r="F34" s="77">
        <f>+F16/E30</f>
        <v>0</v>
      </c>
      <c r="G34" s="77" t="e">
        <f t="shared" ref="G34:M34" si="9">+G16/F30</f>
        <v>#DIV/0!</v>
      </c>
      <c r="H34" s="77" t="e">
        <f t="shared" si="9"/>
        <v>#DIV/0!</v>
      </c>
      <c r="I34" s="77" t="e">
        <f t="shared" si="9"/>
        <v>#DIV/0!</v>
      </c>
      <c r="J34" s="77" t="e">
        <f t="shared" si="9"/>
        <v>#DIV/0!</v>
      </c>
      <c r="K34" s="77" t="e">
        <f t="shared" si="9"/>
        <v>#DIV/0!</v>
      </c>
      <c r="L34" s="77" t="e">
        <f t="shared" si="9"/>
        <v>#DIV/0!</v>
      </c>
      <c r="M34" s="77" t="e">
        <f t="shared" si="9"/>
        <v>#DIV/0!</v>
      </c>
    </row>
    <row r="35" spans="1:13" ht="15" customHeight="1" x14ac:dyDescent="0.45">
      <c r="A35" s="16"/>
      <c r="B35" s="74"/>
      <c r="C35" s="60"/>
      <c r="F35" s="77"/>
      <c r="M35" s="77"/>
    </row>
    <row r="36" spans="1:13" ht="15.75" x14ac:dyDescent="0.45">
      <c r="A36" s="16" t="s">
        <v>20</v>
      </c>
      <c r="B36" s="74"/>
      <c r="C36" s="60"/>
      <c r="E36" s="79">
        <f>DCF!E36</f>
        <v>8.1500000000000003E-2</v>
      </c>
    </row>
    <row r="37" spans="1:13" ht="15" customHeight="1" x14ac:dyDescent="0.45">
      <c r="A37" s="16"/>
      <c r="B37" s="74"/>
    </row>
    <row r="38" spans="1:13" ht="15" customHeight="1" x14ac:dyDescent="0.45">
      <c r="A38" s="16" t="s">
        <v>22</v>
      </c>
      <c r="B38" s="74"/>
    </row>
    <row r="39" spans="1:13" ht="15" customHeight="1" x14ac:dyDescent="0.45">
      <c r="A39" s="16"/>
      <c r="B39" s="74" t="s">
        <v>26</v>
      </c>
      <c r="E39" s="79">
        <v>0.105</v>
      </c>
    </row>
    <row r="40" spans="1:13" ht="15" customHeight="1" x14ac:dyDescent="0.45">
      <c r="A40" s="16"/>
      <c r="B40" s="74" t="s">
        <v>19</v>
      </c>
      <c r="E40" s="79">
        <v>3.5000000000000003E-2</v>
      </c>
    </row>
    <row r="41" spans="1:13" ht="15" customHeight="1" x14ac:dyDescent="0.45">
      <c r="A41" s="16"/>
      <c r="B41" s="74" t="s">
        <v>63</v>
      </c>
      <c r="M41">
        <f>(M25*(1+E40)/(E36-E40))</f>
        <v>0</v>
      </c>
    </row>
    <row r="42" spans="1:13" ht="15" customHeight="1" x14ac:dyDescent="0.45">
      <c r="A42" s="16"/>
      <c r="B42" s="74" t="s">
        <v>64</v>
      </c>
      <c r="M42">
        <f>((M21*(1+E40)*(1-(E40/E39))))/(E36-E40)</f>
        <v>0</v>
      </c>
    </row>
    <row r="43" spans="1:13" ht="15" customHeight="1" x14ac:dyDescent="0.45">
      <c r="A43" s="16"/>
      <c r="B43" s="74"/>
    </row>
    <row r="44" spans="1:13" ht="15" customHeight="1" x14ac:dyDescent="0.45">
      <c r="A44" s="16" t="s">
        <v>33</v>
      </c>
      <c r="B44" s="74"/>
    </row>
    <row r="45" spans="1:13" ht="15" customHeight="1" x14ac:dyDescent="0.45">
      <c r="A45" s="16"/>
      <c r="B45" s="74" t="s">
        <v>18</v>
      </c>
      <c r="E45" s="87">
        <v>45251</v>
      </c>
    </row>
    <row r="46" spans="1:13" ht="15" customHeight="1" x14ac:dyDescent="0.45">
      <c r="A46" s="16"/>
      <c r="B46" s="74" t="s">
        <v>68</v>
      </c>
      <c r="F46" s="77"/>
      <c r="G46" s="79"/>
      <c r="H46" s="79"/>
      <c r="I46" s="79"/>
      <c r="J46" s="79"/>
      <c r="K46" s="79"/>
      <c r="L46" s="79"/>
      <c r="M46" s="79"/>
    </row>
    <row r="47" spans="1:13" ht="15" customHeight="1" x14ac:dyDescent="0.45">
      <c r="A47" s="16"/>
      <c r="B47" s="74" t="s">
        <v>69</v>
      </c>
      <c r="F47" s="86"/>
      <c r="G47" s="86"/>
      <c r="H47" s="86"/>
      <c r="I47" s="86"/>
      <c r="J47" s="86"/>
      <c r="K47" s="86"/>
      <c r="L47" s="86"/>
      <c r="M47" s="86"/>
    </row>
    <row r="48" spans="1:13" ht="15" customHeight="1" x14ac:dyDescent="0.45">
      <c r="A48" s="16"/>
      <c r="B48" s="74" t="s">
        <v>76</v>
      </c>
      <c r="F48" s="81"/>
      <c r="G48" s="81"/>
      <c r="H48" s="81"/>
      <c r="I48" s="81"/>
      <c r="J48" s="81"/>
      <c r="K48" s="81"/>
      <c r="L48" s="81"/>
      <c r="M48" s="81"/>
    </row>
    <row r="49" spans="1:13" ht="15" customHeight="1" x14ac:dyDescent="0.45">
      <c r="A49" s="65"/>
      <c r="B49" s="74" t="s">
        <v>21</v>
      </c>
      <c r="C49" s="60"/>
      <c r="F49" s="81"/>
      <c r="G49" s="81"/>
      <c r="H49" s="81"/>
      <c r="I49" s="81"/>
      <c r="J49" s="81"/>
      <c r="K49" s="81"/>
      <c r="L49" s="81"/>
      <c r="M49" s="81"/>
    </row>
    <row r="50" spans="1:13" ht="15" customHeight="1" x14ac:dyDescent="0.45">
      <c r="A50" s="16"/>
      <c r="B50" s="74" t="s">
        <v>35</v>
      </c>
      <c r="C50" s="60"/>
    </row>
    <row r="51" spans="1:13" ht="15" customHeight="1" x14ac:dyDescent="0.45">
      <c r="A51" s="16"/>
      <c r="B51" s="74"/>
      <c r="C51" s="60"/>
    </row>
    <row r="52" spans="1:13" ht="15" customHeight="1" x14ac:dyDescent="0.45">
      <c r="A52" s="16"/>
      <c r="B52" s="74"/>
      <c r="C52" s="60"/>
      <c r="E52" s="85" t="s">
        <v>65</v>
      </c>
      <c r="F52" s="85" t="s">
        <v>66</v>
      </c>
    </row>
    <row r="53" spans="1:13" ht="15" customHeight="1" x14ac:dyDescent="0.45">
      <c r="A53" s="16"/>
      <c r="B53" s="74" t="s">
        <v>36</v>
      </c>
      <c r="C53" s="60"/>
      <c r="E53">
        <f>SUM(F50:M50)</f>
        <v>0</v>
      </c>
      <c r="F53">
        <f>+E53</f>
        <v>0</v>
      </c>
    </row>
    <row r="54" spans="1:13" ht="15" customHeight="1" x14ac:dyDescent="0.45">
      <c r="A54" s="16"/>
      <c r="B54" s="74" t="s">
        <v>37</v>
      </c>
      <c r="C54" s="60"/>
      <c r="E54">
        <f>M41*M49</f>
        <v>0</v>
      </c>
      <c r="F54">
        <f>M42*M49</f>
        <v>0</v>
      </c>
    </row>
    <row r="55" spans="1:13" ht="15" customHeight="1" x14ac:dyDescent="0.45">
      <c r="A55" s="16"/>
      <c r="B55" s="74" t="s">
        <v>23</v>
      </c>
      <c r="C55" s="60"/>
      <c r="E55">
        <f>SUM(E53:E54)</f>
        <v>0</v>
      </c>
      <c r="F55">
        <f>SUM(F53:F54)</f>
        <v>0</v>
      </c>
    </row>
    <row r="56" spans="1:13" ht="15" customHeight="1" x14ac:dyDescent="0.45">
      <c r="A56" s="16"/>
      <c r="B56" s="74"/>
      <c r="C56" s="61"/>
    </row>
    <row r="57" spans="1:13" ht="15" customHeight="1" x14ac:dyDescent="0.45">
      <c r="A57" s="16" t="s">
        <v>24</v>
      </c>
      <c r="B57" s="74"/>
      <c r="C57" s="61"/>
    </row>
    <row r="58" spans="1:13" ht="15" customHeight="1" x14ac:dyDescent="0.45">
      <c r="A58" s="16"/>
      <c r="B58" s="74" t="s">
        <v>32</v>
      </c>
      <c r="E58" s="60">
        <v>14387</v>
      </c>
      <c r="F58">
        <f>+E58</f>
        <v>14387</v>
      </c>
    </row>
    <row r="59" spans="1:13" ht="15" customHeight="1" x14ac:dyDescent="0.45">
      <c r="A59" s="16"/>
      <c r="B59" s="74" t="s">
        <v>38</v>
      </c>
      <c r="E59" s="60">
        <v>260</v>
      </c>
      <c r="F59">
        <f t="shared" ref="F59:F60" si="10">+E59</f>
        <v>260</v>
      </c>
    </row>
    <row r="60" spans="1:13" ht="15" customHeight="1" x14ac:dyDescent="0.45">
      <c r="A60" s="16"/>
      <c r="B60" s="74" t="s">
        <v>54</v>
      </c>
      <c r="E60" s="60">
        <v>1336</v>
      </c>
      <c r="F60">
        <f t="shared" si="10"/>
        <v>1336</v>
      </c>
    </row>
    <row r="61" spans="1:13" ht="15" customHeight="1" x14ac:dyDescent="0.45">
      <c r="A61" s="16"/>
      <c r="B61" s="74" t="s">
        <v>24</v>
      </c>
      <c r="E61">
        <f>+E55-E58+E59+E60</f>
        <v>-12791</v>
      </c>
      <c r="F61">
        <f>+F55-F58+F59+F60</f>
        <v>-12791</v>
      </c>
    </row>
    <row r="62" spans="1:13" ht="15" customHeight="1" x14ac:dyDescent="0.45">
      <c r="A62" s="73"/>
      <c r="B62" s="74" t="s">
        <v>50</v>
      </c>
      <c r="E62" s="60">
        <v>1416.5</v>
      </c>
      <c r="F62">
        <f>+E62</f>
        <v>1416.5</v>
      </c>
    </row>
    <row r="63" spans="1:13" ht="15" customHeight="1" x14ac:dyDescent="0.45">
      <c r="A63" s="73"/>
      <c r="B63" s="74" t="s">
        <v>51</v>
      </c>
      <c r="E63">
        <f>+E61/E62</f>
        <v>-9.030003529827038</v>
      </c>
      <c r="F63">
        <f>+F61/F62</f>
        <v>-9.030003529827038</v>
      </c>
    </row>
    <row r="64" spans="1:13" ht="15" customHeight="1" x14ac:dyDescent="0.45">
      <c r="A64" s="73"/>
      <c r="B64" s="74" t="s">
        <v>52</v>
      </c>
      <c r="E64">
        <f>DCF!E61</f>
        <v>31.78</v>
      </c>
      <c r="F64">
        <f>+E64</f>
        <v>31.78</v>
      </c>
    </row>
    <row r="65" spans="1:6" ht="15" customHeight="1" x14ac:dyDescent="0.45">
      <c r="A65" s="73"/>
      <c r="B65" s="74" t="s">
        <v>55</v>
      </c>
      <c r="E65" s="77">
        <f>+E63/E64-1</f>
        <v>-1.2841410802337017</v>
      </c>
      <c r="F65" s="77">
        <f>+F63/F64-1</f>
        <v>-1.2841410802337017</v>
      </c>
    </row>
    <row r="66" spans="1:6" ht="15" customHeight="1" x14ac:dyDescent="0.45">
      <c r="A66" s="73"/>
      <c r="C66" s="62"/>
    </row>
    <row r="67" spans="1:6" ht="15" customHeight="1" x14ac:dyDescent="0.45">
      <c r="A67" s="16" t="s">
        <v>75</v>
      </c>
    </row>
    <row r="199" ht="27.4" customHeight="1" x14ac:dyDescent="0.45"/>
  </sheetData>
  <printOptions horizontalCentered="1" headings="1" gridLines="1"/>
  <pageMargins left="0.11811023622047245" right="0.11811023622047245" top="0.55118110236220474" bottom="0.55118110236220474" header="0.31496062992125984" footer="0.31496062992125984"/>
  <pageSetup paperSize="9" scale="74" fitToHeight="0" orientation="landscape" cellComments="asDisplayed" horizontalDpi="2400" verticalDpi="2400" r:id="rId1"/>
  <headerFooter>
    <oddHeader xml:space="preserve">&amp;R&amp;10&amp;F 
&amp;A
</oddHeader>
    <oddFooter>&amp;L&amp;10© 2018&amp;C&amp;10Page &amp;P of &amp;N&amp;R&amp;G</oddFooter>
  </headerFooter>
  <rowBreaks count="8" manualBreakCount="8">
    <brk id="36" max="10" man="1"/>
    <brk id="75" max="10" man="1"/>
    <brk id="116" max="10" man="1"/>
    <brk id="139" max="10" man="1"/>
    <brk id="177" max="10" man="1"/>
    <brk id="218" max="10" man="1"/>
    <brk id="252" max="10" man="1"/>
    <brk id="283" max="10" man="1"/>
  </row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5bd16f8d6507afe7e306fc7be4b4bde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0e5ade8cfd7859786285f2bf7e31add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626153-C3B9-4B9D-86B0-C733CCFD96A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953C00DF-FFFF-456F-B2A6-EE2A287AA5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F71E46-3509-47F8-8FCB-401F7B4B8A4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Welcome</vt:lpstr>
      <vt:lpstr>Info</vt:lpstr>
      <vt:lpstr>DCF</vt:lpstr>
      <vt:lpstr>Discount Date</vt:lpstr>
      <vt:lpstr>g</vt:lpstr>
      <vt:lpstr>DCF!Print_Area</vt:lpstr>
      <vt:lpstr>'Discount Date'!Print_Area</vt:lpstr>
      <vt:lpstr>ROIC</vt:lpstr>
      <vt:lpstr>WACC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Maria Weber</cp:lastModifiedBy>
  <cp:lastPrinted>2024-02-02T14:46:45Z</cp:lastPrinted>
  <dcterms:created xsi:type="dcterms:W3CDTF">2016-02-03T14:06:14Z</dcterms:created>
  <dcterms:modified xsi:type="dcterms:W3CDTF">2025-11-28T11:53:23Z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