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maria_weber_fe_training/Documents/Maria Weber/General prep DONT DELETE/DCF_Andrea_KDP_USE THIS/KDP Update Nov 25/"/>
    </mc:Choice>
  </mc:AlternateContent>
  <xr:revisionPtr revIDLastSave="70" documentId="8_{850A0025-7B50-4710-91AB-06DBA1179A8E}" xr6:coauthVersionLast="47" xr6:coauthVersionMax="47" xr10:uidLastSave="{2DB33488-CCC7-4E56-948B-9761541840CC}"/>
  <bookViews>
    <workbookView xWindow="-98" yWindow="-98" windowWidth="21795" windowHeight="13875" xr2:uid="{00000000-000D-0000-FFFF-FFFF00000000}"/>
  </bookViews>
  <sheets>
    <sheet name="Welcome" sheetId="1" r:id="rId1"/>
    <sheet name="Info" sheetId="6" r:id="rId2"/>
    <sheet name="DCF" sheetId="9" r:id="rId3"/>
    <sheet name="Discount Date" sheetId="10" r:id="rId4"/>
  </sheets>
  <definedNames>
    <definedName name="g">DCF!$E$40</definedName>
    <definedName name="_xlnm.Print_Area" localSheetId="2">DCF!$A$1:$K$311</definedName>
    <definedName name="_xlnm.Print_Area" localSheetId="3">'Discount Date'!$A$1:$K$314</definedName>
    <definedName name="ROIC">DCF!$E$39</definedName>
    <definedName name="WACC">DCF!$E$36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7" i="10" l="1"/>
  <c r="F47" i="10"/>
  <c r="F48" i="10" s="1"/>
  <c r="F46" i="10"/>
  <c r="F46" i="9"/>
  <c r="F47" i="9" s="1"/>
  <c r="G45" i="9"/>
  <c r="E30" i="10" l="1"/>
  <c r="E22" i="10"/>
  <c r="E16" i="10"/>
  <c r="D16" i="10"/>
  <c r="E13" i="10"/>
  <c r="E30" i="9"/>
  <c r="E22" i="9"/>
  <c r="E16" i="9"/>
  <c r="D16" i="9"/>
  <c r="E13" i="9"/>
  <c r="D79" i="9" l="1"/>
  <c r="D80" i="9" s="1"/>
  <c r="D77" i="9"/>
  <c r="D76" i="9" s="1"/>
  <c r="D70" i="9"/>
  <c r="D71" i="9" s="1"/>
  <c r="D68" i="9"/>
  <c r="D67" i="9" s="1"/>
  <c r="F27" i="9" l="1"/>
  <c r="G46" i="9"/>
  <c r="F16" i="9" l="1"/>
  <c r="F34" i="9" s="1"/>
  <c r="F17" i="9" l="1"/>
  <c r="G16" i="9"/>
  <c r="H16" i="9" s="1"/>
  <c r="H24" i="9" s="1"/>
  <c r="F24" i="9"/>
  <c r="G24" i="9"/>
  <c r="G17" i="9"/>
  <c r="E36" i="10"/>
  <c r="F49" i="10" s="1"/>
  <c r="F50" i="10" s="1"/>
  <c r="E19" i="10"/>
  <c r="E17" i="10" s="1"/>
  <c r="H75" i="9"/>
  <c r="I75" i="9" s="1"/>
  <c r="F75" i="9"/>
  <c r="E75" i="9" s="1"/>
  <c r="F66" i="9"/>
  <c r="E66" i="9" s="1"/>
  <c r="H66" i="9"/>
  <c r="I66" i="9" s="1"/>
  <c r="H17" i="9" l="1"/>
  <c r="I16" i="9"/>
  <c r="H22" i="9"/>
  <c r="H28" i="9" s="1"/>
  <c r="F22" i="9"/>
  <c r="F19" i="9" s="1"/>
  <c r="G22" i="9"/>
  <c r="G19" i="9" s="1"/>
  <c r="J16" i="9"/>
  <c r="I24" i="9"/>
  <c r="I17" i="9"/>
  <c r="E19" i="9"/>
  <c r="E17" i="9" s="1"/>
  <c r="G28" i="9" l="1"/>
  <c r="H19" i="9"/>
  <c r="G20" i="9"/>
  <c r="G21" i="9"/>
  <c r="F20" i="9"/>
  <c r="F21" i="9" s="1"/>
  <c r="F28" i="9"/>
  <c r="I22" i="9"/>
  <c r="I19" i="9" s="1"/>
  <c r="I20" i="9" s="1"/>
  <c r="I21" i="9" s="1"/>
  <c r="J17" i="9"/>
  <c r="K16" i="9"/>
  <c r="J24" i="9"/>
  <c r="H20" i="9"/>
  <c r="H21" i="9" s="1"/>
  <c r="E64" i="10"/>
  <c r="A2" i="9"/>
  <c r="A2" i="10" s="1"/>
  <c r="H45" i="9"/>
  <c r="I28" i="9" l="1"/>
  <c r="I45" i="9"/>
  <c r="I46" i="9" s="1"/>
  <c r="H46" i="9"/>
  <c r="I33" i="9"/>
  <c r="F33" i="9"/>
  <c r="F32" i="9"/>
  <c r="H33" i="9"/>
  <c r="J22" i="9"/>
  <c r="J28" i="9" s="1"/>
  <c r="G33" i="9"/>
  <c r="K17" i="9"/>
  <c r="L16" i="9"/>
  <c r="K24" i="9"/>
  <c r="J45" i="9" l="1"/>
  <c r="J46" i="9" s="1"/>
  <c r="J19" i="9"/>
  <c r="J20" i="9" s="1"/>
  <c r="J21" i="9" s="1"/>
  <c r="K22" i="9"/>
  <c r="K19" i="9" s="1"/>
  <c r="L24" i="9"/>
  <c r="L17" i="9"/>
  <c r="M16" i="9"/>
  <c r="K45" i="9"/>
  <c r="K46" i="9" s="1"/>
  <c r="K28" i="9" l="1"/>
  <c r="K20" i="9"/>
  <c r="K21" i="9" s="1"/>
  <c r="L22" i="9"/>
  <c r="L19" i="9" s="1"/>
  <c r="J33" i="9"/>
  <c r="M24" i="9"/>
  <c r="M17" i="9"/>
  <c r="L45" i="9"/>
  <c r="L46" i="9" s="1"/>
  <c r="L28" i="9" l="1"/>
  <c r="L20" i="9"/>
  <c r="L21" i="9"/>
  <c r="K33" i="9"/>
  <c r="M22" i="9"/>
  <c r="M28" i="9" s="1"/>
  <c r="M45" i="9"/>
  <c r="M46" i="9" s="1"/>
  <c r="M19" i="9" l="1"/>
  <c r="M20" i="9" s="1"/>
  <c r="M21" i="9" s="1"/>
  <c r="L33" i="9"/>
  <c r="F64" i="10"/>
  <c r="F62" i="10"/>
  <c r="F60" i="10"/>
  <c r="F59" i="10"/>
  <c r="F58" i="10"/>
  <c r="E12" i="10"/>
  <c r="E9" i="10"/>
  <c r="E8" i="10"/>
  <c r="E7" i="10"/>
  <c r="E2" i="10"/>
  <c r="F2" i="10" s="1"/>
  <c r="A1" i="10"/>
  <c r="F61" i="9"/>
  <c r="F59" i="9"/>
  <c r="F57" i="9"/>
  <c r="F56" i="9"/>
  <c r="F55" i="9"/>
  <c r="F27" i="10"/>
  <c r="E2" i="9"/>
  <c r="F2" i="9" s="1"/>
  <c r="G2" i="9" s="1"/>
  <c r="H2" i="9" s="1"/>
  <c r="I2" i="9" s="1"/>
  <c r="J2" i="9" s="1"/>
  <c r="K2" i="9" s="1"/>
  <c r="L2" i="9" s="1"/>
  <c r="M2" i="9" s="1"/>
  <c r="G16" i="10"/>
  <c r="E10" i="9"/>
  <c r="E9" i="9"/>
  <c r="E8" i="9"/>
  <c r="E7" i="9"/>
  <c r="A1" i="9"/>
  <c r="M42" i="9" l="1"/>
  <c r="F51" i="9" s="1"/>
  <c r="M33" i="9"/>
  <c r="G2" i="10"/>
  <c r="F16" i="10"/>
  <c r="F13" i="10" s="1"/>
  <c r="E10" i="10"/>
  <c r="D2" i="10"/>
  <c r="C2" i="10" s="1"/>
  <c r="G13" i="10"/>
  <c r="D2" i="9"/>
  <c r="C2" i="9" s="1"/>
  <c r="F24" i="10"/>
  <c r="H16" i="10"/>
  <c r="G13" i="9"/>
  <c r="G24" i="10"/>
  <c r="F13" i="9"/>
  <c r="F23" i="9" s="1"/>
  <c r="E12" i="9"/>
  <c r="G48" i="10" l="1"/>
  <c r="G49" i="10" s="1"/>
  <c r="F29" i="9"/>
  <c r="F30" i="9" s="1"/>
  <c r="G27" i="9" s="1"/>
  <c r="F25" i="9"/>
  <c r="G23" i="9"/>
  <c r="F34" i="10"/>
  <c r="H2" i="10"/>
  <c r="F17" i="10"/>
  <c r="G17" i="10"/>
  <c r="H13" i="10"/>
  <c r="H13" i="9"/>
  <c r="H24" i="10"/>
  <c r="I16" i="10"/>
  <c r="H47" i="10" l="1"/>
  <c r="H48" i="10" s="1"/>
  <c r="H49" i="10" s="1"/>
  <c r="G25" i="9"/>
  <c r="G47" i="9" s="1"/>
  <c r="G29" i="9"/>
  <c r="G30" i="9"/>
  <c r="H27" i="9" s="1"/>
  <c r="G34" i="9"/>
  <c r="G32" i="9"/>
  <c r="H23" i="9"/>
  <c r="I2" i="10"/>
  <c r="H17" i="10"/>
  <c r="F23" i="10"/>
  <c r="F29" i="10" s="1"/>
  <c r="G23" i="10"/>
  <c r="G29" i="10" s="1"/>
  <c r="G19" i="10"/>
  <c r="G22" i="10"/>
  <c r="G28" i="10" s="1"/>
  <c r="F22" i="10"/>
  <c r="F28" i="10" s="1"/>
  <c r="I13" i="10"/>
  <c r="I24" i="10"/>
  <c r="I13" i="9"/>
  <c r="J16" i="10"/>
  <c r="I47" i="10" l="1"/>
  <c r="I48" i="10" s="1"/>
  <c r="I49" i="10" s="1"/>
  <c r="H25" i="9"/>
  <c r="H47" i="9" s="1"/>
  <c r="H29" i="9"/>
  <c r="H34" i="9"/>
  <c r="H30" i="9"/>
  <c r="I27" i="9" s="1"/>
  <c r="H32" i="9"/>
  <c r="H23" i="10"/>
  <c r="H29" i="10" s="1"/>
  <c r="I23" i="9"/>
  <c r="J2" i="10"/>
  <c r="I17" i="10"/>
  <c r="F30" i="10"/>
  <c r="G34" i="10" s="1"/>
  <c r="H22" i="10"/>
  <c r="H28" i="10" s="1"/>
  <c r="F19" i="10"/>
  <c r="J13" i="10"/>
  <c r="J24" i="10"/>
  <c r="K16" i="10"/>
  <c r="J13" i="9"/>
  <c r="J47" i="10" l="1"/>
  <c r="J48" i="10" s="1"/>
  <c r="J49" i="10" s="1"/>
  <c r="I34" i="9"/>
  <c r="I32" i="9"/>
  <c r="I25" i="9"/>
  <c r="I47" i="9" s="1"/>
  <c r="I29" i="9"/>
  <c r="I30" i="9" s="1"/>
  <c r="J27" i="9" s="1"/>
  <c r="I23" i="10"/>
  <c r="I29" i="10" s="1"/>
  <c r="J23" i="9"/>
  <c r="J23" i="10" s="1"/>
  <c r="J29" i="10" s="1"/>
  <c r="K2" i="10"/>
  <c r="J17" i="10"/>
  <c r="F20" i="10"/>
  <c r="F21" i="10" s="1"/>
  <c r="G27" i="10"/>
  <c r="G30" i="10" s="1"/>
  <c r="H34" i="10" s="1"/>
  <c r="I22" i="10"/>
  <c r="I28" i="10" s="1"/>
  <c r="H19" i="10"/>
  <c r="G20" i="10"/>
  <c r="G21" i="10" s="1"/>
  <c r="K13" i="10"/>
  <c r="L16" i="10"/>
  <c r="K13" i="9"/>
  <c r="K23" i="9" s="1"/>
  <c r="K24" i="10"/>
  <c r="K47" i="10" l="1"/>
  <c r="K48" i="10" s="1"/>
  <c r="K49" i="10" s="1"/>
  <c r="J34" i="9"/>
  <c r="J32" i="9"/>
  <c r="K25" i="9"/>
  <c r="K47" i="9" s="1"/>
  <c r="K29" i="9"/>
  <c r="J25" i="9"/>
  <c r="J47" i="9" s="1"/>
  <c r="J29" i="9"/>
  <c r="J30" i="9" s="1"/>
  <c r="K27" i="9" s="1"/>
  <c r="L2" i="10"/>
  <c r="K17" i="10"/>
  <c r="G33" i="10"/>
  <c r="G32" i="10"/>
  <c r="G25" i="10"/>
  <c r="G50" i="10" s="1"/>
  <c r="F33" i="10"/>
  <c r="F25" i="10"/>
  <c r="F32" i="10"/>
  <c r="J22" i="10"/>
  <c r="J28" i="10" s="1"/>
  <c r="H27" i="10"/>
  <c r="H30" i="10" s="1"/>
  <c r="I34" i="10" s="1"/>
  <c r="H20" i="10"/>
  <c r="H21" i="10" s="1"/>
  <c r="I19" i="10"/>
  <c r="L13" i="10"/>
  <c r="M16" i="10"/>
  <c r="L13" i="9"/>
  <c r="L23" i="9" s="1"/>
  <c r="L24" i="10"/>
  <c r="L47" i="10" l="1"/>
  <c r="L48" i="10" s="1"/>
  <c r="L49" i="10" s="1"/>
  <c r="K30" i="9"/>
  <c r="L27" i="9" s="1"/>
  <c r="K34" i="9"/>
  <c r="K32" i="9"/>
  <c r="L25" i="9"/>
  <c r="L47" i="9" s="1"/>
  <c r="L29" i="9"/>
  <c r="M2" i="10"/>
  <c r="M47" i="10" s="1"/>
  <c r="M48" i="10" s="1"/>
  <c r="M49" i="10" s="1"/>
  <c r="L17" i="10"/>
  <c r="I27" i="10"/>
  <c r="I30" i="10" s="1"/>
  <c r="J34" i="10" s="1"/>
  <c r="H33" i="10"/>
  <c r="H32" i="10"/>
  <c r="H25" i="10"/>
  <c r="H50" i="10" s="1"/>
  <c r="I20" i="10"/>
  <c r="I21" i="10" s="1"/>
  <c r="K23" i="10"/>
  <c r="K29" i="10" s="1"/>
  <c r="J19" i="10"/>
  <c r="K19" i="10"/>
  <c r="K22" i="10"/>
  <c r="K28" i="10" s="1"/>
  <c r="M13" i="10"/>
  <c r="M24" i="10"/>
  <c r="M13" i="9"/>
  <c r="M23" i="9" s="1"/>
  <c r="M25" i="9" l="1"/>
  <c r="M29" i="9"/>
  <c r="L34" i="9"/>
  <c r="L30" i="9"/>
  <c r="M27" i="9" s="1"/>
  <c r="L32" i="9"/>
  <c r="M17" i="10"/>
  <c r="J27" i="10"/>
  <c r="J30" i="10" s="1"/>
  <c r="K34" i="10" s="1"/>
  <c r="K20" i="10"/>
  <c r="K21" i="10" s="1"/>
  <c r="K33" i="10" s="1"/>
  <c r="L22" i="10"/>
  <c r="L28" i="10" s="1"/>
  <c r="L23" i="10"/>
  <c r="L29" i="10" s="1"/>
  <c r="J20" i="10"/>
  <c r="J21" i="10" s="1"/>
  <c r="M23" i="10"/>
  <c r="M29" i="10" s="1"/>
  <c r="I33" i="10"/>
  <c r="I25" i="10"/>
  <c r="I50" i="10" s="1"/>
  <c r="I32" i="10"/>
  <c r="M34" i="9" l="1"/>
  <c r="M30" i="9"/>
  <c r="M32" i="9"/>
  <c r="M41" i="9"/>
  <c r="E51" i="9" s="1"/>
  <c r="M47" i="9"/>
  <c r="K25" i="10"/>
  <c r="K50" i="10" s="1"/>
  <c r="K32" i="10"/>
  <c r="K27" i="10"/>
  <c r="K30" i="10" s="1"/>
  <c r="L34" i="10" s="1"/>
  <c r="L19" i="10"/>
  <c r="J32" i="10"/>
  <c r="J25" i="10"/>
  <c r="J50" i="10" s="1"/>
  <c r="J33" i="10"/>
  <c r="M22" i="10"/>
  <c r="M28" i="10" s="1"/>
  <c r="E50" i="9" l="1"/>
  <c r="F50" i="9"/>
  <c r="F52" i="9" s="1"/>
  <c r="F58" i="9" s="1"/>
  <c r="F60" i="9" s="1"/>
  <c r="E52" i="9"/>
  <c r="E58" i="9" s="1"/>
  <c r="E60" i="9" s="1"/>
  <c r="L27" i="10"/>
  <c r="L30" i="10" s="1"/>
  <c r="M34" i="10" s="1"/>
  <c r="M19" i="10"/>
  <c r="L20" i="10"/>
  <c r="L21" i="10" s="1"/>
  <c r="E62" i="9" l="1"/>
  <c r="D66" i="9"/>
  <c r="F62" i="9"/>
  <c r="D75" i="9"/>
  <c r="L33" i="10"/>
  <c r="L32" i="10"/>
  <c r="L25" i="10"/>
  <c r="L50" i="10" s="1"/>
  <c r="M27" i="10"/>
  <c r="M30" i="10" s="1"/>
  <c r="M20" i="10"/>
  <c r="M21" i="10" s="1"/>
  <c r="M33" i="10" l="1"/>
  <c r="M25" i="10"/>
  <c r="M50" i="10" s="1"/>
  <c r="E53" i="10" s="1"/>
  <c r="M32" i="10"/>
  <c r="M42" i="10"/>
  <c r="F54" i="10" s="1"/>
  <c r="M41" i="10" l="1"/>
  <c r="E54" i="10" s="1"/>
  <c r="E55" i="10" l="1"/>
  <c r="E61" i="10" s="1"/>
  <c r="E63" i="10" s="1"/>
  <c r="E65" i="10" s="1"/>
  <c r="F53" i="10"/>
  <c r="F55" i="10" s="1"/>
  <c r="F61" i="10" s="1"/>
  <c r="F63" i="10" s="1"/>
  <c r="F65" i="10" s="1"/>
  <c r="A7" i="1" l="1"/>
  <c r="A1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  <author>Maria Weber</author>
  </authors>
  <commentList>
    <comment ref="F7" authorId="0" shapeId="0" xr:uid="{D757F37B-D5D1-4A35-B052-6C1B14C0C0AB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G7" authorId="0" shapeId="0" xr:uid="{7EC5F51E-7C7D-445A-BC7C-CAD9680D2DB5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H7" authorId="0" shapeId="0" xr:uid="{043D798D-D043-41EC-A386-7B76B51C3710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F8" authorId="0" shapeId="0" xr:uid="{6D0A52CB-7F71-41F6-A8C7-8AB3B3EE24BB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G8" authorId="0" shapeId="0" xr:uid="{A3F07410-2EDE-40D3-A5B7-4B2C8B64D7EA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H8" authorId="0" shapeId="0" xr:uid="{1646A6F1-C0C8-4BC9-99FD-5E708BE3324F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E13" authorId="1" shapeId="0" xr:uid="{923E588B-15E6-4C6B-815C-8626BADB00E2}">
      <text>
        <r>
          <rPr>
            <b/>
            <sz val="9"/>
            <color indexed="81"/>
            <rFont val="Tahoma"/>
            <charset val="1"/>
          </rPr>
          <t>FE:</t>
        </r>
        <r>
          <rPr>
            <sz val="9"/>
            <color indexed="81"/>
            <rFont val="Tahoma"/>
            <charset val="1"/>
          </rPr>
          <t xml:space="preserve">
10K</t>
        </r>
      </text>
    </comment>
    <comment ref="D16" authorId="0" shapeId="0" xr:uid="{FA99EF55-D0B7-4BCA-BF58-FF824FA920E0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16" authorId="0" shapeId="0" xr:uid="{5FCAB8B8-0004-497D-8910-787AAF69B2ED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19" authorId="0" shapeId="0" xr:uid="{5BAA33BF-D4FF-4978-94D8-2D3733583EFF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 Press Release Adjusted Number</t>
        </r>
      </text>
    </comment>
    <comment ref="E22" authorId="0" shapeId="0" xr:uid="{5FB73E99-B0DB-465F-9D30-D5F40AB91C59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24" authorId="0" shapeId="0" xr:uid="{F83389CB-7095-4DC1-A44C-083C24604434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30" authorId="0" shapeId="0" xr:uid="{2A03C9E1-C32A-4817-9F0B-E554B60961E6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36" authorId="0" shapeId="0" xr:uid="{B49C30C8-CFEB-48BD-8AE8-121AFB28FD58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</t>
        </r>
      </text>
    </comment>
    <comment ref="E55" authorId="0" shapeId="0" xr:uid="{B7D69646-D142-4F5F-8E8F-4C121AA9FE57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  <comment ref="E56" authorId="0" shapeId="0" xr:uid="{9AA31810-57F8-4F44-AA8F-A39F1D75C3BB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  <comment ref="E57" authorId="0" shapeId="0" xr:uid="{DE9DA39A-BC4E-4FDD-AC05-A6B5D2E022A0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  <comment ref="E59" authorId="0" shapeId="0" xr:uid="{867BB739-F9AA-4E5B-ADD9-B38216CE3AE0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  <comment ref="E61" authorId="0" shapeId="0" xr:uid="{BE81E251-3046-48EA-8678-24D8DEC2C6CF}">
      <text>
        <r>
          <rPr>
            <b/>
            <sz val="9"/>
            <color indexed="81"/>
            <rFont val="Tahoma"/>
            <family val="2"/>
          </rPr>
          <t>FE</t>
        </r>
        <r>
          <rPr>
            <sz val="9"/>
            <color indexed="81"/>
            <rFont val="Tahoma"/>
            <family val="2"/>
          </rPr>
          <t xml:space="preserve">
Felix as of 20 Nov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  <author>Maria Weber</author>
  </authors>
  <commentList>
    <comment ref="F7" authorId="0" shapeId="0" xr:uid="{48C056A1-E34C-4E8E-9047-C227631FAD70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G7" authorId="0" shapeId="0" xr:uid="{56AC2E52-C31A-4977-B467-65EFA3E09290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H7" authorId="0" shapeId="0" xr:uid="{6634E720-80EC-4835-A8E1-7E3A13E92389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F8" authorId="0" shapeId="0" xr:uid="{E9BFD54F-C064-41EF-991C-E379CEF074BF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G8" authorId="0" shapeId="0" xr:uid="{E70DEBA0-D35B-44B1-9759-11EE00A5F8F8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H8" authorId="0" shapeId="0" xr:uid="{44ECF25E-110C-435E-B0AD-87FBE0A42645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E13" authorId="1" shapeId="0" xr:uid="{9CC98287-FD8D-408F-8DFE-E297E017325B}">
      <text>
        <r>
          <rPr>
            <b/>
            <sz val="9"/>
            <color indexed="81"/>
            <rFont val="Tahoma"/>
            <charset val="1"/>
          </rPr>
          <t>FE:</t>
        </r>
        <r>
          <rPr>
            <sz val="9"/>
            <color indexed="81"/>
            <rFont val="Tahoma"/>
            <charset val="1"/>
          </rPr>
          <t xml:space="preserve">
10K</t>
        </r>
      </text>
    </comment>
    <comment ref="D16" authorId="0" shapeId="0" xr:uid="{1DBE2792-F6DD-49F6-B011-8A7A10E77781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16" authorId="0" shapeId="0" xr:uid="{99551601-9078-4BC5-81F1-79D4D9B419B9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19" authorId="0" shapeId="0" xr:uid="{6F70D6A2-F92C-4658-977B-E5886B0E7770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 Press Release Adjusted Number</t>
        </r>
      </text>
    </comment>
    <comment ref="E22" authorId="0" shapeId="0" xr:uid="{16FB8391-30E2-4210-938C-C16ADDC25378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24" authorId="0" shapeId="0" xr:uid="{DD258132-64C0-41F4-8F53-F8A5DF0A08B5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30" authorId="0" shapeId="0" xr:uid="{858B18E0-155F-48F2-AA1D-BAD0F6CB829B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58" authorId="0" shapeId="0" xr:uid="{25E99D12-A896-4840-BBBF-D94C8920F396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  <comment ref="E59" authorId="0" shapeId="0" xr:uid="{66192458-985A-4C2E-81E5-053D36A37BD7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  <comment ref="E60" authorId="0" shapeId="0" xr:uid="{6EE70D70-444D-4AEB-9D5E-3CF4CD623DE3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  <comment ref="E62" authorId="0" shapeId="0" xr:uid="{F9EDE33C-7625-4736-BA5E-8138B8124F2F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</commentList>
</comments>
</file>

<file path=xl/sharedStrings.xml><?xml version="1.0" encoding="utf-8"?>
<sst xmlns="http://schemas.openxmlformats.org/spreadsheetml/2006/main" count="161" uniqueCount="84">
  <si>
    <t>Features</t>
  </si>
  <si>
    <t>◦</t>
  </si>
  <si>
    <t>Model Details</t>
  </si>
  <si>
    <t>Company name</t>
  </si>
  <si>
    <t>Date</t>
  </si>
  <si>
    <t>Currency</t>
  </si>
  <si>
    <t>Units</t>
  </si>
  <si>
    <t>Analyst Name</t>
  </si>
  <si>
    <t>Circular Switch</t>
  </si>
  <si>
    <t>Firstname Lastname</t>
  </si>
  <si>
    <t>This document is for training purposes only. Financial Edge accepts no responsibility or liability for any other purpose or usage.</t>
  </si>
  <si>
    <t>Formatting</t>
  </si>
  <si>
    <t>Input</t>
  </si>
  <si>
    <t>Hard coded</t>
  </si>
  <si>
    <t>Formulas</t>
  </si>
  <si>
    <t>Workout Information</t>
  </si>
  <si>
    <t>Tab Structure</t>
  </si>
  <si>
    <t>Advanced Valuation</t>
  </si>
  <si>
    <t>Valuation date</t>
  </si>
  <si>
    <t>Long term growth rate</t>
  </si>
  <si>
    <t>WACC</t>
  </si>
  <si>
    <t>Discount factor</t>
  </si>
  <si>
    <t>Terminal value</t>
  </si>
  <si>
    <t>Enterprise value</t>
  </si>
  <si>
    <t>Equity value</t>
  </si>
  <si>
    <t>Mid-year valuation date</t>
  </si>
  <si>
    <t>Long term ROIC</t>
  </si>
  <si>
    <t>Value driver formula</t>
  </si>
  <si>
    <t>NOPAT</t>
  </si>
  <si>
    <t>Free cash flow</t>
  </si>
  <si>
    <t>EBIT</t>
  </si>
  <si>
    <t>Tax on EBIT</t>
  </si>
  <si>
    <t>Total debt</t>
  </si>
  <si>
    <t>Discounting</t>
  </si>
  <si>
    <t>Year</t>
  </si>
  <si>
    <t>Present value of free cash flows</t>
  </si>
  <si>
    <t>Sum of present value of free cash flows</t>
  </si>
  <si>
    <t>Present value of terminal value</t>
  </si>
  <si>
    <t>Cash and cash equivalents</t>
  </si>
  <si>
    <t>Hist.</t>
  </si>
  <si>
    <t>Proj.</t>
  </si>
  <si>
    <t>Sales</t>
  </si>
  <si>
    <t>EBITDA</t>
  </si>
  <si>
    <t>Assumptions</t>
  </si>
  <si>
    <t>EBITDA margin</t>
  </si>
  <si>
    <t>Capex % sales</t>
  </si>
  <si>
    <t>Effective Tax Rate</t>
  </si>
  <si>
    <t>OWC % Sales</t>
  </si>
  <si>
    <t>Sales growth</t>
  </si>
  <si>
    <t>Capex/D&amp;A</t>
  </si>
  <si>
    <t>No of fully diluted shares</t>
  </si>
  <si>
    <t>Implied value per share</t>
  </si>
  <si>
    <t>Current share price</t>
  </si>
  <si>
    <t>OWC</t>
  </si>
  <si>
    <t>Investments</t>
  </si>
  <si>
    <t>Premium / (Discount)</t>
  </si>
  <si>
    <t>Net reinvestment in PP&amp;E</t>
  </si>
  <si>
    <t>Net reinvestment in OWC</t>
  </si>
  <si>
    <t xml:space="preserve">Return on opening invested capital </t>
  </si>
  <si>
    <t>NOPAT margin</t>
  </si>
  <si>
    <t>Capital turnover</t>
  </si>
  <si>
    <t>Beginning invested capital</t>
  </si>
  <si>
    <t>Ending invested capital</t>
  </si>
  <si>
    <t>Terminal value based on perpetuity</t>
  </si>
  <si>
    <t>Terminal value based on value driver perpetuity</t>
  </si>
  <si>
    <t>Perpetuity</t>
  </si>
  <si>
    <t>Value Driver</t>
  </si>
  <si>
    <t>Keurig Dr Pepper</t>
  </si>
  <si>
    <t>Percentage of FCF received</t>
  </si>
  <si>
    <t>Date of occurrence</t>
  </si>
  <si>
    <t>Exact Valuation date</t>
  </si>
  <si>
    <t>Exact valuation date</t>
  </si>
  <si>
    <t>D&amp;A</t>
  </si>
  <si>
    <t>Change in OWC</t>
  </si>
  <si>
    <t>Capex</t>
  </si>
  <si>
    <t>End</t>
  </si>
  <si>
    <t>Number of years from valuation date</t>
  </si>
  <si>
    <t>Long-term growth rate</t>
  </si>
  <si>
    <t>Implied value per share using perpetuity formula</t>
  </si>
  <si>
    <t>NOTE: Valuation date is 21 Nov 2023</t>
  </si>
  <si>
    <t>Implied value per share using value driver formula</t>
  </si>
  <si>
    <t>DCF</t>
  </si>
  <si>
    <t>Discount Date</t>
  </si>
  <si>
    <t>Normal DCF &amp; value driver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</si>
</sst>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409]d\-mmm\-yy;@"/>
    <numFmt numFmtId="169" formatCode="0.0"/>
    <numFmt numFmtId="170" formatCode="#,##0.0_);\(#,##0.0\)\,0.0_);@_)"/>
    <numFmt numFmtId="171" formatCode="#,##0.0\ \x_);\(#,##0.0\ \x\);"/>
    <numFmt numFmtId="172" formatCode="0.0%_);\(0.0%\)"/>
    <numFmt numFmtId="173" formatCode=";;;"/>
    <numFmt numFmtId="174" formatCode="#,##0.0_);\(#,##0.0\);0.0_);@_)"/>
    <numFmt numFmtId="175" formatCode="#,##0.0\ \x_);\(#,##0.0\ \x\)"/>
    <numFmt numFmtId="176" formatCode="#,##0.0_);\(#,##0.0\)"/>
    <numFmt numFmtId="177" formatCode="#,##0.0%_);\(#,##0.0%\)"/>
    <numFmt numFmtId="178" formatCode="#,##0.00_);\(#,##0.00\);0.00_);@_)"/>
  </numFmts>
  <fonts count="45" x14ac:knownFonts="1">
    <font>
      <sz val="11"/>
      <color theme="1" tint="0.2499465926084170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rgb="FF0853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u/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rgb="FF085393"/>
      <name val="Calibri"/>
      <family val="2"/>
      <scheme val="minor"/>
    </font>
    <font>
      <sz val="22"/>
      <color theme="0"/>
      <name val="Calibri Light"/>
      <family val="2"/>
      <scheme val="major"/>
    </font>
    <font>
      <b/>
      <sz val="11"/>
      <color rgb="FF08539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 tint="0.2499465926084170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u/>
      <sz val="11"/>
      <color theme="1" tint="0.2499465926084170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40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8F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85393"/>
        <bgColor rgb="FF085393"/>
      </patternFill>
    </fill>
  </fills>
  <borders count="13">
    <border>
      <left/>
      <right/>
      <top/>
      <bottom/>
      <diagonal/>
    </border>
    <border>
      <left/>
      <right/>
      <top/>
      <bottom style="medium">
        <color theme="0" tint="-0.149998474074526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/>
      <right/>
      <top/>
      <bottom style="medium">
        <color theme="0" tint="-0.14996795556505021"/>
      </bottom>
      <diagonal/>
    </border>
  </borders>
  <cellStyleXfs count="66">
    <xf numFmtId="174" fontId="0" fillId="0" borderId="0"/>
    <xf numFmtId="0" fontId="6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5" applyNumberFormat="0" applyAlignment="0" applyProtection="0"/>
    <xf numFmtId="0" fontId="18" fillId="10" borderId="6" applyNumberFormat="0" applyAlignment="0" applyProtection="0"/>
    <xf numFmtId="0" fontId="19" fillId="10" borderId="5" applyNumberFormat="0" applyAlignment="0" applyProtection="0"/>
    <xf numFmtId="0" fontId="20" fillId="0" borderId="7" applyNumberFormat="0" applyFill="0" applyAlignment="0" applyProtection="0"/>
    <xf numFmtId="0" fontId="21" fillId="11" borderId="8" applyNumberFormat="0" applyAlignment="0" applyProtection="0"/>
    <xf numFmtId="0" fontId="22" fillId="0" borderId="0" applyNumberFormat="0" applyFill="0" applyBorder="0" applyAlignment="0" applyProtection="0"/>
    <xf numFmtId="0" fontId="9" fillId="12" borderId="9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5" fillId="36" borderId="0" applyNumberFormat="0" applyBorder="0" applyAlignment="0" applyProtection="0"/>
    <xf numFmtId="0" fontId="32" fillId="2" borderId="0" applyNumberFormat="0">
      <alignment horizontal="left"/>
    </xf>
    <xf numFmtId="0" fontId="8" fillId="3" borderId="0" applyNumberFormat="0" applyAlignment="0">
      <alignment horizontal="left"/>
    </xf>
    <xf numFmtId="0" fontId="4" fillId="0" borderId="0" applyNumberFormat="0" applyFill="0" applyBorder="0">
      <alignment horizontal="left" vertical="center"/>
    </xf>
    <xf numFmtId="0" fontId="2" fillId="5" borderId="0" applyNumberFormat="0" applyFont="0" applyAlignment="0" applyProtection="0">
      <alignment vertical="top"/>
    </xf>
    <xf numFmtId="168" fontId="28" fillId="3" borderId="0">
      <alignment horizontal="center"/>
    </xf>
    <xf numFmtId="170" fontId="27" fillId="2" borderId="0">
      <alignment horizontal="center"/>
    </xf>
    <xf numFmtId="168" fontId="29" fillId="0" borderId="0" applyFont="0" applyFill="0" applyBorder="0" applyAlignment="0" applyProtection="0"/>
    <xf numFmtId="175" fontId="9" fillId="0" borderId="0" applyFont="0" applyFill="0" applyBorder="0" applyAlignment="0" applyProtection="0"/>
    <xf numFmtId="172" fontId="29" fillId="2" borderId="0" applyFont="0" applyFill="0" applyBorder="0" applyAlignment="0" applyProtection="0"/>
    <xf numFmtId="170" fontId="30" fillId="2" borderId="0" applyNumberFormat="0" applyFill="0" applyBorder="0" applyAlignment="0" applyProtection="0"/>
    <xf numFmtId="170" fontId="31" fillId="0" borderId="0" applyNumberFormat="0" applyFill="0" applyBorder="0" applyAlignment="0">
      <alignment vertical="top"/>
    </xf>
    <xf numFmtId="173" fontId="29" fillId="2" borderId="0" applyFont="0" applyFill="0" applyBorder="0" applyAlignment="0" applyProtection="0"/>
    <xf numFmtId="171" fontId="30" fillId="37" borderId="11" applyNumberFormat="0">
      <protection locked="0"/>
    </xf>
    <xf numFmtId="0" fontId="2" fillId="5" borderId="12" applyFont="0" applyAlignment="0" applyProtection="0">
      <alignment vertical="top"/>
    </xf>
    <xf numFmtId="170" fontId="32" fillId="3" borderId="0" applyNumberFormat="0" applyBorder="0">
      <alignment horizontal="center" vertical="top"/>
    </xf>
    <xf numFmtId="170" fontId="3" fillId="38" borderId="0" applyNumberFormat="0" applyFont="0" applyBorder="0" applyAlignment="0" applyProtection="0">
      <alignment vertical="top"/>
    </xf>
    <xf numFmtId="170" fontId="3" fillId="0" borderId="0">
      <alignment vertical="top"/>
    </xf>
    <xf numFmtId="174" fontId="34" fillId="0" borderId="0" applyNumberFormat="0" applyFill="0" applyBorder="0" applyAlignment="0" applyProtection="0"/>
  </cellStyleXfs>
  <cellXfs count="99">
    <xf numFmtId="174" fontId="0" fillId="0" borderId="0" xfId="0"/>
    <xf numFmtId="174" fontId="2" fillId="5" borderId="0" xfId="0" applyFont="1" applyFill="1"/>
    <xf numFmtId="174" fontId="2" fillId="4" borderId="0" xfId="0" applyFont="1" applyFill="1"/>
    <xf numFmtId="174" fontId="2" fillId="5" borderId="0" xfId="0" applyFont="1" applyFill="1" applyAlignment="1">
      <alignment vertical="top" wrapText="1"/>
    </xf>
    <xf numFmtId="174" fontId="2" fillId="5" borderId="1" xfId="0" applyFont="1" applyFill="1" applyBorder="1" applyAlignment="1">
      <alignment vertical="top"/>
    </xf>
    <xf numFmtId="170" fontId="32" fillId="2" borderId="0" xfId="48" applyNumberFormat="1">
      <alignment horizontal="left"/>
    </xf>
    <xf numFmtId="174" fontId="25" fillId="2" borderId="0" xfId="0" applyFont="1" applyFill="1"/>
    <xf numFmtId="174" fontId="26" fillId="3" borderId="0" xfId="0" applyFont="1" applyFill="1"/>
    <xf numFmtId="174" fontId="3" fillId="5" borderId="0" xfId="0" applyFont="1" applyFill="1" applyAlignment="1">
      <alignment horizontal="center" vertical="top"/>
    </xf>
    <xf numFmtId="174" fontId="3" fillId="5" borderId="0" xfId="0" applyFont="1" applyFill="1" applyAlignment="1">
      <alignment vertical="top"/>
    </xf>
    <xf numFmtId="174" fontId="25" fillId="2" borderId="0" xfId="0" applyFont="1" applyFill="1" applyAlignment="1">
      <alignment vertical="center"/>
    </xf>
    <xf numFmtId="168" fontId="28" fillId="3" borderId="0" xfId="52">
      <alignment horizontal="center"/>
    </xf>
    <xf numFmtId="170" fontId="27" fillId="2" borderId="0" xfId="53">
      <alignment horizontal="center"/>
    </xf>
    <xf numFmtId="170" fontId="32" fillId="2" borderId="0" xfId="48" applyNumberFormat="1" applyAlignment="1"/>
    <xf numFmtId="170" fontId="8" fillId="3" borderId="0" xfId="49" applyNumberFormat="1" applyAlignment="1"/>
    <xf numFmtId="170" fontId="4" fillId="0" borderId="0" xfId="50" applyNumberFormat="1">
      <alignment horizontal="left" vertical="center"/>
    </xf>
    <xf numFmtId="174" fontId="2" fillId="5" borderId="0" xfId="0" applyFont="1" applyFill="1" applyAlignment="1">
      <alignment horizontal="left" vertical="top"/>
    </xf>
    <xf numFmtId="174" fontId="2" fillId="5" borderId="0" xfId="0" applyFont="1" applyFill="1" applyAlignment="1">
      <alignment vertical="top"/>
    </xf>
    <xf numFmtId="174" fontId="2" fillId="0" borderId="0" xfId="0" applyFont="1" applyAlignment="1">
      <alignment vertical="top" wrapText="1"/>
    </xf>
    <xf numFmtId="174" fontId="3" fillId="0" borderId="0" xfId="0" applyFont="1" applyAlignment="1">
      <alignment vertical="top"/>
    </xf>
    <xf numFmtId="174" fontId="2" fillId="0" borderId="0" xfId="0" applyFont="1" applyAlignment="1">
      <alignment horizontal="left" wrapText="1"/>
    </xf>
    <xf numFmtId="174" fontId="2" fillId="0" borderId="0" xfId="0" applyFont="1" applyAlignment="1">
      <alignment vertical="top"/>
    </xf>
    <xf numFmtId="174" fontId="2" fillId="0" borderId="0" xfId="0" applyFont="1"/>
    <xf numFmtId="174" fontId="4" fillId="0" borderId="0" xfId="0" applyFont="1" applyAlignment="1">
      <alignment vertical="center"/>
    </xf>
    <xf numFmtId="174" fontId="5" fillId="0" borderId="0" xfId="0" applyFont="1" applyAlignment="1">
      <alignment vertical="center" wrapText="1"/>
    </xf>
    <xf numFmtId="174" fontId="2" fillId="0" borderId="0" xfId="0" applyFont="1" applyAlignment="1">
      <alignment horizontal="left" vertical="top"/>
    </xf>
    <xf numFmtId="174" fontId="3" fillId="0" borderId="0" xfId="0" applyFont="1" applyAlignment="1">
      <alignment horizontal="center" vertical="top"/>
    </xf>
    <xf numFmtId="174" fontId="7" fillId="0" borderId="0" xfId="0" applyFont="1" applyAlignment="1">
      <alignment vertical="center" wrapText="1"/>
    </xf>
    <xf numFmtId="168" fontId="2" fillId="0" borderId="0" xfId="0" applyNumberFormat="1" applyFont="1" applyAlignment="1">
      <alignment horizontal="left"/>
    </xf>
    <xf numFmtId="174" fontId="2" fillId="0" borderId="0" xfId="0" applyFont="1" applyAlignment="1">
      <alignment horizontal="left"/>
    </xf>
    <xf numFmtId="169" fontId="2" fillId="0" borderId="0" xfId="0" applyNumberFormat="1" applyFont="1" applyAlignment="1">
      <alignment horizontal="left"/>
    </xf>
    <xf numFmtId="174" fontId="3" fillId="0" borderId="0" xfId="0" applyFont="1" applyAlignment="1">
      <alignment horizontal="left" vertical="top"/>
    </xf>
    <xf numFmtId="174" fontId="3" fillId="0" borderId="0" xfId="0" applyFont="1"/>
    <xf numFmtId="174" fontId="25" fillId="0" borderId="0" xfId="0" applyFont="1"/>
    <xf numFmtId="174" fontId="26" fillId="0" borderId="0" xfId="0" applyFont="1"/>
    <xf numFmtId="170" fontId="30" fillId="0" borderId="0" xfId="57" applyFill="1" applyBorder="1" applyAlignment="1">
      <alignment vertical="top"/>
    </xf>
    <xf numFmtId="170" fontId="2" fillId="5" borderId="0" xfId="51" applyNumberFormat="1" applyFont="1" applyAlignment="1">
      <alignment horizontal="left" vertical="top"/>
    </xf>
    <xf numFmtId="170" fontId="3" fillId="5" borderId="0" xfId="51" applyNumberFormat="1" applyFont="1" applyAlignment="1">
      <alignment horizontal="center" vertical="top"/>
    </xf>
    <xf numFmtId="170" fontId="2" fillId="5" borderId="0" xfId="51" applyNumberFormat="1" applyFont="1" applyAlignment="1"/>
    <xf numFmtId="170" fontId="5" fillId="5" borderId="0" xfId="51" applyNumberFormat="1" applyFont="1" applyAlignment="1">
      <alignment vertical="center" wrapText="1"/>
    </xf>
    <xf numFmtId="170" fontId="2" fillId="5" borderId="0" xfId="51" applyNumberFormat="1" applyFont="1" applyAlignment="1">
      <alignment vertical="top"/>
    </xf>
    <xf numFmtId="0" fontId="2" fillId="5" borderId="12" xfId="61" applyFont="1" applyAlignment="1">
      <alignment vertical="top"/>
    </xf>
    <xf numFmtId="0" fontId="3" fillId="5" borderId="12" xfId="61" applyFont="1" applyAlignment="1">
      <alignment horizontal="center" vertical="top"/>
    </xf>
    <xf numFmtId="0" fontId="2" fillId="5" borderId="12" xfId="61" applyFont="1" applyAlignment="1"/>
    <xf numFmtId="0" fontId="5" fillId="5" borderId="12" xfId="61" applyFont="1" applyAlignment="1">
      <alignment vertical="center" wrapText="1"/>
    </xf>
    <xf numFmtId="174" fontId="25" fillId="0" borderId="0" xfId="0" applyFont="1" applyAlignment="1">
      <alignment vertical="center"/>
    </xf>
    <xf numFmtId="170" fontId="7" fillId="5" borderId="0" xfId="51" applyNumberFormat="1" applyFont="1" applyAlignment="1">
      <alignment vertical="center" wrapText="1"/>
    </xf>
    <xf numFmtId="0" fontId="3" fillId="5" borderId="12" xfId="61" applyFont="1" applyAlignment="1"/>
    <xf numFmtId="0" fontId="2" fillId="5" borderId="12" xfId="61" applyFont="1" applyAlignment="1">
      <alignment horizontal="left"/>
    </xf>
    <xf numFmtId="0" fontId="7" fillId="5" borderId="12" xfId="61" applyFont="1" applyAlignment="1">
      <alignment horizontal="center" vertical="center" wrapText="1"/>
    </xf>
    <xf numFmtId="0" fontId="7" fillId="5" borderId="12" xfId="61" applyFont="1" applyAlignment="1">
      <alignment vertical="center" wrapText="1"/>
    </xf>
    <xf numFmtId="170" fontId="30" fillId="37" borderId="11" xfId="60" applyNumberFormat="1">
      <protection locked="0"/>
    </xf>
    <xf numFmtId="170" fontId="2" fillId="0" borderId="0" xfId="51" applyNumberFormat="1" applyFont="1" applyFill="1" applyAlignment="1"/>
    <xf numFmtId="0" fontId="2" fillId="0" borderId="0" xfId="61" applyFont="1" applyFill="1" applyBorder="1" applyAlignment="1"/>
    <xf numFmtId="174" fontId="0" fillId="5" borderId="0" xfId="51" applyNumberFormat="1" applyFont="1" applyAlignment="1"/>
    <xf numFmtId="174" fontId="2" fillId="5" borderId="0" xfId="51" applyNumberFormat="1" applyFont="1" applyAlignment="1">
      <alignment vertical="top"/>
    </xf>
    <xf numFmtId="0" fontId="0" fillId="5" borderId="12" xfId="61" applyFont="1" applyAlignment="1"/>
    <xf numFmtId="174" fontId="4" fillId="5" borderId="0" xfId="51" applyNumberFormat="1" applyFont="1" applyAlignment="1">
      <alignment vertical="center"/>
    </xf>
    <xf numFmtId="0" fontId="3" fillId="5" borderId="12" xfId="61" applyFont="1" applyAlignment="1">
      <alignment horizontal="left" vertical="top"/>
    </xf>
    <xf numFmtId="174" fontId="30" fillId="0" borderId="0" xfId="57" applyNumberFormat="1" applyFill="1"/>
    <xf numFmtId="172" fontId="30" fillId="0" borderId="0" xfId="57" applyNumberFormat="1" applyFill="1"/>
    <xf numFmtId="172" fontId="0" fillId="0" borderId="0" xfId="56" applyFont="1" applyFill="1"/>
    <xf numFmtId="170" fontId="4" fillId="0" borderId="0" xfId="50" applyNumberFormat="1" applyFill="1">
      <alignment horizontal="left" vertical="center"/>
    </xf>
    <xf numFmtId="174" fontId="0" fillId="0" borderId="0" xfId="0" applyAlignment="1">
      <alignment wrapText="1"/>
    </xf>
    <xf numFmtId="172" fontId="30" fillId="37" borderId="11" xfId="60" applyNumberFormat="1">
      <protection locked="0"/>
    </xf>
    <xf numFmtId="174" fontId="30" fillId="0" borderId="0" xfId="57" applyNumberFormat="1" applyFill="1" applyBorder="1"/>
    <xf numFmtId="174" fontId="4" fillId="0" borderId="0" xfId="50" applyNumberFormat="1">
      <alignment horizontal="left" vertical="center"/>
    </xf>
    <xf numFmtId="170" fontId="3" fillId="0" borderId="0" xfId="64">
      <alignment vertical="top"/>
    </xf>
    <xf numFmtId="174" fontId="34" fillId="0" borderId="0" xfId="65"/>
    <xf numFmtId="172" fontId="30" fillId="37" borderId="11" xfId="56" applyFont="1" applyFill="1" applyBorder="1" applyProtection="1">
      <protection locked="0"/>
    </xf>
    <xf numFmtId="177" fontId="0" fillId="0" borderId="0" xfId="0" applyNumberFormat="1"/>
    <xf numFmtId="174" fontId="34" fillId="0" borderId="0" xfId="65" applyAlignment="1">
      <alignment horizontal="right"/>
    </xf>
    <xf numFmtId="177" fontId="30" fillId="37" borderId="11" xfId="60" applyNumberFormat="1">
      <protection locked="0"/>
    </xf>
    <xf numFmtId="176" fontId="30" fillId="0" borderId="0" xfId="57" applyNumberFormat="1" applyFill="1"/>
    <xf numFmtId="178" fontId="0" fillId="0" borderId="0" xfId="0" applyNumberFormat="1"/>
    <xf numFmtId="170" fontId="33" fillId="0" borderId="0" xfId="64" applyFont="1">
      <alignment vertical="top"/>
    </xf>
    <xf numFmtId="174" fontId="35" fillId="0" borderId="0" xfId="0" applyFont="1"/>
    <xf numFmtId="174" fontId="36" fillId="0" borderId="0" xfId="57" applyNumberFormat="1" applyFont="1" applyFill="1"/>
    <xf numFmtId="174" fontId="37" fillId="0" borderId="0" xfId="0" applyFont="1"/>
    <xf numFmtId="168" fontId="0" fillId="0" borderId="0" xfId="54" applyFont="1"/>
    <xf numFmtId="168" fontId="30" fillId="37" borderId="11" xfId="60" applyNumberFormat="1">
      <protection locked="0"/>
    </xf>
    <xf numFmtId="174" fontId="40" fillId="0" borderId="0" xfId="0" applyFont="1"/>
    <xf numFmtId="174" fontId="40" fillId="0" borderId="0" xfId="0" applyFont="1" applyAlignment="1">
      <alignment horizontal="center"/>
    </xf>
    <xf numFmtId="172" fontId="41" fillId="39" borderId="0" xfId="0" applyNumberFormat="1" applyFont="1" applyFill="1" applyAlignment="1">
      <alignment horizontal="center"/>
    </xf>
    <xf numFmtId="0" fontId="40" fillId="0" borderId="0" xfId="0" applyNumberFormat="1" applyFont="1"/>
    <xf numFmtId="0" fontId="42" fillId="0" borderId="0" xfId="0" applyNumberFormat="1" applyFont="1"/>
    <xf numFmtId="174" fontId="29" fillId="0" borderId="0" xfId="0" applyFont="1"/>
    <xf numFmtId="170" fontId="32" fillId="2" borderId="0" xfId="48" applyNumberFormat="1" applyAlignment="1">
      <alignment horizontal="center"/>
    </xf>
    <xf numFmtId="174" fontId="5" fillId="0" borderId="0" xfId="0" applyFont="1" applyAlignment="1">
      <alignment horizontal="center" vertical="center" wrapText="1"/>
    </xf>
    <xf numFmtId="170" fontId="2" fillId="5" borderId="0" xfId="51" applyNumberFormat="1" applyFont="1" applyAlignment="1">
      <alignment horizontal="left" vertical="top"/>
    </xf>
    <xf numFmtId="170" fontId="32" fillId="3" borderId="0" xfId="49" applyNumberFormat="1" applyFont="1" applyAlignment="1">
      <alignment horizontal="center" vertical="center"/>
    </xf>
    <xf numFmtId="170" fontId="31" fillId="5" borderId="0" xfId="58" applyNumberFormat="1" applyFill="1" applyBorder="1" applyAlignment="1">
      <alignment horizontal="center" vertical="center" wrapText="1"/>
    </xf>
    <xf numFmtId="174" fontId="7" fillId="0" borderId="0" xfId="0" applyFont="1" applyAlignment="1">
      <alignment horizontal="center" vertical="center" wrapText="1"/>
    </xf>
    <xf numFmtId="174" fontId="0" fillId="5" borderId="0" xfId="51" applyNumberFormat="1" applyFont="1" applyAlignment="1">
      <alignment horizontal="left"/>
    </xf>
    <xf numFmtId="174" fontId="4" fillId="5" borderId="0" xfId="0" applyFont="1" applyFill="1" applyAlignment="1">
      <alignment horizontal="left" vertical="center"/>
    </xf>
    <xf numFmtId="174" fontId="4" fillId="5" borderId="0" xfId="50" applyNumberFormat="1" applyFill="1">
      <alignment horizontal="left" vertical="center"/>
    </xf>
    <xf numFmtId="170" fontId="2" fillId="5" borderId="0" xfId="51" applyNumberFormat="1" applyFont="1" applyAlignment="1">
      <alignment horizontal="left"/>
    </xf>
    <xf numFmtId="168" fontId="2" fillId="5" borderId="0" xfId="51" applyNumberFormat="1" applyFont="1" applyAlignment="1">
      <alignment horizontal="left"/>
    </xf>
    <xf numFmtId="169" fontId="2" fillId="5" borderId="0" xfId="51" applyNumberFormat="1" applyFont="1" applyAlignment="1">
      <alignment horizontal="left"/>
    </xf>
  </cellXfs>
  <cellStyles count="66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ckground Fill" xfId="51" xr:uid="{00000000-0005-0000-0000-000018000000}"/>
    <cellStyle name="Bad" xfId="13" builtinId="27" hidden="1"/>
    <cellStyle name="BG Border" xfId="61" xr:uid="{00000000-0005-0000-0000-00001A000000}"/>
    <cellStyle name="Blank" xfId="59" xr:uid="{00000000-0005-0000-0000-00001B000000}"/>
    <cellStyle name="Calculation" xfId="17" builtinId="22" hidden="1"/>
    <cellStyle name="Check Cell" xfId="19" builtinId="23" hidden="1"/>
    <cellStyle name="Comma" xfId="2" builtinId="3" hidden="1"/>
    <cellStyle name="Comma [0]" xfId="3" builtinId="6" hidden="1"/>
    <cellStyle name="Cover Title" xfId="62" xr:uid="{00000000-0005-0000-0000-000020000000}"/>
    <cellStyle name="Currency" xfId="4" builtinId="4" hidden="1"/>
    <cellStyle name="Currency [0]" xfId="5" builtinId="7" hidden="1"/>
    <cellStyle name="Date" xfId="54" xr:uid="{00000000-0005-0000-0000-000023000000}"/>
    <cellStyle name="Date Heading" xfId="52" xr:uid="{00000000-0005-0000-0000-000024000000}"/>
    <cellStyle name="Explanatory Text" xfId="22" builtinId="53" hidden="1"/>
    <cellStyle name="Good" xfId="12" builtinId="26" hidden="1"/>
    <cellStyle name="Hard Coded Number" xfId="57" xr:uid="{00000000-0005-0000-0000-000027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Highlight" xfId="63" xr:uid="{00000000-0005-0000-0000-00002C000000}"/>
    <cellStyle name="Hist Proj Title" xfId="53" xr:uid="{00000000-0005-0000-0000-00002D000000}"/>
    <cellStyle name="Hyperlink" xfId="1" builtinId="8" hidden="1" customBuiltin="1"/>
    <cellStyle name="Hyperlink" xfId="65" builtinId="8"/>
    <cellStyle name="Input" xfId="15" builtinId="20" hidden="1"/>
    <cellStyle name="Input" xfId="60" builtinId="20" customBuiltin="1"/>
    <cellStyle name="Linked Cell" xfId="18" builtinId="24" hidden="1"/>
    <cellStyle name="Multiple" xfId="55" xr:uid="{00000000-0005-0000-0000-000032000000}"/>
    <cellStyle name="Neutral" xfId="14" builtinId="28" hidden="1"/>
    <cellStyle name="Normal" xfId="0" builtinId="0" customBuiltin="1"/>
    <cellStyle name="Note" xfId="21" builtinId="10" hidden="1"/>
    <cellStyle name="Notes and Comments" xfId="58" xr:uid="{00000000-0005-0000-0000-000037000000}"/>
    <cellStyle name="Output" xfId="16" builtinId="21" hidden="1"/>
    <cellStyle name="Percent" xfId="6" builtinId="5" hidden="1"/>
    <cellStyle name="Percent" xfId="56" builtinId="5" customBuiltin="1"/>
    <cellStyle name="Primary Title" xfId="48" xr:uid="{00000000-0005-0000-0000-00003B000000}"/>
    <cellStyle name="Row Label" xfId="64" xr:uid="{0F688BA7-BB42-4B59-BD24-BB1A454D2981}"/>
    <cellStyle name="Secondary Title" xfId="49" xr:uid="{00000000-0005-0000-0000-00003D000000}"/>
    <cellStyle name="Tertiary Title" xfId="50" xr:uid="{00000000-0005-0000-0000-00003E000000}"/>
    <cellStyle name="Title" xfId="7" builtinId="15" hidden="1"/>
    <cellStyle name="Total" xfId="23" builtinId="25" hidden="1"/>
    <cellStyle name="Warning Text" xfId="20" builtinId="11" hidden="1"/>
  </cellStyles>
  <dxfs count="0"/>
  <tableStyles count="0" defaultTableStyle="TableStyleMedium2" defaultPivotStyle="PivotStyleLight16"/>
  <colors>
    <mruColors>
      <color rgb="FF163260"/>
      <color rgb="FF085393"/>
      <color rgb="FFBBDEFB"/>
      <color rgb="FFF0F8FE"/>
      <color rgb="FF0000FF"/>
      <color rgb="FFEBF1FB"/>
      <color rgb="FFD3E0F5"/>
      <color rgb="FFC9D9F3"/>
      <color rgb="FFE2F1FE"/>
      <color rgb="FFC4E3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1019175</xdr:rowOff>
    </xdr:from>
    <xdr:to>
      <xdr:col>9</xdr:col>
      <xdr:colOff>457200</xdr:colOff>
      <xdr:row>0</xdr:row>
      <xdr:rowOff>1503980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0" y="1019175"/>
          <a:ext cx="3533775" cy="4848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1931713</xdr:colOff>
      <xdr:row>0</xdr:row>
      <xdr:rowOff>123826</xdr:rowOff>
    </xdr:from>
    <xdr:to>
      <xdr:col>16</xdr:col>
      <xdr:colOff>161849</xdr:colOff>
      <xdr:row>0</xdr:row>
      <xdr:rowOff>466726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7738" y="123826"/>
          <a:ext cx="401836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"/>
  <sheetViews>
    <sheetView showGridLines="0" tabSelected="1" zoomScaleNormal="100" workbookViewId="0">
      <selection sqref="A1:N1"/>
    </sheetView>
  </sheetViews>
  <sheetFormatPr defaultColWidth="9.06640625" defaultRowHeight="14.25" x14ac:dyDescent="0.45"/>
  <cols>
    <col min="1" max="1" width="9.796875" customWidth="1"/>
    <col min="2" max="13" width="9.265625" customWidth="1"/>
    <col min="14" max="14" width="9.796875" customWidth="1"/>
    <col min="15" max="26" width="9.06640625" customWidth="1"/>
  </cols>
  <sheetData>
    <row r="1" spans="1:14" s="33" customFormat="1" ht="189.75" customHeight="1" x14ac:dyDescent="0.85">
      <c r="A1" s="87"/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</row>
    <row r="2" spans="1:14" s="21" customFormat="1" ht="75" customHeight="1" x14ac:dyDescent="0.45">
      <c r="A2" s="90" t="s">
        <v>17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</row>
    <row r="3" spans="1:14" s="22" customFormat="1" ht="7.5" customHeight="1" x14ac:dyDescent="0.45">
      <c r="B3" s="23"/>
      <c r="C3" s="23"/>
      <c r="F3" s="24"/>
      <c r="G3" s="24"/>
      <c r="H3" s="24"/>
      <c r="I3" s="24"/>
      <c r="J3" s="24"/>
      <c r="K3" s="24"/>
    </row>
    <row r="4" spans="1:14" s="22" customFormat="1" ht="15" customHeight="1" x14ac:dyDescent="0.45">
      <c r="A4" s="36"/>
      <c r="B4" s="37"/>
      <c r="C4" s="89"/>
      <c r="D4" s="89"/>
      <c r="E4" s="38"/>
      <c r="F4" s="39"/>
      <c r="G4" s="39"/>
      <c r="H4" s="39"/>
      <c r="I4" s="39"/>
      <c r="J4" s="39"/>
      <c r="K4" s="39"/>
      <c r="L4" s="38"/>
      <c r="M4" s="38"/>
      <c r="N4" s="38"/>
    </row>
    <row r="5" spans="1:14" s="22" customFormat="1" ht="15" customHeight="1" x14ac:dyDescent="0.45">
      <c r="A5" s="91" t="s">
        <v>10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</row>
    <row r="6" spans="1:14" s="22" customFormat="1" ht="15" customHeight="1" x14ac:dyDescent="0.45">
      <c r="A6" s="91"/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</row>
    <row r="7" spans="1:14" s="22" customFormat="1" ht="15" customHeight="1" x14ac:dyDescent="0.45">
      <c r="A7" s="91" t="str">
        <f ca="1">"© "&amp;YEAR(TODAY())&amp;" Financial Edge Training "</f>
        <v xml:space="preserve">© 2025 Financial Edge Training 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</row>
    <row r="8" spans="1:14" s="22" customFormat="1" ht="15" customHeight="1" thickBot="1" x14ac:dyDescent="0.5">
      <c r="A8" s="41"/>
      <c r="B8" s="42"/>
      <c r="C8" s="41"/>
      <c r="D8" s="41"/>
      <c r="E8" s="43"/>
      <c r="F8" s="44"/>
      <c r="G8" s="44"/>
      <c r="H8" s="44"/>
      <c r="I8" s="44"/>
      <c r="J8" s="44"/>
      <c r="K8" s="44"/>
      <c r="L8" s="43"/>
      <c r="M8" s="43"/>
      <c r="N8" s="43"/>
    </row>
    <row r="9" spans="1:14" s="22" customFormat="1" ht="15" customHeight="1" x14ac:dyDescent="0.45">
      <c r="F9" s="27"/>
      <c r="G9" s="92"/>
      <c r="H9" s="92"/>
      <c r="I9" s="92"/>
      <c r="J9" s="92"/>
      <c r="K9" s="27"/>
    </row>
    <row r="10" spans="1:14" s="22" customFormat="1" ht="15" customHeight="1" x14ac:dyDescent="0.45">
      <c r="B10" s="23"/>
      <c r="C10" s="23"/>
      <c r="F10" s="27"/>
      <c r="G10" s="92"/>
      <c r="H10" s="92"/>
      <c r="I10" s="92"/>
      <c r="J10" s="92"/>
      <c r="K10" s="27"/>
    </row>
    <row r="11" spans="1:14" s="22" customFormat="1" ht="15" customHeight="1" x14ac:dyDescent="0.45">
      <c r="B11" s="19"/>
      <c r="C11" s="19"/>
      <c r="D11" s="20"/>
      <c r="F11" s="24"/>
      <c r="G11" s="24"/>
      <c r="H11" s="24"/>
      <c r="I11" s="24"/>
      <c r="J11" s="24"/>
      <c r="K11" s="24"/>
    </row>
    <row r="12" spans="1:14" s="22" customFormat="1" ht="15" customHeight="1" x14ac:dyDescent="0.45">
      <c r="A12" s="25"/>
      <c r="B12" s="19"/>
      <c r="C12" s="19"/>
      <c r="D12" s="28"/>
      <c r="F12" s="24"/>
      <c r="G12" s="88"/>
      <c r="H12" s="88"/>
      <c r="I12" s="88"/>
      <c r="J12" s="88"/>
      <c r="K12" s="24"/>
    </row>
    <row r="13" spans="1:14" s="22" customFormat="1" ht="15" customHeight="1" x14ac:dyDescent="0.45">
      <c r="A13" s="18"/>
      <c r="B13" s="19"/>
      <c r="C13" s="19"/>
      <c r="D13" s="29"/>
      <c r="F13" s="24"/>
      <c r="G13" s="88"/>
      <c r="H13" s="88"/>
      <c r="I13" s="88"/>
      <c r="J13" s="88"/>
      <c r="K13" s="24"/>
    </row>
    <row r="14" spans="1:14" s="22" customFormat="1" ht="15" customHeight="1" x14ac:dyDescent="0.45">
      <c r="A14" s="21"/>
      <c r="B14" s="19"/>
      <c r="C14" s="19"/>
      <c r="D14" s="29"/>
      <c r="F14" s="24"/>
      <c r="G14" s="88"/>
      <c r="H14" s="88"/>
      <c r="I14" s="88"/>
      <c r="J14" s="88"/>
      <c r="K14" s="24"/>
    </row>
    <row r="15" spans="1:14" s="22" customFormat="1" ht="15" customHeight="1" x14ac:dyDescent="0.45">
      <c r="A15" s="21"/>
      <c r="B15" s="19"/>
      <c r="C15" s="19"/>
      <c r="D15" s="29"/>
      <c r="F15" s="24"/>
      <c r="G15" s="24"/>
      <c r="H15" s="24"/>
      <c r="I15" s="24"/>
      <c r="J15" s="24"/>
      <c r="K15" s="24"/>
    </row>
    <row r="16" spans="1:14" s="22" customFormat="1" ht="15" customHeight="1" x14ac:dyDescent="0.45">
      <c r="A16" s="21"/>
      <c r="B16" s="19"/>
      <c r="C16" s="19"/>
      <c r="D16" s="30"/>
      <c r="F16" s="24"/>
      <c r="G16" s="88"/>
      <c r="H16" s="88"/>
      <c r="I16" s="88"/>
      <c r="J16" s="88"/>
      <c r="K16" s="24"/>
    </row>
    <row r="17" spans="1:11" s="22" customFormat="1" ht="15" customHeight="1" x14ac:dyDescent="0.45">
      <c r="A17" s="21"/>
      <c r="B17" s="31"/>
      <c r="C17" s="32"/>
      <c r="D17" s="30"/>
      <c r="F17" s="24"/>
      <c r="G17" s="24"/>
      <c r="H17" s="24"/>
      <c r="I17" s="24"/>
      <c r="J17" s="24"/>
      <c r="K17" s="24"/>
    </row>
    <row r="18" spans="1:11" ht="15" customHeight="1" x14ac:dyDescent="0.45"/>
  </sheetData>
  <mergeCells count="8">
    <mergeCell ref="A1:N1"/>
    <mergeCell ref="G16:J16"/>
    <mergeCell ref="G12:J14"/>
    <mergeCell ref="C4:D4"/>
    <mergeCell ref="A2:N2"/>
    <mergeCell ref="A5:N6"/>
    <mergeCell ref="A7:N7"/>
    <mergeCell ref="G9:J10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landscape" r:id="rId1"/>
  <headerFooter>
    <oddHeader xml:space="preserve">&amp;R&amp;10&amp;F 
&amp;A
</oddHeader>
    <oddFooter>&amp;L&amp;10© 2018&amp;C&amp;10Page &amp;P of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0"/>
  <sheetViews>
    <sheetView showGridLines="0" zoomScaleNormal="100" workbookViewId="0"/>
  </sheetViews>
  <sheetFormatPr defaultColWidth="9.06640625" defaultRowHeight="14.25" x14ac:dyDescent="0.45"/>
  <cols>
    <col min="1" max="1" width="1.33203125" customWidth="1"/>
    <col min="2" max="2" width="2.796875" customWidth="1"/>
    <col min="3" max="3" width="13.265625" customWidth="1"/>
    <col min="4" max="4" width="2.796875" customWidth="1"/>
    <col min="5" max="7" width="1.33203125" customWidth="1"/>
    <col min="8" max="8" width="2.796875" customWidth="1"/>
    <col min="9" max="9" width="42.73046875" customWidth="1"/>
    <col min="10" max="11" width="1.33203125" customWidth="1"/>
    <col min="12" max="12" width="15.59765625" bestFit="1" customWidth="1"/>
    <col min="13" max="14" width="1.33203125" customWidth="1"/>
    <col min="15" max="15" width="2.796875" customWidth="1"/>
    <col min="16" max="16" width="32.59765625" customWidth="1"/>
    <col min="17" max="17" width="2.796875" customWidth="1"/>
    <col min="18" max="18" width="1.33203125" customWidth="1"/>
    <col min="23" max="23" width="17.73046875" bestFit="1" customWidth="1"/>
  </cols>
  <sheetData>
    <row r="1" spans="1:18" s="33" customFormat="1" ht="45" customHeight="1" x14ac:dyDescent="0.85">
      <c r="A1" s="13" t="str">
        <f>Welcome!A2</f>
        <v>Advanced Valuation</v>
      </c>
      <c r="B1" s="13"/>
      <c r="C1" s="13"/>
      <c r="D1" s="13"/>
      <c r="E1" s="13"/>
      <c r="F1" s="13"/>
      <c r="G1" s="13"/>
      <c r="H1" s="13"/>
      <c r="I1" s="13"/>
      <c r="J1" s="6"/>
      <c r="K1" s="6"/>
      <c r="L1" s="6"/>
      <c r="M1" s="6"/>
      <c r="N1" s="6"/>
      <c r="O1" s="6"/>
      <c r="P1" s="6"/>
      <c r="Q1" s="6"/>
      <c r="R1" s="6"/>
    </row>
    <row r="2" spans="1:18" s="34" customFormat="1" ht="30" customHeight="1" x14ac:dyDescent="0.65">
      <c r="A2" s="14" t="s">
        <v>15</v>
      </c>
      <c r="B2" s="14"/>
      <c r="C2" s="14"/>
      <c r="D2" s="14"/>
      <c r="E2" s="14"/>
      <c r="F2" s="14"/>
      <c r="G2" s="14"/>
      <c r="H2" s="14"/>
      <c r="I2" s="14"/>
      <c r="J2" s="7"/>
      <c r="K2" s="7"/>
      <c r="L2" s="7"/>
      <c r="M2" s="7"/>
      <c r="N2" s="7"/>
      <c r="O2" s="7"/>
      <c r="P2" s="7"/>
      <c r="Q2" s="7"/>
      <c r="R2" s="7"/>
    </row>
    <row r="3" spans="1:18" s="2" customFormat="1" ht="7.5" customHeight="1" x14ac:dyDescent="0.45"/>
    <row r="4" spans="1:18" s="2" customFormat="1" ht="22.5" customHeight="1" x14ac:dyDescent="0.45">
      <c r="A4" s="1"/>
      <c r="B4" s="94" t="s">
        <v>0</v>
      </c>
      <c r="C4" s="94"/>
      <c r="D4" s="94"/>
      <c r="E4" s="94"/>
      <c r="F4" s="94"/>
      <c r="G4" s="94"/>
      <c r="H4" s="94"/>
      <c r="I4" s="94"/>
      <c r="K4" s="1"/>
      <c r="L4" s="94" t="s">
        <v>2</v>
      </c>
      <c r="M4" s="94"/>
      <c r="N4" s="94"/>
      <c r="O4" s="94"/>
      <c r="P4" s="94"/>
      <c r="Q4" s="39"/>
      <c r="R4" s="39"/>
    </row>
    <row r="5" spans="1:18" s="2" customFormat="1" ht="15" customHeight="1" x14ac:dyDescent="0.45">
      <c r="A5" s="16"/>
      <c r="B5" s="8" t="s">
        <v>1</v>
      </c>
      <c r="C5" s="54" t="s">
        <v>27</v>
      </c>
      <c r="D5" s="17"/>
      <c r="E5" s="17"/>
      <c r="F5" s="17"/>
      <c r="G5" s="17"/>
      <c r="H5" s="17"/>
      <c r="I5" s="17"/>
      <c r="K5" s="1"/>
      <c r="L5" s="9" t="s">
        <v>3</v>
      </c>
      <c r="M5" s="9"/>
      <c r="N5" s="96" t="s">
        <v>67</v>
      </c>
      <c r="O5" s="96"/>
      <c r="P5" s="96"/>
      <c r="Q5" s="96"/>
      <c r="R5" s="39"/>
    </row>
    <row r="6" spans="1:18" s="2" customFormat="1" ht="15" customHeight="1" x14ac:dyDescent="0.45">
      <c r="A6" s="3"/>
      <c r="B6" s="8" t="s">
        <v>1</v>
      </c>
      <c r="C6" s="54" t="s">
        <v>25</v>
      </c>
      <c r="D6" s="17"/>
      <c r="E6" s="17"/>
      <c r="F6" s="17"/>
      <c r="G6" s="17"/>
      <c r="H6" s="17"/>
      <c r="I6" s="17"/>
      <c r="K6" s="16"/>
      <c r="L6" s="9" t="s">
        <v>4</v>
      </c>
      <c r="M6" s="9"/>
      <c r="N6" s="97">
        <v>44926</v>
      </c>
      <c r="O6" s="97"/>
      <c r="P6" s="97"/>
      <c r="Q6" s="97"/>
      <c r="R6" s="39"/>
    </row>
    <row r="7" spans="1:18" s="2" customFormat="1" ht="15" customHeight="1" x14ac:dyDescent="0.45">
      <c r="A7" s="17"/>
      <c r="B7" s="8" t="s">
        <v>1</v>
      </c>
      <c r="C7" s="17" t="s">
        <v>70</v>
      </c>
      <c r="D7" s="17"/>
      <c r="E7" s="17"/>
      <c r="F7" s="17"/>
      <c r="G7" s="17"/>
      <c r="H7" s="17"/>
      <c r="I7" s="17"/>
      <c r="K7" s="3"/>
      <c r="L7" s="9" t="s">
        <v>5</v>
      </c>
      <c r="M7" s="9"/>
      <c r="N7" s="96"/>
      <c r="O7" s="96"/>
      <c r="P7" s="96"/>
      <c r="Q7" s="96"/>
      <c r="R7" s="39"/>
    </row>
    <row r="8" spans="1:18" s="2" customFormat="1" ht="15" customHeight="1" x14ac:dyDescent="0.45">
      <c r="A8" s="17"/>
      <c r="B8" s="8"/>
      <c r="C8" s="17"/>
      <c r="D8" s="17"/>
      <c r="E8" s="17"/>
      <c r="F8" s="17"/>
      <c r="G8" s="17"/>
      <c r="H8" s="17"/>
      <c r="I8" s="17"/>
      <c r="K8" s="17"/>
      <c r="L8" s="9" t="s">
        <v>6</v>
      </c>
      <c r="M8" s="9"/>
      <c r="N8" s="96"/>
      <c r="O8" s="96"/>
      <c r="P8" s="96"/>
      <c r="Q8" s="96"/>
      <c r="R8" s="39"/>
    </row>
    <row r="9" spans="1:18" s="2" customFormat="1" ht="15" customHeight="1" x14ac:dyDescent="0.45">
      <c r="A9" s="40"/>
      <c r="B9" s="8"/>
      <c r="C9" s="17"/>
      <c r="D9" s="40"/>
      <c r="E9" s="40"/>
      <c r="F9" s="40"/>
      <c r="G9" s="40"/>
      <c r="H9" s="40"/>
      <c r="I9" s="40"/>
      <c r="K9" s="17"/>
      <c r="L9" s="9" t="s">
        <v>7</v>
      </c>
      <c r="M9" s="9"/>
      <c r="N9" s="96" t="s">
        <v>9</v>
      </c>
      <c r="O9" s="96"/>
      <c r="P9" s="96"/>
      <c r="Q9" s="96"/>
      <c r="R9" s="39"/>
    </row>
    <row r="10" spans="1:18" s="2" customFormat="1" ht="15" customHeight="1" x14ac:dyDescent="0.45">
      <c r="A10" s="38"/>
      <c r="B10" s="8"/>
      <c r="C10" s="17"/>
      <c r="D10" s="38"/>
      <c r="E10" s="38"/>
      <c r="F10" s="38"/>
      <c r="G10" s="38"/>
      <c r="H10" s="38"/>
      <c r="I10" s="38"/>
      <c r="K10" s="17"/>
      <c r="L10" s="9" t="s">
        <v>8</v>
      </c>
      <c r="M10" s="9"/>
      <c r="N10" s="98">
        <v>0</v>
      </c>
      <c r="O10" s="98"/>
      <c r="P10" s="98"/>
      <c r="Q10" s="98"/>
      <c r="R10" s="46"/>
    </row>
    <row r="11" spans="1:18" s="2" customFormat="1" ht="15" customHeight="1" thickBot="1" x14ac:dyDescent="0.5">
      <c r="A11" s="43"/>
      <c r="B11" s="43"/>
      <c r="C11" s="43"/>
      <c r="D11" s="43"/>
      <c r="E11" s="43"/>
      <c r="F11" s="43"/>
      <c r="G11" s="43"/>
      <c r="H11" s="43"/>
      <c r="I11" s="43"/>
      <c r="K11" s="4"/>
      <c r="L11" s="58"/>
      <c r="M11" s="58"/>
      <c r="N11" s="47"/>
      <c r="O11" s="48"/>
      <c r="P11" s="48"/>
      <c r="Q11" s="49"/>
      <c r="R11" s="50"/>
    </row>
    <row r="12" spans="1:18" s="2" customFormat="1" ht="7.5" customHeight="1" x14ac:dyDescent="0.45">
      <c r="K12" s="24"/>
      <c r="L12" s="24"/>
      <c r="M12" s="24"/>
      <c r="N12" s="24"/>
      <c r="O12" s="24"/>
      <c r="P12" s="24"/>
      <c r="Q12" s="24"/>
      <c r="R12" s="24"/>
    </row>
    <row r="13" spans="1:18" s="2" customFormat="1" ht="22.5" customHeight="1" x14ac:dyDescent="0.45">
      <c r="A13" s="54"/>
      <c r="B13" s="95" t="s">
        <v>16</v>
      </c>
      <c r="C13" s="95"/>
      <c r="D13" s="95"/>
      <c r="E13" s="95"/>
      <c r="F13" s="95"/>
      <c r="G13" s="95"/>
      <c r="H13" s="95"/>
      <c r="I13" s="95"/>
      <c r="J13" s="95"/>
      <c r="K13" s="95"/>
      <c r="L13" s="95"/>
      <c r="N13" s="1"/>
      <c r="O13" s="94" t="s">
        <v>11</v>
      </c>
      <c r="P13" s="94"/>
      <c r="Q13" s="94"/>
      <c r="R13" s="57"/>
    </row>
    <row r="14" spans="1:18" s="2" customFormat="1" ht="15" customHeight="1" x14ac:dyDescent="0.45">
      <c r="A14" s="55"/>
      <c r="B14" s="93" t="s">
        <v>81</v>
      </c>
      <c r="C14" s="93"/>
      <c r="D14" s="93" t="s">
        <v>83</v>
      </c>
      <c r="E14" s="93"/>
      <c r="F14" s="93"/>
      <c r="G14" s="93"/>
      <c r="H14" s="93"/>
      <c r="I14" s="93"/>
      <c r="J14" s="93"/>
      <c r="K14" s="93"/>
      <c r="L14" s="93"/>
      <c r="N14" s="16"/>
      <c r="O14" s="26"/>
      <c r="P14" s="21"/>
      <c r="Q14" s="21"/>
      <c r="R14" s="55"/>
    </row>
    <row r="15" spans="1:18" s="2" customFormat="1" ht="15" customHeight="1" x14ac:dyDescent="0.45">
      <c r="A15" s="55"/>
      <c r="B15" s="93" t="s">
        <v>82</v>
      </c>
      <c r="C15" s="93"/>
      <c r="D15" s="93" t="s">
        <v>71</v>
      </c>
      <c r="E15" s="93"/>
      <c r="F15" s="93"/>
      <c r="G15" s="93"/>
      <c r="H15" s="93"/>
      <c r="I15" s="93"/>
      <c r="J15" s="93"/>
      <c r="K15" s="93"/>
      <c r="L15" s="93"/>
      <c r="N15" s="3"/>
      <c r="O15" s="26"/>
      <c r="P15" s="51" t="s">
        <v>12</v>
      </c>
      <c r="Q15" s="21"/>
      <c r="R15" s="55"/>
    </row>
    <row r="16" spans="1:18" s="2" customFormat="1" ht="15" customHeight="1" x14ac:dyDescent="0.45">
      <c r="A16" s="55"/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N16" s="17"/>
      <c r="O16" s="26"/>
      <c r="P16" s="35" t="s">
        <v>13</v>
      </c>
      <c r="Q16" s="21"/>
      <c r="R16" s="55"/>
    </row>
    <row r="17" spans="1:18" s="2" customFormat="1" ht="15" customHeight="1" x14ac:dyDescent="0.45">
      <c r="A17" s="55"/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3"/>
      <c r="N17" s="17"/>
      <c r="O17" s="26"/>
      <c r="P17" t="s">
        <v>14</v>
      </c>
      <c r="Q17" s="21"/>
      <c r="R17" s="55"/>
    </row>
    <row r="18" spans="1:18" s="2" customFormat="1" ht="15" customHeight="1" x14ac:dyDescent="0.45">
      <c r="A18" s="38"/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N18" s="38"/>
      <c r="O18" s="52"/>
      <c r="P18" s="52"/>
      <c r="Q18" s="52"/>
      <c r="R18" s="38"/>
    </row>
    <row r="19" spans="1:18" ht="14.65" thickBot="1" x14ac:dyDescent="0.5">
      <c r="A19" s="43"/>
      <c r="B19" s="43"/>
      <c r="C19" s="43"/>
      <c r="D19" s="56"/>
      <c r="E19" s="56"/>
      <c r="F19" s="56"/>
      <c r="G19" s="56"/>
      <c r="H19" s="56"/>
      <c r="I19" s="56"/>
      <c r="J19" s="56"/>
      <c r="K19" s="56"/>
      <c r="L19" s="56"/>
      <c r="N19" s="43"/>
      <c r="O19" s="43"/>
      <c r="P19" s="43"/>
      <c r="Q19" s="43"/>
      <c r="R19" s="43"/>
    </row>
    <row r="20" spans="1:18" x14ac:dyDescent="0.45">
      <c r="Q20" s="53"/>
    </row>
  </sheetData>
  <mergeCells count="20">
    <mergeCell ref="D15:L15"/>
    <mergeCell ref="B14:C14"/>
    <mergeCell ref="B15:C15"/>
    <mergeCell ref="B16:C16"/>
    <mergeCell ref="B17:C17"/>
    <mergeCell ref="L4:P4"/>
    <mergeCell ref="B4:I4"/>
    <mergeCell ref="B13:L13"/>
    <mergeCell ref="B18:C18"/>
    <mergeCell ref="D16:L16"/>
    <mergeCell ref="D17:L17"/>
    <mergeCell ref="D18:L18"/>
    <mergeCell ref="N5:Q5"/>
    <mergeCell ref="N6:Q6"/>
    <mergeCell ref="N7:Q7"/>
    <mergeCell ref="N8:Q8"/>
    <mergeCell ref="N9:Q9"/>
    <mergeCell ref="N10:Q10"/>
    <mergeCell ref="O13:Q13"/>
    <mergeCell ref="D14:L14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landscape" horizontalDpi="2400" verticalDpi="2400" r:id="rId1"/>
  <headerFooter>
    <oddHeader xml:space="preserve">&amp;R&amp;10&amp;F 
&amp;A
</oddHeader>
    <oddFooter>&amp;L&amp;10© 2018&amp;C&amp;10Page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3A21E-4292-4997-9C19-F3B85043A150}">
  <sheetPr>
    <pageSetUpPr fitToPage="1"/>
  </sheetPr>
  <dimension ref="A1:M196"/>
  <sheetViews>
    <sheetView zoomScaleNormal="100" zoomScaleSheetLayoutView="85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defaultColWidth="12.59765625" defaultRowHeight="15" customHeight="1" x14ac:dyDescent="0.45"/>
  <cols>
    <col min="1" max="1" width="1.59765625" customWidth="1"/>
    <col min="2" max="2" width="49.86328125" bestFit="1" customWidth="1"/>
    <col min="3" max="5" width="9.1328125" customWidth="1"/>
    <col min="6" max="6" width="11" bestFit="1" customWidth="1"/>
    <col min="7" max="13" width="9.1328125" customWidth="1"/>
    <col min="14" max="39" width="12.59765625" customWidth="1"/>
  </cols>
  <sheetData>
    <row r="1" spans="1:13" s="45" customFormat="1" ht="45" customHeight="1" x14ac:dyDescent="0.85">
      <c r="A1" s="5" t="str">
        <f>Info!A1</f>
        <v>Advanced Valuation</v>
      </c>
      <c r="B1" s="10"/>
      <c r="C1" s="12" t="s">
        <v>39</v>
      </c>
      <c r="D1" s="12" t="s">
        <v>39</v>
      </c>
      <c r="E1" s="12" t="s">
        <v>39</v>
      </c>
      <c r="F1" s="12" t="s">
        <v>40</v>
      </c>
      <c r="G1" s="12" t="s">
        <v>40</v>
      </c>
      <c r="H1" s="12" t="s">
        <v>40</v>
      </c>
      <c r="I1" s="12" t="s">
        <v>40</v>
      </c>
      <c r="J1" s="12" t="s">
        <v>40</v>
      </c>
      <c r="K1" s="12" t="s">
        <v>40</v>
      </c>
      <c r="L1" s="12" t="s">
        <v>40</v>
      </c>
      <c r="M1" s="12" t="s">
        <v>40</v>
      </c>
    </row>
    <row r="2" spans="1:13" s="34" customFormat="1" ht="30" customHeight="1" x14ac:dyDescent="0.65">
      <c r="A2" s="14" t="str">
        <f>Info!N5</f>
        <v>Keurig Dr Pepper</v>
      </c>
      <c r="B2" s="7"/>
      <c r="C2" s="11">
        <f>DATE(YEAR(D2)-1,MONTH(D2),DAY(D2))</f>
        <v>44196</v>
      </c>
      <c r="D2" s="11">
        <f>DATE(YEAR(E2)-1,MONTH(E2),DAY(E2))</f>
        <v>44561</v>
      </c>
      <c r="E2" s="11">
        <f>Info!N6</f>
        <v>44926</v>
      </c>
      <c r="F2" s="11">
        <f>DATE(YEAR(E2)+1,MONTH(E2),DAY(E2))</f>
        <v>45291</v>
      </c>
      <c r="G2" s="11">
        <f>DATE(YEAR(F2)+1,MONTH(F2),DAY(F2))</f>
        <v>45657</v>
      </c>
      <c r="H2" s="11">
        <f>DATE(YEAR(G2)+1,MONTH(G2),DAY(G2))</f>
        <v>46022</v>
      </c>
      <c r="I2" s="11">
        <f>DATE(YEAR(H2)+1,MONTH(H2),DAY(H2))</f>
        <v>46387</v>
      </c>
      <c r="J2" s="11">
        <f>DATE(YEAR(I2)+1,MONTH(I2),DAY(I2))</f>
        <v>46752</v>
      </c>
      <c r="K2" s="11">
        <f t="shared" ref="K2:M2" si="0">DATE(YEAR(J2)+1,MONTH(J2),DAY(J2))</f>
        <v>47118</v>
      </c>
      <c r="L2" s="11">
        <f t="shared" si="0"/>
        <v>47483</v>
      </c>
      <c r="M2" s="11">
        <f t="shared" si="0"/>
        <v>47848</v>
      </c>
    </row>
    <row r="3" spans="1:13" ht="15" customHeight="1" x14ac:dyDescent="0.45">
      <c r="A3" s="66"/>
    </row>
    <row r="4" spans="1:13" ht="15" customHeight="1" x14ac:dyDescent="0.45">
      <c r="A4" s="66" t="s">
        <v>79</v>
      </c>
    </row>
    <row r="5" spans="1:13" ht="15" customHeight="1" x14ac:dyDescent="0.45">
      <c r="A5" s="66"/>
    </row>
    <row r="6" spans="1:13" ht="15" customHeight="1" x14ac:dyDescent="0.45">
      <c r="A6" s="66" t="s">
        <v>43</v>
      </c>
    </row>
    <row r="7" spans="1:13" ht="15" customHeight="1" x14ac:dyDescent="0.45">
      <c r="A7" s="66"/>
      <c r="B7" s="67" t="s">
        <v>48</v>
      </c>
      <c r="D7" s="70"/>
      <c r="E7" s="70">
        <f>+E16/D16-1</f>
        <v>0.1083339903808247</v>
      </c>
      <c r="F7" s="64">
        <v>6.9000000000000006E-2</v>
      </c>
      <c r="G7" s="64">
        <v>4.4999999999999998E-2</v>
      </c>
      <c r="H7" s="64">
        <v>4.2999999999999997E-2</v>
      </c>
      <c r="I7" s="64">
        <v>0.04</v>
      </c>
      <c r="J7" s="64">
        <v>0.04</v>
      </c>
      <c r="K7" s="64">
        <v>0.04</v>
      </c>
      <c r="L7" s="64">
        <v>0.04</v>
      </c>
      <c r="M7" s="64">
        <v>3.5000000000000003E-2</v>
      </c>
    </row>
    <row r="8" spans="1:13" ht="15" customHeight="1" x14ac:dyDescent="0.45">
      <c r="A8" s="66"/>
      <c r="B8" s="67" t="s">
        <v>44</v>
      </c>
      <c r="D8" s="70"/>
      <c r="E8" s="70">
        <f>+E17/E16</f>
        <v>0.27971828982001851</v>
      </c>
      <c r="F8" s="64">
        <v>0.28499999999999998</v>
      </c>
      <c r="G8" s="64">
        <v>0.28699999999999998</v>
      </c>
      <c r="H8" s="64">
        <v>0.28999999999999998</v>
      </c>
      <c r="I8" s="64">
        <v>0.28999999999999998</v>
      </c>
      <c r="J8" s="64">
        <v>0.28999999999999998</v>
      </c>
      <c r="K8" s="64">
        <v>0.28499999999999998</v>
      </c>
      <c r="L8" s="64">
        <v>0.28499999999999998</v>
      </c>
      <c r="M8" s="64">
        <v>0.28499999999999998</v>
      </c>
    </row>
    <row r="9" spans="1:13" ht="15" customHeight="1" x14ac:dyDescent="0.45">
      <c r="A9" s="66"/>
      <c r="B9" s="67" t="s">
        <v>45</v>
      </c>
      <c r="C9" s="61"/>
      <c r="D9" s="61"/>
      <c r="E9" s="61">
        <f>+E24/E16*-1</f>
        <v>2.5112043821583552E-2</v>
      </c>
      <c r="F9" s="69">
        <v>2.5000000000000001E-2</v>
      </c>
      <c r="G9" s="69">
        <v>2.5000000000000001E-2</v>
      </c>
      <c r="H9" s="69">
        <v>2.5000000000000001E-2</v>
      </c>
      <c r="I9" s="69">
        <v>2.5000000000000001E-2</v>
      </c>
      <c r="J9" s="69">
        <v>2.5000000000000001E-2</v>
      </c>
      <c r="K9" s="69">
        <v>2.5000000000000001E-2</v>
      </c>
      <c r="L9" s="69">
        <v>2.5000000000000001E-2</v>
      </c>
      <c r="M9" s="69">
        <v>2.5000000000000001E-2</v>
      </c>
    </row>
    <row r="10" spans="1:13" ht="15" customHeight="1" x14ac:dyDescent="0.45">
      <c r="A10" s="66"/>
      <c r="B10" s="67" t="s">
        <v>49</v>
      </c>
      <c r="C10" s="61"/>
      <c r="D10" s="61"/>
      <c r="E10" s="61">
        <f>+E24/E22*-1</f>
        <v>0.65735567970204845</v>
      </c>
      <c r="F10" s="64">
        <v>0.7</v>
      </c>
      <c r="G10" s="64">
        <v>0.75</v>
      </c>
      <c r="H10" s="64">
        <v>0.8</v>
      </c>
      <c r="I10" s="64">
        <v>0.85</v>
      </c>
      <c r="J10" s="64">
        <v>0.9</v>
      </c>
      <c r="K10" s="64">
        <v>0.95</v>
      </c>
      <c r="L10" s="64">
        <v>1</v>
      </c>
      <c r="M10" s="64">
        <v>1.02</v>
      </c>
    </row>
    <row r="11" spans="1:13" ht="15" customHeight="1" x14ac:dyDescent="0.45">
      <c r="A11" s="66"/>
      <c r="B11" s="67" t="s">
        <v>46</v>
      </c>
      <c r="E11" s="61"/>
      <c r="F11" s="69">
        <v>0.21</v>
      </c>
      <c r="G11" s="69">
        <v>0.21</v>
      </c>
      <c r="H11" s="69">
        <v>0.21</v>
      </c>
      <c r="I11" s="69">
        <v>0.21</v>
      </c>
      <c r="J11" s="69">
        <v>0.21</v>
      </c>
      <c r="K11" s="69">
        <v>0.21</v>
      </c>
      <c r="L11" s="69">
        <v>0.21</v>
      </c>
      <c r="M11" s="69">
        <v>0.21</v>
      </c>
    </row>
    <row r="12" spans="1:13" ht="15" customHeight="1" x14ac:dyDescent="0.45">
      <c r="A12" s="66"/>
      <c r="B12" s="67" t="s">
        <v>47</v>
      </c>
      <c r="E12" s="61">
        <f>+E13/E16</f>
        <v>-0.17130255388774276</v>
      </c>
      <c r="F12" s="69">
        <v>-0.17100000000000001</v>
      </c>
      <c r="G12" s="69">
        <v>-0.17100000000000001</v>
      </c>
      <c r="H12" s="69">
        <v>-0.17100000000000001</v>
      </c>
      <c r="I12" s="69">
        <v>-0.17100000000000001</v>
      </c>
      <c r="J12" s="69">
        <v>-0.17100000000000001</v>
      </c>
      <c r="K12" s="69">
        <v>-0.17100000000000001</v>
      </c>
      <c r="L12" s="69">
        <v>-0.17100000000000001</v>
      </c>
      <c r="M12" s="69">
        <v>-0.17100000000000001</v>
      </c>
    </row>
    <row r="13" spans="1:13" ht="15" customHeight="1" x14ac:dyDescent="0.45">
      <c r="A13" s="66"/>
      <c r="B13" s="67" t="s">
        <v>53</v>
      </c>
      <c r="E13" s="59">
        <f>1484+1314-5206</f>
        <v>-2408</v>
      </c>
      <c r="F13">
        <f>+F12*F16</f>
        <v>-2569.6055430000001</v>
      </c>
      <c r="G13">
        <f t="shared" ref="G13:M13" si="1">+G12*G16</f>
        <v>-2685.2377924349998</v>
      </c>
      <c r="H13">
        <f t="shared" si="1"/>
        <v>-2800.7030175097048</v>
      </c>
      <c r="I13">
        <f t="shared" si="1"/>
        <v>-2912.7311382100929</v>
      </c>
      <c r="J13">
        <f t="shared" si="1"/>
        <v>-3029.2403837384973</v>
      </c>
      <c r="K13">
        <f t="shared" si="1"/>
        <v>-3150.4099990880372</v>
      </c>
      <c r="L13">
        <f t="shared" si="1"/>
        <v>-3276.4263990515592</v>
      </c>
      <c r="M13">
        <f t="shared" si="1"/>
        <v>-3391.1013230183639</v>
      </c>
    </row>
    <row r="14" spans="1:13" ht="15" customHeight="1" x14ac:dyDescent="0.45">
      <c r="A14" s="66"/>
    </row>
    <row r="15" spans="1:13" ht="15" customHeight="1" x14ac:dyDescent="0.45">
      <c r="A15" s="66" t="s">
        <v>29</v>
      </c>
      <c r="E15" s="70"/>
    </row>
    <row r="16" spans="1:13" ht="15" customHeight="1" x14ac:dyDescent="0.45">
      <c r="A16" s="66"/>
      <c r="B16" s="67" t="s">
        <v>41</v>
      </c>
      <c r="C16" s="68"/>
      <c r="D16" s="59">
        <f>12683</f>
        <v>12683</v>
      </c>
      <c r="E16" s="59">
        <f>14057</f>
        <v>14057</v>
      </c>
      <c r="F16">
        <f>E16*(1+F7)</f>
        <v>15026.932999999999</v>
      </c>
      <c r="G16">
        <f t="shared" ref="G16:M16" si="2">F16*(1+G7)</f>
        <v>15703.144984999997</v>
      </c>
      <c r="H16">
        <f t="shared" si="2"/>
        <v>16378.380219354996</v>
      </c>
      <c r="I16">
        <f t="shared" si="2"/>
        <v>17033.515428129198</v>
      </c>
      <c r="J16">
        <f t="shared" si="2"/>
        <v>17714.856045254368</v>
      </c>
      <c r="K16">
        <f t="shared" si="2"/>
        <v>18423.450287064545</v>
      </c>
      <c r="L16">
        <f t="shared" si="2"/>
        <v>19160.388298547128</v>
      </c>
      <c r="M16">
        <f t="shared" si="2"/>
        <v>19831.001888996278</v>
      </c>
    </row>
    <row r="17" spans="1:13" ht="15" customHeight="1" x14ac:dyDescent="0.45">
      <c r="A17" s="66"/>
      <c r="B17" s="67" t="s">
        <v>42</v>
      </c>
      <c r="C17" s="59"/>
      <c r="D17" s="59"/>
      <c r="E17">
        <f>E19+E22</f>
        <v>3932</v>
      </c>
      <c r="F17">
        <f>F8*F16</f>
        <v>4282.6759049999991</v>
      </c>
      <c r="G17">
        <f t="shared" ref="G17:M17" si="3">G8*G16</f>
        <v>4506.8026106949992</v>
      </c>
      <c r="H17">
        <f t="shared" si="3"/>
        <v>4749.7302636129489</v>
      </c>
      <c r="I17">
        <f t="shared" si="3"/>
        <v>4939.7194741574667</v>
      </c>
      <c r="J17">
        <f t="shared" si="3"/>
        <v>5137.308253123766</v>
      </c>
      <c r="K17">
        <f t="shared" si="3"/>
        <v>5250.6833318133949</v>
      </c>
      <c r="L17">
        <f t="shared" si="3"/>
        <v>5460.7106650859314</v>
      </c>
      <c r="M17">
        <f t="shared" si="3"/>
        <v>5651.8355383639382</v>
      </c>
    </row>
    <row r="18" spans="1:13" ht="15" customHeight="1" x14ac:dyDescent="0.45">
      <c r="A18" s="66"/>
    </row>
    <row r="19" spans="1:13" ht="15" customHeight="1" x14ac:dyDescent="0.45">
      <c r="A19" s="15"/>
      <c r="B19" s="67" t="s">
        <v>30</v>
      </c>
      <c r="E19" s="59">
        <f>3538-138-5</f>
        <v>3395</v>
      </c>
      <c r="F19" s="86">
        <f>F17-F22</f>
        <v>3745.9997264285707</v>
      </c>
      <c r="G19" s="86">
        <f t="shared" ref="G19:M19" si="4">G17-G22</f>
        <v>3983.3644445283326</v>
      </c>
      <c r="H19" s="86">
        <f t="shared" si="4"/>
        <v>4237.9058817581054</v>
      </c>
      <c r="I19" s="86">
        <f t="shared" si="4"/>
        <v>4438.7337262713136</v>
      </c>
      <c r="J19" s="86">
        <f t="shared" si="4"/>
        <v>4645.2289185333666</v>
      </c>
      <c r="K19" s="86">
        <f t="shared" si="4"/>
        <v>4765.8556926801175</v>
      </c>
      <c r="L19" s="86">
        <f t="shared" si="4"/>
        <v>4981.7009576222536</v>
      </c>
      <c r="M19" s="86">
        <f t="shared" si="4"/>
        <v>5165.7815704963823</v>
      </c>
    </row>
    <row r="20" spans="1:13" ht="15" customHeight="1" x14ac:dyDescent="0.45">
      <c r="A20" s="15"/>
      <c r="B20" s="67" t="s">
        <v>31</v>
      </c>
      <c r="F20">
        <f>F19*F11*-1</f>
        <v>-786.65994254999987</v>
      </c>
      <c r="G20">
        <f t="shared" ref="G20:M20" si="5">G19*G11*-1</f>
        <v>-836.50653335094978</v>
      </c>
      <c r="H20">
        <f t="shared" si="5"/>
        <v>-889.96023516920206</v>
      </c>
      <c r="I20">
        <f t="shared" si="5"/>
        <v>-932.13408251697581</v>
      </c>
      <c r="J20">
        <f t="shared" si="5"/>
        <v>-975.49807289200692</v>
      </c>
      <c r="K20">
        <f t="shared" si="5"/>
        <v>-1000.8296954628246</v>
      </c>
      <c r="L20">
        <f t="shared" si="5"/>
        <v>-1046.1572011006733</v>
      </c>
      <c r="M20">
        <f t="shared" si="5"/>
        <v>-1084.8141298042403</v>
      </c>
    </row>
    <row r="21" spans="1:13" s="76" customFormat="1" ht="15" customHeight="1" x14ac:dyDescent="0.45">
      <c r="A21" s="15"/>
      <c r="B21" s="75" t="s">
        <v>28</v>
      </c>
      <c r="F21" s="76">
        <f>SUM(F19:F20)</f>
        <v>2959.3397838785709</v>
      </c>
      <c r="G21" s="76">
        <f t="shared" ref="G21:M21" si="6">SUM(G19:G20)</f>
        <v>3146.8579111773829</v>
      </c>
      <c r="H21" s="76">
        <f t="shared" si="6"/>
        <v>3347.9456465889034</v>
      </c>
      <c r="I21" s="76">
        <f t="shared" si="6"/>
        <v>3506.5996437543376</v>
      </c>
      <c r="J21" s="76">
        <f t="shared" si="6"/>
        <v>3669.7308456413598</v>
      </c>
      <c r="K21" s="76">
        <f t="shared" si="6"/>
        <v>3765.025997217293</v>
      </c>
      <c r="L21" s="76">
        <f t="shared" si="6"/>
        <v>3935.5437565215802</v>
      </c>
      <c r="M21" s="76">
        <f t="shared" si="6"/>
        <v>4080.9674406921422</v>
      </c>
    </row>
    <row r="22" spans="1:13" ht="15" customHeight="1" x14ac:dyDescent="0.45">
      <c r="A22" s="15"/>
      <c r="B22" s="67" t="s">
        <v>72</v>
      </c>
      <c r="C22" s="68"/>
      <c r="D22" s="68"/>
      <c r="E22" s="59">
        <f>399+138</f>
        <v>537</v>
      </c>
      <c r="F22">
        <f>F24/F10*-1</f>
        <v>536.67617857142852</v>
      </c>
      <c r="G22">
        <f t="shared" ref="G22:M22" si="7">G24/G10*-1</f>
        <v>523.43816616666663</v>
      </c>
      <c r="H22">
        <f t="shared" si="7"/>
        <v>511.82438185484364</v>
      </c>
      <c r="I22">
        <f t="shared" si="7"/>
        <v>500.98574788615292</v>
      </c>
      <c r="J22">
        <f t="shared" si="7"/>
        <v>492.07933459039913</v>
      </c>
      <c r="K22">
        <f t="shared" si="7"/>
        <v>484.8276391332775</v>
      </c>
      <c r="L22">
        <f t="shared" si="7"/>
        <v>479.00970746367824</v>
      </c>
      <c r="M22">
        <f t="shared" si="7"/>
        <v>486.05396786755585</v>
      </c>
    </row>
    <row r="23" spans="1:13" ht="15" customHeight="1" x14ac:dyDescent="0.45">
      <c r="A23" s="15"/>
      <c r="B23" s="67" t="s">
        <v>73</v>
      </c>
      <c r="C23" s="59"/>
      <c r="F23">
        <f>E13-F13</f>
        <v>161.60554300000013</v>
      </c>
      <c r="G23">
        <f t="shared" ref="G23:M23" si="8">F13-G13</f>
        <v>115.63224943499972</v>
      </c>
      <c r="H23">
        <f t="shared" si="8"/>
        <v>115.4652250747049</v>
      </c>
      <c r="I23">
        <f t="shared" si="8"/>
        <v>112.02812070038817</v>
      </c>
      <c r="J23">
        <f t="shared" si="8"/>
        <v>116.50924552840434</v>
      </c>
      <c r="K23">
        <f t="shared" si="8"/>
        <v>121.16961534953998</v>
      </c>
      <c r="L23">
        <f t="shared" si="8"/>
        <v>126.01639996352196</v>
      </c>
      <c r="M23">
        <f t="shared" si="8"/>
        <v>114.67492396680473</v>
      </c>
    </row>
    <row r="24" spans="1:13" ht="15" customHeight="1" x14ac:dyDescent="0.45">
      <c r="A24" s="15"/>
      <c r="B24" s="67" t="s">
        <v>74</v>
      </c>
      <c r="C24" s="71"/>
      <c r="D24" s="68"/>
      <c r="E24" s="59">
        <v>-353</v>
      </c>
      <c r="F24">
        <f>F9*F16*-1</f>
        <v>-375.67332499999998</v>
      </c>
      <c r="G24">
        <f t="shared" ref="G24:M24" si="9">G9*G16*-1</f>
        <v>-392.57862462499997</v>
      </c>
      <c r="H24">
        <f t="shared" si="9"/>
        <v>-409.45950548387492</v>
      </c>
      <c r="I24">
        <f t="shared" si="9"/>
        <v>-425.83788570322997</v>
      </c>
      <c r="J24">
        <f t="shared" si="9"/>
        <v>-442.87140113135922</v>
      </c>
      <c r="K24">
        <f t="shared" si="9"/>
        <v>-460.58625717661363</v>
      </c>
      <c r="L24">
        <f t="shared" si="9"/>
        <v>-479.00970746367824</v>
      </c>
      <c r="M24">
        <f t="shared" si="9"/>
        <v>-495.77504722490698</v>
      </c>
    </row>
    <row r="25" spans="1:13" s="76" customFormat="1" ht="15" customHeight="1" x14ac:dyDescent="0.45">
      <c r="A25" s="15"/>
      <c r="B25" s="75" t="s">
        <v>29</v>
      </c>
      <c r="C25" s="77"/>
      <c r="F25" s="76">
        <f>SUM(F21:F24)</f>
        <v>3281.9481804499992</v>
      </c>
      <c r="G25" s="76">
        <f t="shared" ref="G25:M25" si="10">SUM(G21:G24)</f>
        <v>3393.3497021540493</v>
      </c>
      <c r="H25" s="76">
        <f t="shared" si="10"/>
        <v>3565.7757480345767</v>
      </c>
      <c r="I25" s="76">
        <f t="shared" si="10"/>
        <v>3693.7756266376487</v>
      </c>
      <c r="J25" s="76">
        <f t="shared" si="10"/>
        <v>3835.4480246288035</v>
      </c>
      <c r="K25" s="76">
        <f t="shared" si="10"/>
        <v>3910.4369945234976</v>
      </c>
      <c r="L25" s="76">
        <f t="shared" si="10"/>
        <v>4061.5601564851017</v>
      </c>
      <c r="M25" s="76">
        <f t="shared" si="10"/>
        <v>4185.9212853015952</v>
      </c>
    </row>
    <row r="26" spans="1:13" ht="15" customHeight="1" x14ac:dyDescent="0.45">
      <c r="A26" s="15"/>
      <c r="B26" s="67"/>
      <c r="C26" s="59"/>
      <c r="M26" s="70"/>
    </row>
    <row r="27" spans="1:13" ht="15" customHeight="1" x14ac:dyDescent="0.45">
      <c r="A27" s="15"/>
      <c r="B27" s="67" t="s">
        <v>61</v>
      </c>
      <c r="C27" s="59"/>
      <c r="F27">
        <f>E30</f>
        <v>35557</v>
      </c>
      <c r="G27">
        <f t="shared" ref="G27:M27" si="11">F30</f>
        <v>35234.391603428572</v>
      </c>
      <c r="H27">
        <f t="shared" si="11"/>
        <v>34987.899812451906</v>
      </c>
      <c r="I27">
        <f t="shared" si="11"/>
        <v>34770.069711006232</v>
      </c>
      <c r="J27">
        <f t="shared" si="11"/>
        <v>34582.893728122923</v>
      </c>
      <c r="K27">
        <f t="shared" si="11"/>
        <v>34417.176549135482</v>
      </c>
      <c r="L27">
        <f t="shared" si="11"/>
        <v>34271.765551829274</v>
      </c>
      <c r="M27">
        <f t="shared" si="11"/>
        <v>34145.749151865755</v>
      </c>
    </row>
    <row r="28" spans="1:13" ht="15" customHeight="1" x14ac:dyDescent="0.45">
      <c r="A28" s="15"/>
      <c r="B28" s="67" t="s">
        <v>56</v>
      </c>
      <c r="C28" s="59"/>
      <c r="F28">
        <f>F24*-1-F22</f>
        <v>-161.00285357142855</v>
      </c>
      <c r="G28">
        <f t="shared" ref="G28:M28" si="12">G24*-1-G22</f>
        <v>-130.85954154166666</v>
      </c>
      <c r="H28">
        <f t="shared" si="12"/>
        <v>-102.36487637096872</v>
      </c>
      <c r="I28">
        <f t="shared" si="12"/>
        <v>-75.14786218292295</v>
      </c>
      <c r="J28">
        <f t="shared" si="12"/>
        <v>-49.207933459039907</v>
      </c>
      <c r="K28">
        <f t="shared" si="12"/>
        <v>-24.241381956663872</v>
      </c>
      <c r="L28">
        <f t="shared" si="12"/>
        <v>0</v>
      </c>
      <c r="M28">
        <f t="shared" si="12"/>
        <v>9.7210793573511296</v>
      </c>
    </row>
    <row r="29" spans="1:13" ht="15" customHeight="1" x14ac:dyDescent="0.45">
      <c r="A29" s="15"/>
      <c r="B29" s="67" t="s">
        <v>57</v>
      </c>
      <c r="C29" s="59"/>
      <c r="F29">
        <f>F23*-1</f>
        <v>-161.60554300000013</v>
      </c>
      <c r="G29">
        <f t="shared" ref="G29:M29" si="13">G23*-1</f>
        <v>-115.63224943499972</v>
      </c>
      <c r="H29">
        <f t="shared" si="13"/>
        <v>-115.4652250747049</v>
      </c>
      <c r="I29">
        <f t="shared" si="13"/>
        <v>-112.02812070038817</v>
      </c>
      <c r="J29">
        <f t="shared" si="13"/>
        <v>-116.50924552840434</v>
      </c>
      <c r="K29">
        <f t="shared" si="13"/>
        <v>-121.16961534953998</v>
      </c>
      <c r="L29">
        <f t="shared" si="13"/>
        <v>-126.01639996352196</v>
      </c>
      <c r="M29">
        <f t="shared" si="13"/>
        <v>-114.67492396680473</v>
      </c>
    </row>
    <row r="30" spans="1:13" ht="15" customHeight="1" x14ac:dyDescent="0.45">
      <c r="A30" s="15"/>
      <c r="B30" s="67" t="s">
        <v>62</v>
      </c>
      <c r="C30" s="59"/>
      <c r="E30" s="59">
        <f>25125+11072+895-535-1000</f>
        <v>35557</v>
      </c>
      <c r="F30" s="86">
        <f>SUM(F27:F29)</f>
        <v>35234.391603428572</v>
      </c>
      <c r="G30" s="86">
        <f t="shared" ref="G30:M30" si="14">SUM(G27:G29)</f>
        <v>34987.899812451906</v>
      </c>
      <c r="H30" s="86">
        <f t="shared" si="14"/>
        <v>34770.069711006232</v>
      </c>
      <c r="I30" s="86">
        <f t="shared" si="14"/>
        <v>34582.893728122923</v>
      </c>
      <c r="J30" s="86">
        <f t="shared" si="14"/>
        <v>34417.176549135482</v>
      </c>
      <c r="K30" s="86">
        <f t="shared" si="14"/>
        <v>34271.765551829274</v>
      </c>
      <c r="L30" s="86">
        <f t="shared" si="14"/>
        <v>34145.749151865755</v>
      </c>
      <c r="M30" s="86">
        <f t="shared" si="14"/>
        <v>34040.795307256303</v>
      </c>
    </row>
    <row r="31" spans="1:13" ht="15" customHeight="1" x14ac:dyDescent="0.45">
      <c r="A31" s="15"/>
      <c r="B31" s="67"/>
      <c r="C31" s="59"/>
      <c r="M31" s="70"/>
    </row>
    <row r="32" spans="1:13" ht="15" customHeight="1" x14ac:dyDescent="0.45">
      <c r="A32" s="15"/>
      <c r="B32" s="67" t="s">
        <v>58</v>
      </c>
      <c r="C32" s="59"/>
      <c r="F32" s="70">
        <f>F21/F27</f>
        <v>8.3228050282042096E-2</v>
      </c>
      <c r="G32" s="70">
        <f t="shared" ref="G32:M32" si="15">G21/G27</f>
        <v>8.9312111490273891E-2</v>
      </c>
      <c r="H32" s="70">
        <f t="shared" si="15"/>
        <v>9.5688671355958238E-2</v>
      </c>
      <c r="I32" s="70">
        <f t="shared" si="15"/>
        <v>0.10085109615539099</v>
      </c>
      <c r="J32" s="70">
        <f t="shared" si="15"/>
        <v>0.10611404801724625</v>
      </c>
      <c r="K32" s="70">
        <f t="shared" si="15"/>
        <v>0.10939380782273571</v>
      </c>
      <c r="L32" s="70">
        <f t="shared" si="15"/>
        <v>0.11483341150224222</v>
      </c>
      <c r="M32" s="70">
        <f t="shared" si="15"/>
        <v>0.11951611963590948</v>
      </c>
    </row>
    <row r="33" spans="1:13" ht="15" customHeight="1" x14ac:dyDescent="0.45">
      <c r="A33" s="15"/>
      <c r="B33" s="67" t="s">
        <v>59</v>
      </c>
      <c r="C33" s="59"/>
      <c r="F33" s="70">
        <f>F21/F16</f>
        <v>0.19693571428571427</v>
      </c>
      <c r="G33" s="70">
        <f t="shared" ref="G33:M33" si="16">G21/G16</f>
        <v>0.20039666666666667</v>
      </c>
      <c r="H33" s="70">
        <f t="shared" si="16"/>
        <v>0.20441250000000002</v>
      </c>
      <c r="I33" s="70">
        <f t="shared" si="16"/>
        <v>0.20586470588235289</v>
      </c>
      <c r="J33" s="70">
        <f t="shared" si="16"/>
        <v>0.20715555555555551</v>
      </c>
      <c r="K33" s="70">
        <f t="shared" si="16"/>
        <v>0.20436052631578946</v>
      </c>
      <c r="L33" s="70">
        <f t="shared" si="16"/>
        <v>0.2054</v>
      </c>
      <c r="M33" s="70">
        <f t="shared" si="16"/>
        <v>0.20578725490196076</v>
      </c>
    </row>
    <row r="34" spans="1:13" ht="15" customHeight="1" x14ac:dyDescent="0.45">
      <c r="A34" s="15"/>
      <c r="B34" s="67" t="s">
        <v>60</v>
      </c>
      <c r="C34" s="59"/>
      <c r="F34" s="70">
        <f>F16/F27</f>
        <v>0.42261532187754869</v>
      </c>
      <c r="G34" s="70">
        <f t="shared" ref="G34:M34" si="17">G16/G27</f>
        <v>0.44567663213097636</v>
      </c>
      <c r="H34" s="70">
        <f t="shared" si="17"/>
        <v>0.46811555729692772</v>
      </c>
      <c r="I34" s="70">
        <f t="shared" si="17"/>
        <v>0.4898901719123489</v>
      </c>
      <c r="J34" s="70">
        <f t="shared" si="17"/>
        <v>0.51224331267711665</v>
      </c>
      <c r="K34" s="70">
        <f t="shared" si="17"/>
        <v>0.53529813117477587</v>
      </c>
      <c r="L34" s="70">
        <f t="shared" si="17"/>
        <v>0.55907211052698258</v>
      </c>
      <c r="M34" s="70">
        <f t="shared" si="17"/>
        <v>0.58077512960094746</v>
      </c>
    </row>
    <row r="35" spans="1:13" ht="15" customHeight="1" x14ac:dyDescent="0.45">
      <c r="A35" s="15"/>
      <c r="B35" s="67"/>
      <c r="C35" s="59"/>
      <c r="F35" s="70"/>
      <c r="M35" s="70"/>
    </row>
    <row r="36" spans="1:13" ht="15.75" x14ac:dyDescent="0.45">
      <c r="A36" s="15" t="s">
        <v>20</v>
      </c>
      <c r="B36" s="67"/>
      <c r="C36" s="59"/>
      <c r="E36" s="72">
        <v>8.1500000000000003E-2</v>
      </c>
    </row>
    <row r="37" spans="1:13" ht="15" customHeight="1" x14ac:dyDescent="0.45">
      <c r="A37" s="15"/>
      <c r="B37" s="67"/>
    </row>
    <row r="38" spans="1:13" ht="15" customHeight="1" x14ac:dyDescent="0.45">
      <c r="A38" s="15" t="s">
        <v>22</v>
      </c>
      <c r="B38" s="67"/>
    </row>
    <row r="39" spans="1:13" ht="15" customHeight="1" x14ac:dyDescent="0.45">
      <c r="A39" s="15"/>
      <c r="B39" s="67" t="s">
        <v>26</v>
      </c>
      <c r="E39" s="72">
        <v>0.105</v>
      </c>
    </row>
    <row r="40" spans="1:13" ht="15" customHeight="1" x14ac:dyDescent="0.45">
      <c r="A40" s="15"/>
      <c r="B40" s="67" t="s">
        <v>19</v>
      </c>
      <c r="E40" s="72">
        <v>3.5000000000000003E-2</v>
      </c>
    </row>
    <row r="41" spans="1:13" ht="15" customHeight="1" x14ac:dyDescent="0.45">
      <c r="A41" s="15"/>
      <c r="B41" s="67" t="s">
        <v>63</v>
      </c>
      <c r="M41">
        <f>M25*(1+E40)/(E36-E40)</f>
        <v>93170.506027680647</v>
      </c>
    </row>
    <row r="42" spans="1:13" ht="15" customHeight="1" x14ac:dyDescent="0.45">
      <c r="A42" s="15"/>
      <c r="B42" s="67" t="s">
        <v>64</v>
      </c>
      <c r="M42">
        <f>M21*(1-g/ROIC)*(1+g)/(WACC-g)</f>
        <v>60556.291055431786</v>
      </c>
    </row>
    <row r="43" spans="1:13" ht="15" customHeight="1" x14ac:dyDescent="0.45">
      <c r="A43" s="15"/>
      <c r="B43" s="67"/>
    </row>
    <row r="44" spans="1:13" ht="15" customHeight="1" x14ac:dyDescent="0.45">
      <c r="A44" s="15" t="s">
        <v>33</v>
      </c>
      <c r="B44" s="67"/>
    </row>
    <row r="45" spans="1:13" ht="15" customHeight="1" x14ac:dyDescent="0.45">
      <c r="A45" s="15"/>
      <c r="B45" s="67" t="s">
        <v>34</v>
      </c>
      <c r="F45" s="73">
        <v>0.5</v>
      </c>
      <c r="G45">
        <f>F45+1</f>
        <v>1.5</v>
      </c>
      <c r="H45">
        <f>G45+1</f>
        <v>2.5</v>
      </c>
      <c r="I45">
        <f t="shared" ref="I45:M45" si="18">H45+1</f>
        <v>3.5</v>
      </c>
      <c r="J45">
        <f t="shared" si="18"/>
        <v>4.5</v>
      </c>
      <c r="K45">
        <f t="shared" si="18"/>
        <v>5.5</v>
      </c>
      <c r="L45">
        <f t="shared" si="18"/>
        <v>6.5</v>
      </c>
      <c r="M45">
        <f t="shared" si="18"/>
        <v>7.5</v>
      </c>
    </row>
    <row r="46" spans="1:13" ht="15" customHeight="1" x14ac:dyDescent="0.45">
      <c r="A46" s="15"/>
      <c r="B46" s="67" t="s">
        <v>21</v>
      </c>
      <c r="C46" s="59"/>
      <c r="F46" s="74">
        <f t="shared" ref="F46" si="19">1/(1+WACC)^F45</f>
        <v>0.96158291443885935</v>
      </c>
      <c r="G46" s="74">
        <f t="shared" ref="G46:M46" si="20">1/(1+WACC)^G45</f>
        <v>0.88911966198692505</v>
      </c>
      <c r="H46" s="74">
        <f t="shared" si="20"/>
        <v>0.8221171169550856</v>
      </c>
      <c r="I46" s="74">
        <f t="shared" si="20"/>
        <v>0.76016376972268673</v>
      </c>
      <c r="J46" s="74">
        <f t="shared" si="20"/>
        <v>0.70287912133396835</v>
      </c>
      <c r="K46" s="74">
        <f t="shared" si="20"/>
        <v>0.64991134658711824</v>
      </c>
      <c r="L46" s="74">
        <f t="shared" si="20"/>
        <v>0.6009351332289582</v>
      </c>
      <c r="M46" s="74">
        <f t="shared" si="20"/>
        <v>0.55564968398424253</v>
      </c>
    </row>
    <row r="47" spans="1:13" ht="15" customHeight="1" x14ac:dyDescent="0.45">
      <c r="A47" s="15"/>
      <c r="B47" s="67" t="s">
        <v>35</v>
      </c>
      <c r="C47" s="59"/>
      <c r="F47">
        <f>F25*F46</f>
        <v>3155.8652963944219</v>
      </c>
      <c r="G47">
        <f>G25*G46</f>
        <v>3017.0939401826413</v>
      </c>
      <c r="H47">
        <f t="shared" ref="H47:M47" si="21">H25*H46</f>
        <v>2931.4852776825501</v>
      </c>
      <c r="I47">
        <f t="shared" si="21"/>
        <v>2807.8744048546546</v>
      </c>
      <c r="J47">
        <f t="shared" si="21"/>
        <v>2695.856337473198</v>
      </c>
      <c r="K47">
        <f t="shared" si="21"/>
        <v>2541.4373728548499</v>
      </c>
      <c r="L47">
        <f t="shared" si="21"/>
        <v>2440.7341937548031</v>
      </c>
      <c r="M47">
        <f t="shared" si="21"/>
        <v>2325.9058393607456</v>
      </c>
    </row>
    <row r="48" spans="1:13" ht="15" customHeight="1" x14ac:dyDescent="0.45">
      <c r="A48" s="15"/>
      <c r="B48" s="67"/>
      <c r="C48" s="59"/>
    </row>
    <row r="49" spans="1:8" ht="15" customHeight="1" x14ac:dyDescent="0.45">
      <c r="A49" s="15"/>
      <c r="B49" s="67"/>
      <c r="C49" s="59"/>
      <c r="E49" s="78" t="s">
        <v>65</v>
      </c>
      <c r="F49" s="78" t="s">
        <v>66</v>
      </c>
    </row>
    <row r="50" spans="1:8" ht="15" customHeight="1" x14ac:dyDescent="0.45">
      <c r="A50" s="15"/>
      <c r="B50" s="67" t="s">
        <v>36</v>
      </c>
      <c r="C50" s="59"/>
      <c r="E50">
        <f>SUM(F47:M47)</f>
        <v>21916.252662557865</v>
      </c>
      <c r="F50">
        <f>SUM(F47:M47)</f>
        <v>21916.252662557865</v>
      </c>
    </row>
    <row r="51" spans="1:8" ht="15" customHeight="1" x14ac:dyDescent="0.45">
      <c r="A51" s="15"/>
      <c r="B51" s="67" t="s">
        <v>37</v>
      </c>
      <c r="C51" s="59"/>
      <c r="E51">
        <f>M41*M46</f>
        <v>51770.162230932714</v>
      </c>
      <c r="F51">
        <f>M42*M46</f>
        <v>33648.083988208484</v>
      </c>
    </row>
    <row r="52" spans="1:8" ht="15" customHeight="1" x14ac:dyDescent="0.45">
      <c r="A52" s="15"/>
      <c r="B52" s="67" t="s">
        <v>23</v>
      </c>
      <c r="C52" s="59"/>
      <c r="E52">
        <f>SUM(E50:E51)</f>
        <v>73686.414893490582</v>
      </c>
      <c r="F52">
        <f>SUM(F50:F51)</f>
        <v>55564.336650766345</v>
      </c>
    </row>
    <row r="53" spans="1:8" ht="15" customHeight="1" x14ac:dyDescent="0.45">
      <c r="A53" s="15"/>
      <c r="B53" s="67"/>
      <c r="C53" s="60"/>
    </row>
    <row r="54" spans="1:8" ht="15" customHeight="1" x14ac:dyDescent="0.45">
      <c r="A54" s="15" t="s">
        <v>24</v>
      </c>
      <c r="B54" s="67"/>
      <c r="C54" s="60"/>
    </row>
    <row r="55" spans="1:8" ht="15" customHeight="1" x14ac:dyDescent="0.45">
      <c r="A55" s="15"/>
      <c r="B55" s="67" t="s">
        <v>32</v>
      </c>
      <c r="E55" s="59">
        <v>14387</v>
      </c>
      <c r="F55">
        <f>+E55</f>
        <v>14387</v>
      </c>
    </row>
    <row r="56" spans="1:8" ht="15" customHeight="1" x14ac:dyDescent="0.45">
      <c r="A56" s="15"/>
      <c r="B56" s="67" t="s">
        <v>38</v>
      </c>
      <c r="E56" s="59">
        <v>260</v>
      </c>
      <c r="F56">
        <f t="shared" ref="F56:F57" si="22">+E56</f>
        <v>260</v>
      </c>
    </row>
    <row r="57" spans="1:8" ht="15" customHeight="1" x14ac:dyDescent="0.45">
      <c r="A57" s="15"/>
      <c r="B57" s="67" t="s">
        <v>54</v>
      </c>
      <c r="E57" s="59">
        <v>1336</v>
      </c>
      <c r="F57">
        <f t="shared" si="22"/>
        <v>1336</v>
      </c>
    </row>
    <row r="58" spans="1:8" ht="15" customHeight="1" x14ac:dyDescent="0.45">
      <c r="A58" s="15"/>
      <c r="B58" s="67" t="s">
        <v>24</v>
      </c>
      <c r="E58">
        <f>E52+E56+E57-E55</f>
        <v>60895.414893490582</v>
      </c>
      <c r="F58">
        <f>F52+F56+F57-F55</f>
        <v>42773.336650766345</v>
      </c>
    </row>
    <row r="59" spans="1:8" ht="15" customHeight="1" x14ac:dyDescent="0.45">
      <c r="A59" s="66"/>
      <c r="B59" s="67" t="s">
        <v>50</v>
      </c>
      <c r="E59" s="59">
        <v>1416.5</v>
      </c>
      <c r="F59">
        <f>+E59</f>
        <v>1416.5</v>
      </c>
    </row>
    <row r="60" spans="1:8" ht="15" customHeight="1" x14ac:dyDescent="0.45">
      <c r="A60" s="66"/>
      <c r="B60" s="67" t="s">
        <v>51</v>
      </c>
      <c r="E60">
        <f>E58/E59</f>
        <v>42.990056402040651</v>
      </c>
      <c r="F60">
        <f>F58/F59</f>
        <v>30.19649604713473</v>
      </c>
    </row>
    <row r="61" spans="1:8" ht="15" customHeight="1" x14ac:dyDescent="0.45">
      <c r="A61" s="66"/>
      <c r="B61" s="67" t="s">
        <v>52</v>
      </c>
      <c r="E61" s="59">
        <v>31.78</v>
      </c>
      <c r="F61">
        <f>+E61</f>
        <v>31.78</v>
      </c>
    </row>
    <row r="62" spans="1:8" ht="15" customHeight="1" x14ac:dyDescent="0.45">
      <c r="A62" s="66"/>
      <c r="B62" s="67" t="s">
        <v>55</v>
      </c>
      <c r="E62" s="70">
        <f>E60/E61-1</f>
        <v>0.35273934556452646</v>
      </c>
      <c r="F62" s="70">
        <f>F60/F61-1</f>
        <v>-4.9827059561525222E-2</v>
      </c>
    </row>
    <row r="63" spans="1:8" ht="15" customHeight="1" x14ac:dyDescent="0.45">
      <c r="A63" s="66"/>
      <c r="C63" s="61"/>
    </row>
    <row r="64" spans="1:8" ht="15" customHeight="1" x14ac:dyDescent="0.45">
      <c r="A64" s="15"/>
      <c r="C64" s="85" t="s">
        <v>78</v>
      </c>
      <c r="H64" s="86"/>
    </row>
    <row r="65" spans="1:9" ht="15" customHeight="1" x14ac:dyDescent="0.45">
      <c r="A65" s="66"/>
      <c r="C65" s="81"/>
      <c r="D65" s="81"/>
      <c r="G65" s="82" t="s">
        <v>77</v>
      </c>
      <c r="H65" s="81"/>
      <c r="I65" s="81"/>
    </row>
    <row r="66" spans="1:9" ht="15" customHeight="1" x14ac:dyDescent="0.45">
      <c r="A66" s="66"/>
      <c r="C66" s="81"/>
      <c r="D66" s="81">
        <f>E60</f>
        <v>42.990056402040651</v>
      </c>
      <c r="E66" s="83">
        <f>F66-0.5%</f>
        <v>2.5000000000000001E-2</v>
      </c>
      <c r="F66" s="83">
        <f>G66-0.5%</f>
        <v>3.0000000000000002E-2</v>
      </c>
      <c r="G66" s="83">
        <v>3.5000000000000003E-2</v>
      </c>
      <c r="H66" s="83">
        <f>G66+0.5%</f>
        <v>0.04</v>
      </c>
      <c r="I66" s="83">
        <f>H66+0.5%</f>
        <v>4.4999999999999998E-2</v>
      </c>
    </row>
    <row r="67" spans="1:9" ht="15" customHeight="1" x14ac:dyDescent="0.45">
      <c r="A67" s="66"/>
      <c r="C67" s="81"/>
      <c r="D67" s="83">
        <f>D68+0.5%</f>
        <v>9.1500000000000012E-2</v>
      </c>
      <c r="E67" s="81">
        <f t="dataTable" ref="E67:I71" dt2D="1" dtr="1" r1="E40" r2="E36" ca="1"/>
        <v>29.538422443209857</v>
      </c>
      <c r="F67" s="81">
        <v>31.583422909835726</v>
      </c>
      <c r="G67" s="81">
        <v>33.990370361705111</v>
      </c>
      <c r="H67" s="81">
        <v>36.864686250830708</v>
      </c>
      <c r="I67" s="81">
        <v>40.357134589230597</v>
      </c>
    </row>
    <row r="68" spans="1:9" ht="15" customHeight="1" x14ac:dyDescent="0.45">
      <c r="A68" s="66"/>
      <c r="C68" s="81"/>
      <c r="D68" s="83">
        <f>D69+0.5%</f>
        <v>8.6500000000000007E-2</v>
      </c>
      <c r="E68" s="81">
        <v>32.612330193316531</v>
      </c>
      <c r="F68" s="81">
        <v>35.092193085133481</v>
      </c>
      <c r="G68" s="81">
        <v>38.053582752060514</v>
      </c>
      <c r="H68" s="81">
        <v>41.651830411875082</v>
      </c>
      <c r="I68" s="81">
        <v>46.117125700560621</v>
      </c>
    </row>
    <row r="69" spans="1:9" ht="15" customHeight="1" x14ac:dyDescent="0.45">
      <c r="A69" s="66"/>
      <c r="C69" s="84" t="s">
        <v>20</v>
      </c>
      <c r="D69" s="83">
        <v>8.1500000000000003E-2</v>
      </c>
      <c r="E69" s="81">
        <v>36.230772729484471</v>
      </c>
      <c r="F69" s="81">
        <v>39.282293999133621</v>
      </c>
      <c r="G69" s="81">
        <v>42.990056402040651</v>
      </c>
      <c r="H69" s="81">
        <v>47.591255528539754</v>
      </c>
      <c r="I69" s="81">
        <v>53.453057155449542</v>
      </c>
    </row>
    <row r="70" spans="1:9" ht="15" customHeight="1" x14ac:dyDescent="0.45">
      <c r="A70" s="66"/>
      <c r="C70" s="81"/>
      <c r="D70" s="83">
        <f>D69-0.5%</f>
        <v>7.6499999999999999E-2</v>
      </c>
      <c r="E70" s="81">
        <v>40.55237489224065</v>
      </c>
      <c r="F70" s="81">
        <v>44.373516027786266</v>
      </c>
      <c r="G70" s="81">
        <v>49.115414063463362</v>
      </c>
      <c r="H70" s="81">
        <v>55.156462245901302</v>
      </c>
      <c r="I70" s="81">
        <v>63.115303502129066</v>
      </c>
    </row>
    <row r="71" spans="1:9" ht="15" customHeight="1" x14ac:dyDescent="0.45">
      <c r="A71" s="66"/>
      <c r="C71" s="81"/>
      <c r="D71" s="83">
        <f>D70-0.5%</f>
        <v>7.1499999999999994E-2</v>
      </c>
      <c r="E71" s="81">
        <v>45.803988265507826</v>
      </c>
      <c r="F71" s="81">
        <v>50.69157292753011</v>
      </c>
      <c r="G71" s="81">
        <v>56.9182218805174</v>
      </c>
      <c r="H71" s="81">
        <v>65.121584786833992</v>
      </c>
      <c r="I71" s="81">
        <v>76.420556337043607</v>
      </c>
    </row>
    <row r="72" spans="1:9" ht="15" customHeight="1" x14ac:dyDescent="0.45">
      <c r="A72" s="66"/>
    </row>
    <row r="73" spans="1:9" ht="15" customHeight="1" x14ac:dyDescent="0.45">
      <c r="A73" s="15"/>
      <c r="C73" s="85" t="s">
        <v>80</v>
      </c>
    </row>
    <row r="74" spans="1:9" ht="15" customHeight="1" x14ac:dyDescent="0.45">
      <c r="A74" s="66"/>
      <c r="C74" s="81"/>
      <c r="D74" s="81"/>
      <c r="G74" s="82" t="s">
        <v>77</v>
      </c>
      <c r="H74" s="81"/>
      <c r="I74" s="81"/>
    </row>
    <row r="75" spans="1:9" ht="15" customHeight="1" x14ac:dyDescent="0.45">
      <c r="A75" s="66"/>
      <c r="C75" s="81"/>
      <c r="D75" s="81">
        <f>F60</f>
        <v>30.19649604713473</v>
      </c>
      <c r="E75" s="83">
        <f>F75-0.5%</f>
        <v>2.5000000000000001E-2</v>
      </c>
      <c r="F75" s="83">
        <f>G75-0.5%</f>
        <v>3.0000000000000002E-2</v>
      </c>
      <c r="G75" s="83">
        <v>3.5000000000000003E-2</v>
      </c>
      <c r="H75" s="83">
        <f>G75+0.5%</f>
        <v>0.04</v>
      </c>
      <c r="I75" s="83">
        <f>H75+0.5%</f>
        <v>4.4999999999999998E-2</v>
      </c>
    </row>
    <row r="76" spans="1:9" ht="15" customHeight="1" x14ac:dyDescent="0.45">
      <c r="A76" s="66"/>
      <c r="C76" s="81"/>
      <c r="D76" s="83">
        <f>D77+0.5%</f>
        <v>9.1500000000000012E-2</v>
      </c>
      <c r="E76" s="81">
        <f t="dataTable" ref="E76:I80" dt2D="1" dtr="1" r1="E40" r2="E36"/>
        <v>23.463131047843511</v>
      </c>
      <c r="F76" s="81">
        <v>23.790613044567749</v>
      </c>
      <c r="G76" s="81">
        <v>24.163464281426254</v>
      </c>
      <c r="H76" s="81">
        <v>24.594899100205712</v>
      </c>
      <c r="I76" s="81">
        <v>25.103815430558029</v>
      </c>
    </row>
    <row r="77" spans="1:9" ht="15" customHeight="1" x14ac:dyDescent="0.45">
      <c r="A77" s="66"/>
      <c r="C77" s="81"/>
      <c r="D77" s="83">
        <f>D78+0.5%</f>
        <v>8.6500000000000007E-2</v>
      </c>
      <c r="E77" s="81">
        <v>25.812959590816366</v>
      </c>
      <c r="F77" s="81">
        <v>26.312571076763799</v>
      </c>
      <c r="G77" s="81">
        <v>26.894895785500843</v>
      </c>
      <c r="H77" s="81">
        <v>27.586615401798344</v>
      </c>
      <c r="I77" s="81">
        <v>28.427270253690185</v>
      </c>
    </row>
    <row r="78" spans="1:9" ht="15" customHeight="1" x14ac:dyDescent="0.45">
      <c r="A78" s="66"/>
      <c r="C78" s="84" t="s">
        <v>20</v>
      </c>
      <c r="D78" s="83">
        <v>8.1500000000000003E-2</v>
      </c>
      <c r="E78" s="81">
        <v>28.569173463829706</v>
      </c>
      <c r="F78" s="81">
        <v>29.311239525486585</v>
      </c>
      <c r="G78" s="81">
        <v>30.19649604713473</v>
      </c>
      <c r="H78" s="81">
        <v>31.2766986167228</v>
      </c>
      <c r="I78" s="81">
        <v>32.631962048472673</v>
      </c>
    </row>
    <row r="79" spans="1:9" ht="15" customHeight="1" x14ac:dyDescent="0.45">
      <c r="A79" s="66"/>
      <c r="C79" s="81"/>
      <c r="D79" s="83">
        <f>D78-0.5%</f>
        <v>7.6499999999999999E-2</v>
      </c>
      <c r="E79" s="81">
        <v>31.849668661674745</v>
      </c>
      <c r="F79" s="81">
        <v>32.939756943177777</v>
      </c>
      <c r="G79" s="81">
        <v>34.273498702982835</v>
      </c>
      <c r="H79" s="81">
        <v>35.951025507515411</v>
      </c>
      <c r="I79" s="81">
        <v>38.136044520931435</v>
      </c>
    </row>
    <row r="80" spans="1:9" ht="15" customHeight="1" x14ac:dyDescent="0.45">
      <c r="A80" s="66"/>
      <c r="C80" s="81"/>
      <c r="D80" s="83">
        <f>D79-0.5%</f>
        <v>7.1499999999999994E-2</v>
      </c>
      <c r="E80" s="81">
        <v>35.823023080886728</v>
      </c>
      <c r="F80" s="81">
        <v>37.425027936247126</v>
      </c>
      <c r="G80" s="81">
        <v>39.44354622158427</v>
      </c>
      <c r="H80" s="81">
        <v>42.076917665458502</v>
      </c>
      <c r="I80" s="81">
        <v>45.673172357607775</v>
      </c>
    </row>
    <row r="81" spans="1:7" ht="15" customHeight="1" x14ac:dyDescent="0.45">
      <c r="A81" s="66"/>
      <c r="C81" s="81"/>
      <c r="E81" s="63"/>
      <c r="F81" s="63"/>
      <c r="G81" s="63"/>
    </row>
    <row r="82" spans="1:7" ht="15" customHeight="1" x14ac:dyDescent="0.45">
      <c r="A82" s="15" t="s">
        <v>75</v>
      </c>
      <c r="C82" s="65"/>
      <c r="E82" s="63"/>
      <c r="F82" s="63"/>
      <c r="G82" s="63"/>
    </row>
    <row r="196" ht="27.4" customHeight="1" x14ac:dyDescent="0.45"/>
  </sheetData>
  <printOptions horizontalCentered="1" headings="1" gridLines="1"/>
  <pageMargins left="0.11811023622047245" right="0.11811023622047245" top="0.55118110236220474" bottom="0.55118110236220474" header="0.31496062992125984" footer="0.31496062992125984"/>
  <pageSetup paperSize="9" scale="74" fitToHeight="0" orientation="landscape" cellComments="asDisplayed" horizontalDpi="2400" verticalDpi="2400" r:id="rId1"/>
  <headerFooter>
    <oddHeader xml:space="preserve">&amp;R&amp;10&amp;F 
&amp;A
</oddHeader>
    <oddFooter>&amp;L&amp;10© 2018&amp;C&amp;10Page &amp;P of &amp;N&amp;R&amp;G</oddFooter>
  </headerFooter>
  <rowBreaks count="7" manualBreakCount="7">
    <brk id="36" max="10" man="1"/>
    <brk id="113" max="10" man="1"/>
    <brk id="136" max="10" man="1"/>
    <brk id="174" max="10" man="1"/>
    <brk id="215" max="10" man="1"/>
    <brk id="249" max="10" man="1"/>
    <brk id="280" max="10" man="1"/>
  </rowBreaks>
  <legacy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05214-57BE-4F7A-A886-51CC9544F0F9}">
  <sheetPr>
    <pageSetUpPr fitToPage="1"/>
  </sheetPr>
  <dimension ref="A1:M199"/>
  <sheetViews>
    <sheetView zoomScaleNormal="100" zoomScaleSheetLayoutView="85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defaultColWidth="12.59765625" defaultRowHeight="15" customHeight="1" x14ac:dyDescent="0.45"/>
  <cols>
    <col min="1" max="1" width="1.59765625" customWidth="1"/>
    <col min="2" max="2" width="49.86328125" bestFit="1" customWidth="1"/>
    <col min="3" max="5" width="9.1328125" customWidth="1"/>
    <col min="6" max="6" width="11" bestFit="1" customWidth="1"/>
    <col min="7" max="13" width="9.1328125" customWidth="1"/>
    <col min="14" max="39" width="12.59765625" customWidth="1"/>
  </cols>
  <sheetData>
    <row r="1" spans="1:13" s="45" customFormat="1" ht="45" customHeight="1" x14ac:dyDescent="0.85">
      <c r="A1" s="5" t="str">
        <f>Info!A1</f>
        <v>Advanced Valuation</v>
      </c>
      <c r="B1" s="10"/>
      <c r="C1" s="12" t="s">
        <v>39</v>
      </c>
      <c r="D1" s="12" t="s">
        <v>39</v>
      </c>
      <c r="E1" s="12" t="s">
        <v>39</v>
      </c>
      <c r="F1" s="12" t="s">
        <v>40</v>
      </c>
      <c r="G1" s="12" t="s">
        <v>40</v>
      </c>
      <c r="H1" s="12" t="s">
        <v>40</v>
      </c>
      <c r="I1" s="12" t="s">
        <v>40</v>
      </c>
      <c r="J1" s="12" t="s">
        <v>40</v>
      </c>
      <c r="K1" s="12" t="s">
        <v>40</v>
      </c>
      <c r="L1" s="12" t="s">
        <v>40</v>
      </c>
      <c r="M1" s="12" t="s">
        <v>40</v>
      </c>
    </row>
    <row r="2" spans="1:13" s="34" customFormat="1" ht="30" customHeight="1" x14ac:dyDescent="0.65">
      <c r="A2" s="14" t="str">
        <f>DCF!A2</f>
        <v>Keurig Dr Pepper</v>
      </c>
      <c r="B2" s="7"/>
      <c r="C2" s="11">
        <f>DATE(YEAR(D2)-1,MONTH(D2),DAY(D2))</f>
        <v>44196</v>
      </c>
      <c r="D2" s="11">
        <f>DATE(YEAR(E2)-1,MONTH(E2),DAY(E2))</f>
        <v>44561</v>
      </c>
      <c r="E2" s="11">
        <f>Info!N6</f>
        <v>44926</v>
      </c>
      <c r="F2" s="11">
        <f>DATE(YEAR(E2)+1,MONTH(E2),DAY(E2))</f>
        <v>45291</v>
      </c>
      <c r="G2" s="11">
        <f>DATE(YEAR(F2)+1,MONTH(F2),DAY(F2))</f>
        <v>45657</v>
      </c>
      <c r="H2" s="11">
        <f>DATE(YEAR(G2)+1,MONTH(G2),DAY(G2))</f>
        <v>46022</v>
      </c>
      <c r="I2" s="11">
        <f>DATE(YEAR(H2)+1,MONTH(H2),DAY(H2))</f>
        <v>46387</v>
      </c>
      <c r="J2" s="11">
        <f>DATE(YEAR(I2)+1,MONTH(I2),DAY(I2))</f>
        <v>46752</v>
      </c>
      <c r="K2" s="11">
        <f t="shared" ref="K2:M2" si="0">DATE(YEAR(J2)+1,MONTH(J2),DAY(J2))</f>
        <v>47118</v>
      </c>
      <c r="L2" s="11">
        <f t="shared" si="0"/>
        <v>47483</v>
      </c>
      <c r="M2" s="11">
        <f t="shared" si="0"/>
        <v>47848</v>
      </c>
    </row>
    <row r="3" spans="1:13" ht="15" customHeight="1" x14ac:dyDescent="0.45">
      <c r="A3" s="66"/>
    </row>
    <row r="4" spans="1:13" ht="15" customHeight="1" x14ac:dyDescent="0.45">
      <c r="A4" s="66" t="s">
        <v>79</v>
      </c>
    </row>
    <row r="5" spans="1:13" ht="15" customHeight="1" x14ac:dyDescent="0.45">
      <c r="A5" s="66"/>
    </row>
    <row r="6" spans="1:13" ht="15" customHeight="1" x14ac:dyDescent="0.45">
      <c r="A6" s="66" t="s">
        <v>43</v>
      </c>
    </row>
    <row r="7" spans="1:13" ht="15" customHeight="1" x14ac:dyDescent="0.45">
      <c r="A7" s="66"/>
      <c r="B7" s="67" t="s">
        <v>48</v>
      </c>
      <c r="D7" s="70"/>
      <c r="E7" s="70">
        <f>+E16/D16-1</f>
        <v>0.1083339903808247</v>
      </c>
      <c r="F7" s="64">
        <v>6.9000000000000006E-2</v>
      </c>
      <c r="G7" s="64">
        <v>4.4999999999999998E-2</v>
      </c>
      <c r="H7" s="64">
        <v>4.2999999999999997E-2</v>
      </c>
      <c r="I7" s="64">
        <v>0.04</v>
      </c>
      <c r="J7" s="64">
        <v>0.04</v>
      </c>
      <c r="K7" s="64">
        <v>0.04</v>
      </c>
      <c r="L7" s="64">
        <v>0.04</v>
      </c>
      <c r="M7" s="64">
        <v>3.5000000000000003E-2</v>
      </c>
    </row>
    <row r="8" spans="1:13" ht="15" customHeight="1" x14ac:dyDescent="0.45">
      <c r="A8" s="66"/>
      <c r="B8" s="67" t="s">
        <v>44</v>
      </c>
      <c r="D8" s="70"/>
      <c r="E8" s="70">
        <f>+E17/E16</f>
        <v>0.27971828982001851</v>
      </c>
      <c r="F8" s="64">
        <v>0.28499999999999998</v>
      </c>
      <c r="G8" s="64">
        <v>0.28699999999999998</v>
      </c>
      <c r="H8" s="64">
        <v>0.28999999999999998</v>
      </c>
      <c r="I8" s="64">
        <v>0.28999999999999998</v>
      </c>
      <c r="J8" s="64">
        <v>0.28999999999999998</v>
      </c>
      <c r="K8" s="64">
        <v>0.28499999999999998</v>
      </c>
      <c r="L8" s="64">
        <v>0.28499999999999998</v>
      </c>
      <c r="M8" s="64">
        <v>0.28499999999999998</v>
      </c>
    </row>
    <row r="9" spans="1:13" ht="15" customHeight="1" x14ac:dyDescent="0.45">
      <c r="A9" s="66"/>
      <c r="B9" s="67" t="s">
        <v>45</v>
      </c>
      <c r="C9" s="61"/>
      <c r="D9" s="61"/>
      <c r="E9" s="61">
        <f>+E24/E16*-1</f>
        <v>2.5112043821583552E-2</v>
      </c>
      <c r="F9" s="69">
        <v>2.5000000000000001E-2</v>
      </c>
      <c r="G9" s="69">
        <v>2.5000000000000001E-2</v>
      </c>
      <c r="H9" s="69">
        <v>2.5000000000000001E-2</v>
      </c>
      <c r="I9" s="69">
        <v>2.5000000000000001E-2</v>
      </c>
      <c r="J9" s="69">
        <v>2.5000000000000001E-2</v>
      </c>
      <c r="K9" s="69">
        <v>2.5000000000000001E-2</v>
      </c>
      <c r="L9" s="69">
        <v>2.5000000000000001E-2</v>
      </c>
      <c r="M9" s="69">
        <v>2.5000000000000001E-2</v>
      </c>
    </row>
    <row r="10" spans="1:13" ht="15" customHeight="1" x14ac:dyDescent="0.45">
      <c r="A10" s="66"/>
      <c r="B10" s="67" t="s">
        <v>49</v>
      </c>
      <c r="C10" s="61"/>
      <c r="D10" s="61"/>
      <c r="E10" s="61">
        <f>+E24/E22*-1</f>
        <v>0.65735567970204845</v>
      </c>
      <c r="F10" s="64">
        <v>0.7</v>
      </c>
      <c r="G10" s="64">
        <v>0.75</v>
      </c>
      <c r="H10" s="64">
        <v>0.8</v>
      </c>
      <c r="I10" s="64">
        <v>0.85</v>
      </c>
      <c r="J10" s="64">
        <v>0.9</v>
      </c>
      <c r="K10" s="64">
        <v>0.95</v>
      </c>
      <c r="L10" s="64">
        <v>1</v>
      </c>
      <c r="M10" s="64">
        <v>1.02</v>
      </c>
    </row>
    <row r="11" spans="1:13" ht="15" customHeight="1" x14ac:dyDescent="0.45">
      <c r="A11" s="66"/>
      <c r="B11" s="67" t="s">
        <v>46</v>
      </c>
      <c r="E11" s="61"/>
      <c r="F11" s="69">
        <v>0.21</v>
      </c>
      <c r="G11" s="69">
        <v>0.21</v>
      </c>
      <c r="H11" s="69">
        <v>0.21</v>
      </c>
      <c r="I11" s="69">
        <v>0.21</v>
      </c>
      <c r="J11" s="69">
        <v>0.21</v>
      </c>
      <c r="K11" s="69">
        <v>0.21</v>
      </c>
      <c r="L11" s="69">
        <v>0.21</v>
      </c>
      <c r="M11" s="69">
        <v>0.21</v>
      </c>
    </row>
    <row r="12" spans="1:13" ht="15" customHeight="1" x14ac:dyDescent="0.45">
      <c r="A12" s="66"/>
      <c r="B12" s="67" t="s">
        <v>47</v>
      </c>
      <c r="E12" s="61">
        <f>+E13/E16</f>
        <v>-0.17130255388774276</v>
      </c>
      <c r="F12" s="69">
        <v>-0.17100000000000001</v>
      </c>
      <c r="G12" s="69">
        <v>-0.17100000000000001</v>
      </c>
      <c r="H12" s="69">
        <v>-0.17100000000000001</v>
      </c>
      <c r="I12" s="69">
        <v>-0.17100000000000001</v>
      </c>
      <c r="J12" s="69">
        <v>-0.17100000000000001</v>
      </c>
      <c r="K12" s="69">
        <v>-0.17100000000000001</v>
      </c>
      <c r="L12" s="69">
        <v>-0.17100000000000001</v>
      </c>
      <c r="M12" s="69">
        <v>-0.17100000000000001</v>
      </c>
    </row>
    <row r="13" spans="1:13" ht="15" customHeight="1" x14ac:dyDescent="0.45">
      <c r="A13" s="66"/>
      <c r="B13" s="67" t="s">
        <v>53</v>
      </c>
      <c r="E13" s="59">
        <f>1484+1314-5206</f>
        <v>-2408</v>
      </c>
      <c r="F13">
        <f>+F12*F16</f>
        <v>-2569.6055430000001</v>
      </c>
      <c r="G13">
        <f t="shared" ref="G13:M13" si="1">+G12*G16</f>
        <v>-2685.2377924349998</v>
      </c>
      <c r="H13">
        <f t="shared" si="1"/>
        <v>-2800.7030175097048</v>
      </c>
      <c r="I13">
        <f t="shared" si="1"/>
        <v>-2912.7311382100929</v>
      </c>
      <c r="J13">
        <f t="shared" si="1"/>
        <v>-3029.2403837384973</v>
      </c>
      <c r="K13">
        <f t="shared" si="1"/>
        <v>-3150.4099990880372</v>
      </c>
      <c r="L13">
        <f t="shared" si="1"/>
        <v>-3276.4263990515592</v>
      </c>
      <c r="M13">
        <f t="shared" si="1"/>
        <v>-3391.1013230183639</v>
      </c>
    </row>
    <row r="14" spans="1:13" ht="15" customHeight="1" x14ac:dyDescent="0.45">
      <c r="A14" s="66"/>
    </row>
    <row r="15" spans="1:13" ht="15" customHeight="1" x14ac:dyDescent="0.45">
      <c r="A15" s="66" t="s">
        <v>29</v>
      </c>
      <c r="E15" s="70"/>
    </row>
    <row r="16" spans="1:13" ht="15" customHeight="1" x14ac:dyDescent="0.45">
      <c r="A16" s="66"/>
      <c r="B16" s="67" t="s">
        <v>41</v>
      </c>
      <c r="C16" s="68"/>
      <c r="D16" s="59">
        <f>12683</f>
        <v>12683</v>
      </c>
      <c r="E16" s="59">
        <f>14057</f>
        <v>14057</v>
      </c>
      <c r="F16">
        <f>+DCF!F16</f>
        <v>15026.932999999999</v>
      </c>
      <c r="G16">
        <f>+DCF!G16</f>
        <v>15703.144984999997</v>
      </c>
      <c r="H16">
        <f>+DCF!H16</f>
        <v>16378.380219354996</v>
      </c>
      <c r="I16">
        <f>+DCF!I16</f>
        <v>17033.515428129198</v>
      </c>
      <c r="J16">
        <f>+DCF!J16</f>
        <v>17714.856045254368</v>
      </c>
      <c r="K16">
        <f>+DCF!K16</f>
        <v>18423.450287064545</v>
      </c>
      <c r="L16">
        <f>+DCF!L16</f>
        <v>19160.388298547128</v>
      </c>
      <c r="M16">
        <f>+DCF!M16</f>
        <v>19831.001888996278</v>
      </c>
    </row>
    <row r="17" spans="1:13" ht="15" customHeight="1" x14ac:dyDescent="0.45">
      <c r="A17" s="66"/>
      <c r="B17" s="67" t="s">
        <v>42</v>
      </c>
      <c r="C17" s="59"/>
      <c r="D17" s="59"/>
      <c r="E17">
        <f>E19+E22</f>
        <v>3932</v>
      </c>
      <c r="F17">
        <f>+DCF!F17</f>
        <v>4282.6759049999991</v>
      </c>
      <c r="G17">
        <f>+DCF!G17</f>
        <v>4506.8026106949992</v>
      </c>
      <c r="H17">
        <f>+DCF!H17</f>
        <v>4749.7302636129489</v>
      </c>
      <c r="I17">
        <f>+DCF!I17</f>
        <v>4939.7194741574667</v>
      </c>
      <c r="J17">
        <f>+DCF!J17</f>
        <v>5137.308253123766</v>
      </c>
      <c r="K17">
        <f>+DCF!K17</f>
        <v>5250.6833318133949</v>
      </c>
      <c r="L17">
        <f>+DCF!L17</f>
        <v>5460.7106650859314</v>
      </c>
      <c r="M17">
        <f>+DCF!M17</f>
        <v>5651.8355383639382</v>
      </c>
    </row>
    <row r="18" spans="1:13" ht="15" customHeight="1" x14ac:dyDescent="0.45">
      <c r="A18" s="66"/>
    </row>
    <row r="19" spans="1:13" ht="15" customHeight="1" x14ac:dyDescent="0.45">
      <c r="A19" s="15"/>
      <c r="B19" s="67" t="s">
        <v>30</v>
      </c>
      <c r="E19" s="59">
        <f>3538-138-5</f>
        <v>3395</v>
      </c>
      <c r="F19">
        <f>+DCF!F19</f>
        <v>3745.9997264285707</v>
      </c>
      <c r="G19">
        <f>+DCF!G19</f>
        <v>3983.3644445283326</v>
      </c>
      <c r="H19">
        <f>+DCF!H19</f>
        <v>4237.9058817581054</v>
      </c>
      <c r="I19">
        <f>+DCF!I19</f>
        <v>4438.7337262713136</v>
      </c>
      <c r="J19">
        <f>+DCF!J19</f>
        <v>4645.2289185333666</v>
      </c>
      <c r="K19">
        <f>+DCF!K19</f>
        <v>4765.8556926801175</v>
      </c>
      <c r="L19">
        <f>+DCF!L19</f>
        <v>4981.7009576222536</v>
      </c>
      <c r="M19">
        <f>+DCF!M19</f>
        <v>5165.7815704963823</v>
      </c>
    </row>
    <row r="20" spans="1:13" ht="15" customHeight="1" x14ac:dyDescent="0.45">
      <c r="A20" s="15"/>
      <c r="B20" s="67" t="s">
        <v>31</v>
      </c>
      <c r="F20">
        <f>+DCF!F20</f>
        <v>-786.65994254999987</v>
      </c>
      <c r="G20">
        <f>+DCF!G20</f>
        <v>-836.50653335094978</v>
      </c>
      <c r="H20">
        <f>+DCF!H20</f>
        <v>-889.96023516920206</v>
      </c>
      <c r="I20">
        <f>+DCF!I20</f>
        <v>-932.13408251697581</v>
      </c>
      <c r="J20">
        <f>+DCF!J20</f>
        <v>-975.49807289200692</v>
      </c>
      <c r="K20">
        <f>+DCF!K20</f>
        <v>-1000.8296954628246</v>
      </c>
      <c r="L20">
        <f>+DCF!L20</f>
        <v>-1046.1572011006733</v>
      </c>
      <c r="M20">
        <f>+DCF!M20</f>
        <v>-1084.8141298042403</v>
      </c>
    </row>
    <row r="21" spans="1:13" s="76" customFormat="1" ht="15" customHeight="1" x14ac:dyDescent="0.45">
      <c r="A21" s="15"/>
      <c r="B21" s="75" t="s">
        <v>28</v>
      </c>
      <c r="F21" s="76">
        <f>SUM(F19:F20)</f>
        <v>2959.3397838785709</v>
      </c>
      <c r="G21" s="76">
        <f t="shared" ref="G21:M21" si="2">SUM(G19:G20)</f>
        <v>3146.8579111773829</v>
      </c>
      <c r="H21" s="76">
        <f t="shared" si="2"/>
        <v>3347.9456465889034</v>
      </c>
      <c r="I21" s="76">
        <f t="shared" si="2"/>
        <v>3506.5996437543376</v>
      </c>
      <c r="J21" s="76">
        <f t="shared" si="2"/>
        <v>3669.7308456413598</v>
      </c>
      <c r="K21" s="76">
        <f t="shared" si="2"/>
        <v>3765.025997217293</v>
      </c>
      <c r="L21" s="76">
        <f t="shared" si="2"/>
        <v>3935.5437565215802</v>
      </c>
      <c r="M21" s="76">
        <f t="shared" si="2"/>
        <v>4080.9674406921422</v>
      </c>
    </row>
    <row r="22" spans="1:13" ht="15" customHeight="1" x14ac:dyDescent="0.45">
      <c r="A22" s="15"/>
      <c r="B22" s="67" t="s">
        <v>72</v>
      </c>
      <c r="C22" s="68"/>
      <c r="D22" s="68"/>
      <c r="E22" s="59">
        <f>399+138</f>
        <v>537</v>
      </c>
      <c r="F22">
        <f>+DCF!F22</f>
        <v>536.67617857142852</v>
      </c>
      <c r="G22">
        <f>+DCF!G22</f>
        <v>523.43816616666663</v>
      </c>
      <c r="H22">
        <f>+DCF!H22</f>
        <v>511.82438185484364</v>
      </c>
      <c r="I22">
        <f>+DCF!I22</f>
        <v>500.98574788615292</v>
      </c>
      <c r="J22">
        <f>+DCF!J22</f>
        <v>492.07933459039913</v>
      </c>
      <c r="K22">
        <f>+DCF!K22</f>
        <v>484.8276391332775</v>
      </c>
      <c r="L22">
        <f>+DCF!L22</f>
        <v>479.00970746367824</v>
      </c>
      <c r="M22">
        <f>+DCF!M22</f>
        <v>486.05396786755585</v>
      </c>
    </row>
    <row r="23" spans="1:13" ht="15" customHeight="1" x14ac:dyDescent="0.45">
      <c r="A23" s="15"/>
      <c r="B23" s="67" t="s">
        <v>73</v>
      </c>
      <c r="C23" s="59"/>
      <c r="F23">
        <f>+DCF!F23</f>
        <v>161.60554300000013</v>
      </c>
      <c r="G23">
        <f>+DCF!G23</f>
        <v>115.63224943499972</v>
      </c>
      <c r="H23">
        <f>+DCF!H23</f>
        <v>115.4652250747049</v>
      </c>
      <c r="I23">
        <f>+DCF!I23</f>
        <v>112.02812070038817</v>
      </c>
      <c r="J23">
        <f>+DCF!J23</f>
        <v>116.50924552840434</v>
      </c>
      <c r="K23">
        <f>+DCF!K23</f>
        <v>121.16961534953998</v>
      </c>
      <c r="L23">
        <f>+DCF!L23</f>
        <v>126.01639996352196</v>
      </c>
      <c r="M23">
        <f>+DCF!M23</f>
        <v>114.67492396680473</v>
      </c>
    </row>
    <row r="24" spans="1:13" ht="15" customHeight="1" x14ac:dyDescent="0.45">
      <c r="A24" s="15"/>
      <c r="B24" s="67" t="s">
        <v>74</v>
      </c>
      <c r="C24" s="71"/>
      <c r="D24" s="68"/>
      <c r="E24" s="59">
        <v>-353</v>
      </c>
      <c r="F24">
        <f>+DCF!F24</f>
        <v>-375.67332499999998</v>
      </c>
      <c r="G24">
        <f>+DCF!G24</f>
        <v>-392.57862462499997</v>
      </c>
      <c r="H24">
        <f>+DCF!H24</f>
        <v>-409.45950548387492</v>
      </c>
      <c r="I24">
        <f>+DCF!I24</f>
        <v>-425.83788570322997</v>
      </c>
      <c r="J24">
        <f>+DCF!J24</f>
        <v>-442.87140113135922</v>
      </c>
      <c r="K24">
        <f>+DCF!K24</f>
        <v>-460.58625717661363</v>
      </c>
      <c r="L24">
        <f>+DCF!L24</f>
        <v>-479.00970746367824</v>
      </c>
      <c r="M24">
        <f>+DCF!M24</f>
        <v>-495.77504722490698</v>
      </c>
    </row>
    <row r="25" spans="1:13" s="76" customFormat="1" ht="15" customHeight="1" x14ac:dyDescent="0.45">
      <c r="A25" s="15"/>
      <c r="B25" s="75" t="s">
        <v>29</v>
      </c>
      <c r="C25" s="77"/>
      <c r="F25" s="76">
        <f>SUM(F21:F24)</f>
        <v>3281.9481804499992</v>
      </c>
      <c r="G25" s="76">
        <f t="shared" ref="G25:M25" si="3">SUM(G21:G24)</f>
        <v>3393.3497021540493</v>
      </c>
      <c r="H25" s="76">
        <f t="shared" si="3"/>
        <v>3565.7757480345767</v>
      </c>
      <c r="I25" s="76">
        <f t="shared" si="3"/>
        <v>3693.7756266376487</v>
      </c>
      <c r="J25" s="76">
        <f t="shared" si="3"/>
        <v>3835.4480246288035</v>
      </c>
      <c r="K25" s="76">
        <f t="shared" si="3"/>
        <v>3910.4369945234976</v>
      </c>
      <c r="L25" s="76">
        <f t="shared" si="3"/>
        <v>4061.5601564851017</v>
      </c>
      <c r="M25" s="76">
        <f t="shared" si="3"/>
        <v>4185.9212853015952</v>
      </c>
    </row>
    <row r="26" spans="1:13" ht="15" customHeight="1" x14ac:dyDescent="0.45">
      <c r="A26" s="15"/>
      <c r="B26" s="67"/>
      <c r="C26" s="59"/>
      <c r="M26" s="70"/>
    </row>
    <row r="27" spans="1:13" ht="15" customHeight="1" x14ac:dyDescent="0.45">
      <c r="A27" s="15"/>
      <c r="B27" s="67" t="s">
        <v>61</v>
      </c>
      <c r="C27" s="59"/>
      <c r="F27">
        <f>+DCF!F27</f>
        <v>35557</v>
      </c>
      <c r="G27">
        <f>+DCF!G27</f>
        <v>35234.391603428572</v>
      </c>
      <c r="H27">
        <f>+DCF!H27</f>
        <v>34987.899812451906</v>
      </c>
      <c r="I27">
        <f>+DCF!I27</f>
        <v>34770.069711006232</v>
      </c>
      <c r="J27">
        <f>+DCF!J27</f>
        <v>34582.893728122923</v>
      </c>
      <c r="K27">
        <f>+DCF!K27</f>
        <v>34417.176549135482</v>
      </c>
      <c r="L27">
        <f>+DCF!L27</f>
        <v>34271.765551829274</v>
      </c>
      <c r="M27">
        <f>+DCF!M27</f>
        <v>34145.749151865755</v>
      </c>
    </row>
    <row r="28" spans="1:13" ht="15" customHeight="1" x14ac:dyDescent="0.45">
      <c r="A28" s="15"/>
      <c r="B28" s="67" t="s">
        <v>56</v>
      </c>
      <c r="C28" s="59"/>
      <c r="F28">
        <f>-F24-F22</f>
        <v>-161.00285357142855</v>
      </c>
      <c r="G28">
        <f t="shared" ref="G28:M28" si="4">-G24-G22</f>
        <v>-130.85954154166666</v>
      </c>
      <c r="H28">
        <f t="shared" si="4"/>
        <v>-102.36487637096872</v>
      </c>
      <c r="I28">
        <f t="shared" si="4"/>
        <v>-75.14786218292295</v>
      </c>
      <c r="J28">
        <f t="shared" si="4"/>
        <v>-49.207933459039907</v>
      </c>
      <c r="K28">
        <f t="shared" si="4"/>
        <v>-24.241381956663872</v>
      </c>
      <c r="L28">
        <f t="shared" si="4"/>
        <v>0</v>
      </c>
      <c r="M28">
        <f t="shared" si="4"/>
        <v>9.7210793573511296</v>
      </c>
    </row>
    <row r="29" spans="1:13" ht="15" customHeight="1" x14ac:dyDescent="0.45">
      <c r="A29" s="15"/>
      <c r="B29" s="67" t="s">
        <v>57</v>
      </c>
      <c r="C29" s="59"/>
      <c r="F29">
        <f>-F23</f>
        <v>-161.60554300000013</v>
      </c>
      <c r="G29">
        <f t="shared" ref="G29:M29" si="5">-G23</f>
        <v>-115.63224943499972</v>
      </c>
      <c r="H29">
        <f t="shared" si="5"/>
        <v>-115.4652250747049</v>
      </c>
      <c r="I29">
        <f t="shared" si="5"/>
        <v>-112.02812070038817</v>
      </c>
      <c r="J29">
        <f t="shared" si="5"/>
        <v>-116.50924552840434</v>
      </c>
      <c r="K29">
        <f t="shared" si="5"/>
        <v>-121.16961534953998</v>
      </c>
      <c r="L29">
        <f t="shared" si="5"/>
        <v>-126.01639996352196</v>
      </c>
      <c r="M29">
        <f t="shared" si="5"/>
        <v>-114.67492396680473</v>
      </c>
    </row>
    <row r="30" spans="1:13" ht="15" customHeight="1" x14ac:dyDescent="0.45">
      <c r="A30" s="15"/>
      <c r="B30" s="67" t="s">
        <v>62</v>
      </c>
      <c r="C30" s="59"/>
      <c r="E30" s="59">
        <f>25125+11072+895-535-1000</f>
        <v>35557</v>
      </c>
      <c r="F30">
        <f>SUM(F27:F29)</f>
        <v>35234.391603428572</v>
      </c>
      <c r="G30">
        <f t="shared" ref="G30:M30" si="6">SUM(G27:G29)</f>
        <v>34987.899812451906</v>
      </c>
      <c r="H30">
        <f t="shared" si="6"/>
        <v>34770.069711006232</v>
      </c>
      <c r="I30">
        <f t="shared" si="6"/>
        <v>34582.893728122923</v>
      </c>
      <c r="J30">
        <f t="shared" si="6"/>
        <v>34417.176549135482</v>
      </c>
      <c r="K30">
        <f t="shared" si="6"/>
        <v>34271.765551829274</v>
      </c>
      <c r="L30">
        <f t="shared" si="6"/>
        <v>34145.749151865755</v>
      </c>
      <c r="M30">
        <f t="shared" si="6"/>
        <v>34040.795307256303</v>
      </c>
    </row>
    <row r="31" spans="1:13" ht="15" customHeight="1" x14ac:dyDescent="0.45">
      <c r="A31" s="15"/>
      <c r="B31" s="67"/>
      <c r="C31" s="59"/>
      <c r="M31" s="70"/>
    </row>
    <row r="32" spans="1:13" ht="15" customHeight="1" x14ac:dyDescent="0.45">
      <c r="A32" s="15"/>
      <c r="B32" s="67" t="s">
        <v>58</v>
      </c>
      <c r="C32" s="59"/>
      <c r="F32" s="70">
        <f>+F21/E30</f>
        <v>8.3228050282042096E-2</v>
      </c>
      <c r="G32" s="70">
        <f t="shared" ref="G32:M32" si="7">+G21/F30</f>
        <v>8.9312111490273891E-2</v>
      </c>
      <c r="H32" s="70">
        <f t="shared" si="7"/>
        <v>9.5688671355958238E-2</v>
      </c>
      <c r="I32" s="70">
        <f t="shared" si="7"/>
        <v>0.10085109615539099</v>
      </c>
      <c r="J32" s="70">
        <f t="shared" si="7"/>
        <v>0.10611404801724625</v>
      </c>
      <c r="K32" s="70">
        <f t="shared" si="7"/>
        <v>0.10939380782273571</v>
      </c>
      <c r="L32" s="70">
        <f t="shared" si="7"/>
        <v>0.11483341150224222</v>
      </c>
      <c r="M32" s="70">
        <f t="shared" si="7"/>
        <v>0.11951611963590948</v>
      </c>
    </row>
    <row r="33" spans="1:13" ht="15" customHeight="1" x14ac:dyDescent="0.45">
      <c r="A33" s="15"/>
      <c r="B33" s="67" t="s">
        <v>59</v>
      </c>
      <c r="C33" s="59"/>
      <c r="F33" s="70">
        <f>+F21/F16</f>
        <v>0.19693571428571427</v>
      </c>
      <c r="G33" s="70">
        <f t="shared" ref="G33:M33" si="8">+G21/G16</f>
        <v>0.20039666666666667</v>
      </c>
      <c r="H33" s="70">
        <f t="shared" si="8"/>
        <v>0.20441250000000002</v>
      </c>
      <c r="I33" s="70">
        <f t="shared" si="8"/>
        <v>0.20586470588235289</v>
      </c>
      <c r="J33" s="70">
        <f t="shared" si="8"/>
        <v>0.20715555555555551</v>
      </c>
      <c r="K33" s="70">
        <f t="shared" si="8"/>
        <v>0.20436052631578946</v>
      </c>
      <c r="L33" s="70">
        <f t="shared" si="8"/>
        <v>0.2054</v>
      </c>
      <c r="M33" s="70">
        <f t="shared" si="8"/>
        <v>0.20578725490196076</v>
      </c>
    </row>
    <row r="34" spans="1:13" ht="15" customHeight="1" x14ac:dyDescent="0.45">
      <c r="A34" s="15"/>
      <c r="B34" s="67" t="s">
        <v>60</v>
      </c>
      <c r="C34" s="59"/>
      <c r="F34" s="70">
        <f>+F16/E30</f>
        <v>0.42261532187754869</v>
      </c>
      <c r="G34" s="70">
        <f t="shared" ref="G34:M34" si="9">+G16/F30</f>
        <v>0.44567663213097636</v>
      </c>
      <c r="H34" s="70">
        <f t="shared" si="9"/>
        <v>0.46811555729692772</v>
      </c>
      <c r="I34" s="70">
        <f t="shared" si="9"/>
        <v>0.4898901719123489</v>
      </c>
      <c r="J34" s="70">
        <f t="shared" si="9"/>
        <v>0.51224331267711665</v>
      </c>
      <c r="K34" s="70">
        <f t="shared" si="9"/>
        <v>0.53529813117477587</v>
      </c>
      <c r="L34" s="70">
        <f t="shared" si="9"/>
        <v>0.55907211052698258</v>
      </c>
      <c r="M34" s="70">
        <f t="shared" si="9"/>
        <v>0.58077512960094746</v>
      </c>
    </row>
    <row r="35" spans="1:13" ht="15" customHeight="1" x14ac:dyDescent="0.45">
      <c r="A35" s="15"/>
      <c r="B35" s="67"/>
      <c r="C35" s="59"/>
      <c r="F35" s="70"/>
      <c r="M35" s="70"/>
    </row>
    <row r="36" spans="1:13" ht="15.75" x14ac:dyDescent="0.45">
      <c r="A36" s="15" t="s">
        <v>20</v>
      </c>
      <c r="B36" s="67"/>
      <c r="C36" s="59"/>
      <c r="E36" s="72">
        <f>DCF!E36</f>
        <v>8.1500000000000003E-2</v>
      </c>
    </row>
    <row r="37" spans="1:13" ht="15" customHeight="1" x14ac:dyDescent="0.45">
      <c r="A37" s="15"/>
      <c r="B37" s="67"/>
    </row>
    <row r="38" spans="1:13" ht="15" customHeight="1" x14ac:dyDescent="0.45">
      <c r="A38" s="15" t="s">
        <v>22</v>
      </c>
      <c r="B38" s="67"/>
    </row>
    <row r="39" spans="1:13" ht="15" customHeight="1" x14ac:dyDescent="0.45">
      <c r="A39" s="15"/>
      <c r="B39" s="67" t="s">
        <v>26</v>
      </c>
      <c r="E39" s="72">
        <v>0.105</v>
      </c>
    </row>
    <row r="40" spans="1:13" ht="15" customHeight="1" x14ac:dyDescent="0.45">
      <c r="A40" s="15"/>
      <c r="B40" s="67" t="s">
        <v>19</v>
      </c>
      <c r="E40" s="72">
        <v>3.5000000000000003E-2</v>
      </c>
    </row>
    <row r="41" spans="1:13" ht="15" customHeight="1" x14ac:dyDescent="0.45">
      <c r="A41" s="15"/>
      <c r="B41" s="67" t="s">
        <v>63</v>
      </c>
      <c r="M41">
        <f>(M25*(1+E40)/(E36-E40))</f>
        <v>93170.506027680647</v>
      </c>
    </row>
    <row r="42" spans="1:13" ht="15" customHeight="1" x14ac:dyDescent="0.45">
      <c r="A42" s="15"/>
      <c r="B42" s="67" t="s">
        <v>64</v>
      </c>
      <c r="M42">
        <f>((M21*(1+E40)*(1-(E40/E39))))/(E36-E40)</f>
        <v>60556.291055431779</v>
      </c>
    </row>
    <row r="43" spans="1:13" ht="15" customHeight="1" x14ac:dyDescent="0.45">
      <c r="A43" s="15"/>
      <c r="B43" s="67"/>
    </row>
    <row r="44" spans="1:13" ht="15" customHeight="1" x14ac:dyDescent="0.45">
      <c r="A44" s="15" t="s">
        <v>33</v>
      </c>
      <c r="B44" s="67"/>
    </row>
    <row r="45" spans="1:13" ht="15" customHeight="1" x14ac:dyDescent="0.45">
      <c r="A45" s="15"/>
      <c r="B45" s="67" t="s">
        <v>18</v>
      </c>
      <c r="E45" s="80">
        <v>45251</v>
      </c>
    </row>
    <row r="46" spans="1:13" ht="15" customHeight="1" x14ac:dyDescent="0.45">
      <c r="A46" s="15"/>
      <c r="B46" s="67" t="s">
        <v>68</v>
      </c>
      <c r="F46" s="70">
        <f>YEARFRAC(E45,F2)</f>
        <v>0.1111111111111111</v>
      </c>
      <c r="G46" s="72">
        <v>1</v>
      </c>
      <c r="H46" s="72">
        <v>1</v>
      </c>
      <c r="I46" s="72">
        <v>1</v>
      </c>
      <c r="J46" s="72">
        <v>1</v>
      </c>
      <c r="K46" s="72">
        <v>1</v>
      </c>
      <c r="L46" s="72">
        <v>1</v>
      </c>
      <c r="M46" s="72">
        <v>1</v>
      </c>
    </row>
    <row r="47" spans="1:13" ht="15" customHeight="1" x14ac:dyDescent="0.45">
      <c r="A47" s="15"/>
      <c r="B47" s="67" t="s">
        <v>69</v>
      </c>
      <c r="F47" s="79">
        <f>AVERAGE(E45,F2)</f>
        <v>45271</v>
      </c>
      <c r="G47" s="79">
        <f>AVERAGE(F2:G2)</f>
        <v>45474</v>
      </c>
      <c r="H47" s="79">
        <f>AVERAGE(G2:H2)</f>
        <v>45839.5</v>
      </c>
      <c r="I47" s="79">
        <f t="shared" ref="I47:M47" si="10">AVERAGE(H2:I2)</f>
        <v>46204.5</v>
      </c>
      <c r="J47" s="79">
        <f t="shared" si="10"/>
        <v>46569.5</v>
      </c>
      <c r="K47" s="79">
        <f t="shared" si="10"/>
        <v>46935</v>
      </c>
      <c r="L47" s="79">
        <f t="shared" si="10"/>
        <v>47300.5</v>
      </c>
      <c r="M47" s="79">
        <f t="shared" si="10"/>
        <v>47665.5</v>
      </c>
    </row>
    <row r="48" spans="1:13" ht="15" customHeight="1" x14ac:dyDescent="0.45">
      <c r="A48" s="15"/>
      <c r="B48" s="67" t="s">
        <v>76</v>
      </c>
      <c r="F48" s="74">
        <f>YEARFRAC($E$45,F47)</f>
        <v>5.5555555555555552E-2</v>
      </c>
      <c r="G48" s="74">
        <f>YEARFRAC($E$45,G47)</f>
        <v>0.61111111111111116</v>
      </c>
      <c r="H48" s="74">
        <f t="shared" ref="H48:M48" si="11">YEARFRAC($E$45,H47)</f>
        <v>1.6111111111111112</v>
      </c>
      <c r="I48" s="74">
        <f t="shared" si="11"/>
        <v>2.6111111111111112</v>
      </c>
      <c r="J48" s="74">
        <f t="shared" si="11"/>
        <v>3.6111111111111112</v>
      </c>
      <c r="K48" s="74">
        <f t="shared" si="11"/>
        <v>4.6111111111111107</v>
      </c>
      <c r="L48" s="74">
        <f t="shared" si="11"/>
        <v>5.6111111111111107</v>
      </c>
      <c r="M48" s="74">
        <f t="shared" si="11"/>
        <v>6.6111111111111107</v>
      </c>
    </row>
    <row r="49" spans="1:13" ht="15" customHeight="1" x14ac:dyDescent="0.45">
      <c r="A49" s="62"/>
      <c r="B49" s="67" t="s">
        <v>21</v>
      </c>
      <c r="C49" s="59"/>
      <c r="F49" s="74">
        <f>1/(1+$E$36)^F48</f>
        <v>0.99565673900146112</v>
      </c>
      <c r="G49" s="74">
        <f>1/(1+$E$36)^G48</f>
        <v>0.9532482425199944</v>
      </c>
      <c r="H49" s="74">
        <f t="shared" ref="H49:M49" si="12">1/(1+$E$36)^H48</f>
        <v>0.88141307676374903</v>
      </c>
      <c r="I49" s="74">
        <f t="shared" si="12"/>
        <v>0.81499128688280087</v>
      </c>
      <c r="J49" s="74">
        <f t="shared" si="12"/>
        <v>0.75357493008118448</v>
      </c>
      <c r="K49" s="74">
        <f t="shared" si="12"/>
        <v>0.69678680543798843</v>
      </c>
      <c r="L49" s="74">
        <f t="shared" si="12"/>
        <v>0.64427813725195426</v>
      </c>
      <c r="M49" s="74">
        <f t="shared" si="12"/>
        <v>0.59572643296528371</v>
      </c>
    </row>
    <row r="50" spans="1:13" ht="15" customHeight="1" x14ac:dyDescent="0.45">
      <c r="A50" s="15"/>
      <c r="B50" s="67" t="s">
        <v>35</v>
      </c>
      <c r="C50" s="59"/>
      <c r="F50">
        <f>F25*F49*F46</f>
        <v>363.07709143540279</v>
      </c>
      <c r="G50">
        <f>G25*G49*G46</f>
        <v>3234.704639834094</v>
      </c>
      <c r="H50">
        <f t="shared" ref="H50:M50" si="13">H25*H49*H46</f>
        <v>3142.921373124715</v>
      </c>
      <c r="I50">
        <f t="shared" si="13"/>
        <v>3010.3949514097417</v>
      </c>
      <c r="J50">
        <f t="shared" si="13"/>
        <v>2890.2974769896678</v>
      </c>
      <c r="K50">
        <f t="shared" si="13"/>
        <v>2724.7409012805565</v>
      </c>
      <c r="L50">
        <f t="shared" si="13"/>
        <v>2616.774411956977</v>
      </c>
      <c r="M50">
        <f t="shared" si="13"/>
        <v>2493.6639559661749</v>
      </c>
    </row>
    <row r="51" spans="1:13" ht="15" customHeight="1" x14ac:dyDescent="0.45">
      <c r="A51" s="15"/>
      <c r="B51" s="67"/>
      <c r="C51" s="59"/>
    </row>
    <row r="52" spans="1:13" ht="15" customHeight="1" x14ac:dyDescent="0.45">
      <c r="A52" s="15"/>
      <c r="B52" s="67"/>
      <c r="C52" s="59"/>
      <c r="E52" s="78" t="s">
        <v>65</v>
      </c>
      <c r="F52" s="78" t="s">
        <v>66</v>
      </c>
    </row>
    <row r="53" spans="1:13" ht="15" customHeight="1" x14ac:dyDescent="0.45">
      <c r="A53" s="15"/>
      <c r="B53" s="67" t="s">
        <v>36</v>
      </c>
      <c r="C53" s="59"/>
      <c r="E53">
        <f>SUM(F50:M50)</f>
        <v>20476.574801997329</v>
      </c>
      <c r="F53">
        <f>+E53</f>
        <v>20476.574801997329</v>
      </c>
    </row>
    <row r="54" spans="1:13" ht="15" customHeight="1" x14ac:dyDescent="0.45">
      <c r="A54" s="15"/>
      <c r="B54" s="67" t="s">
        <v>37</v>
      </c>
      <c r="C54" s="59"/>
      <c r="E54">
        <f>M41*M49</f>
        <v>55504.133213440655</v>
      </c>
      <c r="F54">
        <f>M42*M49</f>
        <v>36074.983264059891</v>
      </c>
    </row>
    <row r="55" spans="1:13" ht="15" customHeight="1" x14ac:dyDescent="0.45">
      <c r="A55" s="15"/>
      <c r="B55" s="67" t="s">
        <v>23</v>
      </c>
      <c r="C55" s="59"/>
      <c r="E55">
        <f>SUM(E53:E54)</f>
        <v>75980.70801543798</v>
      </c>
      <c r="F55">
        <f>SUM(F53:F54)</f>
        <v>56551.558066057216</v>
      </c>
    </row>
    <row r="56" spans="1:13" ht="15" customHeight="1" x14ac:dyDescent="0.45">
      <c r="A56" s="15"/>
      <c r="B56" s="67"/>
      <c r="C56" s="60"/>
    </row>
    <row r="57" spans="1:13" ht="15" customHeight="1" x14ac:dyDescent="0.45">
      <c r="A57" s="15" t="s">
        <v>24</v>
      </c>
      <c r="B57" s="67"/>
      <c r="C57" s="60"/>
    </row>
    <row r="58" spans="1:13" ht="15" customHeight="1" x14ac:dyDescent="0.45">
      <c r="A58" s="15"/>
      <c r="B58" s="67" t="s">
        <v>32</v>
      </c>
      <c r="E58" s="59">
        <v>14387</v>
      </c>
      <c r="F58">
        <f>+E58</f>
        <v>14387</v>
      </c>
    </row>
    <row r="59" spans="1:13" ht="15" customHeight="1" x14ac:dyDescent="0.45">
      <c r="A59" s="15"/>
      <c r="B59" s="67" t="s">
        <v>38</v>
      </c>
      <c r="E59" s="59">
        <v>260</v>
      </c>
      <c r="F59">
        <f t="shared" ref="F59:F60" si="14">+E59</f>
        <v>260</v>
      </c>
    </row>
    <row r="60" spans="1:13" ht="15" customHeight="1" x14ac:dyDescent="0.45">
      <c r="A60" s="15"/>
      <c r="B60" s="67" t="s">
        <v>54</v>
      </c>
      <c r="E60" s="59">
        <v>1336</v>
      </c>
      <c r="F60">
        <f t="shared" si="14"/>
        <v>1336</v>
      </c>
    </row>
    <row r="61" spans="1:13" ht="15" customHeight="1" x14ac:dyDescent="0.45">
      <c r="A61" s="15"/>
      <c r="B61" s="67" t="s">
        <v>24</v>
      </c>
      <c r="E61">
        <f>+E55-E58+E59+E60</f>
        <v>63189.70801543798</v>
      </c>
      <c r="F61">
        <f>+F55-F58+F59+F60</f>
        <v>43760.558066057216</v>
      </c>
    </row>
    <row r="62" spans="1:13" ht="15" customHeight="1" x14ac:dyDescent="0.45">
      <c r="A62" s="66"/>
      <c r="B62" s="67" t="s">
        <v>50</v>
      </c>
      <c r="E62" s="59">
        <v>1416.5</v>
      </c>
      <c r="F62">
        <f>+E62</f>
        <v>1416.5</v>
      </c>
    </row>
    <row r="63" spans="1:13" ht="15" customHeight="1" x14ac:dyDescent="0.45">
      <c r="A63" s="66"/>
      <c r="B63" s="67" t="s">
        <v>51</v>
      </c>
      <c r="E63">
        <f>+E61/E62</f>
        <v>44.609747981248134</v>
      </c>
      <c r="F63">
        <f>+F61/F62</f>
        <v>30.893440216065809</v>
      </c>
    </row>
    <row r="64" spans="1:13" ht="15" customHeight="1" x14ac:dyDescent="0.45">
      <c r="A64" s="66"/>
      <c r="B64" s="67" t="s">
        <v>52</v>
      </c>
      <c r="E64">
        <f>DCF!E61</f>
        <v>31.78</v>
      </c>
      <c r="F64">
        <f>+E64</f>
        <v>31.78</v>
      </c>
    </row>
    <row r="65" spans="1:6" ht="15" customHeight="1" x14ac:dyDescent="0.45">
      <c r="A65" s="66"/>
      <c r="B65" s="67" t="s">
        <v>55</v>
      </c>
      <c r="E65" s="70">
        <f>+E63/E64-1</f>
        <v>0.40370509695557377</v>
      </c>
      <c r="F65" s="70">
        <f>+F63/F64-1</f>
        <v>-2.7896783635437128E-2</v>
      </c>
    </row>
    <row r="66" spans="1:6" ht="15" customHeight="1" x14ac:dyDescent="0.45">
      <c r="A66" s="66"/>
      <c r="C66" s="61"/>
    </row>
    <row r="67" spans="1:6" ht="15" customHeight="1" x14ac:dyDescent="0.45">
      <c r="A67" s="15" t="s">
        <v>75</v>
      </c>
    </row>
    <row r="199" ht="27.4" customHeight="1" x14ac:dyDescent="0.45"/>
  </sheetData>
  <printOptions horizontalCentered="1" headings="1" gridLines="1"/>
  <pageMargins left="0.11811023622047245" right="0.11811023622047245" top="0.55118110236220474" bottom="0.55118110236220474" header="0.31496062992125984" footer="0.31496062992125984"/>
  <pageSetup paperSize="9" scale="74" fitToHeight="0" orientation="landscape" cellComments="asDisplayed" horizontalDpi="2400" verticalDpi="2400" r:id="rId1"/>
  <headerFooter>
    <oddHeader xml:space="preserve">&amp;R&amp;10&amp;F 
&amp;A
</oddHeader>
    <oddFooter>&amp;L&amp;10© 2018&amp;C&amp;10Page &amp;P of &amp;N&amp;R&amp;G</oddFooter>
  </headerFooter>
  <rowBreaks count="8" manualBreakCount="8">
    <brk id="36" max="10" man="1"/>
    <brk id="75" max="10" man="1"/>
    <brk id="116" max="10" man="1"/>
    <brk id="139" max="10" man="1"/>
    <brk id="177" max="10" man="1"/>
    <brk id="218" max="10" man="1"/>
    <brk id="252" max="10" man="1"/>
    <brk id="283" max="10" man="1"/>
  </rowBreaks>
  <legacy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5bd16f8d6507afe7e306fc7be4b4bde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90e5ade8cfd7859786285f2bf7e31add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9626153-C3B9-4B9D-86B0-C733CCFD96A3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customXml/itemProps2.xml><?xml version="1.0" encoding="utf-8"?>
<ds:datastoreItem xmlns:ds="http://schemas.openxmlformats.org/officeDocument/2006/customXml" ds:itemID="{B016DC63-EF80-429E-8262-5C5C3DB9FF66}"/>
</file>

<file path=customXml/itemProps3.xml><?xml version="1.0" encoding="utf-8"?>
<ds:datastoreItem xmlns:ds="http://schemas.openxmlformats.org/officeDocument/2006/customXml" ds:itemID="{953C00DF-FFFF-456F-B2A6-EE2A287AA58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Welcome</vt:lpstr>
      <vt:lpstr>Info</vt:lpstr>
      <vt:lpstr>DCF</vt:lpstr>
      <vt:lpstr>Discount Date</vt:lpstr>
      <vt:lpstr>g</vt:lpstr>
      <vt:lpstr>DCF!Print_Area</vt:lpstr>
      <vt:lpstr>'Discount Date'!Print_Area</vt:lpstr>
      <vt:lpstr>ROIC</vt:lpstr>
      <vt:lpstr>WACC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</dc:creator>
  <cp:lastModifiedBy>Maria Weber</cp:lastModifiedBy>
  <cp:lastPrinted>2024-02-02T14:46:45Z</cp:lastPrinted>
  <dcterms:created xsi:type="dcterms:W3CDTF">2016-02-03T14:06:14Z</dcterms:created>
  <dcterms:modified xsi:type="dcterms:W3CDTF">2025-11-28T11:49:18Z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  <property fmtid="{D5CDD505-2E9C-101B-9397-08002B2CF9AE}" pid="3" name="MediaServiceImageTags">
    <vt:lpwstr/>
  </property>
</Properties>
</file>