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5"/>
  <workbookPr/>
  <mc:AlternateContent xmlns:mc="http://schemas.openxmlformats.org/markup-compatibility/2006">
    <mc:Choice Requires="x15">
      <x15ac:absPath xmlns:x15ac="http://schemas.microsoft.com/office/spreadsheetml/2010/11/ac" url="C:\Users\JonathanRugg\OneDrive - IBHero.com\Desktop\"/>
    </mc:Choice>
  </mc:AlternateContent>
  <xr:revisionPtr revIDLastSave="0" documentId="13_ncr:1_{B28CE9FE-8B61-4A86-BFE4-B89DB8F5C817}" xr6:coauthVersionLast="47" xr6:coauthVersionMax="47" xr10:uidLastSave="{00000000-0000-0000-0000-000000000000}"/>
  <bookViews>
    <workbookView xWindow="-98" yWindow="-98" windowWidth="21795" windowHeight="13875" xr2:uid="{00000000-000D-0000-FFFF-FFFF00000000}"/>
  </bookViews>
  <sheets>
    <sheet name="Welcome" sheetId="1" r:id="rId1"/>
    <sheet name="Info" sheetId="6" r:id="rId2"/>
    <sheet name="Model" sheetId="7" r:id="rId3"/>
  </sheets>
  <definedNames>
    <definedName name="Circswitch">Info!$N$10</definedName>
    <definedName name="IQ_DNTM" hidden="1">700000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LATESTK" hidden="1">1000</definedName>
    <definedName name="IQ_LATESTQ" hidden="1">500</definedName>
    <definedName name="IQ_LTMMONTH" hidden="1">120000</definedName>
    <definedName name="IQ_MTD" hidden="1">800000</definedName>
    <definedName name="IQ_NAMES_REVISION_DATE_" hidden="1">"01/29/2016 15:32:18"</definedName>
    <definedName name="IQ_QTD" hidden="1">750000</definedName>
    <definedName name="IQ_TODAY" hidden="1">0</definedName>
    <definedName name="IQ_YTDMONTH" hidden="1">130000</definedName>
    <definedName name="_xlnm.Print_Area" localSheetId="2">Model!$A$1:$J$148</definedName>
  </definedNames>
  <calcPr calcId="191028" iterate="1" calcCompleted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5" i="7" l="1"/>
  <c r="C145" i="7"/>
  <c r="D142" i="7"/>
  <c r="C142" i="7"/>
  <c r="D141" i="7"/>
  <c r="C141" i="7"/>
  <c r="D138" i="7"/>
  <c r="D135" i="7"/>
  <c r="E135" i="7"/>
  <c r="C135" i="7"/>
  <c r="D134" i="7"/>
  <c r="E134" i="7"/>
  <c r="C134" i="7"/>
  <c r="D131" i="7"/>
  <c r="C131" i="7"/>
  <c r="D128" i="7"/>
  <c r="C128" i="7"/>
  <c r="D123" i="7"/>
  <c r="C123" i="7"/>
  <c r="D119" i="7"/>
  <c r="E114" i="7"/>
  <c r="F114" i="7"/>
  <c r="G114" i="7"/>
  <c r="H114" i="7"/>
  <c r="I114" i="7"/>
  <c r="J114" i="7"/>
  <c r="D114" i="7"/>
  <c r="F113" i="7"/>
  <c r="G113" i="7"/>
  <c r="H113" i="7" s="1"/>
  <c r="I113" i="7" s="1"/>
  <c r="J113" i="7" s="1"/>
  <c r="E113" i="7"/>
  <c r="F38" i="7"/>
  <c r="F40" i="7" s="1"/>
  <c r="F43" i="7"/>
  <c r="J57" i="7"/>
  <c r="F59" i="7"/>
  <c r="G59" i="7"/>
  <c r="H59" i="7"/>
  <c r="I59" i="7"/>
  <c r="J59" i="7"/>
  <c r="F76" i="7"/>
  <c r="G76" i="7"/>
  <c r="H76" i="7"/>
  <c r="I76" i="7"/>
  <c r="J76" i="7"/>
  <c r="F87" i="7"/>
  <c r="G87" i="7"/>
  <c r="F88" i="7"/>
  <c r="G88" i="7"/>
  <c r="H88" i="7"/>
  <c r="I88" i="7"/>
  <c r="J88" i="7"/>
  <c r="F89" i="7"/>
  <c r="G89" i="7"/>
  <c r="H89" i="7"/>
  <c r="I89" i="7"/>
  <c r="J89" i="7"/>
  <c r="F92" i="7"/>
  <c r="F93" i="7"/>
  <c r="F57" i="7" s="1"/>
  <c r="G93" i="7"/>
  <c r="G57" i="7" s="1"/>
  <c r="H93" i="7"/>
  <c r="H57" i="7" s="1"/>
  <c r="I93" i="7"/>
  <c r="I57" i="7" s="1"/>
  <c r="J93" i="7"/>
  <c r="F98" i="7"/>
  <c r="G98" i="7"/>
  <c r="H98" i="7"/>
  <c r="I98" i="7"/>
  <c r="J98" i="7"/>
  <c r="F17" i="7"/>
  <c r="G17" i="7"/>
  <c r="H17" i="7"/>
  <c r="I17" i="7"/>
  <c r="J17" i="7"/>
  <c r="E56" i="7"/>
  <c r="E57" i="7"/>
  <c r="E55" i="7"/>
  <c r="E59" i="7"/>
  <c r="E47" i="7"/>
  <c r="D50" i="7"/>
  <c r="D53" i="7"/>
  <c r="C53" i="7"/>
  <c r="D52" i="7"/>
  <c r="C52" i="7"/>
  <c r="D55" i="7"/>
  <c r="D56" i="7"/>
  <c r="D57" i="7"/>
  <c r="C56" i="7"/>
  <c r="C57" i="7"/>
  <c r="C55" i="7"/>
  <c r="D54" i="7"/>
  <c r="C54" i="7"/>
  <c r="F124" i="7"/>
  <c r="F144" i="7"/>
  <c r="F142" i="7"/>
  <c r="F125" i="7"/>
  <c r="F133" i="7"/>
  <c r="F136" i="7"/>
  <c r="F140" i="7"/>
  <c r="F126" i="7"/>
  <c r="F131" i="7"/>
  <c r="F127" i="7"/>
  <c r="F138" i="7"/>
  <c r="F132" i="7"/>
  <c r="F135" i="7"/>
  <c r="F141" i="7"/>
  <c r="F145" i="7"/>
  <c r="F128" i="7"/>
  <c r="F123" i="7"/>
  <c r="F129" i="7"/>
  <c r="F139" i="7"/>
  <c r="F137" i="7"/>
  <c r="F146" i="7"/>
  <c r="F134" i="7"/>
  <c r="F143" i="7"/>
  <c r="F130" i="7"/>
  <c r="G97" i="7" l="1"/>
  <c r="G70" i="7"/>
  <c r="H87" i="7"/>
  <c r="G69" i="7"/>
  <c r="F56" i="7"/>
  <c r="G92" i="7"/>
  <c r="F69" i="7"/>
  <c r="F97" i="7"/>
  <c r="F70" i="7"/>
  <c r="F44" i="7"/>
  <c r="F45" i="7" s="1"/>
  <c r="F39" i="7"/>
  <c r="F41" i="7" s="1"/>
  <c r="D58" i="7"/>
  <c r="C58" i="7"/>
  <c r="E76" i="7"/>
  <c r="E70" i="7"/>
  <c r="E69" i="7"/>
  <c r="E17" i="7"/>
  <c r="G43" i="7" l="1"/>
  <c r="F91" i="7"/>
  <c r="F55" i="7" s="1"/>
  <c r="G38" i="7"/>
  <c r="F90" i="7"/>
  <c r="G85" i="7"/>
  <c r="H92" i="7"/>
  <c r="G56" i="7"/>
  <c r="F85" i="7"/>
  <c r="H69" i="7"/>
  <c r="H97" i="7"/>
  <c r="H70" i="7"/>
  <c r="I87" i="7"/>
  <c r="E85" i="7"/>
  <c r="E98" i="7"/>
  <c r="E97" i="7"/>
  <c r="E91" i="7"/>
  <c r="E90" i="7"/>
  <c r="E45" i="7"/>
  <c r="E44" i="7"/>
  <c r="E43" i="7"/>
  <c r="D45" i="7"/>
  <c r="E41" i="7"/>
  <c r="E40" i="7"/>
  <c r="E39" i="7"/>
  <c r="E38" i="7"/>
  <c r="D41" i="7"/>
  <c r="E93" i="7"/>
  <c r="E92" i="7"/>
  <c r="E89" i="7"/>
  <c r="E88" i="7"/>
  <c r="E87" i="7"/>
  <c r="D46" i="7"/>
  <c r="F36" i="7"/>
  <c r="F37" i="7"/>
  <c r="D42" i="7"/>
  <c r="I92" i="7" l="1"/>
  <c r="H56" i="7"/>
  <c r="G44" i="7"/>
  <c r="G45" i="7"/>
  <c r="I70" i="7"/>
  <c r="I69" i="7"/>
  <c r="J87" i="7"/>
  <c r="I97" i="7"/>
  <c r="H85" i="7"/>
  <c r="G40" i="7"/>
  <c r="G41" i="7" s="1"/>
  <c r="G39" i="7"/>
  <c r="D104" i="7"/>
  <c r="C104" i="7"/>
  <c r="D102" i="7"/>
  <c r="C102" i="7"/>
  <c r="D99" i="7"/>
  <c r="C99" i="7"/>
  <c r="D94" i="7"/>
  <c r="C94" i="7"/>
  <c r="D82" i="7"/>
  <c r="C82" i="7"/>
  <c r="D80" i="7"/>
  <c r="C80" i="7"/>
  <c r="D77" i="7"/>
  <c r="C77" i="7"/>
  <c r="D74" i="7"/>
  <c r="C74" i="7"/>
  <c r="D71" i="7"/>
  <c r="C71" i="7"/>
  <c r="D67" i="7"/>
  <c r="C67" i="7"/>
  <c r="D64" i="7"/>
  <c r="C64" i="7"/>
  <c r="C12" i="7"/>
  <c r="D12" i="7"/>
  <c r="D31" i="7"/>
  <c r="E31" i="7" s="1"/>
  <c r="F31" i="7" s="1"/>
  <c r="G31" i="7" s="1"/>
  <c r="H31" i="7" s="1"/>
  <c r="I31" i="7" s="1"/>
  <c r="J31" i="7" s="1"/>
  <c r="D10" i="7"/>
  <c r="C10" i="7"/>
  <c r="D23" i="7"/>
  <c r="D16" i="7"/>
  <c r="C16" i="7"/>
  <c r="D8" i="7"/>
  <c r="E8" i="7" s="1"/>
  <c r="C8" i="7"/>
  <c r="E28" i="7"/>
  <c r="F28" i="7" s="1"/>
  <c r="G28" i="7" s="1"/>
  <c r="H28" i="7" s="1"/>
  <c r="I28" i="7" s="1"/>
  <c r="J28" i="7" s="1"/>
  <c r="D35" i="7"/>
  <c r="C35" i="7"/>
  <c r="D32" i="7"/>
  <c r="C32" i="7"/>
  <c r="D30" i="7"/>
  <c r="E30" i="7" s="1"/>
  <c r="F30" i="7" s="1"/>
  <c r="G30" i="7" s="1"/>
  <c r="H30" i="7" s="1"/>
  <c r="I30" i="7" s="1"/>
  <c r="J30" i="7" s="1"/>
  <c r="D26" i="7"/>
  <c r="C26" i="7"/>
  <c r="C22" i="7"/>
  <c r="D18" i="7"/>
  <c r="C18" i="7"/>
  <c r="D13" i="7"/>
  <c r="E13" i="7" s="1"/>
  <c r="C13" i="7"/>
  <c r="D9" i="7"/>
  <c r="E9" i="7" s="1"/>
  <c r="C9" i="7"/>
  <c r="D6" i="7"/>
  <c r="C6" i="7"/>
  <c r="D3" i="7"/>
  <c r="C3" i="7" s="1"/>
  <c r="A3" i="7"/>
  <c r="A2" i="7"/>
  <c r="H38" i="7" l="1"/>
  <c r="G90" i="7"/>
  <c r="J70" i="7"/>
  <c r="J97" i="7"/>
  <c r="J69" i="7"/>
  <c r="I56" i="7"/>
  <c r="J92" i="7"/>
  <c r="J56" i="7" s="1"/>
  <c r="H43" i="7"/>
  <c r="G91" i="7"/>
  <c r="G55" i="7" s="1"/>
  <c r="I85" i="7"/>
  <c r="C25" i="7"/>
  <c r="C23" i="7"/>
  <c r="E32" i="7"/>
  <c r="F32" i="7" s="1"/>
  <c r="G32" i="7" s="1"/>
  <c r="H32" i="7" s="1"/>
  <c r="I32" i="7" s="1"/>
  <c r="J32" i="7" s="1"/>
  <c r="E35" i="7"/>
  <c r="F35" i="7" s="1"/>
  <c r="G35" i="7" s="1"/>
  <c r="F13" i="7"/>
  <c r="G13" i="7" s="1"/>
  <c r="H13" i="7" s="1"/>
  <c r="I13" i="7" s="1"/>
  <c r="J13" i="7" s="1"/>
  <c r="F8" i="7"/>
  <c r="E10" i="7"/>
  <c r="E12" i="7"/>
  <c r="F12" i="7" s="1"/>
  <c r="G12" i="7" s="1"/>
  <c r="H12" i="7" s="1"/>
  <c r="I12" i="7" s="1"/>
  <c r="J12" i="7" s="1"/>
  <c r="D7" i="7"/>
  <c r="E7" i="7" s="1"/>
  <c r="D25" i="7"/>
  <c r="D22" i="7"/>
  <c r="E22" i="7" s="1"/>
  <c r="F22" i="7" s="1"/>
  <c r="G22" i="7" s="1"/>
  <c r="H22" i="7" s="1"/>
  <c r="I22" i="7" s="1"/>
  <c r="J22" i="7" s="1"/>
  <c r="E6" i="7"/>
  <c r="F6" i="7" s="1"/>
  <c r="G6" i="7" s="1"/>
  <c r="H6" i="7" s="1"/>
  <c r="I6" i="7" s="1"/>
  <c r="J6" i="7" s="1"/>
  <c r="F9" i="7"/>
  <c r="D19" i="7"/>
  <c r="E3" i="7"/>
  <c r="F3" i="7" s="1"/>
  <c r="G3" i="7" s="1"/>
  <c r="H3" i="7" s="1"/>
  <c r="I3" i="7" s="1"/>
  <c r="J3" i="7" s="1"/>
  <c r="A1" i="6"/>
  <c r="H44" i="7" l="1"/>
  <c r="H45" i="7" s="1"/>
  <c r="H41" i="7"/>
  <c r="H39" i="7"/>
  <c r="H40" i="7"/>
  <c r="J85" i="7"/>
  <c r="D73" i="7"/>
  <c r="C73" i="7"/>
  <c r="E19" i="7"/>
  <c r="F19" i="7" s="1"/>
  <c r="G19" i="7" s="1"/>
  <c r="H19" i="7" s="1"/>
  <c r="I19" i="7" s="1"/>
  <c r="J19" i="7" s="1"/>
  <c r="D34" i="7"/>
  <c r="F10" i="7"/>
  <c r="E25" i="7"/>
  <c r="E23" i="7"/>
  <c r="G8" i="7"/>
  <c r="D17" i="7"/>
  <c r="D20" i="7" s="1"/>
  <c r="F7" i="7"/>
  <c r="G7" i="7" s="1"/>
  <c r="H7" i="7" s="1"/>
  <c r="I7" i="7" s="1"/>
  <c r="J7" i="7" s="1"/>
  <c r="H35" i="7"/>
  <c r="G9" i="7"/>
  <c r="H9" i="7" s="1"/>
  <c r="A7" i="1"/>
  <c r="H91" i="7" l="1"/>
  <c r="H55" i="7" s="1"/>
  <c r="I43" i="7"/>
  <c r="I38" i="7"/>
  <c r="H90" i="7"/>
  <c r="D24" i="7"/>
  <c r="D79" i="7"/>
  <c r="D27" i="7" s="1"/>
  <c r="C79" i="7"/>
  <c r="C27" i="7" s="1"/>
  <c r="C24" i="7"/>
  <c r="E20" i="7"/>
  <c r="G10" i="7"/>
  <c r="F25" i="7"/>
  <c r="G25" i="7" s="1"/>
  <c r="F23" i="7"/>
  <c r="H8" i="7"/>
  <c r="I35" i="7"/>
  <c r="I9" i="7"/>
  <c r="I45" i="7" l="1"/>
  <c r="I44" i="7"/>
  <c r="I39" i="7"/>
  <c r="I40" i="7"/>
  <c r="I41" i="7" s="1"/>
  <c r="E27" i="7"/>
  <c r="F27" i="7" s="1"/>
  <c r="G27" i="7" s="1"/>
  <c r="H27" i="7" s="1"/>
  <c r="I27" i="7" s="1"/>
  <c r="J27" i="7" s="1"/>
  <c r="E24" i="7"/>
  <c r="F24" i="7" s="1"/>
  <c r="G24" i="7" s="1"/>
  <c r="H24" i="7" s="1"/>
  <c r="I24" i="7" s="1"/>
  <c r="J24" i="7" s="1"/>
  <c r="F20" i="7"/>
  <c r="G20" i="7" s="1"/>
  <c r="H20" i="7" s="1"/>
  <c r="H25" i="7"/>
  <c r="I25" i="7" s="1"/>
  <c r="H10" i="7"/>
  <c r="G23" i="7"/>
  <c r="I8" i="7"/>
  <c r="J35" i="7"/>
  <c r="J9" i="7"/>
  <c r="I90" i="7" l="1"/>
  <c r="J38" i="7"/>
  <c r="J43" i="7"/>
  <c r="I91" i="7"/>
  <c r="I55" i="7" s="1"/>
  <c r="I10" i="7"/>
  <c r="J25" i="7"/>
  <c r="H23" i="7"/>
  <c r="J8" i="7"/>
  <c r="J39" i="7" l="1"/>
  <c r="J41" i="7"/>
  <c r="J90" i="7" s="1"/>
  <c r="J40" i="7"/>
  <c r="J44" i="7"/>
  <c r="J45" i="7" s="1"/>
  <c r="J91" i="7" s="1"/>
  <c r="J55" i="7" s="1"/>
  <c r="J10" i="7"/>
  <c r="I23" i="7"/>
  <c r="I20" i="7"/>
  <c r="J23" i="7" l="1"/>
  <c r="J20" i="7"/>
  <c r="C34" i="7" l="1"/>
  <c r="E34" i="7" s="1"/>
  <c r="F34" i="7" s="1"/>
  <c r="G34" i="7" s="1"/>
  <c r="H34" i="7" s="1"/>
  <c r="I34" i="7" s="1"/>
  <c r="J34" i="7" s="1"/>
  <c r="E16" i="7"/>
  <c r="F16" i="7"/>
  <c r="G16" i="7"/>
  <c r="H16" i="7"/>
  <c r="I16" i="7"/>
  <c r="J16" i="7"/>
  <c r="E18" i="7"/>
  <c r="F18" i="7"/>
  <c r="G18" i="7"/>
  <c r="H18" i="7"/>
  <c r="I18" i="7"/>
  <c r="J18" i="7"/>
  <c r="F47" i="7"/>
  <c r="G47" i="7"/>
  <c r="H47" i="7"/>
  <c r="I47" i="7"/>
  <c r="J47" i="7"/>
  <c r="E48" i="7"/>
  <c r="F48" i="7"/>
  <c r="G48" i="7"/>
  <c r="H48" i="7"/>
  <c r="I48" i="7"/>
  <c r="J48" i="7"/>
  <c r="E49" i="7"/>
  <c r="F49" i="7"/>
  <c r="G49" i="7"/>
  <c r="H49" i="7"/>
  <c r="I49" i="7"/>
  <c r="J49" i="7"/>
  <c r="E50" i="7"/>
  <c r="F50" i="7"/>
  <c r="G50" i="7"/>
  <c r="H50" i="7"/>
  <c r="I50" i="7"/>
  <c r="J50" i="7"/>
  <c r="E52" i="7"/>
  <c r="F52" i="7"/>
  <c r="G52" i="7"/>
  <c r="H52" i="7"/>
  <c r="I52" i="7"/>
  <c r="J52" i="7"/>
  <c r="E53" i="7"/>
  <c r="F53" i="7"/>
  <c r="G53" i="7"/>
  <c r="H53" i="7"/>
  <c r="I53" i="7"/>
  <c r="J53" i="7"/>
  <c r="E54" i="7"/>
  <c r="F54" i="7"/>
  <c r="G54" i="7"/>
  <c r="H54" i="7"/>
  <c r="I54" i="7"/>
  <c r="J54" i="7"/>
  <c r="E58" i="7"/>
  <c r="F58" i="7"/>
  <c r="G58" i="7"/>
  <c r="H58" i="7"/>
  <c r="I58" i="7"/>
  <c r="J58" i="7"/>
  <c r="E62" i="7"/>
  <c r="F62" i="7"/>
  <c r="G62" i="7"/>
  <c r="H62" i="7"/>
  <c r="I62" i="7"/>
  <c r="J62" i="7"/>
  <c r="E63" i="7"/>
  <c r="F63" i="7"/>
  <c r="G63" i="7"/>
  <c r="H63" i="7"/>
  <c r="I63" i="7"/>
  <c r="J63" i="7"/>
  <c r="E64" i="7"/>
  <c r="F64" i="7"/>
  <c r="G64" i="7"/>
  <c r="H64" i="7"/>
  <c r="I64" i="7"/>
  <c r="J64" i="7"/>
  <c r="E66" i="7"/>
  <c r="F66" i="7"/>
  <c r="G66" i="7"/>
  <c r="H66" i="7"/>
  <c r="I66" i="7"/>
  <c r="J66" i="7"/>
  <c r="E67" i="7"/>
  <c r="F67" i="7"/>
  <c r="G67" i="7"/>
  <c r="H67" i="7"/>
  <c r="I67" i="7"/>
  <c r="J67" i="7"/>
  <c r="E71" i="7"/>
  <c r="F71" i="7"/>
  <c r="G71" i="7"/>
  <c r="H71" i="7"/>
  <c r="I71" i="7"/>
  <c r="J71" i="7"/>
  <c r="E73" i="7"/>
  <c r="F73" i="7"/>
  <c r="G73" i="7"/>
  <c r="H73" i="7"/>
  <c r="I73" i="7"/>
  <c r="J73" i="7"/>
  <c r="E74" i="7"/>
  <c r="F74" i="7"/>
  <c r="G74" i="7"/>
  <c r="H74" i="7"/>
  <c r="I74" i="7"/>
  <c r="J74" i="7"/>
  <c r="E77" i="7"/>
  <c r="F77" i="7"/>
  <c r="G77" i="7"/>
  <c r="H77" i="7"/>
  <c r="I77" i="7"/>
  <c r="J77" i="7"/>
  <c r="E79" i="7"/>
  <c r="F79" i="7"/>
  <c r="G79" i="7"/>
  <c r="H79" i="7"/>
  <c r="I79" i="7"/>
  <c r="J79" i="7"/>
  <c r="E80" i="7"/>
  <c r="F80" i="7"/>
  <c r="G80" i="7"/>
  <c r="H80" i="7"/>
  <c r="I80" i="7"/>
  <c r="J80" i="7"/>
  <c r="E82" i="7"/>
  <c r="F82" i="7"/>
  <c r="G82" i="7"/>
  <c r="H82" i="7"/>
  <c r="I82" i="7"/>
  <c r="J82" i="7"/>
  <c r="E86" i="7"/>
  <c r="F86" i="7"/>
  <c r="G86" i="7"/>
  <c r="H86" i="7"/>
  <c r="I86" i="7"/>
  <c r="J86" i="7"/>
  <c r="E94" i="7"/>
  <c r="F94" i="7"/>
  <c r="G94" i="7"/>
  <c r="H94" i="7"/>
  <c r="I94" i="7"/>
  <c r="J94" i="7"/>
  <c r="E96" i="7"/>
  <c r="F96" i="7"/>
  <c r="G96" i="7"/>
  <c r="H96" i="7"/>
  <c r="I96" i="7"/>
  <c r="J96" i="7"/>
  <c r="E99" i="7"/>
  <c r="F99" i="7"/>
  <c r="G99" i="7"/>
  <c r="H99" i="7"/>
  <c r="I99" i="7"/>
  <c r="J99" i="7"/>
  <c r="E101" i="7"/>
  <c r="F101" i="7"/>
  <c r="G101" i="7"/>
  <c r="H101" i="7"/>
  <c r="I101" i="7"/>
  <c r="J101" i="7"/>
  <c r="E102" i="7"/>
  <c r="F102" i="7"/>
  <c r="G102" i="7"/>
  <c r="H102" i="7"/>
  <c r="I102" i="7"/>
  <c r="J102" i="7"/>
  <c r="E104" i="7"/>
  <c r="F104" i="7"/>
  <c r="G104" i="7"/>
  <c r="H104" i="7"/>
  <c r="I104" i="7"/>
  <c r="J104" i="7"/>
  <c r="E109" i="7"/>
  <c r="F109" i="7"/>
  <c r="G109" i="7"/>
  <c r="H109" i="7"/>
  <c r="I109" i="7"/>
  <c r="J109" i="7"/>
  <c r="J111" i="7"/>
  <c r="E115" i="7"/>
  <c r="F115" i="7"/>
  <c r="G115" i="7"/>
  <c r="H115" i="7"/>
  <c r="I115" i="7"/>
  <c r="J115" i="7"/>
  <c r="D116" i="7"/>
  <c r="D117" i="7"/>
  <c r="D118" i="7"/>
  <c r="D120" i="7"/>
  <c r="E123" i="7"/>
  <c r="E126" i="7"/>
  <c r="E127" i="7"/>
  <c r="E128" i="7"/>
  <c r="E131" i="7"/>
  <c r="E138" i="7"/>
  <c r="E141" i="7"/>
  <c r="E142" i="7"/>
  <c r="E145" i="7"/>
  <c r="D146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Financial Edge</author>
  </authors>
  <commentList>
    <comment ref="B70" authorId="0" shapeId="0" xr:uid="{D0711BB6-17B2-4B04-AF5A-FE57A6D10E54}">
      <text>
        <r>
          <rPr>
            <b/>
            <sz val="9"/>
            <color indexed="81"/>
            <rFont val="Tahoma"/>
            <family val="2"/>
          </rPr>
          <t>Financial Edge:</t>
        </r>
        <r>
          <rPr>
            <sz val="9"/>
            <color indexed="81"/>
            <rFont val="Tahoma"/>
            <family val="2"/>
          </rPr>
          <t xml:space="preserve">
comprises net trading income / net income from FVTPL instruments / other revenue</t>
        </r>
      </text>
    </comment>
  </commentList>
</comments>
</file>

<file path=xl/sharedStrings.xml><?xml version="1.0" encoding="utf-8"?>
<sst xmlns="http://schemas.openxmlformats.org/spreadsheetml/2006/main" count="145" uniqueCount="130">
  <si>
    <t>Bank Modeling</t>
  </si>
  <si>
    <t>This document is for training purposes only. Financial Edge accepts no responsibility or liability for any other purpose or usage.</t>
  </si>
  <si>
    <t>www.fe.training</t>
  </si>
  <si>
    <t>Features</t>
  </si>
  <si>
    <t>Model Details</t>
  </si>
  <si>
    <t>◦</t>
  </si>
  <si>
    <t>Bank model</t>
  </si>
  <si>
    <t>Company name</t>
  </si>
  <si>
    <t>Generic Bank</t>
  </si>
  <si>
    <t>Date</t>
  </si>
  <si>
    <t>Currency</t>
  </si>
  <si>
    <t>USD</t>
  </si>
  <si>
    <t>Units</t>
  </si>
  <si>
    <t>Millions</t>
  </si>
  <si>
    <t>Analyst Name</t>
  </si>
  <si>
    <t>Firstname Lastname</t>
  </si>
  <si>
    <t>Circular Switch</t>
  </si>
  <si>
    <t>Tab Structure</t>
  </si>
  <si>
    <t>Formatting</t>
  </si>
  <si>
    <t>Tab name here</t>
  </si>
  <si>
    <t>Tab description here</t>
  </si>
  <si>
    <t>Input</t>
  </si>
  <si>
    <t>Hard coded</t>
  </si>
  <si>
    <t>Formulas</t>
  </si>
  <si>
    <t>Hist.</t>
  </si>
  <si>
    <t>Proj.</t>
  </si>
  <si>
    <t>Balance sheet assumptions</t>
  </si>
  <si>
    <t>Cash and balances at central banks % of customer deposits</t>
  </si>
  <si>
    <t>Loans and advances to customers % growth</t>
  </si>
  <si>
    <t>Available-for-sale financial assets (FVOCI)</t>
  </si>
  <si>
    <t>Held to maturity investment securities amount</t>
  </si>
  <si>
    <t>Deferred tax assets</t>
  </si>
  <si>
    <t>Customer deposits % loans and advances to customers</t>
  </si>
  <si>
    <t>Repurchase agreements</t>
  </si>
  <si>
    <t>Income statement assumptions</t>
  </si>
  <si>
    <t>Interest earning assets</t>
  </si>
  <si>
    <t>Return on average interest earning assets</t>
  </si>
  <si>
    <t>Interest bearing liabilities</t>
  </si>
  <si>
    <t>Cost of average interest bearing liabilities %</t>
  </si>
  <si>
    <t>Net interest margin %</t>
  </si>
  <si>
    <t>Net fee and commission income % loans and advances to customers</t>
  </si>
  <si>
    <t>Other operating income % loans &amp; advances to customers</t>
  </si>
  <si>
    <t>Cost / income ratio</t>
  </si>
  <si>
    <t>Credit impairment charges % interest earning assets</t>
  </si>
  <si>
    <t>Non-recurring items amount</t>
  </si>
  <si>
    <t>Effective tax rate</t>
  </si>
  <si>
    <t>Marginal tax rate</t>
  </si>
  <si>
    <t>Depreciation % of beginning PP&amp;E</t>
  </si>
  <si>
    <t>Capex % of beginning PP&amp;E</t>
  </si>
  <si>
    <t>Amortization amount</t>
  </si>
  <si>
    <t>Risk weighted assets % total assets</t>
  </si>
  <si>
    <t>Tier 1 capital ratio</t>
  </si>
  <si>
    <t>Calculations</t>
  </si>
  <si>
    <t>Beginning PP&amp;E</t>
  </si>
  <si>
    <t>Capex</t>
  </si>
  <si>
    <t>Depreciation</t>
  </si>
  <si>
    <t>Ending PP&amp;E</t>
  </si>
  <si>
    <t>Beginning intangibles</t>
  </si>
  <si>
    <t>Amortization</t>
  </si>
  <si>
    <t>Ending intangibles</t>
  </si>
  <si>
    <t>Beginning shareholders' equity</t>
  </si>
  <si>
    <t>Net income</t>
  </si>
  <si>
    <t>(Dividends) / capital contribution</t>
  </si>
  <si>
    <t>Ending shareholders' equity</t>
  </si>
  <si>
    <t>Risk weighted assets</t>
  </si>
  <si>
    <t>Shareholders' equity</t>
  </si>
  <si>
    <t>Intangibles</t>
  </si>
  <si>
    <t>Goodwill</t>
  </si>
  <si>
    <t>Estimated common equity tier 1</t>
  </si>
  <si>
    <t>Estimated common equity tier 1 ratio</t>
  </si>
  <si>
    <t>Income statement</t>
  </si>
  <si>
    <t>Interest and similar income</t>
  </si>
  <si>
    <t>Interest and similar expense</t>
  </si>
  <si>
    <t>Net interest income</t>
  </si>
  <si>
    <t>Provision for credit losses</t>
  </si>
  <si>
    <t>Net interest income after provision for credit losses</t>
  </si>
  <si>
    <t>Net fee and commission income</t>
  </si>
  <si>
    <t>Other operating income</t>
  </si>
  <si>
    <t>Total income</t>
  </si>
  <si>
    <t>Operating expenses</t>
  </si>
  <si>
    <t>Profit before tax from operating activities</t>
  </si>
  <si>
    <t>Non-recurring items</t>
  </si>
  <si>
    <t>Profit before tax</t>
  </si>
  <si>
    <t>Taxation</t>
  </si>
  <si>
    <t>Recurring net income</t>
  </si>
  <si>
    <t>Balance sheet</t>
  </si>
  <si>
    <t>Cash and balances at central banks</t>
  </si>
  <si>
    <t>Loans and advances to banks</t>
  </si>
  <si>
    <t>Loans and advances to customers</t>
  </si>
  <si>
    <t>Held to maturity investment securities</t>
  </si>
  <si>
    <t>Property, plant &amp; equipment</t>
  </si>
  <si>
    <t>Total assets</t>
  </si>
  <si>
    <t>Deposits from banks</t>
  </si>
  <si>
    <t>Customer deposits</t>
  </si>
  <si>
    <t>Total liabilities</t>
  </si>
  <si>
    <t>Total liabilities and equity</t>
  </si>
  <si>
    <t>Check</t>
  </si>
  <si>
    <t>Dividend discount model</t>
  </si>
  <si>
    <t>Cost of equity</t>
  </si>
  <si>
    <t>Long-term growth rate</t>
  </si>
  <si>
    <t>Dividends / (capital contribution)</t>
  </si>
  <si>
    <t>Terminal value</t>
  </si>
  <si>
    <t>Year count</t>
  </si>
  <si>
    <t>Discount factor</t>
  </si>
  <si>
    <t>Present value</t>
  </si>
  <si>
    <t>Sum of present value</t>
  </si>
  <si>
    <t>PV of terminal value</t>
  </si>
  <si>
    <t>Implied equity market value</t>
  </si>
  <si>
    <t>Tangible book value of equity</t>
  </si>
  <si>
    <t>Implied equity market value / tangible book value</t>
  </si>
  <si>
    <t>Ratios</t>
  </si>
  <si>
    <t>Tangible Equity</t>
  </si>
  <si>
    <t>Profitability</t>
  </si>
  <si>
    <t>Return on Tangible Equity (RoTE)</t>
  </si>
  <si>
    <t>Return on Equity (ROE)</t>
  </si>
  <si>
    <t>Net Interest Margin (NIM)</t>
  </si>
  <si>
    <t>Efficiency</t>
  </si>
  <si>
    <t>Cost‑to‑Income Ratio (C/I)</t>
  </si>
  <si>
    <t>Funding &amp; liquidity</t>
  </si>
  <si>
    <t>Loan‑to‑Deposit Ratio (LDR)</t>
  </si>
  <si>
    <t>HQLA Liquidity Proxy (% of Deposits)</t>
  </si>
  <si>
    <t>Asset quality</t>
  </si>
  <si>
    <t>Loan Loss / Cost of Risk Ratio (bps of Loans)</t>
  </si>
  <si>
    <t>Capital</t>
  </si>
  <si>
    <t>Common Equity Tier 1 (CET1) Ratio</t>
  </si>
  <si>
    <t>Tangible Equity / Total Assets</t>
  </si>
  <si>
    <t>Valuation</t>
  </si>
  <si>
    <t>Non‑interest Income Share of Total Income</t>
  </si>
  <si>
    <t>Price / Tangible Book (Implied)</t>
  </si>
  <si>
    <t>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</si>
</sst>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1" formatCode="_(* #,##0_);_(* \(#,##0\);_(* &quot;-&quot;_);_(@_)"/>
    <numFmt numFmtId="43" formatCode="_(* #,##0.00_);_(* \(#,##0.00\);_(* &quot;-&quot;??_);_(@_)"/>
    <numFmt numFmtId="164" formatCode="_(&quot;£&quot;* #,##0_);_(&quot;£&quot;* \(#,##0\);_(&quot;£&quot;* &quot;-&quot;_);_(@_)"/>
    <numFmt numFmtId="165" formatCode="_(&quot;£&quot;* #,##0.00_);_(&quot;£&quot;* \(#,##0.00\);_(&quot;£&quot;* &quot;-&quot;??_);_(@_)"/>
    <numFmt numFmtId="166" formatCode="[$-409]d\-mmm\-yy;@"/>
    <numFmt numFmtId="167" formatCode="#,##0.0_);\(#,##0.0\)\,0.0_);@_)"/>
    <numFmt numFmtId="168" formatCode="#,##0.0\ \x_);\(#,##0.0\ \x\);"/>
    <numFmt numFmtId="169" formatCode="#,##0.0_);\(#,##0.0\);0.0_);@_)"/>
    <numFmt numFmtId="170" formatCode="#,##0.0\ \x_);\(#,##0.0\ \x\)"/>
    <numFmt numFmtId="171" formatCode="#,##0.0%_);\(#,##0.0%\)"/>
  </numFmts>
  <fonts count="39"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11"/>
      <color rgb="FF085393"/>
      <name val="Calibri"/>
      <family val="2"/>
      <scheme val="minor"/>
    </font>
    <font>
      <b/>
      <sz val="12"/>
      <color rgb="FF163260"/>
      <name val="Calibri"/>
      <family val="2"/>
      <scheme val="minor"/>
    </font>
    <font>
      <sz val="10"/>
      <color rgb="FF085393"/>
      <name val="Calibri"/>
      <family val="2"/>
      <scheme val="minor"/>
    </font>
    <font>
      <u/>
      <sz val="11"/>
      <color rgb="FF085393"/>
      <name val="Calibri"/>
      <family val="2"/>
      <scheme val="minor"/>
    </font>
    <font>
      <u/>
      <sz val="14"/>
      <color rgb="FF085393"/>
      <name val="Calibri"/>
      <family val="2"/>
      <scheme val="minor"/>
    </font>
    <font>
      <sz val="16"/>
      <color theme="0"/>
      <name val="Calibri Light"/>
      <family val="2"/>
      <scheme val="maj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8"/>
      <color rgb="FF006100"/>
      <name val="Calibri"/>
      <family val="2"/>
      <scheme val="minor"/>
    </font>
    <font>
      <sz val="18"/>
      <color rgb="FF9C0006"/>
      <name val="Calibri"/>
      <family val="2"/>
      <scheme val="minor"/>
    </font>
    <font>
      <sz val="18"/>
      <color rgb="FF9C6500"/>
      <name val="Calibri"/>
      <family val="2"/>
      <scheme val="minor"/>
    </font>
    <font>
      <sz val="18"/>
      <color rgb="FF3F3F76"/>
      <name val="Calibri"/>
      <family val="2"/>
      <scheme val="minor"/>
    </font>
    <font>
      <b/>
      <sz val="18"/>
      <color rgb="FF3F3F3F"/>
      <name val="Calibri"/>
      <family val="2"/>
      <scheme val="minor"/>
    </font>
    <font>
      <b/>
      <sz val="18"/>
      <color rgb="FFFA7D00"/>
      <name val="Calibri"/>
      <family val="2"/>
      <scheme val="minor"/>
    </font>
    <font>
      <sz val="18"/>
      <color rgb="FFFA7D00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8"/>
      <color rgb="FFFF0000"/>
      <name val="Calibri"/>
      <family val="2"/>
      <scheme val="minor"/>
    </font>
    <font>
      <i/>
      <sz val="18"/>
      <color rgb="FF7F7F7F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0000FF"/>
      <name val="Calibri"/>
      <family val="2"/>
      <scheme val="minor"/>
    </font>
    <font>
      <sz val="22"/>
      <color theme="0"/>
      <name val="Calibri Light"/>
      <family val="2"/>
      <scheme val="major"/>
    </font>
    <font>
      <u/>
      <sz val="11"/>
      <color theme="4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rgb="FF085393"/>
      <name val="Calibri"/>
      <family val="2"/>
      <scheme val="minor"/>
    </font>
    <font>
      <u/>
      <sz val="9"/>
      <color rgb="FF085393"/>
      <name val="Calibri"/>
      <family val="2"/>
      <scheme val="minor"/>
    </font>
    <font>
      <sz val="12"/>
      <color rgb="FF16326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38">
    <fill>
      <patternFill patternType="none"/>
    </fill>
    <fill>
      <patternFill patternType="gray125"/>
    </fill>
    <fill>
      <patternFill patternType="solid">
        <fgColor rgb="FF1632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85393"/>
        <bgColor indexed="64"/>
      </patternFill>
    </fill>
    <fill>
      <patternFill patternType="solid">
        <fgColor rgb="FFF0F8FE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BDEFB"/>
      </left>
      <right style="thin">
        <color rgb="FFBBDEFB"/>
      </right>
      <top style="thin">
        <color rgb="FFBBDEFB"/>
      </top>
      <bottom style="thin">
        <color rgb="FFBBDEFB"/>
      </bottom>
      <diagonal/>
    </border>
    <border>
      <left/>
      <right/>
      <top/>
      <bottom style="medium">
        <color theme="0" tint="-0.14996795556505021"/>
      </bottom>
      <diagonal/>
    </border>
  </borders>
  <cellStyleXfs count="60">
    <xf numFmtId="169" fontId="0" fillId="0" borderId="0"/>
    <xf numFmtId="0" fontId="7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1" applyNumberFormat="0" applyFill="0" applyAlignment="0" applyProtection="0"/>
    <xf numFmtId="0" fontId="13" fillId="0" borderId="2" applyNumberFormat="0" applyFill="0" applyAlignment="0" applyProtection="0"/>
    <xf numFmtId="0" fontId="14" fillId="0" borderId="3" applyNumberFormat="0" applyFill="0" applyAlignment="0" applyProtection="0"/>
    <xf numFmtId="0" fontId="14" fillId="0" borderId="0" applyNumberFormat="0" applyFill="0" applyBorder="0" applyAlignment="0" applyProtection="0"/>
    <xf numFmtId="0" fontId="15" fillId="5" borderId="0" applyNumberFormat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4" applyNumberFormat="0" applyAlignment="0" applyProtection="0"/>
    <xf numFmtId="0" fontId="19" fillId="9" borderId="5" applyNumberFormat="0" applyAlignment="0" applyProtection="0"/>
    <xf numFmtId="0" fontId="20" fillId="9" borderId="4" applyNumberFormat="0" applyAlignment="0" applyProtection="0"/>
    <xf numFmtId="0" fontId="21" fillId="0" borderId="6" applyNumberFormat="0" applyFill="0" applyAlignment="0" applyProtection="0"/>
    <xf numFmtId="0" fontId="22" fillId="10" borderId="7" applyNumberFormat="0" applyAlignment="0" applyProtection="0"/>
    <xf numFmtId="0" fontId="23" fillId="0" borderId="0" applyNumberFormat="0" applyFill="0" applyBorder="0" applyAlignment="0" applyProtection="0"/>
    <xf numFmtId="0" fontId="10" fillId="11" borderId="8" applyNumberFormat="0" applyFont="0" applyAlignment="0" applyProtection="0"/>
    <xf numFmtId="0" fontId="24" fillId="0" borderId="0" applyNumberFormat="0" applyFill="0" applyBorder="0" applyAlignment="0" applyProtection="0"/>
    <xf numFmtId="0" fontId="25" fillId="0" borderId="9" applyNumberFormat="0" applyFill="0" applyAlignment="0" applyProtection="0"/>
    <xf numFmtId="0" fontId="26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6" fillId="15" borderId="0" applyNumberFormat="0" applyBorder="0" applyAlignment="0" applyProtection="0"/>
    <xf numFmtId="0" fontId="26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6" fillId="19" borderId="0" applyNumberFormat="0" applyBorder="0" applyAlignment="0" applyProtection="0"/>
    <xf numFmtId="0" fontId="26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6" fillId="23" borderId="0" applyNumberFormat="0" applyBorder="0" applyAlignment="0" applyProtection="0"/>
    <xf numFmtId="0" fontId="26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6" fillId="27" borderId="0" applyNumberFormat="0" applyBorder="0" applyAlignment="0" applyProtection="0"/>
    <xf numFmtId="0" fontId="26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6" fillId="31" borderId="0" applyNumberFormat="0" applyBorder="0" applyAlignment="0" applyProtection="0"/>
    <xf numFmtId="0" fontId="26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6" fillId="35" borderId="0" applyNumberFormat="0" applyBorder="0" applyAlignment="0" applyProtection="0"/>
    <xf numFmtId="0" fontId="31" fillId="2" borderId="0" applyNumberFormat="0" applyBorder="0" applyAlignment="0" applyProtection="0">
      <alignment horizontal="left"/>
    </xf>
    <xf numFmtId="0" fontId="9" fillId="36" borderId="0" applyNumberFormat="0" applyBorder="0" applyAlignment="0" applyProtection="0">
      <alignment horizontal="left"/>
    </xf>
    <xf numFmtId="0" fontId="5" fillId="0" borderId="0" applyNumberFormat="0" applyFill="0" applyBorder="0" applyAlignment="0" applyProtection="0">
      <alignment horizontal="left" vertical="center"/>
    </xf>
    <xf numFmtId="0" fontId="3" fillId="4" borderId="0" applyNumberFormat="0" applyFont="0" applyBorder="0" applyAlignment="0" applyProtection="0">
      <alignment vertical="top"/>
    </xf>
    <xf numFmtId="166" fontId="28" fillId="36" borderId="0" applyBorder="0" applyProtection="0">
      <alignment horizontal="center"/>
    </xf>
    <xf numFmtId="167" fontId="27" fillId="2" borderId="0" applyNumberFormat="0" applyBorder="0" applyProtection="0">
      <alignment horizontal="center"/>
    </xf>
    <xf numFmtId="166" fontId="29" fillId="0" borderId="0" applyFont="0" applyFill="0" applyBorder="0" applyAlignment="0" applyProtection="0"/>
    <xf numFmtId="170" fontId="10" fillId="0" borderId="0" applyFont="0" applyFill="0" applyBorder="0" applyAlignment="0" applyProtection="0"/>
    <xf numFmtId="171" fontId="29" fillId="2" borderId="0" applyFont="0" applyFill="0" applyBorder="0" applyAlignment="0" applyProtection="0"/>
    <xf numFmtId="167" fontId="30" fillId="2" borderId="0" applyNumberFormat="0" applyFill="0" applyBorder="0" applyAlignment="0" applyProtection="0"/>
    <xf numFmtId="169" fontId="32" fillId="0" borderId="0" applyNumberFormat="0" applyFill="0" applyBorder="0" applyAlignment="0" applyProtection="0"/>
    <xf numFmtId="168" fontId="30" fillId="37" borderId="10" applyNumberFormat="0" applyAlignment="0" applyProtection="0">
      <protection locked="0"/>
    </xf>
  </cellStyleXfs>
  <cellXfs count="62">
    <xf numFmtId="169" fontId="0" fillId="0" borderId="0" xfId="0"/>
    <xf numFmtId="169" fontId="3" fillId="4" borderId="0" xfId="51" applyNumberFormat="1" applyFont="1" applyAlignment="1"/>
    <xf numFmtId="169" fontId="3" fillId="4" borderId="0" xfId="51" applyNumberFormat="1" applyFont="1" applyAlignment="1">
      <alignment horizontal="left" vertical="top"/>
    </xf>
    <xf numFmtId="169" fontId="3" fillId="3" borderId="0" xfId="0" applyFont="1" applyFill="1"/>
    <xf numFmtId="167" fontId="5" fillId="0" borderId="0" xfId="50" applyNumberFormat="1">
      <alignment horizontal="left" vertical="center"/>
    </xf>
    <xf numFmtId="169" fontId="3" fillId="0" borderId="0" xfId="0" applyFont="1" applyAlignment="1">
      <alignment vertical="top"/>
    </xf>
    <xf numFmtId="169" fontId="3" fillId="0" borderId="0" xfId="0" applyFont="1"/>
    <xf numFmtId="169" fontId="5" fillId="0" borderId="0" xfId="0" applyFont="1" applyAlignment="1">
      <alignment vertical="center"/>
    </xf>
    <xf numFmtId="169" fontId="6" fillId="0" borderId="0" xfId="0" applyFont="1" applyAlignment="1">
      <alignment vertical="center" wrapText="1"/>
    </xf>
    <xf numFmtId="169" fontId="4" fillId="0" borderId="0" xfId="0" applyFont="1" applyAlignment="1">
      <alignment horizontal="center" vertical="top"/>
    </xf>
    <xf numFmtId="169" fontId="26" fillId="0" borderId="0" xfId="0" applyFont="1"/>
    <xf numFmtId="167" fontId="30" fillId="0" borderId="0" xfId="57" applyFill="1" applyBorder="1" applyAlignment="1">
      <alignment vertical="top"/>
    </xf>
    <xf numFmtId="167" fontId="3" fillId="4" borderId="0" xfId="51" applyNumberFormat="1" applyFont="1" applyAlignment="1">
      <alignment horizontal="left" vertical="top"/>
    </xf>
    <xf numFmtId="167" fontId="4" fillId="4" borderId="0" xfId="51" applyNumberFormat="1" applyFont="1" applyAlignment="1">
      <alignment horizontal="center" vertical="top"/>
    </xf>
    <xf numFmtId="167" fontId="3" fillId="4" borderId="0" xfId="51" applyNumberFormat="1" applyFont="1" applyAlignment="1"/>
    <xf numFmtId="167" fontId="6" fillId="4" borderId="0" xfId="51" applyNumberFormat="1" applyFont="1" applyAlignment="1">
      <alignment vertical="center" wrapText="1"/>
    </xf>
    <xf numFmtId="167" fontId="3" fillId="4" borderId="0" xfId="51" applyNumberFormat="1" applyFont="1" applyAlignment="1">
      <alignment vertical="top"/>
    </xf>
    <xf numFmtId="167" fontId="8" fillId="4" borderId="0" xfId="51" applyNumberFormat="1" applyFont="1" applyAlignment="1">
      <alignment vertical="center" wrapText="1"/>
    </xf>
    <xf numFmtId="167" fontId="30" fillId="37" borderId="10" xfId="59" applyNumberFormat="1">
      <protection locked="0"/>
    </xf>
    <xf numFmtId="167" fontId="3" fillId="0" borderId="0" xfId="51" applyNumberFormat="1" applyFont="1" applyFill="1" applyAlignment="1"/>
    <xf numFmtId="169" fontId="0" fillId="4" borderId="0" xfId="51" applyNumberFormat="1" applyFont="1" applyAlignment="1"/>
    <xf numFmtId="169" fontId="3" fillId="4" borderId="0" xfId="51" applyNumberFormat="1" applyFont="1" applyAlignment="1">
      <alignment vertical="top"/>
    </xf>
    <xf numFmtId="169" fontId="5" fillId="4" borderId="0" xfId="51" applyNumberFormat="1" applyFont="1" applyAlignment="1">
      <alignment vertical="center"/>
    </xf>
    <xf numFmtId="169" fontId="5" fillId="0" borderId="0" xfId="50" applyNumberFormat="1" applyFill="1">
      <alignment horizontal="left" vertical="center"/>
    </xf>
    <xf numFmtId="169" fontId="3" fillId="4" borderId="11" xfId="51" applyNumberFormat="1" applyFont="1" applyBorder="1" applyAlignment="1">
      <alignment vertical="top"/>
    </xf>
    <xf numFmtId="169" fontId="3" fillId="4" borderId="0" xfId="51" applyNumberFormat="1" applyFont="1" applyAlignment="1">
      <alignment vertical="top" wrapText="1"/>
    </xf>
    <xf numFmtId="169" fontId="29" fillId="4" borderId="0" xfId="51" applyNumberFormat="1" applyFont="1" applyAlignment="1">
      <alignment horizontal="center" vertical="top"/>
    </xf>
    <xf numFmtId="167" fontId="29" fillId="4" borderId="0" xfId="51" applyNumberFormat="1" applyFont="1" applyAlignment="1">
      <alignment horizontal="center" vertical="top"/>
    </xf>
    <xf numFmtId="169" fontId="29" fillId="4" borderId="11" xfId="51" applyNumberFormat="1" applyFont="1" applyBorder="1" applyAlignment="1">
      <alignment vertical="top"/>
    </xf>
    <xf numFmtId="169" fontId="1" fillId="4" borderId="0" xfId="51" applyNumberFormat="1" applyFont="1" applyAlignment="1">
      <alignment horizontal="center" vertical="top"/>
    </xf>
    <xf numFmtId="169" fontId="1" fillId="4" borderId="11" xfId="51" applyNumberFormat="1" applyFont="1" applyBorder="1" applyAlignment="1">
      <alignment vertical="top"/>
    </xf>
    <xf numFmtId="169" fontId="1" fillId="4" borderId="11" xfId="51" applyNumberFormat="1" applyFont="1" applyBorder="1" applyAlignment="1">
      <alignment horizontal="center" vertical="top"/>
    </xf>
    <xf numFmtId="169" fontId="1" fillId="4" borderId="11" xfId="51" applyNumberFormat="1" applyFont="1" applyBorder="1" applyAlignment="1"/>
    <xf numFmtId="169" fontId="33" fillId="4" borderId="11" xfId="51" applyNumberFormat="1" applyFont="1" applyBorder="1" applyAlignment="1">
      <alignment vertical="center" wrapText="1"/>
    </xf>
    <xf numFmtId="169" fontId="31" fillId="2" borderId="0" xfId="48" applyNumberFormat="1" applyAlignment="1"/>
    <xf numFmtId="169" fontId="9" fillId="36" borderId="0" xfId="49" applyNumberFormat="1" applyAlignment="1"/>
    <xf numFmtId="169" fontId="5" fillId="4" borderId="0" xfId="50" applyNumberFormat="1" applyFill="1" applyAlignment="1"/>
    <xf numFmtId="169" fontId="29" fillId="4" borderId="0" xfId="51" applyNumberFormat="1" applyFont="1" applyAlignment="1"/>
    <xf numFmtId="169" fontId="27" fillId="2" borderId="0" xfId="48" applyNumberFormat="1" applyFont="1" applyAlignment="1"/>
    <xf numFmtId="169" fontId="27" fillId="36" borderId="0" xfId="49" applyNumberFormat="1" applyFont="1" applyAlignment="1"/>
    <xf numFmtId="169" fontId="0" fillId="36" borderId="0" xfId="0" applyFill="1"/>
    <xf numFmtId="167" fontId="5" fillId="2" borderId="0" xfId="50" applyNumberFormat="1" applyFill="1">
      <alignment horizontal="left" vertical="center"/>
    </xf>
    <xf numFmtId="169" fontId="0" fillId="2" borderId="0" xfId="0" applyFill="1"/>
    <xf numFmtId="166" fontId="27" fillId="36" borderId="0" xfId="54" applyFont="1" applyFill="1" applyAlignment="1"/>
    <xf numFmtId="171" fontId="0" fillId="0" borderId="0" xfId="56" applyFont="1" applyFill="1"/>
    <xf numFmtId="171" fontId="30" fillId="37" borderId="10" xfId="59" applyNumberFormat="1" applyProtection="1"/>
    <xf numFmtId="169" fontId="30" fillId="37" borderId="10" xfId="59" applyNumberFormat="1" applyProtection="1"/>
    <xf numFmtId="171" fontId="30" fillId="37" borderId="10" xfId="56" applyFont="1" applyFill="1" applyBorder="1" applyProtection="1"/>
    <xf numFmtId="171" fontId="30" fillId="0" borderId="0" xfId="57" applyNumberFormat="1" applyFill="1"/>
    <xf numFmtId="169" fontId="30" fillId="0" borderId="0" xfId="57" applyNumberFormat="1" applyFill="1"/>
    <xf numFmtId="167" fontId="36" fillId="0" borderId="0" xfId="50" applyNumberFormat="1" applyFont="1">
      <alignment horizontal="left" vertical="center"/>
    </xf>
    <xf numFmtId="167" fontId="5" fillId="0" borderId="0" xfId="50" applyNumberFormat="1" applyFill="1">
      <alignment horizontal="left" vertical="center"/>
    </xf>
    <xf numFmtId="167" fontId="35" fillId="4" borderId="0" xfId="51" applyNumberFormat="1" applyFont="1" applyBorder="1" applyAlignment="1">
      <alignment horizontal="center" vertical="center" wrapText="1"/>
    </xf>
    <xf numFmtId="167" fontId="34" fillId="4" borderId="0" xfId="51" applyNumberFormat="1" applyFont="1" applyAlignment="1">
      <alignment horizontal="center" vertical="center" wrapText="1"/>
    </xf>
    <xf numFmtId="167" fontId="31" fillId="2" borderId="0" xfId="48" applyNumberFormat="1" applyAlignment="1">
      <alignment horizontal="center"/>
    </xf>
    <xf numFmtId="167" fontId="3" fillId="4" borderId="0" xfId="51" applyNumberFormat="1" applyFont="1" applyAlignment="1">
      <alignment horizontal="left" vertical="top"/>
    </xf>
    <xf numFmtId="167" fontId="31" fillId="36" borderId="0" xfId="49" applyNumberFormat="1" applyFont="1" applyAlignment="1">
      <alignment horizontal="center" vertical="center"/>
    </xf>
    <xf numFmtId="169" fontId="0" fillId="4" borderId="0" xfId="51" applyNumberFormat="1" applyFont="1" applyAlignment="1"/>
    <xf numFmtId="169" fontId="5" fillId="4" borderId="0" xfId="50" applyNumberFormat="1" applyFill="1" applyAlignment="1">
      <alignment horizontal="left"/>
    </xf>
    <xf numFmtId="169" fontId="0" fillId="4" borderId="0" xfId="51" applyNumberFormat="1" applyFont="1" applyAlignment="1">
      <alignment horizontal="left"/>
    </xf>
    <xf numFmtId="169" fontId="5" fillId="4" borderId="0" xfId="50" applyNumberFormat="1" applyFill="1" applyAlignment="1">
      <alignment horizontal="left" vertical="center"/>
    </xf>
    <xf numFmtId="166" fontId="0" fillId="4" borderId="0" xfId="54" applyFont="1" applyFill="1" applyAlignment="1">
      <alignment horizontal="left"/>
    </xf>
  </cellXfs>
  <cellStyles count="60">
    <cellStyle name="20% - Accent1" xfId="25" builtinId="30" hidden="1"/>
    <cellStyle name="20% - Accent2" xfId="29" builtinId="34" hidden="1"/>
    <cellStyle name="20% - Accent3" xfId="33" builtinId="38" hidden="1"/>
    <cellStyle name="20% - Accent4" xfId="37" builtinId="42" hidden="1"/>
    <cellStyle name="20% - Accent5" xfId="41" builtinId="46" hidden="1"/>
    <cellStyle name="20% - Accent6" xfId="45" builtinId="50" hidden="1"/>
    <cellStyle name="40% - Accent1" xfId="26" builtinId="31" hidden="1"/>
    <cellStyle name="40% - Accent2" xfId="30" builtinId="35" hidden="1"/>
    <cellStyle name="40% - Accent3" xfId="34" builtinId="39" hidden="1"/>
    <cellStyle name="40% - Accent4" xfId="38" builtinId="43" hidden="1"/>
    <cellStyle name="40% - Accent5" xfId="42" builtinId="47" hidden="1"/>
    <cellStyle name="40% - Accent6" xfId="46" builtinId="51" hidden="1"/>
    <cellStyle name="60% - Accent1" xfId="27" builtinId="32" hidden="1"/>
    <cellStyle name="60% - Accent2" xfId="31" builtinId="36" hidden="1"/>
    <cellStyle name="60% - Accent3" xfId="35" builtinId="40" hidden="1"/>
    <cellStyle name="60% - Accent4" xfId="39" builtinId="44" hidden="1"/>
    <cellStyle name="60% - Accent5" xfId="43" builtinId="48" hidden="1"/>
    <cellStyle name="60% - Accent6" xfId="47" builtinId="52" hidden="1"/>
    <cellStyle name="Accent1" xfId="24" builtinId="29" hidden="1"/>
    <cellStyle name="Accent2" xfId="28" builtinId="33" hidden="1"/>
    <cellStyle name="Accent3" xfId="32" builtinId="37" hidden="1"/>
    <cellStyle name="Accent4" xfId="36" builtinId="41" hidden="1"/>
    <cellStyle name="Accent5" xfId="40" builtinId="45" hidden="1"/>
    <cellStyle name="Accent6" xfId="44" builtinId="49" hidden="1"/>
    <cellStyle name="Background Fill" xfId="51" xr:uid="{00000000-0005-0000-0000-000018000000}"/>
    <cellStyle name="Bad" xfId="13" builtinId="27" hidden="1"/>
    <cellStyle name="Calculation" xfId="17" builtinId="22" hidden="1"/>
    <cellStyle name="Check Cell" xfId="19" builtinId="23" hidden="1"/>
    <cellStyle name="Column Heading" xfId="53" xr:uid="{00000000-0005-0000-0000-00002D000000}"/>
    <cellStyle name="Comma" xfId="2" builtinId="3" hidden="1"/>
    <cellStyle name="Comma [0]" xfId="3" builtinId="6" hidden="1"/>
    <cellStyle name="Currency" xfId="4" builtinId="4" hidden="1"/>
    <cellStyle name="Currency [0]" xfId="5" builtinId="7" hidden="1"/>
    <cellStyle name="Date" xfId="54" xr:uid="{00000000-0005-0000-0000-000023000000}"/>
    <cellStyle name="Date Heading" xfId="52" xr:uid="{00000000-0005-0000-0000-000024000000}"/>
    <cellStyle name="Explanatory Text" xfId="22" builtinId="53" hidden="1"/>
    <cellStyle name="Good" xfId="12" builtinId="26" hidden="1"/>
    <cellStyle name="Hard Coded Number" xfId="57" xr:uid="{00000000-0005-0000-0000-000027000000}"/>
    <cellStyle name="Heading 1" xfId="8" builtinId="16" hidden="1"/>
    <cellStyle name="Heading 2" xfId="9" builtinId="17" hidden="1"/>
    <cellStyle name="Heading 3" xfId="10" builtinId="18" hidden="1"/>
    <cellStyle name="Heading 4" xfId="11" builtinId="19" hidden="1"/>
    <cellStyle name="Hyperlink" xfId="1" builtinId="8" hidden="1" customBuiltin="1"/>
    <cellStyle name="Hyperlink" xfId="58" builtinId="8" customBuiltin="1"/>
    <cellStyle name="Input" xfId="15" builtinId="20" hidden="1"/>
    <cellStyle name="Input" xfId="59" builtinId="20" customBuiltin="1"/>
    <cellStyle name="Linked Cell" xfId="18" builtinId="24" hidden="1"/>
    <cellStyle name="Multiple" xfId="55" xr:uid="{00000000-0005-0000-0000-000032000000}"/>
    <cellStyle name="Neutral" xfId="14" builtinId="28" hidden="1"/>
    <cellStyle name="Normal" xfId="0" builtinId="0" customBuiltin="1"/>
    <cellStyle name="Note" xfId="21" builtinId="10" hidden="1"/>
    <cellStyle name="Output" xfId="16" builtinId="21" hidden="1"/>
    <cellStyle name="Percent" xfId="6" builtinId="5" hidden="1"/>
    <cellStyle name="Percent" xfId="56" builtinId="5" customBuiltin="1"/>
    <cellStyle name="Primary Title" xfId="48" xr:uid="{00000000-0005-0000-0000-00003A000000}"/>
    <cellStyle name="Secondary Title" xfId="49" xr:uid="{00000000-0005-0000-0000-00003C000000}"/>
    <cellStyle name="Tertiary Title" xfId="50" xr:uid="{00000000-0005-0000-0000-00003D000000}"/>
    <cellStyle name="Title" xfId="7" builtinId="15" hidden="1"/>
    <cellStyle name="Total" xfId="23" builtinId="25" hidden="1"/>
    <cellStyle name="Warning Text" xfId="20" builtinId="11" hidden="1"/>
  </cellStyles>
  <dxfs count="0"/>
  <tableStyles count="0" defaultTableStyle="TableStyleMedium2" defaultPivotStyle="PivotStyleLight16"/>
  <colors>
    <mruColors>
      <color rgb="FF085393"/>
      <color rgb="FF163260"/>
      <color rgb="FFF0F8FE"/>
      <color rgb="FFDB7D6A"/>
      <color rgb="FF1A1A1A"/>
      <color rgb="FFDBEEFD"/>
      <color rgb="FFBBDEFB"/>
      <color rgb="FF0000FF"/>
      <color rgb="FFEBF1FB"/>
      <color rgb="FFD3E0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svg"/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19050</xdr:colOff>
      <xdr:row>0</xdr:row>
      <xdr:rowOff>1035337</xdr:rowOff>
    </xdr:from>
    <xdr:to>
      <xdr:col>9</xdr:col>
      <xdr:colOff>457200</xdr:colOff>
      <xdr:row>0</xdr:row>
      <xdr:rowOff>1534327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rcRect/>
        <a:stretch/>
      </xdr:blipFill>
      <xdr:spPr>
        <a:xfrm>
          <a:off x="2609850" y="1035337"/>
          <a:ext cx="3629025" cy="49899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2049779</xdr:colOff>
      <xdr:row>0</xdr:row>
      <xdr:rowOff>169337</xdr:rowOff>
    </xdr:from>
    <xdr:to>
      <xdr:col>16</xdr:col>
      <xdr:colOff>142798</xdr:colOff>
      <xdr:row>0</xdr:row>
      <xdr:rowOff>436378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rcRect/>
        <a:stretch/>
      </xdr:blipFill>
      <xdr:spPr>
        <a:xfrm>
          <a:off x="8517254" y="169337"/>
          <a:ext cx="321869" cy="26704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16193</xdr:colOff>
      <xdr:row>0</xdr:row>
      <xdr:rowOff>132636</xdr:rowOff>
    </xdr:from>
    <xdr:to>
      <xdr:col>1</xdr:col>
      <xdr:colOff>2461022</xdr:colOff>
      <xdr:row>0</xdr:row>
      <xdr:rowOff>464670</xdr:rowOff>
    </xdr:to>
    <xdr:pic>
      <xdr:nvPicPr>
        <xdr:cNvPr id="2" name="Graphic 1">
          <a:extLst>
            <a:ext uri="{FF2B5EF4-FFF2-40B4-BE49-F238E27FC236}">
              <a16:creationId xmlns:a16="http://schemas.microsoft.com/office/drawing/2014/main" id="{0523F527-5377-432B-A15E-0F7FE22225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25731" y="132636"/>
          <a:ext cx="2444829" cy="3320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FE Training">
  <a:themeElements>
    <a:clrScheme name="New FE Brand">
      <a:dk1>
        <a:srgbClr val="1A1A1A"/>
      </a:dk1>
      <a:lt1>
        <a:srgbClr val="FFFFFF"/>
      </a:lt1>
      <a:dk2>
        <a:srgbClr val="163260"/>
      </a:dk2>
      <a:lt2>
        <a:srgbClr val="F2F2F2"/>
      </a:lt2>
      <a:accent1>
        <a:srgbClr val="444863"/>
      </a:accent1>
      <a:accent2>
        <a:srgbClr val="788F9D"/>
      </a:accent2>
      <a:accent3>
        <a:srgbClr val="8CB78A"/>
      </a:accent3>
      <a:accent4>
        <a:srgbClr val="CC7C89"/>
      </a:accent4>
      <a:accent5>
        <a:srgbClr val="DB7D6A"/>
      </a:accent5>
      <a:accent6>
        <a:srgbClr val="959595"/>
      </a:accent6>
      <a:hlink>
        <a:srgbClr val="085393"/>
      </a:hlink>
      <a:folHlink>
        <a:srgbClr val="B2B2B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fe.training/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4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9"/>
  <sheetViews>
    <sheetView showGridLines="0" tabSelected="1" zoomScaleNormal="100" workbookViewId="0">
      <selection sqref="A1:N1"/>
    </sheetView>
  </sheetViews>
  <sheetFormatPr defaultColWidth="9.140625" defaultRowHeight="14.25"/>
  <cols>
    <col min="1" max="1" width="9.85546875" customWidth="1"/>
    <col min="2" max="13" width="9.28515625" customWidth="1"/>
    <col min="14" max="14" width="9.85546875" customWidth="1"/>
    <col min="15" max="19" width="9.140625" customWidth="1"/>
  </cols>
  <sheetData>
    <row r="1" spans="1:14" s="10" customFormat="1" ht="189.75" customHeight="1">
      <c r="A1" s="54"/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</row>
    <row r="2" spans="1:14" s="5" customFormat="1" ht="75" customHeight="1">
      <c r="A2" s="56" t="s">
        <v>0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</row>
    <row r="3" spans="1:14" s="6" customFormat="1" ht="7.5" customHeight="1">
      <c r="B3" s="7"/>
      <c r="C3" s="7"/>
      <c r="F3" s="8"/>
      <c r="G3" s="8"/>
      <c r="H3" s="8"/>
      <c r="I3" s="8"/>
      <c r="J3" s="8"/>
      <c r="K3" s="8"/>
    </row>
    <row r="4" spans="1:14" s="6" customFormat="1" ht="15" customHeight="1">
      <c r="A4" s="12"/>
      <c r="B4" s="13"/>
      <c r="C4" s="55"/>
      <c r="D4" s="55"/>
      <c r="E4" s="14"/>
      <c r="F4" s="15"/>
      <c r="G4" s="15"/>
      <c r="H4" s="15"/>
      <c r="I4" s="15"/>
      <c r="J4" s="15"/>
      <c r="K4" s="15"/>
      <c r="L4" s="14"/>
      <c r="M4" s="14"/>
      <c r="N4" s="14"/>
    </row>
    <row r="5" spans="1:14" s="6" customFormat="1" ht="15" customHeight="1">
      <c r="A5" s="53" t="s">
        <v>1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</row>
    <row r="6" spans="1:14" s="6" customFormat="1" ht="15" customHeight="1">
      <c r="A6" s="53"/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</row>
    <row r="7" spans="1:14" s="6" customFormat="1" ht="15" customHeight="1">
      <c r="A7" s="53" t="str">
        <f ca="1">"© "&amp;YEAR(TODAY())&amp;" Financial Edge Training"</f>
        <v>© 2026 Financial Edge Training</v>
      </c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</row>
    <row r="8" spans="1:14" s="6" customFormat="1" ht="15" customHeight="1">
      <c r="A8" s="52" t="s">
        <v>2</v>
      </c>
      <c r="B8" s="53"/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</row>
    <row r="9" spans="1:14" s="6" customFormat="1" ht="15" customHeight="1" thickBot="1">
      <c r="A9" s="30"/>
      <c r="B9" s="31"/>
      <c r="C9" s="30"/>
      <c r="D9" s="30"/>
      <c r="E9" s="32"/>
      <c r="F9" s="33"/>
      <c r="G9" s="33"/>
      <c r="H9" s="33"/>
      <c r="I9" s="33"/>
      <c r="J9" s="33"/>
      <c r="K9" s="33"/>
      <c r="L9" s="32"/>
      <c r="M9" s="32"/>
      <c r="N9" s="32"/>
    </row>
  </sheetData>
  <mergeCells count="6">
    <mergeCell ref="A8:N8"/>
    <mergeCell ref="A1:N1"/>
    <mergeCell ref="C4:D4"/>
    <mergeCell ref="A2:N2"/>
    <mergeCell ref="A5:N6"/>
    <mergeCell ref="A7:N7"/>
  </mergeCells>
  <hyperlinks>
    <hyperlink ref="A8" r:id="rId1" xr:uid="{862FB886-0E77-43B0-A664-3C4707117648}"/>
  </hyperlinks>
  <pageMargins left="0.7" right="0.7" top="0.75" bottom="0.75" header="0.3" footer="0.3"/>
  <pageSetup paperSize="9" scale="99" orientation="landscape" verticalDpi="1200" r:id="rId2"/>
  <headerFooter>
    <oddHeader xml:space="preserve">&amp;R&amp;10&amp;F 
&amp;A
</oddHeader>
    <oddFooter>&amp;L&amp;10© 2025&amp;C&amp;10Page &amp;P of &amp;N&amp;R&amp;G</oddFooter>
  </headerFooter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9"/>
  <sheetViews>
    <sheetView showGridLines="0" zoomScaleNormal="100" workbookViewId="0"/>
  </sheetViews>
  <sheetFormatPr defaultColWidth="9.140625" defaultRowHeight="14.25"/>
  <cols>
    <col min="1" max="1" width="1.42578125" customWidth="1"/>
    <col min="2" max="2" width="2.85546875" customWidth="1"/>
    <col min="3" max="3" width="13.28515625" customWidth="1"/>
    <col min="4" max="4" width="2.85546875" customWidth="1"/>
    <col min="5" max="7" width="1.42578125" customWidth="1"/>
    <col min="8" max="8" width="2.85546875" customWidth="1"/>
    <col min="9" max="9" width="42.7109375" customWidth="1"/>
    <col min="10" max="11" width="1.42578125" customWidth="1"/>
    <col min="12" max="12" width="15.5703125" customWidth="1"/>
    <col min="13" max="14" width="1.42578125" customWidth="1"/>
    <col min="15" max="15" width="2.85546875" customWidth="1"/>
    <col min="16" max="16" width="32.5703125" customWidth="1"/>
    <col min="17" max="17" width="2.85546875" customWidth="1"/>
    <col min="18" max="18" width="1.42578125" customWidth="1"/>
  </cols>
  <sheetData>
    <row r="1" spans="1:18" ht="45" customHeight="1">
      <c r="A1" s="34" t="str">
        <f>Welcome!A2</f>
        <v>Bank Modeling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</row>
    <row r="2" spans="1:18" ht="30" customHeight="1">
      <c r="A2" s="35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</row>
    <row r="3" spans="1:18" s="3" customFormat="1" ht="7.5" customHeight="1"/>
    <row r="4" spans="1:18" s="3" customFormat="1" ht="22.5" customHeight="1">
      <c r="A4" s="1"/>
      <c r="B4" s="36" t="s">
        <v>3</v>
      </c>
      <c r="C4" s="20"/>
      <c r="D4" s="20"/>
      <c r="E4" s="20"/>
      <c r="F4" s="20"/>
      <c r="G4" s="20"/>
      <c r="H4" s="20"/>
      <c r="I4" s="20"/>
      <c r="K4" s="1"/>
      <c r="L4" s="58" t="s">
        <v>4</v>
      </c>
      <c r="M4" s="58"/>
      <c r="N4" s="58"/>
      <c r="O4" s="58"/>
      <c r="P4" s="58"/>
      <c r="Q4" s="20"/>
      <c r="R4" s="15"/>
    </row>
    <row r="5" spans="1:18" s="3" customFormat="1" ht="15" customHeight="1">
      <c r="A5" s="2"/>
      <c r="B5" s="29" t="s">
        <v>5</v>
      </c>
      <c r="C5" s="20" t="s">
        <v>6</v>
      </c>
      <c r="D5" s="20"/>
      <c r="E5" s="20"/>
      <c r="F5" s="20"/>
      <c r="G5" s="20"/>
      <c r="H5" s="20"/>
      <c r="I5" s="20"/>
      <c r="K5" s="1"/>
      <c r="L5" s="37" t="s">
        <v>7</v>
      </c>
      <c r="M5" s="20"/>
      <c r="N5" s="57" t="s">
        <v>8</v>
      </c>
      <c r="O5" s="57"/>
      <c r="P5" s="57"/>
      <c r="Q5" s="57"/>
      <c r="R5" s="15"/>
    </row>
    <row r="6" spans="1:18" s="3" customFormat="1" ht="15" customHeight="1">
      <c r="A6" s="25"/>
      <c r="B6" s="29"/>
      <c r="C6" s="20"/>
      <c r="D6" s="20"/>
      <c r="E6" s="20"/>
      <c r="F6" s="20"/>
      <c r="G6" s="20"/>
      <c r="H6" s="20"/>
      <c r="I6" s="20"/>
      <c r="K6" s="2"/>
      <c r="L6" s="37" t="s">
        <v>9</v>
      </c>
      <c r="M6" s="20"/>
      <c r="N6" s="61">
        <v>55153</v>
      </c>
      <c r="O6" s="61"/>
      <c r="P6" s="61"/>
      <c r="Q6" s="61"/>
      <c r="R6" s="15"/>
    </row>
    <row r="7" spans="1:18" s="3" customFormat="1" ht="15" customHeight="1">
      <c r="A7" s="21"/>
      <c r="B7" s="29"/>
      <c r="C7" s="20"/>
      <c r="D7" s="20"/>
      <c r="E7" s="20"/>
      <c r="F7" s="20"/>
      <c r="G7" s="20"/>
      <c r="H7" s="20"/>
      <c r="I7" s="20"/>
      <c r="K7" s="25"/>
      <c r="L7" s="37" t="s">
        <v>10</v>
      </c>
      <c r="M7" s="20"/>
      <c r="N7" s="57" t="s">
        <v>11</v>
      </c>
      <c r="O7" s="57"/>
      <c r="P7" s="57"/>
      <c r="Q7" s="57"/>
      <c r="R7" s="15"/>
    </row>
    <row r="8" spans="1:18" s="3" customFormat="1" ht="15" customHeight="1">
      <c r="A8" s="21"/>
      <c r="B8" s="26"/>
      <c r="C8" s="20"/>
      <c r="D8" s="20"/>
      <c r="E8" s="20"/>
      <c r="F8" s="20"/>
      <c r="G8" s="20"/>
      <c r="H8" s="20"/>
      <c r="I8" s="20"/>
      <c r="K8" s="21"/>
      <c r="L8" s="37" t="s">
        <v>12</v>
      </c>
      <c r="M8" s="20"/>
      <c r="N8" s="57" t="s">
        <v>13</v>
      </c>
      <c r="O8" s="57"/>
      <c r="P8" s="57"/>
      <c r="Q8" s="57"/>
      <c r="R8" s="15"/>
    </row>
    <row r="9" spans="1:18" s="3" customFormat="1" ht="15" customHeight="1">
      <c r="A9" s="16"/>
      <c r="B9" s="27"/>
      <c r="C9" s="20"/>
      <c r="D9" s="20"/>
      <c r="E9" s="20"/>
      <c r="F9" s="20"/>
      <c r="G9" s="20"/>
      <c r="H9" s="20"/>
      <c r="I9" s="20"/>
      <c r="K9" s="21"/>
      <c r="L9" s="37" t="s">
        <v>14</v>
      </c>
      <c r="M9" s="20"/>
      <c r="N9" s="57" t="s">
        <v>15</v>
      </c>
      <c r="O9" s="57"/>
      <c r="P9" s="57"/>
      <c r="Q9" s="57"/>
      <c r="R9" s="15"/>
    </row>
    <row r="10" spans="1:18" s="3" customFormat="1" ht="15" customHeight="1">
      <c r="A10" s="14"/>
      <c r="B10" s="14"/>
      <c r="C10" s="20"/>
      <c r="D10" s="20"/>
      <c r="E10" s="20"/>
      <c r="F10" s="20"/>
      <c r="G10" s="20"/>
      <c r="H10" s="20"/>
      <c r="I10" s="20"/>
      <c r="K10" s="21"/>
      <c r="L10" s="37" t="s">
        <v>16</v>
      </c>
      <c r="M10" s="20"/>
      <c r="N10" s="59">
        <v>1</v>
      </c>
      <c r="O10" s="59"/>
      <c r="P10" s="59"/>
      <c r="Q10" s="59"/>
      <c r="R10" s="17"/>
    </row>
    <row r="11" spans="1:18" s="3" customFormat="1" ht="15" customHeight="1" thickBot="1">
      <c r="A11" s="24"/>
      <c r="B11" s="24"/>
      <c r="C11" s="24"/>
      <c r="D11" s="24"/>
      <c r="E11" s="24"/>
      <c r="F11" s="24"/>
      <c r="G11" s="24"/>
      <c r="H11" s="24"/>
      <c r="I11" s="24"/>
      <c r="K11" s="24"/>
      <c r="L11" s="28"/>
      <c r="M11" s="28"/>
      <c r="N11" s="28"/>
      <c r="O11" s="28"/>
      <c r="P11" s="28"/>
      <c r="Q11" s="28"/>
      <c r="R11" s="24"/>
    </row>
    <row r="12" spans="1:18" s="3" customFormat="1" ht="7.5" customHeight="1">
      <c r="K12" s="8"/>
      <c r="L12" s="8"/>
      <c r="M12" s="8"/>
      <c r="N12" s="8"/>
      <c r="O12" s="8"/>
      <c r="P12" s="8"/>
      <c r="Q12" s="8"/>
      <c r="R12" s="8"/>
    </row>
    <row r="13" spans="1:18" s="3" customFormat="1" ht="22.5" customHeight="1">
      <c r="A13" s="20"/>
      <c r="B13" s="36" t="s">
        <v>17</v>
      </c>
      <c r="C13" s="20"/>
      <c r="D13" s="20"/>
      <c r="E13" s="20"/>
      <c r="F13" s="20"/>
      <c r="G13" s="20"/>
      <c r="H13" s="20"/>
      <c r="I13" s="20"/>
      <c r="J13" s="20"/>
      <c r="K13" s="20"/>
      <c r="L13" s="20"/>
      <c r="N13" s="1"/>
      <c r="O13" s="60" t="s">
        <v>18</v>
      </c>
      <c r="P13" s="60"/>
      <c r="Q13" s="60"/>
      <c r="R13" s="22"/>
    </row>
    <row r="14" spans="1:18" s="3" customFormat="1" ht="15" customHeight="1">
      <c r="A14" s="21"/>
      <c r="B14" s="20" t="s">
        <v>19</v>
      </c>
      <c r="C14" s="20"/>
      <c r="D14" s="20" t="s">
        <v>20</v>
      </c>
      <c r="E14" s="20"/>
      <c r="F14" s="20"/>
      <c r="G14" s="20"/>
      <c r="H14" s="20"/>
      <c r="I14" s="20"/>
      <c r="J14" s="20"/>
      <c r="K14" s="20"/>
      <c r="L14" s="20"/>
      <c r="N14" s="2"/>
      <c r="O14" s="9"/>
      <c r="P14" s="5"/>
      <c r="Q14" s="5"/>
      <c r="R14" s="21"/>
    </row>
    <row r="15" spans="1:18" s="3" customFormat="1" ht="15" customHeight="1">
      <c r="A15" s="21"/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N15" s="25"/>
      <c r="O15" s="9"/>
      <c r="P15" s="18" t="s">
        <v>21</v>
      </c>
      <c r="Q15" s="5"/>
      <c r="R15" s="21"/>
    </row>
    <row r="16" spans="1:18" s="3" customFormat="1" ht="15" customHeight="1">
      <c r="A16" s="21"/>
      <c r="B16" s="57"/>
      <c r="C16" s="57"/>
      <c r="D16" s="57"/>
      <c r="E16" s="57"/>
      <c r="F16" s="57"/>
      <c r="G16" s="57"/>
      <c r="H16" s="57"/>
      <c r="I16" s="57"/>
      <c r="J16" s="57"/>
      <c r="K16" s="57"/>
      <c r="L16" s="57"/>
      <c r="N16" s="21"/>
      <c r="O16" s="9"/>
      <c r="P16" s="11" t="s">
        <v>22</v>
      </c>
      <c r="Q16" s="5"/>
      <c r="R16" s="21"/>
    </row>
    <row r="17" spans="1:18" s="3" customFormat="1" ht="15" customHeight="1">
      <c r="A17" s="21"/>
      <c r="B17" s="57"/>
      <c r="C17" s="57"/>
      <c r="D17" s="57"/>
      <c r="E17" s="57"/>
      <c r="F17" s="57"/>
      <c r="G17" s="57"/>
      <c r="H17" s="57"/>
      <c r="I17" s="57"/>
      <c r="J17" s="57"/>
      <c r="K17" s="57"/>
      <c r="L17" s="57"/>
      <c r="N17" s="21"/>
      <c r="O17" s="9"/>
      <c r="P17" t="s">
        <v>23</v>
      </c>
      <c r="Q17" s="5"/>
      <c r="R17" s="21"/>
    </row>
    <row r="18" spans="1:18" s="3" customFormat="1" ht="15" customHeight="1">
      <c r="A18" s="14"/>
      <c r="B18" s="57"/>
      <c r="C18" s="57"/>
      <c r="D18" s="57"/>
      <c r="E18" s="57"/>
      <c r="F18" s="57"/>
      <c r="G18" s="57"/>
      <c r="H18" s="57"/>
      <c r="I18" s="57"/>
      <c r="J18" s="57"/>
      <c r="K18" s="57"/>
      <c r="L18" s="57"/>
      <c r="N18" s="14"/>
      <c r="O18" s="19"/>
      <c r="P18" s="19"/>
      <c r="Q18" s="19"/>
      <c r="R18" s="14"/>
    </row>
    <row r="19" spans="1:18" ht="14.65" thickBot="1">
      <c r="A19" s="24"/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N19" s="24"/>
      <c r="O19" s="24"/>
      <c r="P19" s="24"/>
      <c r="Q19" s="24"/>
      <c r="R19" s="24"/>
    </row>
  </sheetData>
  <mergeCells count="14">
    <mergeCell ref="L4:P4"/>
    <mergeCell ref="N10:Q10"/>
    <mergeCell ref="O13:Q13"/>
    <mergeCell ref="N5:Q5"/>
    <mergeCell ref="N6:Q6"/>
    <mergeCell ref="N7:Q7"/>
    <mergeCell ref="N8:Q8"/>
    <mergeCell ref="N9:Q9"/>
    <mergeCell ref="B16:C16"/>
    <mergeCell ref="B17:C17"/>
    <mergeCell ref="B18:C18"/>
    <mergeCell ref="D16:L16"/>
    <mergeCell ref="D17:L17"/>
    <mergeCell ref="D18:L18"/>
  </mergeCells>
  <pageMargins left="0.7" right="0.7" top="0.75" bottom="0.75" header="0.3" footer="0.3"/>
  <pageSetup paperSize="9" scale="99" orientation="landscape" verticalDpi="1200" r:id="rId1"/>
  <headerFooter>
    <oddHeader xml:space="preserve">&amp;R&amp;10&amp;F 
&amp;A
</oddHeader>
    <oddFooter>&amp;L&amp;10© 2025&amp;C&amp;10Page &amp;P of &amp;N&amp;R&amp;G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5C9131-8A09-4FF1-BF22-40F0FA1F548D}">
  <sheetPr>
    <pageSetUpPr fitToPage="1"/>
  </sheetPr>
  <dimension ref="A1:Q148"/>
  <sheetViews>
    <sheetView zoomScaleNormal="100" workbookViewId="0">
      <pane xSplit="2" ySplit="3" topLeftCell="C4" activePane="bottomRight" state="frozen"/>
      <selection pane="bottomRight"/>
      <selection pane="bottomLeft" activeCell="A4" sqref="A4"/>
      <selection pane="topRight" activeCell="C1" sqref="C1"/>
    </sheetView>
  </sheetViews>
  <sheetFormatPr defaultColWidth="9.140625" defaultRowHeight="15" customHeight="1"/>
  <cols>
    <col min="1" max="1" width="1.5703125" style="4" customWidth="1"/>
    <col min="2" max="2" width="55.42578125" bestFit="1" customWidth="1"/>
    <col min="3" max="10" width="11.5703125" customWidth="1"/>
    <col min="11" max="12" width="9.140625" customWidth="1"/>
  </cols>
  <sheetData>
    <row r="1" spans="1:17" ht="45.6" customHeight="1">
      <c r="A1" s="41"/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</row>
    <row r="2" spans="1:17" ht="45" customHeight="1">
      <c r="A2" s="34" t="str">
        <f>Welcome!A2</f>
        <v>Bank Modeling</v>
      </c>
      <c r="B2" s="38"/>
      <c r="C2" s="38" t="s">
        <v>24</v>
      </c>
      <c r="D2" s="38" t="s">
        <v>24</v>
      </c>
      <c r="E2" s="38" t="s">
        <v>25</v>
      </c>
      <c r="F2" s="38" t="s">
        <v>25</v>
      </c>
      <c r="G2" s="38" t="s">
        <v>25</v>
      </c>
      <c r="H2" s="38" t="s">
        <v>25</v>
      </c>
      <c r="I2" s="38" t="s">
        <v>25</v>
      </c>
      <c r="J2" s="38" t="s">
        <v>25</v>
      </c>
      <c r="K2" s="42"/>
      <c r="L2" s="42"/>
      <c r="M2" s="42"/>
      <c r="N2" s="42"/>
      <c r="O2" s="42"/>
      <c r="P2" s="42"/>
      <c r="Q2" s="42"/>
    </row>
    <row r="3" spans="1:17" ht="30" customHeight="1">
      <c r="A3" s="35" t="str">
        <f>Info!N5</f>
        <v>Generic Bank</v>
      </c>
      <c r="B3" s="39"/>
      <c r="C3" s="43">
        <f>DATE(YEAR(D3)-1,MONTH(D3),DAY(D3))</f>
        <v>54788</v>
      </c>
      <c r="D3" s="43">
        <f>Info!N6</f>
        <v>55153</v>
      </c>
      <c r="E3" s="43">
        <f>DATE(YEAR(D3)+1,MONTH(D3),DAY(D3))</f>
        <v>55518</v>
      </c>
      <c r="F3" s="43">
        <f>DATE(YEAR(E3)+1,MONTH(E3),DAY(E3))</f>
        <v>55884</v>
      </c>
      <c r="G3" s="43">
        <f t="shared" ref="G3:J3" si="0">DATE(YEAR(F3)+1,MONTH(F3),DAY(F3))</f>
        <v>56249</v>
      </c>
      <c r="H3" s="43">
        <f t="shared" si="0"/>
        <v>56614</v>
      </c>
      <c r="I3" s="43">
        <f t="shared" si="0"/>
        <v>56979</v>
      </c>
      <c r="J3" s="43">
        <f t="shared" si="0"/>
        <v>57345</v>
      </c>
      <c r="K3" s="40"/>
      <c r="L3" s="40"/>
      <c r="M3" s="40"/>
      <c r="N3" s="40"/>
      <c r="O3" s="40"/>
      <c r="P3" s="40"/>
      <c r="Q3" s="40"/>
    </row>
    <row r="5" spans="1:17" ht="15" customHeight="1">
      <c r="A5" s="4" t="s">
        <v>26</v>
      </c>
    </row>
    <row r="6" spans="1:17" ht="15" customHeight="1">
      <c r="B6" t="s">
        <v>27</v>
      </c>
      <c r="C6" s="44">
        <f>C85/C97</f>
        <v>7.2413793103448282E-2</v>
      </c>
      <c r="D6" s="44">
        <f>D85/D97</f>
        <v>7.1428571428571425E-2</v>
      </c>
      <c r="E6" s="45">
        <f>ROUND(AVERAGE(C6:D6),3)</f>
        <v>7.1999999999999995E-2</v>
      </c>
      <c r="F6" s="45">
        <f>E6</f>
        <v>7.1999999999999995E-2</v>
      </c>
      <c r="G6" s="45">
        <f t="shared" ref="G6:J6" si="1">F6</f>
        <v>7.1999999999999995E-2</v>
      </c>
      <c r="H6" s="45">
        <f t="shared" si="1"/>
        <v>7.1999999999999995E-2</v>
      </c>
      <c r="I6" s="45">
        <f t="shared" si="1"/>
        <v>7.1999999999999995E-2</v>
      </c>
      <c r="J6" s="45">
        <f t="shared" si="1"/>
        <v>7.1999999999999995E-2</v>
      </c>
    </row>
    <row r="7" spans="1:17" ht="15" customHeight="1">
      <c r="A7" s="23"/>
      <c r="B7" t="s">
        <v>28</v>
      </c>
      <c r="C7" s="44"/>
      <c r="D7" s="44">
        <f>D87/C87-1</f>
        <v>1.379310344827589E-2</v>
      </c>
      <c r="E7" s="45">
        <f t="shared" ref="E7" si="2">ROUND(AVERAGE(C7:D7),3)</f>
        <v>1.4E-2</v>
      </c>
      <c r="F7" s="45">
        <f t="shared" ref="F7:J7" si="3">E7</f>
        <v>1.4E-2</v>
      </c>
      <c r="G7" s="45">
        <f t="shared" si="3"/>
        <v>1.4E-2</v>
      </c>
      <c r="H7" s="45">
        <f t="shared" si="3"/>
        <v>1.4E-2</v>
      </c>
      <c r="I7" s="45">
        <f t="shared" si="3"/>
        <v>1.4E-2</v>
      </c>
      <c r="J7" s="45">
        <f t="shared" si="3"/>
        <v>1.4E-2</v>
      </c>
    </row>
    <row r="8" spans="1:17" ht="15" customHeight="1">
      <c r="B8" t="s">
        <v>29</v>
      </c>
      <c r="C8">
        <f>C88</f>
        <v>360</v>
      </c>
      <c r="D8">
        <f>D88</f>
        <v>375</v>
      </c>
      <c r="E8" s="46">
        <f>D8</f>
        <v>375</v>
      </c>
      <c r="F8" s="46">
        <f t="shared" ref="F8:J8" si="4">E8</f>
        <v>375</v>
      </c>
      <c r="G8" s="46">
        <f t="shared" si="4"/>
        <v>375</v>
      </c>
      <c r="H8" s="46">
        <f t="shared" si="4"/>
        <v>375</v>
      </c>
      <c r="I8" s="46">
        <f t="shared" si="4"/>
        <v>375</v>
      </c>
      <c r="J8" s="46">
        <f t="shared" si="4"/>
        <v>375</v>
      </c>
    </row>
    <row r="9" spans="1:17" ht="15" customHeight="1">
      <c r="B9" t="s">
        <v>30</v>
      </c>
      <c r="C9">
        <f>C89</f>
        <v>90</v>
      </c>
      <c r="D9">
        <f>D89</f>
        <v>103</v>
      </c>
      <c r="E9" s="46">
        <f>D9</f>
        <v>103</v>
      </c>
      <c r="F9" s="46">
        <f t="shared" ref="F9:J10" si="5">E9</f>
        <v>103</v>
      </c>
      <c r="G9" s="46">
        <f t="shared" si="5"/>
        <v>103</v>
      </c>
      <c r="H9" s="46">
        <f t="shared" si="5"/>
        <v>103</v>
      </c>
      <c r="I9" s="46">
        <f t="shared" si="5"/>
        <v>103</v>
      </c>
      <c r="J9" s="46">
        <f t="shared" si="5"/>
        <v>103</v>
      </c>
    </row>
    <row r="10" spans="1:17" ht="15" customHeight="1">
      <c r="B10" t="s">
        <v>31</v>
      </c>
      <c r="C10">
        <f>C93</f>
        <v>8</v>
      </c>
      <c r="D10">
        <f>D93</f>
        <v>9</v>
      </c>
      <c r="E10" s="46">
        <f>ROUND(AVERAGE(C10:D10),3)</f>
        <v>8.5</v>
      </c>
      <c r="F10" s="46">
        <f>E10</f>
        <v>8.5</v>
      </c>
      <c r="G10" s="46">
        <f t="shared" si="5"/>
        <v>8.5</v>
      </c>
      <c r="H10" s="46">
        <f t="shared" si="5"/>
        <v>8.5</v>
      </c>
      <c r="I10" s="46">
        <f t="shared" si="5"/>
        <v>8.5</v>
      </c>
      <c r="J10" s="46">
        <f t="shared" si="5"/>
        <v>8.5</v>
      </c>
    </row>
    <row r="12" spans="1:17" ht="15" customHeight="1">
      <c r="B12" t="s">
        <v>32</v>
      </c>
      <c r="C12" s="44">
        <f>C97/C87</f>
        <v>1.3333333333333333</v>
      </c>
      <c r="D12" s="44">
        <f>D97/D87</f>
        <v>1.3333333333333333</v>
      </c>
      <c r="E12" s="45">
        <f>ROUND(AVERAGE(C12:D12),3)</f>
        <v>1.333</v>
      </c>
      <c r="F12" s="45">
        <f>E12</f>
        <v>1.333</v>
      </c>
      <c r="G12" s="45">
        <f t="shared" ref="G12:J12" si="6">F12</f>
        <v>1.333</v>
      </c>
      <c r="H12" s="45">
        <f t="shared" si="6"/>
        <v>1.333</v>
      </c>
      <c r="I12" s="45">
        <f t="shared" si="6"/>
        <v>1.333</v>
      </c>
      <c r="J12" s="45">
        <f t="shared" si="6"/>
        <v>1.333</v>
      </c>
    </row>
    <row r="13" spans="1:17" ht="15" customHeight="1">
      <c r="B13" t="s">
        <v>33</v>
      </c>
      <c r="C13">
        <f>C98</f>
        <v>630</v>
      </c>
      <c r="D13">
        <f>D98</f>
        <v>639</v>
      </c>
      <c r="E13" s="46">
        <f>D13</f>
        <v>639</v>
      </c>
      <c r="F13" s="46">
        <f t="shared" ref="F13:J13" si="7">E13</f>
        <v>639</v>
      </c>
      <c r="G13" s="46">
        <f t="shared" si="7"/>
        <v>639</v>
      </c>
      <c r="H13" s="46">
        <f t="shared" si="7"/>
        <v>639</v>
      </c>
      <c r="I13" s="46">
        <f t="shared" si="7"/>
        <v>639</v>
      </c>
      <c r="J13" s="46">
        <f t="shared" si="7"/>
        <v>639</v>
      </c>
    </row>
    <row r="15" spans="1:17" ht="15" customHeight="1">
      <c r="A15" s="4" t="s">
        <v>34</v>
      </c>
    </row>
    <row r="16" spans="1:17" ht="15" customHeight="1">
      <c r="B16" t="s">
        <v>35</v>
      </c>
      <c r="C16">
        <f>SUM(C85:C89)</f>
        <v>3550</v>
      </c>
      <c r="D16">
        <f t="shared" ref="D16" si="8">SUM(D85:D89)</f>
        <v>3588</v>
      </c>
      <c r="E16">
        <f ca="1">SUM(E85:E89)</f>
        <v>3623.1241544066975</v>
      </c>
      <c r="F16">
        <f t="shared" ref="F16:J16" ca="1" si="9">SUM(F85:F89)</f>
        <v>3657.5299918036044</v>
      </c>
      <c r="G16">
        <f t="shared" ca="1" si="9"/>
        <v>3692.0305610685414</v>
      </c>
      <c r="H16">
        <f t="shared" ca="1" si="9"/>
        <v>3726.6050379028129</v>
      </c>
      <c r="I16">
        <f t="shared" ca="1" si="9"/>
        <v>3761.2506211733521</v>
      </c>
      <c r="J16">
        <f t="shared" ca="1" si="9"/>
        <v>3796.0224296458</v>
      </c>
    </row>
    <row r="17" spans="2:10" ht="15" customHeight="1">
      <c r="B17" t="s">
        <v>36</v>
      </c>
      <c r="D17" s="44">
        <f>D62/AVERAGE(C16:D16)</f>
        <v>4.5110675259176239E-2</v>
      </c>
      <c r="E17" s="44">
        <f>E20-E19</f>
        <v>4.5110675259176239E-2</v>
      </c>
      <c r="F17" s="44">
        <f t="shared" ref="F17:J17" si="10">F20-F19</f>
        <v>4.4610675259176238E-2</v>
      </c>
      <c r="G17" s="44">
        <f t="shared" si="10"/>
        <v>4.4610675259176238E-2</v>
      </c>
      <c r="H17" s="44">
        <f t="shared" si="10"/>
        <v>4.4110675259176238E-2</v>
      </c>
      <c r="I17" s="44">
        <f t="shared" si="10"/>
        <v>4.4110675259176238E-2</v>
      </c>
      <c r="J17" s="44">
        <f t="shared" si="10"/>
        <v>4.4110675259176238E-2</v>
      </c>
    </row>
    <row r="18" spans="2:10" ht="15" customHeight="1">
      <c r="B18" t="s">
        <v>37</v>
      </c>
      <c r="C18">
        <f>SUM(C96:C98)</f>
        <v>3530</v>
      </c>
      <c r="D18">
        <f>SUM(D96:D98)</f>
        <v>3579</v>
      </c>
      <c r="E18">
        <f ca="1">SUM(E96:E98)</f>
        <v>3619.4147099999996</v>
      </c>
      <c r="F18">
        <f t="shared" ref="F18:J18" ca="1" si="11">SUM(F96:F98)</f>
        <v>3661.1405159400001</v>
      </c>
      <c r="G18">
        <f t="shared" ca="1" si="11"/>
        <v>3703.4504831631598</v>
      </c>
      <c r="H18">
        <f t="shared" ca="1" si="11"/>
        <v>3746.3527899274441</v>
      </c>
      <c r="I18">
        <f t="shared" ca="1" si="11"/>
        <v>3789.8557289864284</v>
      </c>
      <c r="J18">
        <f t="shared" ca="1" si="11"/>
        <v>3833.9677091922385</v>
      </c>
    </row>
    <row r="19" spans="2:10" ht="15" customHeight="1">
      <c r="B19" t="s">
        <v>38</v>
      </c>
      <c r="D19" s="44">
        <f>D63/AVERAGE(C18:D18)</f>
        <v>-3.0102686735124489E-2</v>
      </c>
      <c r="E19" s="45">
        <f>D19</f>
        <v>-3.0102686735124489E-2</v>
      </c>
      <c r="F19" s="45">
        <f t="shared" ref="F19:J19" si="12">E19</f>
        <v>-3.0102686735124489E-2</v>
      </c>
      <c r="G19" s="45">
        <f t="shared" si="12"/>
        <v>-3.0102686735124489E-2</v>
      </c>
      <c r="H19" s="45">
        <f t="shared" si="12"/>
        <v>-3.0102686735124489E-2</v>
      </c>
      <c r="I19" s="45">
        <f t="shared" si="12"/>
        <v>-3.0102686735124489E-2</v>
      </c>
      <c r="J19" s="45">
        <f t="shared" si="12"/>
        <v>-3.0102686735124489E-2</v>
      </c>
    </row>
    <row r="20" spans="2:10" ht="15" customHeight="1">
      <c r="B20" t="s">
        <v>39</v>
      </c>
      <c r="D20" s="44">
        <f>SUM(D17,D19)</f>
        <v>1.500798852405175E-2</v>
      </c>
      <c r="E20" s="45">
        <f>D20</f>
        <v>1.500798852405175E-2</v>
      </c>
      <c r="F20" s="45">
        <f>E20-0.05%</f>
        <v>1.4507988524051749E-2</v>
      </c>
      <c r="G20" s="45">
        <f t="shared" ref="G20:J20" si="13">F20</f>
        <v>1.4507988524051749E-2</v>
      </c>
      <c r="H20" s="45">
        <f>G20-0.05%</f>
        <v>1.4007988524051749E-2</v>
      </c>
      <c r="I20" s="45">
        <f t="shared" si="13"/>
        <v>1.4007988524051749E-2</v>
      </c>
      <c r="J20" s="45">
        <f t="shared" si="13"/>
        <v>1.4007988524051749E-2</v>
      </c>
    </row>
    <row r="22" spans="2:10" ht="15" customHeight="1">
      <c r="B22" t="s">
        <v>40</v>
      </c>
      <c r="C22" s="44">
        <f>C69/C87</f>
        <v>3.908045977011494E-3</v>
      </c>
      <c r="D22" s="44">
        <f>D69/D87</f>
        <v>3.9455782312925163E-3</v>
      </c>
      <c r="E22" s="45">
        <f>ROUND(AVERAGE(C22:D22),3)</f>
        <v>4.0000000000000001E-3</v>
      </c>
      <c r="F22" s="45">
        <f>E22</f>
        <v>4.0000000000000001E-3</v>
      </c>
      <c r="G22" s="45">
        <f t="shared" ref="G22:J22" si="14">F22</f>
        <v>4.0000000000000001E-3</v>
      </c>
      <c r="H22" s="45">
        <f t="shared" si="14"/>
        <v>4.0000000000000001E-3</v>
      </c>
      <c r="I22" s="45">
        <f t="shared" si="14"/>
        <v>4.0000000000000001E-3</v>
      </c>
      <c r="J22" s="45">
        <f t="shared" si="14"/>
        <v>4.0000000000000001E-3</v>
      </c>
    </row>
    <row r="23" spans="2:10" ht="15" customHeight="1">
      <c r="B23" t="s">
        <v>41</v>
      </c>
      <c r="C23" s="44">
        <f>C70/C87</f>
        <v>4.827586206896552E-3</v>
      </c>
      <c r="D23" s="44">
        <f>D70/D87</f>
        <v>4.9886621315192742E-3</v>
      </c>
      <c r="E23" s="47">
        <f>ROUND(AVERAGE(C23:D23),4)</f>
        <v>4.8999999999999998E-3</v>
      </c>
      <c r="F23" s="47">
        <f t="shared" ref="F23:J23" si="15">ROUND(AVERAGE(D23:E23),4)</f>
        <v>4.8999999999999998E-3</v>
      </c>
      <c r="G23" s="47">
        <f t="shared" si="15"/>
        <v>4.8999999999999998E-3</v>
      </c>
      <c r="H23" s="47">
        <f t="shared" si="15"/>
        <v>4.8999999999999998E-3</v>
      </c>
      <c r="I23" s="47">
        <f t="shared" si="15"/>
        <v>4.8999999999999998E-3</v>
      </c>
      <c r="J23" s="47">
        <f t="shared" si="15"/>
        <v>4.8999999999999998E-3</v>
      </c>
    </row>
    <row r="24" spans="2:10" ht="15" customHeight="1">
      <c r="B24" t="s">
        <v>42</v>
      </c>
      <c r="C24" s="44">
        <f>C73/C71</f>
        <v>-0.6</v>
      </c>
      <c r="D24" s="44">
        <f>D73/D71</f>
        <v>-0.6</v>
      </c>
      <c r="E24" s="45">
        <f>ROUND(AVERAGE(C24:D24),3)</f>
        <v>-0.6</v>
      </c>
      <c r="F24" s="45">
        <f t="shared" ref="F24:J27" si="16">E24</f>
        <v>-0.6</v>
      </c>
      <c r="G24" s="45">
        <f t="shared" si="16"/>
        <v>-0.6</v>
      </c>
      <c r="H24" s="45">
        <f t="shared" si="16"/>
        <v>-0.6</v>
      </c>
      <c r="I24" s="45">
        <f t="shared" si="16"/>
        <v>-0.6</v>
      </c>
      <c r="J24" s="45">
        <f t="shared" si="16"/>
        <v>-0.6</v>
      </c>
    </row>
    <row r="25" spans="2:10" ht="15" customHeight="1">
      <c r="B25" t="s">
        <v>43</v>
      </c>
      <c r="C25" s="44">
        <f>C66/C16</f>
        <v>-1.4084507042253522E-3</v>
      </c>
      <c r="D25" s="44">
        <f>D66/D16</f>
        <v>-1.4214046822742473E-3</v>
      </c>
      <c r="E25" s="45">
        <f>ROUND(AVERAGE(C25:D25),4)</f>
        <v>-1.4E-3</v>
      </c>
      <c r="F25" s="45">
        <f t="shared" ref="F25:J25" si="17">ROUND(AVERAGE(D25:E25),4)</f>
        <v>-1.4E-3</v>
      </c>
      <c r="G25" s="45">
        <f t="shared" si="17"/>
        <v>-1.4E-3</v>
      </c>
      <c r="H25" s="45">
        <f t="shared" si="17"/>
        <v>-1.4E-3</v>
      </c>
      <c r="I25" s="45">
        <f t="shared" si="17"/>
        <v>-1.4E-3</v>
      </c>
      <c r="J25" s="45">
        <f t="shared" si="17"/>
        <v>-1.4E-3</v>
      </c>
    </row>
    <row r="26" spans="2:10" ht="15" customHeight="1">
      <c r="B26" t="s">
        <v>44</v>
      </c>
      <c r="C26">
        <f>C76</f>
        <v>-3</v>
      </c>
      <c r="D26">
        <f>D76</f>
        <v>-1</v>
      </c>
      <c r="E26" s="46">
        <v>0</v>
      </c>
      <c r="F26" s="46">
        <v>0</v>
      </c>
      <c r="G26" s="46">
        <v>0</v>
      </c>
      <c r="H26" s="46">
        <v>0</v>
      </c>
      <c r="I26" s="46">
        <v>0</v>
      </c>
      <c r="J26" s="46">
        <v>0</v>
      </c>
    </row>
    <row r="27" spans="2:10" ht="15" customHeight="1">
      <c r="B27" t="s">
        <v>45</v>
      </c>
      <c r="C27" s="44">
        <f>C79/C77</f>
        <v>-0.245</v>
      </c>
      <c r="D27" s="44">
        <f>D79/D77</f>
        <v>-0.245</v>
      </c>
      <c r="E27" s="45">
        <f>ROUND(AVERAGE(C27:D27),3)</f>
        <v>-0.245</v>
      </c>
      <c r="F27" s="45">
        <f t="shared" si="16"/>
        <v>-0.245</v>
      </c>
      <c r="G27" s="45">
        <f t="shared" si="16"/>
        <v>-0.245</v>
      </c>
      <c r="H27" s="45">
        <f t="shared" si="16"/>
        <v>-0.245</v>
      </c>
      <c r="I27" s="45">
        <f t="shared" si="16"/>
        <v>-0.245</v>
      </c>
      <c r="J27" s="45">
        <f t="shared" si="16"/>
        <v>-0.245</v>
      </c>
    </row>
    <row r="28" spans="2:10" ht="15" customHeight="1">
      <c r="B28" t="s">
        <v>46</v>
      </c>
      <c r="C28" s="48">
        <v>-0.25</v>
      </c>
      <c r="D28" s="48">
        <v>-0.25</v>
      </c>
      <c r="E28" s="45">
        <f>D28</f>
        <v>-0.25</v>
      </c>
      <c r="F28" s="45">
        <f t="shared" ref="F28:J28" si="18">E28</f>
        <v>-0.25</v>
      </c>
      <c r="G28" s="45">
        <f t="shared" si="18"/>
        <v>-0.25</v>
      </c>
      <c r="H28" s="45">
        <f t="shared" si="18"/>
        <v>-0.25</v>
      </c>
      <c r="I28" s="45">
        <f t="shared" si="18"/>
        <v>-0.25</v>
      </c>
      <c r="J28" s="45">
        <f t="shared" si="18"/>
        <v>-0.25</v>
      </c>
    </row>
    <row r="30" spans="2:10" ht="15" customHeight="1">
      <c r="B30" t="s">
        <v>47</v>
      </c>
      <c r="D30" s="44">
        <f>D40/C90</f>
        <v>-0.10652142857142857</v>
      </c>
      <c r="E30" s="45">
        <f>ROUND(AVERAGE(C30:D30),3)</f>
        <v>-0.107</v>
      </c>
      <c r="F30" s="45">
        <f>E30</f>
        <v>-0.107</v>
      </c>
      <c r="G30" s="45">
        <f t="shared" ref="G30:J32" si="19">F30</f>
        <v>-0.107</v>
      </c>
      <c r="H30" s="45">
        <f t="shared" si="19"/>
        <v>-0.107</v>
      </c>
      <c r="I30" s="45">
        <f t="shared" si="19"/>
        <v>-0.107</v>
      </c>
      <c r="J30" s="45">
        <f t="shared" si="19"/>
        <v>-0.107</v>
      </c>
    </row>
    <row r="31" spans="2:10" ht="15" customHeight="1">
      <c r="B31" t="s">
        <v>48</v>
      </c>
      <c r="C31" s="44"/>
      <c r="D31" s="44">
        <f>D39/C90</f>
        <v>0.16428571428571428</v>
      </c>
      <c r="E31" s="45">
        <f>ROUND(AVERAGE(C31:D31),3)</f>
        <v>0.16400000000000001</v>
      </c>
      <c r="F31" s="45">
        <f>E31</f>
        <v>0.16400000000000001</v>
      </c>
      <c r="G31" s="45">
        <f t="shared" si="19"/>
        <v>0.16400000000000001</v>
      </c>
      <c r="H31" s="45">
        <f t="shared" si="19"/>
        <v>0.16400000000000001</v>
      </c>
      <c r="I31" s="45">
        <f t="shared" si="19"/>
        <v>0.16400000000000001</v>
      </c>
      <c r="J31" s="45">
        <f t="shared" si="19"/>
        <v>0.16400000000000001</v>
      </c>
    </row>
    <row r="32" spans="2:10" ht="15" customHeight="1">
      <c r="B32" t="s">
        <v>49</v>
      </c>
      <c r="C32">
        <f>C44</f>
        <v>-2.0950000000000002</v>
      </c>
      <c r="D32">
        <f>D44</f>
        <v>-3.282</v>
      </c>
      <c r="E32" s="46">
        <f>ROUND(AVERAGE(C32:D32),3)</f>
        <v>-2.6890000000000001</v>
      </c>
      <c r="F32" s="46">
        <f>E32</f>
        <v>-2.6890000000000001</v>
      </c>
      <c r="G32" s="46">
        <f t="shared" si="19"/>
        <v>-2.6890000000000001</v>
      </c>
      <c r="H32" s="46">
        <f t="shared" si="19"/>
        <v>-2.6890000000000001</v>
      </c>
      <c r="I32" s="46">
        <f t="shared" si="19"/>
        <v>-2.6890000000000001</v>
      </c>
      <c r="J32" s="46">
        <f t="shared" si="19"/>
        <v>-2.6890000000000001</v>
      </c>
    </row>
    <row r="34" spans="1:10" ht="15" customHeight="1">
      <c r="B34" t="s">
        <v>50</v>
      </c>
      <c r="C34" s="44">
        <f>C53</f>
        <v>0.30395136778115495</v>
      </c>
      <c r="D34" s="44">
        <f>D53</f>
        <v>0.29808773903262087</v>
      </c>
      <c r="E34" s="45">
        <f>ROUND(AVERAGE(C34:D34),3)</f>
        <v>0.30099999999999999</v>
      </c>
      <c r="F34" s="45">
        <f>E34</f>
        <v>0.30099999999999999</v>
      </c>
      <c r="G34" s="45">
        <f t="shared" ref="G34:J35" si="20">F34</f>
        <v>0.30099999999999999</v>
      </c>
      <c r="H34" s="45">
        <f t="shared" si="20"/>
        <v>0.30099999999999999</v>
      </c>
      <c r="I34" s="45">
        <f t="shared" si="20"/>
        <v>0.30099999999999999</v>
      </c>
      <c r="J34" s="45">
        <f t="shared" si="20"/>
        <v>0.30099999999999999</v>
      </c>
    </row>
    <row r="35" spans="1:10" ht="15" customHeight="1">
      <c r="B35" t="s">
        <v>51</v>
      </c>
      <c r="C35" s="44">
        <f>C59</f>
        <v>0.14000000000000001</v>
      </c>
      <c r="D35" s="44">
        <f>D59</f>
        <v>0.14000000000000001</v>
      </c>
      <c r="E35" s="45">
        <f>ROUND(AVERAGE(C35:D35),3)</f>
        <v>0.14000000000000001</v>
      </c>
      <c r="F35" s="45">
        <f>E35</f>
        <v>0.14000000000000001</v>
      </c>
      <c r="G35" s="45">
        <f t="shared" si="20"/>
        <v>0.14000000000000001</v>
      </c>
      <c r="H35" s="45">
        <f t="shared" si="20"/>
        <v>0.14000000000000001</v>
      </c>
      <c r="I35" s="45">
        <f t="shared" si="20"/>
        <v>0.14000000000000001</v>
      </c>
      <c r="J35" s="45">
        <f t="shared" si="20"/>
        <v>0.14000000000000001</v>
      </c>
    </row>
    <row r="36" spans="1:10" ht="15" customHeight="1">
      <c r="F36" t="str">
        <f t="shared" ref="F36:F37" ca="1" si="21">IFERROR(_xlfn.FORMULATEXT(E36),"")</f>
        <v/>
      </c>
    </row>
    <row r="37" spans="1:10" ht="15" customHeight="1">
      <c r="A37" s="4" t="s">
        <v>52</v>
      </c>
      <c r="F37" t="str">
        <f t="shared" ca="1" si="21"/>
        <v/>
      </c>
    </row>
    <row r="38" spans="1:10" ht="15" customHeight="1">
      <c r="B38" t="s">
        <v>53</v>
      </c>
      <c r="E38">
        <f>D41</f>
        <v>150</v>
      </c>
      <c r="F38">
        <f t="shared" ref="F38:J38" si="22">E41</f>
        <v>158.54999999999998</v>
      </c>
      <c r="G38">
        <f t="shared" si="22"/>
        <v>167.58734999999996</v>
      </c>
      <c r="H38">
        <f t="shared" si="22"/>
        <v>177.13982894999995</v>
      </c>
      <c r="I38">
        <f t="shared" si="22"/>
        <v>187.23679920014996</v>
      </c>
      <c r="J38">
        <f t="shared" si="22"/>
        <v>197.90929675455851</v>
      </c>
    </row>
    <row r="39" spans="1:10" ht="15" customHeight="1">
      <c r="B39" t="s">
        <v>54</v>
      </c>
      <c r="C39" s="49">
        <v>22</v>
      </c>
      <c r="D39" s="49">
        <v>23</v>
      </c>
      <c r="E39">
        <f>E31*E38</f>
        <v>24.6</v>
      </c>
      <c r="F39">
        <f t="shared" ref="F39:J39" si="23">F31*F38</f>
        <v>26.002199999999998</v>
      </c>
      <c r="G39">
        <f t="shared" si="23"/>
        <v>27.484325399999996</v>
      </c>
      <c r="H39">
        <f t="shared" si="23"/>
        <v>29.050931947799992</v>
      </c>
      <c r="I39">
        <f t="shared" si="23"/>
        <v>30.706835068824596</v>
      </c>
      <c r="J39">
        <f t="shared" si="23"/>
        <v>32.4571246677476</v>
      </c>
    </row>
    <row r="40" spans="1:10" ht="15" customHeight="1">
      <c r="B40" t="s">
        <v>55</v>
      </c>
      <c r="C40" s="49">
        <v>-12.125999999999999</v>
      </c>
      <c r="D40" s="49">
        <v>-14.913</v>
      </c>
      <c r="E40">
        <f>E30*E38</f>
        <v>-16.05</v>
      </c>
      <c r="F40">
        <f t="shared" ref="F40:J40" si="24">F30*F38</f>
        <v>-16.964849999999998</v>
      </c>
      <c r="G40">
        <f t="shared" si="24"/>
        <v>-17.931846449999995</v>
      </c>
      <c r="H40">
        <f t="shared" si="24"/>
        <v>-18.953961697649994</v>
      </c>
      <c r="I40">
        <f t="shared" si="24"/>
        <v>-20.034337514416045</v>
      </c>
      <c r="J40">
        <f t="shared" si="24"/>
        <v>-21.176294752737761</v>
      </c>
    </row>
    <row r="41" spans="1:10" ht="15" customHeight="1">
      <c r="B41" t="s">
        <v>56</v>
      </c>
      <c r="D41">
        <f>D90</f>
        <v>150</v>
      </c>
      <c r="E41">
        <f>SUM(E38:E40)</f>
        <v>158.54999999999998</v>
      </c>
      <c r="F41">
        <f t="shared" ref="F41:J41" si="25">SUM(F38:F40)</f>
        <v>167.58734999999996</v>
      </c>
      <c r="G41">
        <f t="shared" si="25"/>
        <v>177.13982894999995</v>
      </c>
      <c r="H41">
        <f t="shared" si="25"/>
        <v>187.23679920014996</v>
      </c>
      <c r="I41">
        <f t="shared" si="25"/>
        <v>197.90929675455851</v>
      </c>
      <c r="J41">
        <f t="shared" si="25"/>
        <v>209.19012666956834</v>
      </c>
    </row>
    <row r="42" spans="1:10" ht="15" customHeight="1">
      <c r="D42" t="str">
        <f ca="1">IFERROR(_xlfn.FORMULATEXT(D41),"")</f>
        <v>=D90</v>
      </c>
    </row>
    <row r="43" spans="1:10" ht="15" customHeight="1">
      <c r="B43" t="s">
        <v>57</v>
      </c>
      <c r="E43">
        <f>D45</f>
        <v>13</v>
      </c>
      <c r="F43">
        <f t="shared" ref="F43:J43" si="26">E45</f>
        <v>10.311</v>
      </c>
      <c r="G43">
        <f t="shared" si="26"/>
        <v>7.6219999999999999</v>
      </c>
      <c r="H43">
        <f t="shared" si="26"/>
        <v>4.9329999999999998</v>
      </c>
      <c r="I43">
        <f t="shared" si="26"/>
        <v>2.2439999999999998</v>
      </c>
      <c r="J43">
        <f t="shared" si="26"/>
        <v>0</v>
      </c>
    </row>
    <row r="44" spans="1:10" ht="15" customHeight="1">
      <c r="B44" t="s">
        <v>58</v>
      </c>
      <c r="C44" s="49">
        <v>-2.0950000000000002</v>
      </c>
      <c r="D44" s="49">
        <v>-3.282</v>
      </c>
      <c r="E44">
        <f>MIN(E32*-1,E43)*-1</f>
        <v>-2.6890000000000001</v>
      </c>
      <c r="F44">
        <f t="shared" ref="F44:J44" si="27">MIN(F32*-1,F43)*-1</f>
        <v>-2.6890000000000001</v>
      </c>
      <c r="G44">
        <f t="shared" si="27"/>
        <v>-2.6890000000000001</v>
      </c>
      <c r="H44">
        <f t="shared" si="27"/>
        <v>-2.6890000000000001</v>
      </c>
      <c r="I44">
        <f t="shared" si="27"/>
        <v>-2.2439999999999998</v>
      </c>
      <c r="J44">
        <f t="shared" si="27"/>
        <v>0</v>
      </c>
    </row>
    <row r="45" spans="1:10" ht="15" customHeight="1">
      <c r="B45" t="s">
        <v>59</v>
      </c>
      <c r="D45">
        <f>D91</f>
        <v>13</v>
      </c>
      <c r="E45">
        <f>SUM(E43:E44)</f>
        <v>10.311</v>
      </c>
      <c r="F45">
        <f t="shared" ref="F45:J45" si="28">SUM(F43:F44)</f>
        <v>7.6219999999999999</v>
      </c>
      <c r="G45">
        <f t="shared" si="28"/>
        <v>4.9329999999999998</v>
      </c>
      <c r="H45">
        <f t="shared" si="28"/>
        <v>2.2439999999999998</v>
      </c>
      <c r="I45">
        <f t="shared" si="28"/>
        <v>0</v>
      </c>
      <c r="J45">
        <f t="shared" si="28"/>
        <v>0</v>
      </c>
    </row>
    <row r="46" spans="1:10" ht="15" customHeight="1">
      <c r="D46" t="str">
        <f ca="1">IFERROR(_xlfn.FORMULATEXT(D45),"")</f>
        <v>=D91</v>
      </c>
    </row>
    <row r="47" spans="1:10" ht="15" customHeight="1">
      <c r="B47" t="s">
        <v>60</v>
      </c>
      <c r="E47">
        <f>D50</f>
        <v>231</v>
      </c>
      <c r="F47">
        <f t="shared" ref="F47:J47" ca="1" si="29">E50</f>
        <v>231.07044440669827</v>
      </c>
      <c r="G47">
        <f t="shared" ca="1" si="29"/>
        <v>230.09882586360391</v>
      </c>
      <c r="H47">
        <f t="shared" ca="1" si="29"/>
        <v>229.15290685538133</v>
      </c>
      <c r="I47">
        <f t="shared" ca="1" si="29"/>
        <v>228.23304717551886</v>
      </c>
      <c r="J47">
        <f t="shared" ca="1" si="29"/>
        <v>227.80418894148215</v>
      </c>
    </row>
    <row r="48" spans="1:10" ht="15" customHeight="1">
      <c r="B48" t="s">
        <v>61</v>
      </c>
      <c r="E48">
        <f ca="1">E80</f>
        <v>20.877380097255315</v>
      </c>
      <c r="F48">
        <f t="shared" ref="F48:J48" ca="1" si="30">F80</f>
        <v>20.497526014443778</v>
      </c>
      <c r="G48">
        <f t="shared" ca="1" si="30"/>
        <v>20.650434124450062</v>
      </c>
      <c r="H48">
        <f t="shared" ca="1" si="30"/>
        <v>20.240186564665521</v>
      </c>
      <c r="I48">
        <f t="shared" ca="1" si="30"/>
        <v>20.381555086450678</v>
      </c>
      <c r="J48">
        <f t="shared" ca="1" si="30"/>
        <v>20.519914074510265</v>
      </c>
    </row>
    <row r="49" spans="1:10" ht="15" customHeight="1">
      <c r="B49" t="s">
        <v>62</v>
      </c>
      <c r="E49">
        <f ca="1">E50-E47-E48</f>
        <v>-20.806935690557044</v>
      </c>
      <c r="F49">
        <f t="shared" ref="F49:J49" ca="1" si="31">F50-F47-F48</f>
        <v>-21.469144557538144</v>
      </c>
      <c r="G49">
        <f t="shared" ca="1" si="31"/>
        <v>-21.596353132672636</v>
      </c>
      <c r="H49">
        <f t="shared" ca="1" si="31"/>
        <v>-21.16004624452799</v>
      </c>
      <c r="I49">
        <f t="shared" ca="1" si="31"/>
        <v>-20.810413320487388</v>
      </c>
      <c r="J49">
        <f t="shared" ca="1" si="31"/>
        <v>-18.579255892862786</v>
      </c>
    </row>
    <row r="50" spans="1:10" ht="15" customHeight="1">
      <c r="B50" t="s">
        <v>63</v>
      </c>
      <c r="D50">
        <f>D101</f>
        <v>231</v>
      </c>
      <c r="E50">
        <f ca="1">E54</f>
        <v>231.07044440669827</v>
      </c>
      <c r="F50">
        <f t="shared" ref="F50:J50" ca="1" si="32">F54</f>
        <v>230.09882586360391</v>
      </c>
      <c r="G50">
        <f t="shared" ca="1" si="32"/>
        <v>229.15290685538133</v>
      </c>
      <c r="H50">
        <f t="shared" ca="1" si="32"/>
        <v>228.23304717551886</v>
      </c>
      <c r="I50">
        <f t="shared" ca="1" si="32"/>
        <v>227.80418894148215</v>
      </c>
      <c r="J50">
        <f t="shared" ca="1" si="32"/>
        <v>229.74484712312963</v>
      </c>
    </row>
    <row r="52" spans="1:10" ht="15" customHeight="1">
      <c r="B52" t="s">
        <v>64</v>
      </c>
      <c r="C52">
        <f>C58/C59</f>
        <v>1142.8571428571427</v>
      </c>
      <c r="D52">
        <f>D58/D59</f>
        <v>1135.7142857142856</v>
      </c>
      <c r="E52">
        <f ca="1">E34*E94</f>
        <v>1158.996031476416</v>
      </c>
      <c r="F52">
        <f t="shared" ref="F52:J52" ca="1" si="33">F34*F94</f>
        <v>1171.2630418828849</v>
      </c>
      <c r="G52">
        <f t="shared" ca="1" si="33"/>
        <v>1183.7136203955808</v>
      </c>
      <c r="H52">
        <f t="shared" ca="1" si="33"/>
        <v>1196.3503369679918</v>
      </c>
      <c r="I52">
        <f t="shared" ca="1" si="33"/>
        <v>1209.315635296301</v>
      </c>
      <c r="J52">
        <f t="shared" ca="1" si="33"/>
        <v>1223.1774794509258</v>
      </c>
    </row>
    <row r="53" spans="1:10" ht="15" customHeight="1">
      <c r="B53" t="s">
        <v>50</v>
      </c>
      <c r="C53" s="44">
        <f>C52/C94</f>
        <v>0.30395136778115495</v>
      </c>
      <c r="D53" s="44">
        <f>D52/D94</f>
        <v>0.29808773903262087</v>
      </c>
      <c r="E53" s="44">
        <f ca="1">E52/E94</f>
        <v>0.30099999999999999</v>
      </c>
      <c r="F53" s="44">
        <f t="shared" ref="F53:J53" ca="1" si="34">F52/F94</f>
        <v>0.30099999999999999</v>
      </c>
      <c r="G53" s="44">
        <f t="shared" ca="1" si="34"/>
        <v>0.30099999999999999</v>
      </c>
      <c r="H53" s="44">
        <f t="shared" ca="1" si="34"/>
        <v>0.30099999999999999</v>
      </c>
      <c r="I53" s="44">
        <f t="shared" ca="1" si="34"/>
        <v>0.30099999999999999</v>
      </c>
      <c r="J53" s="44">
        <f t="shared" ca="1" si="34"/>
        <v>0.30099999999999999</v>
      </c>
    </row>
    <row r="54" spans="1:10" ht="15" customHeight="1">
      <c r="B54" t="s">
        <v>65</v>
      </c>
      <c r="C54">
        <f>C101</f>
        <v>230</v>
      </c>
      <c r="D54">
        <f>D101</f>
        <v>231</v>
      </c>
      <c r="E54">
        <f ca="1">E58-E57-E56-E55</f>
        <v>231.07044440669827</v>
      </c>
      <c r="F54">
        <f t="shared" ref="F54:J54" ca="1" si="35">F58-F57-F56-F55</f>
        <v>230.09882586360391</v>
      </c>
      <c r="G54">
        <f t="shared" ca="1" si="35"/>
        <v>229.15290685538133</v>
      </c>
      <c r="H54">
        <f t="shared" ca="1" si="35"/>
        <v>228.23304717551886</v>
      </c>
      <c r="I54">
        <f t="shared" ca="1" si="35"/>
        <v>227.80418894148215</v>
      </c>
      <c r="J54">
        <f t="shared" ca="1" si="35"/>
        <v>229.74484712312963</v>
      </c>
    </row>
    <row r="55" spans="1:10" ht="15" customHeight="1">
      <c r="B55" t="s">
        <v>66</v>
      </c>
      <c r="C55">
        <f>C91*-1</f>
        <v>-12</v>
      </c>
      <c r="D55">
        <f>D91*-1</f>
        <v>-13</v>
      </c>
      <c r="E55">
        <f>E91*-1</f>
        <v>-10.311</v>
      </c>
      <c r="F55">
        <f t="shared" ref="F55:J55" si="36">F91*-1</f>
        <v>-7.6219999999999999</v>
      </c>
      <c r="G55">
        <f t="shared" si="36"/>
        <v>-4.9329999999999998</v>
      </c>
      <c r="H55">
        <f t="shared" si="36"/>
        <v>-2.2439999999999998</v>
      </c>
      <c r="I55">
        <f t="shared" si="36"/>
        <v>0</v>
      </c>
      <c r="J55">
        <f t="shared" si="36"/>
        <v>0</v>
      </c>
    </row>
    <row r="56" spans="1:10" ht="15" customHeight="1">
      <c r="B56" t="s">
        <v>67</v>
      </c>
      <c r="C56">
        <f t="shared" ref="C56:E57" si="37">C92*-1</f>
        <v>-50</v>
      </c>
      <c r="D56">
        <f t="shared" si="37"/>
        <v>-50</v>
      </c>
      <c r="E56">
        <f t="shared" si="37"/>
        <v>-50</v>
      </c>
      <c r="F56">
        <f t="shared" ref="F56:J56" si="38">F92*-1</f>
        <v>-50</v>
      </c>
      <c r="G56">
        <f t="shared" si="38"/>
        <v>-50</v>
      </c>
      <c r="H56">
        <f t="shared" si="38"/>
        <v>-50</v>
      </c>
      <c r="I56">
        <f t="shared" si="38"/>
        <v>-50</v>
      </c>
      <c r="J56">
        <f t="shared" si="38"/>
        <v>-50</v>
      </c>
    </row>
    <row r="57" spans="1:10" ht="15" customHeight="1">
      <c r="B57" t="s">
        <v>31</v>
      </c>
      <c r="C57">
        <f t="shared" si="37"/>
        <v>-8</v>
      </c>
      <c r="D57">
        <f t="shared" si="37"/>
        <v>-9</v>
      </c>
      <c r="E57">
        <f t="shared" si="37"/>
        <v>-8.5</v>
      </c>
      <c r="F57">
        <f t="shared" ref="F57:J57" si="39">F93*-1</f>
        <v>-8.5</v>
      </c>
      <c r="G57">
        <f t="shared" si="39"/>
        <v>-8.5</v>
      </c>
      <c r="H57">
        <f t="shared" si="39"/>
        <v>-8.5</v>
      </c>
      <c r="I57">
        <f t="shared" si="39"/>
        <v>-8.5</v>
      </c>
      <c r="J57">
        <f t="shared" si="39"/>
        <v>-8.5</v>
      </c>
    </row>
    <row r="58" spans="1:10" ht="15" customHeight="1">
      <c r="B58" t="s">
        <v>68</v>
      </c>
      <c r="C58" s="49">
        <f>SUM(C54:C57)</f>
        <v>160</v>
      </c>
      <c r="D58" s="49">
        <f>SUM(D54:D57)</f>
        <v>159</v>
      </c>
      <c r="E58">
        <f ca="1">E59*E52</f>
        <v>162.25944440669826</v>
      </c>
      <c r="F58">
        <f t="shared" ref="F58:J58" ca="1" si="40">F59*F52</f>
        <v>163.97682586360389</v>
      </c>
      <c r="G58">
        <f t="shared" ca="1" si="40"/>
        <v>165.71990685538134</v>
      </c>
      <c r="H58">
        <f t="shared" ca="1" si="40"/>
        <v>167.48904717551886</v>
      </c>
      <c r="I58">
        <f t="shared" ca="1" si="40"/>
        <v>169.30418894148215</v>
      </c>
      <c r="J58">
        <f t="shared" ca="1" si="40"/>
        <v>171.24484712312963</v>
      </c>
    </row>
    <row r="59" spans="1:10" ht="15" customHeight="1">
      <c r="B59" t="s">
        <v>69</v>
      </c>
      <c r="C59" s="48">
        <v>0.14000000000000001</v>
      </c>
      <c r="D59" s="48">
        <v>0.14000000000000001</v>
      </c>
      <c r="E59" s="44">
        <f>E35</f>
        <v>0.14000000000000001</v>
      </c>
      <c r="F59" s="44">
        <f t="shared" ref="F59:J59" si="41">F35</f>
        <v>0.14000000000000001</v>
      </c>
      <c r="G59" s="44">
        <f t="shared" si="41"/>
        <v>0.14000000000000001</v>
      </c>
      <c r="H59" s="44">
        <f t="shared" si="41"/>
        <v>0.14000000000000001</v>
      </c>
      <c r="I59" s="44">
        <f t="shared" si="41"/>
        <v>0.14000000000000001</v>
      </c>
      <c r="J59" s="44">
        <f t="shared" si="41"/>
        <v>0.14000000000000001</v>
      </c>
    </row>
    <row r="61" spans="1:10" ht="15" customHeight="1">
      <c r="A61" s="4" t="s">
        <v>70</v>
      </c>
      <c r="C61" s="44"/>
      <c r="D61" s="44"/>
    </row>
    <row r="62" spans="1:10" ht="15" customHeight="1">
      <c r="B62" t="s">
        <v>71</v>
      </c>
      <c r="C62" s="49">
        <v>160</v>
      </c>
      <c r="D62" s="49">
        <v>161</v>
      </c>
      <c r="E62">
        <f ca="1">E17*AVERAGE(D16:E16)</f>
        <v>162.6493399915212</v>
      </c>
      <c r="F62">
        <f t="shared" ref="F62:J62" ca="1" si="42">F17*AVERAGE(E16:F16)</f>
        <v>162.3974488954814</v>
      </c>
      <c r="G62">
        <f t="shared" ca="1" si="42"/>
        <v>163.93442956091553</v>
      </c>
      <c r="H62">
        <f t="shared" ca="1" si="42"/>
        <v>163.62051288619489</v>
      </c>
      <c r="I62">
        <f t="shared" ca="1" si="42"/>
        <v>165.14718468254691</v>
      </c>
      <c r="J62">
        <f t="shared" ca="1" si="42"/>
        <v>166.67820869480386</v>
      </c>
    </row>
    <row r="63" spans="1:10" ht="15" customHeight="1">
      <c r="B63" t="s">
        <v>72</v>
      </c>
      <c r="C63" s="49">
        <v>-106</v>
      </c>
      <c r="D63" s="49">
        <v>-107</v>
      </c>
      <c r="E63">
        <f ca="1">E19*AVERAGE(D18:E18)</f>
        <v>-108.34581150232098</v>
      </c>
      <c r="F63">
        <f t="shared" ref="F63:J63" ca="1" si="43">F19*AVERAGE(E18:F18)</f>
        <v>-109.58213661212264</v>
      </c>
      <c r="G63">
        <f t="shared" ca="1" si="43"/>
        <v>-110.84698788915996</v>
      </c>
      <c r="H63">
        <f t="shared" ca="1" si="43"/>
        <v>-112.12954708407575</v>
      </c>
      <c r="I63">
        <f t="shared" ca="1" si="43"/>
        <v>-113.4300621077204</v>
      </c>
      <c r="J63">
        <f t="shared" ca="1" si="43"/>
        <v>-114.74878434169607</v>
      </c>
    </row>
    <row r="64" spans="1:10" ht="15" customHeight="1">
      <c r="A64" s="50"/>
      <c r="B64" t="s">
        <v>73</v>
      </c>
      <c r="C64">
        <f>SUM(C62:C63)</f>
        <v>54</v>
      </c>
      <c r="D64">
        <f t="shared" ref="D64:E64" si="44">SUM(D62:D63)</f>
        <v>54</v>
      </c>
      <c r="E64">
        <f t="shared" ca="1" si="44"/>
        <v>54.303528489200218</v>
      </c>
      <c r="F64">
        <f t="shared" ref="F64:J64" ca="1" si="45">SUM(F62:F63)</f>
        <v>52.815312283358764</v>
      </c>
      <c r="G64">
        <f t="shared" ca="1" si="45"/>
        <v>53.08744167175557</v>
      </c>
      <c r="H64">
        <f t="shared" ca="1" si="45"/>
        <v>51.490965802119135</v>
      </c>
      <c r="I64">
        <f t="shared" ca="1" si="45"/>
        <v>51.717122574826504</v>
      </c>
      <c r="J64">
        <f t="shared" ca="1" si="45"/>
        <v>51.929424353107791</v>
      </c>
    </row>
    <row r="66" spans="2:10" ht="15" customHeight="1">
      <c r="B66" t="s">
        <v>74</v>
      </c>
      <c r="C66" s="49">
        <v>-5</v>
      </c>
      <c r="D66" s="49">
        <v>-5.0999999999999996</v>
      </c>
      <c r="E66">
        <f ca="1">E25*E16</f>
        <v>-5.0723738161693763</v>
      </c>
      <c r="F66">
        <f t="shared" ref="F66:J66" ca="1" si="46">F25*F16</f>
        <v>-5.1205419885250461</v>
      </c>
      <c r="G66">
        <f t="shared" ca="1" si="46"/>
        <v>-5.1688427854959578</v>
      </c>
      <c r="H66">
        <f t="shared" ca="1" si="46"/>
        <v>-5.2172470530639377</v>
      </c>
      <c r="I66">
        <f t="shared" ca="1" si="46"/>
        <v>-5.2657508696426927</v>
      </c>
      <c r="J66">
        <f t="shared" ca="1" si="46"/>
        <v>-5.3144314015041196</v>
      </c>
    </row>
    <row r="67" spans="2:10" ht="15" customHeight="1">
      <c r="B67" t="s">
        <v>75</v>
      </c>
      <c r="C67">
        <f>SUM(C64,C66)</f>
        <v>49</v>
      </c>
      <c r="D67">
        <f t="shared" ref="D67:E67" si="47">SUM(D64,D66)</f>
        <v>48.9</v>
      </c>
      <c r="E67">
        <f t="shared" ca="1" si="47"/>
        <v>49.231154673030844</v>
      </c>
      <c r="F67">
        <f t="shared" ref="F67:J67" ca="1" si="48">SUM(F64,F66)</f>
        <v>47.694770294833717</v>
      </c>
      <c r="G67">
        <f t="shared" ca="1" si="48"/>
        <v>47.918598886259616</v>
      </c>
      <c r="H67">
        <f t="shared" ca="1" si="48"/>
        <v>46.273718749055199</v>
      </c>
      <c r="I67">
        <f t="shared" ca="1" si="48"/>
        <v>46.45137170518381</v>
      </c>
      <c r="J67">
        <f t="shared" ca="1" si="48"/>
        <v>46.614992951603668</v>
      </c>
    </row>
    <row r="68" spans="2:10" ht="15" customHeight="1">
      <c r="C68" s="49"/>
      <c r="D68" s="49"/>
    </row>
    <row r="69" spans="2:10" ht="15" customHeight="1">
      <c r="B69" t="s">
        <v>76</v>
      </c>
      <c r="C69" s="49">
        <v>8.5</v>
      </c>
      <c r="D69" s="49">
        <v>8.6999999999999993</v>
      </c>
      <c r="E69">
        <f>E22*E87</f>
        <v>8.9434799999999992</v>
      </c>
      <c r="F69">
        <f t="shared" ref="F69:J69" si="49">F22*F87</f>
        <v>9.0686887200000008</v>
      </c>
      <c r="G69">
        <f t="shared" si="49"/>
        <v>9.1956503620800003</v>
      </c>
      <c r="H69">
        <f t="shared" si="49"/>
        <v>9.3243894671491194</v>
      </c>
      <c r="I69">
        <f t="shared" si="49"/>
        <v>9.4549309196892075</v>
      </c>
      <c r="J69">
        <f t="shared" si="49"/>
        <v>9.587299952564857</v>
      </c>
    </row>
    <row r="70" spans="2:10" ht="15" customHeight="1">
      <c r="B70" t="s">
        <v>77</v>
      </c>
      <c r="C70" s="49">
        <v>10.5</v>
      </c>
      <c r="D70" s="49">
        <v>11</v>
      </c>
      <c r="E70">
        <f>E23*E87</f>
        <v>10.955762999999999</v>
      </c>
      <c r="F70">
        <f t="shared" ref="F70:J70" si="50">F23*F87</f>
        <v>11.109143681999999</v>
      </c>
      <c r="G70">
        <f t="shared" si="50"/>
        <v>11.264671693547999</v>
      </c>
      <c r="H70">
        <f t="shared" si="50"/>
        <v>11.422377097257671</v>
      </c>
      <c r="I70">
        <f t="shared" si="50"/>
        <v>11.58229037661928</v>
      </c>
      <c r="J70">
        <f t="shared" si="50"/>
        <v>11.74444244189195</v>
      </c>
    </row>
    <row r="71" spans="2:10" ht="15" customHeight="1">
      <c r="B71" t="s">
        <v>78</v>
      </c>
      <c r="C71">
        <f>SUM(C67,C69:C70)</f>
        <v>68</v>
      </c>
      <c r="D71">
        <f t="shared" ref="D71:E71" si="51">SUM(D67,D69:D70)</f>
        <v>68.599999999999994</v>
      </c>
      <c r="E71">
        <f t="shared" ca="1" si="51"/>
        <v>69.130397673030842</v>
      </c>
      <c r="F71">
        <f t="shared" ref="F71:J71" ca="1" si="52">SUM(F67,F69:F70)</f>
        <v>67.87260269683371</v>
      </c>
      <c r="G71">
        <f t="shared" ca="1" si="52"/>
        <v>68.378920941887614</v>
      </c>
      <c r="H71">
        <f t="shared" ca="1" si="52"/>
        <v>67.02048531346199</v>
      </c>
      <c r="I71">
        <f t="shared" ca="1" si="52"/>
        <v>67.488593001492305</v>
      </c>
      <c r="J71">
        <f t="shared" ca="1" si="52"/>
        <v>67.946735346060478</v>
      </c>
    </row>
    <row r="73" spans="2:10" ht="15" customHeight="1">
      <c r="B73" t="s">
        <v>79</v>
      </c>
      <c r="C73" s="49">
        <f>C71*60%*-1</f>
        <v>-40.799999999999997</v>
      </c>
      <c r="D73" s="49">
        <f>D71*60%*-1</f>
        <v>-41.16</v>
      </c>
      <c r="E73">
        <f ca="1">E24*E71</f>
        <v>-41.478238603818504</v>
      </c>
      <c r="F73">
        <f t="shared" ref="F73:J73" ca="1" si="53">F24*F71</f>
        <v>-40.723561618100227</v>
      </c>
      <c r="G73">
        <f t="shared" ca="1" si="53"/>
        <v>-41.027352565132567</v>
      </c>
      <c r="H73">
        <f t="shared" ca="1" si="53"/>
        <v>-40.212291188077195</v>
      </c>
      <c r="I73">
        <f t="shared" ca="1" si="53"/>
        <v>-40.49315580089538</v>
      </c>
      <c r="J73">
        <f t="shared" ca="1" si="53"/>
        <v>-40.768041207636287</v>
      </c>
    </row>
    <row r="74" spans="2:10" ht="15" customHeight="1">
      <c r="B74" t="s">
        <v>80</v>
      </c>
      <c r="C74">
        <f>SUM(C71,C73)</f>
        <v>27.200000000000003</v>
      </c>
      <c r="D74">
        <f t="shared" ref="D74:E74" si="54">SUM(D71,D73)</f>
        <v>27.439999999999998</v>
      </c>
      <c r="E74">
        <f t="shared" ca="1" si="54"/>
        <v>27.652159069212338</v>
      </c>
      <c r="F74">
        <f t="shared" ref="F74:J74" ca="1" si="55">SUM(F71,F73)</f>
        <v>27.149041078733482</v>
      </c>
      <c r="G74">
        <f t="shared" ca="1" si="55"/>
        <v>27.351568376755047</v>
      </c>
      <c r="H74">
        <f t="shared" ca="1" si="55"/>
        <v>26.808194125384794</v>
      </c>
      <c r="I74">
        <f t="shared" ca="1" si="55"/>
        <v>26.995437200596925</v>
      </c>
      <c r="J74">
        <f t="shared" ca="1" si="55"/>
        <v>27.178694138424191</v>
      </c>
    </row>
    <row r="76" spans="2:10" ht="15" customHeight="1">
      <c r="B76" t="s">
        <v>81</v>
      </c>
      <c r="C76" s="49">
        <v>-3</v>
      </c>
      <c r="D76" s="49">
        <v>-1</v>
      </c>
      <c r="E76">
        <f>E26</f>
        <v>0</v>
      </c>
      <c r="F76">
        <f t="shared" ref="F76:J76" si="56">F26</f>
        <v>0</v>
      </c>
      <c r="G76">
        <f t="shared" si="56"/>
        <v>0</v>
      </c>
      <c r="H76">
        <f t="shared" si="56"/>
        <v>0</v>
      </c>
      <c r="I76">
        <f t="shared" si="56"/>
        <v>0</v>
      </c>
      <c r="J76">
        <f t="shared" si="56"/>
        <v>0</v>
      </c>
    </row>
    <row r="77" spans="2:10" ht="15" customHeight="1">
      <c r="B77" t="s">
        <v>82</v>
      </c>
      <c r="C77">
        <f>SUM(C74,C76)</f>
        <v>24.200000000000003</v>
      </c>
      <c r="D77">
        <f t="shared" ref="D77:E77" si="57">SUM(D74,D76)</f>
        <v>26.439999999999998</v>
      </c>
      <c r="E77">
        <f t="shared" ca="1" si="57"/>
        <v>27.652159069212338</v>
      </c>
      <c r="F77">
        <f t="shared" ref="F77:J77" ca="1" si="58">SUM(F74,F76)</f>
        <v>27.149041078733482</v>
      </c>
      <c r="G77">
        <f t="shared" ca="1" si="58"/>
        <v>27.351568376755047</v>
      </c>
      <c r="H77">
        <f t="shared" ca="1" si="58"/>
        <v>26.808194125384794</v>
      </c>
      <c r="I77">
        <f t="shared" ca="1" si="58"/>
        <v>26.995437200596925</v>
      </c>
      <c r="J77">
        <f t="shared" ca="1" si="58"/>
        <v>27.178694138424191</v>
      </c>
    </row>
    <row r="79" spans="2:10" ht="15" customHeight="1">
      <c r="B79" t="s">
        <v>83</v>
      </c>
      <c r="C79" s="49">
        <f>24.5%*C77*-1</f>
        <v>-5.9290000000000003</v>
      </c>
      <c r="D79" s="49">
        <f>24.5%*D77*-1</f>
        <v>-6.4777999999999993</v>
      </c>
      <c r="E79">
        <f ca="1">E27*E77</f>
        <v>-6.7747789719570228</v>
      </c>
      <c r="F79">
        <f t="shared" ref="F79:J79" ca="1" si="59">F27*F77</f>
        <v>-6.6515150642897032</v>
      </c>
      <c r="G79">
        <f t="shared" ca="1" si="59"/>
        <v>-6.7011342523049864</v>
      </c>
      <c r="H79">
        <f t="shared" ca="1" si="59"/>
        <v>-6.5680075607192743</v>
      </c>
      <c r="I79">
        <f t="shared" ca="1" si="59"/>
        <v>-6.6138821141462465</v>
      </c>
      <c r="J79">
        <f t="shared" ca="1" si="59"/>
        <v>-6.6587800639139267</v>
      </c>
    </row>
    <row r="80" spans="2:10" ht="15" customHeight="1">
      <c r="B80" t="s">
        <v>61</v>
      </c>
      <c r="C80">
        <f>SUM(C77,C79)</f>
        <v>18.271000000000001</v>
      </c>
      <c r="D80">
        <f t="shared" ref="D80:E80" si="60">SUM(D77,D79)</f>
        <v>19.962199999999999</v>
      </c>
      <c r="E80">
        <f t="shared" ca="1" si="60"/>
        <v>20.877380097255315</v>
      </c>
      <c r="F80">
        <f t="shared" ref="F80:J80" ca="1" si="61">SUM(F77,F79)</f>
        <v>20.497526014443778</v>
      </c>
      <c r="G80">
        <f t="shared" ca="1" si="61"/>
        <v>20.650434124450062</v>
      </c>
      <c r="H80">
        <f t="shared" ca="1" si="61"/>
        <v>20.240186564665521</v>
      </c>
      <c r="I80">
        <f t="shared" ca="1" si="61"/>
        <v>20.381555086450678</v>
      </c>
      <c r="J80">
        <f t="shared" ca="1" si="61"/>
        <v>20.519914074510265</v>
      </c>
    </row>
    <row r="81" spans="1:10" ht="15" customHeight="1">
      <c r="C81" s="44"/>
      <c r="D81" s="44"/>
    </row>
    <row r="82" spans="1:10" ht="15" customHeight="1">
      <c r="B82" t="s">
        <v>84</v>
      </c>
      <c r="C82">
        <f>C80-C76*(1+C28)</f>
        <v>20.521000000000001</v>
      </c>
      <c r="D82">
        <f t="shared" ref="D82:E82" si="62">D80-D76*(1+D28)</f>
        <v>20.712199999999999</v>
      </c>
      <c r="E82">
        <f t="shared" ca="1" si="62"/>
        <v>20.877380097255315</v>
      </c>
      <c r="F82">
        <f t="shared" ref="F82:J82" ca="1" si="63">F80-F76*(1+F28)</f>
        <v>20.497526014443778</v>
      </c>
      <c r="G82">
        <f t="shared" ca="1" si="63"/>
        <v>20.650434124450062</v>
      </c>
      <c r="H82">
        <f t="shared" ca="1" si="63"/>
        <v>20.240186564665521</v>
      </c>
      <c r="I82">
        <f t="shared" ca="1" si="63"/>
        <v>20.381555086450678</v>
      </c>
      <c r="J82">
        <f t="shared" ca="1" si="63"/>
        <v>20.519914074510265</v>
      </c>
    </row>
    <row r="84" spans="1:10" ht="15" customHeight="1">
      <c r="A84" s="4" t="s">
        <v>85</v>
      </c>
    </row>
    <row r="85" spans="1:10" ht="15" customHeight="1">
      <c r="B85" t="s">
        <v>86</v>
      </c>
      <c r="C85" s="49">
        <v>210</v>
      </c>
      <c r="D85" s="49">
        <v>210</v>
      </c>
      <c r="E85">
        <f>E6*E97</f>
        <v>214.58985911999994</v>
      </c>
      <c r="F85">
        <f t="shared" ref="F85:J85" si="64">F6*F97</f>
        <v>217.59411714767998</v>
      </c>
      <c r="G85">
        <f t="shared" si="64"/>
        <v>220.64043478774749</v>
      </c>
      <c r="H85">
        <f t="shared" si="64"/>
        <v>223.72940087477596</v>
      </c>
      <c r="I85">
        <f t="shared" si="64"/>
        <v>226.86161248702282</v>
      </c>
      <c r="J85">
        <f t="shared" si="64"/>
        <v>230.03767506184116</v>
      </c>
    </row>
    <row r="86" spans="1:10" ht="15" customHeight="1">
      <c r="B86" t="s">
        <v>87</v>
      </c>
      <c r="C86" s="49">
        <v>715</v>
      </c>
      <c r="D86" s="49">
        <v>695</v>
      </c>
      <c r="E86">
        <f ca="1">MAX(0,SUM(E97:E98,E101)-SUM(E85,E87:E93))</f>
        <v>694.66429528669778</v>
      </c>
      <c r="F86">
        <f t="shared" ref="F86:J86" ca="1" si="65">MAX(0,SUM(F97:F98,F101)-SUM(F85,F87:F93))</f>
        <v>694.76369465592416</v>
      </c>
      <c r="G86">
        <f t="shared" ca="1" si="65"/>
        <v>694.47753576079413</v>
      </c>
      <c r="H86">
        <f t="shared" ca="1" si="65"/>
        <v>693.77827024075714</v>
      </c>
      <c r="I86">
        <f t="shared" ca="1" si="65"/>
        <v>692.65627876402732</v>
      </c>
      <c r="J86">
        <f t="shared" ca="1" si="65"/>
        <v>691.15976644274451</v>
      </c>
    </row>
    <row r="87" spans="1:10" ht="15" customHeight="1">
      <c r="B87" t="s">
        <v>88</v>
      </c>
      <c r="C87" s="49">
        <v>2175</v>
      </c>
      <c r="D87" s="49">
        <v>2205</v>
      </c>
      <c r="E87">
        <f>(1+E7)*D87</f>
        <v>2235.87</v>
      </c>
      <c r="F87">
        <f t="shared" ref="F87:J87" si="66">(1+F7)*E87</f>
        <v>2267.17218</v>
      </c>
      <c r="G87">
        <f t="shared" si="66"/>
        <v>2298.9125905199999</v>
      </c>
      <c r="H87">
        <f t="shared" si="66"/>
        <v>2331.09736678728</v>
      </c>
      <c r="I87">
        <f t="shared" si="66"/>
        <v>2363.732729922302</v>
      </c>
      <c r="J87">
        <f t="shared" si="66"/>
        <v>2396.8249881412144</v>
      </c>
    </row>
    <row r="88" spans="1:10" ht="15" customHeight="1">
      <c r="A88" s="51"/>
      <c r="B88" t="s">
        <v>29</v>
      </c>
      <c r="C88" s="49">
        <v>360</v>
      </c>
      <c r="D88" s="49">
        <v>375</v>
      </c>
      <c r="E88">
        <f>E8</f>
        <v>375</v>
      </c>
      <c r="F88">
        <f t="shared" ref="F88:J88" si="67">F8</f>
        <v>375</v>
      </c>
      <c r="G88">
        <f t="shared" si="67"/>
        <v>375</v>
      </c>
      <c r="H88">
        <f t="shared" si="67"/>
        <v>375</v>
      </c>
      <c r="I88">
        <f t="shared" si="67"/>
        <v>375</v>
      </c>
      <c r="J88">
        <f t="shared" si="67"/>
        <v>375</v>
      </c>
    </row>
    <row r="89" spans="1:10" ht="15" customHeight="1">
      <c r="B89" t="s">
        <v>89</v>
      </c>
      <c r="C89" s="49">
        <v>90</v>
      </c>
      <c r="D89" s="49">
        <v>103</v>
      </c>
      <c r="E89">
        <f>E9</f>
        <v>103</v>
      </c>
      <c r="F89">
        <f t="shared" ref="F89:J89" si="68">F9</f>
        <v>103</v>
      </c>
      <c r="G89">
        <f t="shared" si="68"/>
        <v>103</v>
      </c>
      <c r="H89">
        <f t="shared" si="68"/>
        <v>103</v>
      </c>
      <c r="I89">
        <f t="shared" si="68"/>
        <v>103</v>
      </c>
      <c r="J89">
        <f t="shared" si="68"/>
        <v>103</v>
      </c>
    </row>
    <row r="90" spans="1:10" ht="15" customHeight="1">
      <c r="B90" t="s">
        <v>90</v>
      </c>
      <c r="C90" s="49">
        <v>140</v>
      </c>
      <c r="D90" s="49">
        <v>150</v>
      </c>
      <c r="E90">
        <f>E41</f>
        <v>158.54999999999998</v>
      </c>
      <c r="F90">
        <f t="shared" ref="F90:J90" si="69">F41</f>
        <v>167.58734999999996</v>
      </c>
      <c r="G90">
        <f t="shared" si="69"/>
        <v>177.13982894999995</v>
      </c>
      <c r="H90">
        <f t="shared" si="69"/>
        <v>187.23679920014996</v>
      </c>
      <c r="I90">
        <f t="shared" si="69"/>
        <v>197.90929675455851</v>
      </c>
      <c r="J90">
        <f t="shared" si="69"/>
        <v>209.19012666956834</v>
      </c>
    </row>
    <row r="91" spans="1:10" ht="15" customHeight="1">
      <c r="B91" t="s">
        <v>66</v>
      </c>
      <c r="C91" s="49">
        <v>12</v>
      </c>
      <c r="D91" s="49">
        <v>13</v>
      </c>
      <c r="E91">
        <f>E45</f>
        <v>10.311</v>
      </c>
      <c r="F91">
        <f t="shared" ref="F91:J91" si="70">F45</f>
        <v>7.6219999999999999</v>
      </c>
      <c r="G91">
        <f t="shared" si="70"/>
        <v>4.9329999999999998</v>
      </c>
      <c r="H91">
        <f t="shared" si="70"/>
        <v>2.2439999999999998</v>
      </c>
      <c r="I91">
        <f t="shared" si="70"/>
        <v>0</v>
      </c>
      <c r="J91">
        <f t="shared" si="70"/>
        <v>0</v>
      </c>
    </row>
    <row r="92" spans="1:10" ht="15" customHeight="1">
      <c r="A92" s="51"/>
      <c r="B92" t="s">
        <v>67</v>
      </c>
      <c r="C92" s="49">
        <v>50</v>
      </c>
      <c r="D92" s="49">
        <v>50</v>
      </c>
      <c r="E92">
        <f>D92</f>
        <v>50</v>
      </c>
      <c r="F92">
        <f t="shared" ref="F92:J92" si="71">E92</f>
        <v>50</v>
      </c>
      <c r="G92">
        <f t="shared" si="71"/>
        <v>50</v>
      </c>
      <c r="H92">
        <f t="shared" si="71"/>
        <v>50</v>
      </c>
      <c r="I92">
        <f t="shared" si="71"/>
        <v>50</v>
      </c>
      <c r="J92">
        <f t="shared" si="71"/>
        <v>50</v>
      </c>
    </row>
    <row r="93" spans="1:10" ht="15" customHeight="1">
      <c r="B93" t="s">
        <v>31</v>
      </c>
      <c r="C93" s="49">
        <v>8</v>
      </c>
      <c r="D93" s="49">
        <v>9</v>
      </c>
      <c r="E93">
        <f>E10</f>
        <v>8.5</v>
      </c>
      <c r="F93">
        <f t="shared" ref="F93:J93" si="72">F10</f>
        <v>8.5</v>
      </c>
      <c r="G93">
        <f t="shared" si="72"/>
        <v>8.5</v>
      </c>
      <c r="H93">
        <f t="shared" si="72"/>
        <v>8.5</v>
      </c>
      <c r="I93">
        <f t="shared" si="72"/>
        <v>8.5</v>
      </c>
      <c r="J93">
        <f t="shared" si="72"/>
        <v>8.5</v>
      </c>
    </row>
    <row r="94" spans="1:10" ht="15" customHeight="1">
      <c r="B94" t="s">
        <v>91</v>
      </c>
      <c r="C94">
        <f>SUM(C85:C93)</f>
        <v>3760</v>
      </c>
      <c r="D94">
        <f t="shared" ref="D94:E94" si="73">SUM(D85:D93)</f>
        <v>3810</v>
      </c>
      <c r="E94">
        <f t="shared" ca="1" si="73"/>
        <v>3850.4851544066978</v>
      </c>
      <c r="F94">
        <f t="shared" ref="F94:J94" ca="1" si="74">SUM(F85:F93)</f>
        <v>3891.239341803604</v>
      </c>
      <c r="G94">
        <f t="shared" ca="1" si="74"/>
        <v>3932.6033900185412</v>
      </c>
      <c r="H94">
        <f t="shared" ca="1" si="74"/>
        <v>3974.5858371029631</v>
      </c>
      <c r="I94">
        <f t="shared" ca="1" si="74"/>
        <v>4017.6599179279106</v>
      </c>
      <c r="J94">
        <f t="shared" ca="1" si="74"/>
        <v>4063.7125563153681</v>
      </c>
    </row>
    <row r="95" spans="1:10" ht="15" customHeight="1">
      <c r="D95" s="44"/>
    </row>
    <row r="96" spans="1:10" ht="15" customHeight="1">
      <c r="B96" t="s">
        <v>92</v>
      </c>
      <c r="C96" s="49">
        <v>0</v>
      </c>
      <c r="D96" s="49">
        <v>0</v>
      </c>
      <c r="E96">
        <f ca="1">MAX(0,SUM(E85,E87:E93)-SUM(E97:E98,E101))</f>
        <v>0</v>
      </c>
      <c r="F96">
        <f t="shared" ref="F96:J96" ca="1" si="75">MAX(0,SUM(F85,F87:F93)-SUM(F97:F98,F101))</f>
        <v>0</v>
      </c>
      <c r="G96">
        <f t="shared" ca="1" si="75"/>
        <v>0</v>
      </c>
      <c r="H96">
        <f t="shared" ca="1" si="75"/>
        <v>0</v>
      </c>
      <c r="I96">
        <f t="shared" ca="1" si="75"/>
        <v>0</v>
      </c>
      <c r="J96">
        <f t="shared" ca="1" si="75"/>
        <v>0</v>
      </c>
    </row>
    <row r="97" spans="1:10" ht="15" customHeight="1">
      <c r="B97" t="s">
        <v>93</v>
      </c>
      <c r="C97" s="49">
        <v>2900</v>
      </c>
      <c r="D97" s="49">
        <v>2940</v>
      </c>
      <c r="E97">
        <f>E12*E87</f>
        <v>2980.4147099999996</v>
      </c>
      <c r="F97">
        <f t="shared" ref="F97:J97" si="76">F12*F87</f>
        <v>3022.1405159400001</v>
      </c>
      <c r="G97">
        <f t="shared" si="76"/>
        <v>3064.4504831631598</v>
      </c>
      <c r="H97">
        <f t="shared" si="76"/>
        <v>3107.3527899274441</v>
      </c>
      <c r="I97">
        <f t="shared" si="76"/>
        <v>3150.8557289864284</v>
      </c>
      <c r="J97">
        <f t="shared" si="76"/>
        <v>3194.9677091922385</v>
      </c>
    </row>
    <row r="98" spans="1:10" ht="15" customHeight="1">
      <c r="B98" t="s">
        <v>33</v>
      </c>
      <c r="C98" s="49">
        <v>630</v>
      </c>
      <c r="D98" s="49">
        <v>639</v>
      </c>
      <c r="E98">
        <f>E13</f>
        <v>639</v>
      </c>
      <c r="F98">
        <f t="shared" ref="F98:J98" si="77">F13</f>
        <v>639</v>
      </c>
      <c r="G98">
        <f t="shared" si="77"/>
        <v>639</v>
      </c>
      <c r="H98">
        <f t="shared" si="77"/>
        <v>639</v>
      </c>
      <c r="I98">
        <f t="shared" si="77"/>
        <v>639</v>
      </c>
      <c r="J98">
        <f t="shared" si="77"/>
        <v>639</v>
      </c>
    </row>
    <row r="99" spans="1:10" ht="15" customHeight="1">
      <c r="B99" t="s">
        <v>94</v>
      </c>
      <c r="C99">
        <f>SUM(C96:C98)</f>
        <v>3530</v>
      </c>
      <c r="D99">
        <f t="shared" ref="D99:E99" si="78">SUM(D96:D98)</f>
        <v>3579</v>
      </c>
      <c r="E99">
        <f t="shared" ca="1" si="78"/>
        <v>3619.4147099999996</v>
      </c>
      <c r="F99">
        <f t="shared" ref="F99:J99" ca="1" si="79">SUM(F96:F98)</f>
        <v>3661.1405159400001</v>
      </c>
      <c r="G99">
        <f t="shared" ca="1" si="79"/>
        <v>3703.4504831631598</v>
      </c>
      <c r="H99">
        <f t="shared" ca="1" si="79"/>
        <v>3746.3527899274441</v>
      </c>
      <c r="I99">
        <f t="shared" ca="1" si="79"/>
        <v>3789.8557289864284</v>
      </c>
      <c r="J99">
        <f t="shared" ca="1" si="79"/>
        <v>3833.9677091922385</v>
      </c>
    </row>
    <row r="101" spans="1:10" ht="15" customHeight="1">
      <c r="B101" t="s">
        <v>65</v>
      </c>
      <c r="C101" s="49">
        <v>230</v>
      </c>
      <c r="D101" s="49">
        <v>231</v>
      </c>
      <c r="E101">
        <f t="shared" ref="E101:J101" ca="1" si="80">IF(Circswitch=1,E50,0)</f>
        <v>231.07044440669827</v>
      </c>
      <c r="F101">
        <f t="shared" ca="1" si="80"/>
        <v>230.09882586360391</v>
      </c>
      <c r="G101">
        <f t="shared" ca="1" si="80"/>
        <v>229.15290685538133</v>
      </c>
      <c r="H101">
        <f t="shared" ca="1" si="80"/>
        <v>228.23304717551886</v>
      </c>
      <c r="I101">
        <f t="shared" ca="1" si="80"/>
        <v>227.80418894148215</v>
      </c>
      <c r="J101">
        <f t="shared" ca="1" si="80"/>
        <v>229.74484712312963</v>
      </c>
    </row>
    <row r="102" spans="1:10" ht="15" customHeight="1">
      <c r="B102" t="s">
        <v>95</v>
      </c>
      <c r="C102">
        <f>SUM(C99,C101)</f>
        <v>3760</v>
      </c>
      <c r="D102">
        <f t="shared" ref="D102:E102" si="81">SUM(D99,D101)</f>
        <v>3810</v>
      </c>
      <c r="E102">
        <f t="shared" ca="1" si="81"/>
        <v>3850.4851544066978</v>
      </c>
      <c r="F102">
        <f t="shared" ref="F102:J102" ca="1" si="82">SUM(F99,F101)</f>
        <v>3891.239341803604</v>
      </c>
      <c r="G102">
        <f t="shared" ca="1" si="82"/>
        <v>3932.6033900185412</v>
      </c>
      <c r="H102">
        <f t="shared" ca="1" si="82"/>
        <v>3974.5858371029631</v>
      </c>
      <c r="I102">
        <f t="shared" ca="1" si="82"/>
        <v>4017.6599179279106</v>
      </c>
      <c r="J102">
        <f t="shared" ca="1" si="82"/>
        <v>4063.7125563153681</v>
      </c>
    </row>
    <row r="104" spans="1:10" ht="15" customHeight="1">
      <c r="B104" t="s">
        <v>96</v>
      </c>
      <c r="C104">
        <f>C102-C94</f>
        <v>0</v>
      </c>
      <c r="D104">
        <f t="shared" ref="D104:E104" si="83">D102-D94</f>
        <v>0</v>
      </c>
      <c r="E104">
        <f t="shared" ca="1" si="83"/>
        <v>0</v>
      </c>
      <c r="F104">
        <f t="shared" ref="F104:J104" ca="1" si="84">F102-F94</f>
        <v>0</v>
      </c>
      <c r="G104">
        <f t="shared" ca="1" si="84"/>
        <v>0</v>
      </c>
      <c r="H104">
        <f t="shared" ca="1" si="84"/>
        <v>0</v>
      </c>
      <c r="I104">
        <f t="shared" ca="1" si="84"/>
        <v>0</v>
      </c>
      <c r="J104">
        <f t="shared" ca="1" si="84"/>
        <v>0</v>
      </c>
    </row>
    <row r="106" spans="1:10" ht="15" customHeight="1">
      <c r="A106" s="4" t="s">
        <v>97</v>
      </c>
    </row>
    <row r="107" spans="1:10" ht="15" customHeight="1">
      <c r="B107" t="s">
        <v>98</v>
      </c>
      <c r="D107" s="45">
        <v>0.1</v>
      </c>
    </row>
    <row r="108" spans="1:10" ht="15" customHeight="1">
      <c r="B108" t="s">
        <v>99</v>
      </c>
      <c r="D108" s="45">
        <v>1.4999999999999999E-2</v>
      </c>
    </row>
    <row r="109" spans="1:10" ht="15" customHeight="1">
      <c r="B109" t="s">
        <v>100</v>
      </c>
      <c r="E109">
        <f ca="1">E49*-1</f>
        <v>20.806935690557044</v>
      </c>
      <c r="F109">
        <f t="shared" ref="F109:J109" ca="1" si="85">F49*-1</f>
        <v>21.469144557538144</v>
      </c>
      <c r="G109">
        <f t="shared" ca="1" si="85"/>
        <v>21.596353132672636</v>
      </c>
      <c r="H109">
        <f t="shared" ca="1" si="85"/>
        <v>21.16004624452799</v>
      </c>
      <c r="I109">
        <f t="shared" ca="1" si="85"/>
        <v>20.810413320487388</v>
      </c>
      <c r="J109">
        <f t="shared" ca="1" si="85"/>
        <v>18.579255892862786</v>
      </c>
    </row>
    <row r="111" spans="1:10" ht="15" customHeight="1">
      <c r="B111" t="s">
        <v>101</v>
      </c>
      <c r="J111">
        <f ca="1">J109*(1+D108)/(D107-D108)</f>
        <v>221.85817330889091</v>
      </c>
    </row>
    <row r="113" spans="1:10" ht="15" customHeight="1">
      <c r="B113" t="s">
        <v>102</v>
      </c>
      <c r="D113" s="49">
        <v>0</v>
      </c>
      <c r="E113">
        <f>D113+1</f>
        <v>1</v>
      </c>
      <c r="F113">
        <f t="shared" ref="F113:J113" si="86">E113+1</f>
        <v>2</v>
      </c>
      <c r="G113">
        <f t="shared" si="86"/>
        <v>3</v>
      </c>
      <c r="H113">
        <f t="shared" si="86"/>
        <v>4</v>
      </c>
      <c r="I113">
        <f t="shared" si="86"/>
        <v>5</v>
      </c>
      <c r="J113">
        <f t="shared" si="86"/>
        <v>6</v>
      </c>
    </row>
    <row r="114" spans="1:10" ht="15" customHeight="1">
      <c r="B114" t="s">
        <v>103</v>
      </c>
      <c r="D114" s="44">
        <f>1/(1+$D$107)^D113</f>
        <v>1</v>
      </c>
      <c r="E114" s="44">
        <f t="shared" ref="E114:J114" si="87">1/(1+$D$107)^E113</f>
        <v>0.90909090909090906</v>
      </c>
      <c r="F114" s="44">
        <f t="shared" si="87"/>
        <v>0.82644628099173545</v>
      </c>
      <c r="G114" s="44">
        <f t="shared" si="87"/>
        <v>0.75131480090157754</v>
      </c>
      <c r="H114" s="44">
        <f t="shared" si="87"/>
        <v>0.68301345536507052</v>
      </c>
      <c r="I114" s="44">
        <f t="shared" si="87"/>
        <v>0.62092132305915493</v>
      </c>
      <c r="J114" s="44">
        <f t="shared" si="87"/>
        <v>0.56447393005377722</v>
      </c>
    </row>
    <row r="115" spans="1:10" ht="15" customHeight="1">
      <c r="B115" t="s">
        <v>104</v>
      </c>
      <c r="E115">
        <f ca="1">E109*E114</f>
        <v>18.915396082324584</v>
      </c>
      <c r="F115">
        <f t="shared" ref="F115:J115" ca="1" si="88">F109*F114</f>
        <v>17.743094675651356</v>
      </c>
      <c r="G115">
        <f t="shared" ca="1" si="88"/>
        <v>16.225659754074101</v>
      </c>
      <c r="H115">
        <f t="shared" ca="1" si="88"/>
        <v>14.452596301159746</v>
      </c>
      <c r="I115">
        <f t="shared" ca="1" si="88"/>
        <v>12.92162937236489</v>
      </c>
      <c r="J115">
        <f t="shared" ca="1" si="88"/>
        <v>10.487505591319056</v>
      </c>
    </row>
    <row r="116" spans="1:10" ht="15" customHeight="1">
      <c r="B116" t="s">
        <v>105</v>
      </c>
      <c r="D116">
        <f ca="1">SUM(E115:J115)</f>
        <v>90.745881776893725</v>
      </c>
    </row>
    <row r="117" spans="1:10" ht="15" customHeight="1">
      <c r="B117" t="s">
        <v>106</v>
      </c>
      <c r="D117">
        <f ca="1">J111*J114</f>
        <v>125.23315500222168</v>
      </c>
    </row>
    <row r="118" spans="1:10" ht="15" customHeight="1">
      <c r="B118" t="s">
        <v>107</v>
      </c>
      <c r="D118">
        <f ca="1">SUM(D116:D117)</f>
        <v>215.9790367791154</v>
      </c>
    </row>
    <row r="119" spans="1:10" ht="15" customHeight="1">
      <c r="B119" t="s">
        <v>108</v>
      </c>
      <c r="D119">
        <f>D101-D91-D92-D93</f>
        <v>159</v>
      </c>
    </row>
    <row r="120" spans="1:10" ht="15" customHeight="1">
      <c r="B120" t="s">
        <v>109</v>
      </c>
      <c r="D120">
        <f ca="1">D118/D119</f>
        <v>1.358358721881229</v>
      </c>
    </row>
    <row r="122" spans="1:10" ht="15" customHeight="1">
      <c r="A122" s="4" t="s">
        <v>110</v>
      </c>
    </row>
    <row r="123" spans="1:10" ht="15" customHeight="1">
      <c r="B123" t="s">
        <v>111</v>
      </c>
      <c r="C123">
        <f>C101-SUM(C91:C93)</f>
        <v>160</v>
      </c>
      <c r="D123">
        <f t="shared" ref="D123:E123" si="89">D101-SUM(D91:D93)</f>
        <v>159</v>
      </c>
      <c r="E123">
        <f t="shared" ca="1" si="89"/>
        <v>162.25944440669826</v>
      </c>
      <c r="F123" t="str">
        <f ca="1">IFERROR(_xlfn.FORMULATEXT(E123),"")</f>
        <v>=E101-SUM(E91:E93)</v>
      </c>
    </row>
    <row r="124" spans="1:10" ht="15" customHeight="1">
      <c r="F124" t="str">
        <f t="shared" ref="F124:F146" ca="1" si="90">IFERROR(_xlfn.FORMULATEXT(E124),"")</f>
        <v/>
      </c>
    </row>
    <row r="125" spans="1:10" ht="15" customHeight="1">
      <c r="B125" t="s">
        <v>112</v>
      </c>
      <c r="F125" t="str">
        <f t="shared" ca="1" si="90"/>
        <v/>
      </c>
    </row>
    <row r="126" spans="1:10" ht="15" customHeight="1">
      <c r="A126" s="51"/>
      <c r="B126" t="s">
        <v>113</v>
      </c>
      <c r="C126" s="44"/>
      <c r="D126" s="44"/>
      <c r="E126" s="44">
        <f ca="1">E82/AVERAGE(D123:E123)</f>
        <v>0.1299720861798267</v>
      </c>
      <c r="F126" t="str">
        <f t="shared" ca="1" si="90"/>
        <v>=E82/AVERAGE(D123:E123)</v>
      </c>
      <c r="G126" s="44"/>
      <c r="H126" s="44"/>
      <c r="I126" s="44"/>
      <c r="J126" s="44"/>
    </row>
    <row r="127" spans="1:10" ht="15" customHeight="1">
      <c r="A127" s="51"/>
      <c r="B127" t="s">
        <v>114</v>
      </c>
      <c r="C127" s="44"/>
      <c r="D127" s="44"/>
      <c r="E127" s="44">
        <f ca="1">E82/AVERAGE(D101:E101)</f>
        <v>9.0364490306503037E-2</v>
      </c>
      <c r="F127" t="str">
        <f t="shared" ca="1" si="90"/>
        <v>=E82/AVERAGE(D101:E101)</v>
      </c>
      <c r="G127" s="44"/>
      <c r="H127" s="44"/>
      <c r="I127" s="44"/>
      <c r="J127" s="44"/>
    </row>
    <row r="128" spans="1:10" ht="15" customHeight="1">
      <c r="B128" t="s">
        <v>115</v>
      </c>
      <c r="C128" s="44">
        <f>C64/C16</f>
        <v>1.5211267605633802E-2</v>
      </c>
      <c r="D128" s="44">
        <f t="shared" ref="D128:E128" si="91">D64/D16</f>
        <v>1.5050167224080268E-2</v>
      </c>
      <c r="E128" s="44">
        <f t="shared" ca="1" si="91"/>
        <v>1.4988039651678086E-2</v>
      </c>
      <c r="F128" t="str">
        <f t="shared" ca="1" si="90"/>
        <v>=E64/E16</v>
      </c>
      <c r="G128" s="44"/>
      <c r="H128" s="44"/>
      <c r="I128" s="44"/>
      <c r="J128" s="44"/>
    </row>
    <row r="129" spans="1:10" ht="15" customHeight="1">
      <c r="F129" t="str">
        <f t="shared" ca="1" si="90"/>
        <v/>
      </c>
    </row>
    <row r="130" spans="1:10" ht="15" customHeight="1">
      <c r="B130" t="s">
        <v>116</v>
      </c>
      <c r="F130" t="str">
        <f t="shared" ca="1" si="90"/>
        <v/>
      </c>
    </row>
    <row r="131" spans="1:10" ht="15" customHeight="1">
      <c r="B131" t="s">
        <v>117</v>
      </c>
      <c r="C131" s="44">
        <f>C73/C71</f>
        <v>-0.6</v>
      </c>
      <c r="D131" s="44">
        <f t="shared" ref="D131:E131" si="92">D73/D71</f>
        <v>-0.6</v>
      </c>
      <c r="E131" s="44">
        <f t="shared" ca="1" si="92"/>
        <v>-0.6</v>
      </c>
      <c r="F131" t="str">
        <f t="shared" ca="1" si="90"/>
        <v>=E73/E71</v>
      </c>
      <c r="G131" s="44"/>
      <c r="H131" s="44"/>
      <c r="I131" s="44"/>
      <c r="J131" s="44"/>
    </row>
    <row r="132" spans="1:10" ht="15" customHeight="1">
      <c r="F132" t="str">
        <f t="shared" ca="1" si="90"/>
        <v/>
      </c>
    </row>
    <row r="133" spans="1:10" ht="15" customHeight="1">
      <c r="B133" t="s">
        <v>118</v>
      </c>
      <c r="F133" t="str">
        <f t="shared" ca="1" si="90"/>
        <v/>
      </c>
    </row>
    <row r="134" spans="1:10" ht="15" customHeight="1">
      <c r="B134" t="s">
        <v>119</v>
      </c>
      <c r="C134" s="44">
        <f>C87/C97</f>
        <v>0.75</v>
      </c>
      <c r="D134" s="44">
        <f t="shared" ref="D134:E134" si="93">D87/D97</f>
        <v>0.75</v>
      </c>
      <c r="E134" s="44">
        <f t="shared" si="93"/>
        <v>0.75018754688672173</v>
      </c>
      <c r="F134" t="str">
        <f t="shared" ca="1" si="90"/>
        <v>=E87/E97</v>
      </c>
      <c r="G134" s="44"/>
      <c r="H134" s="44"/>
      <c r="I134" s="44"/>
      <c r="J134" s="44"/>
    </row>
    <row r="135" spans="1:10" ht="15" customHeight="1">
      <c r="B135" t="s">
        <v>120</v>
      </c>
      <c r="C135" s="44">
        <f>(C85+C88)/C97</f>
        <v>0.19655172413793104</v>
      </c>
      <c r="D135" s="44">
        <f t="shared" ref="D135:E135" si="94">(D85+D88)/D97</f>
        <v>0.19897959183673469</v>
      </c>
      <c r="E135" s="44">
        <f t="shared" si="94"/>
        <v>0.19782141630887334</v>
      </c>
      <c r="F135" t="str">
        <f t="shared" ca="1" si="90"/>
        <v>=(E85+E88)/E97</v>
      </c>
      <c r="G135" s="44"/>
      <c r="H135" s="44"/>
      <c r="I135" s="44"/>
      <c r="J135" s="44"/>
    </row>
    <row r="136" spans="1:10" ht="15" customHeight="1">
      <c r="F136" t="str">
        <f t="shared" ca="1" si="90"/>
        <v/>
      </c>
    </row>
    <row r="137" spans="1:10" ht="15" customHeight="1">
      <c r="B137" t="s">
        <v>121</v>
      </c>
      <c r="F137" t="str">
        <f t="shared" ca="1" si="90"/>
        <v/>
      </c>
    </row>
    <row r="138" spans="1:10" ht="15" customHeight="1">
      <c r="A138" s="51"/>
      <c r="B138" t="s">
        <v>122</v>
      </c>
      <c r="D138">
        <f>10000*D66/AVERAGE(C87:D87)*-1</f>
        <v>23.287671232876711</v>
      </c>
      <c r="E138">
        <f ca="1">10000*E66/AVERAGE(D87:E87)*-1</f>
        <v>22.844054503596713</v>
      </c>
      <c r="F138" t="str">
        <f t="shared" ca="1" si="90"/>
        <v>=10000*E66/AVERAGE(D87:E87)*-1</v>
      </c>
    </row>
    <row r="139" spans="1:10" ht="15" customHeight="1">
      <c r="F139" t="str">
        <f t="shared" ca="1" si="90"/>
        <v/>
      </c>
    </row>
    <row r="140" spans="1:10" ht="15" customHeight="1">
      <c r="B140" t="s">
        <v>123</v>
      </c>
      <c r="F140" t="str">
        <f t="shared" ca="1" si="90"/>
        <v/>
      </c>
    </row>
    <row r="141" spans="1:10" ht="15" customHeight="1">
      <c r="B141" t="s">
        <v>124</v>
      </c>
      <c r="C141" s="44">
        <f>C58/C52</f>
        <v>0.14000000000000001</v>
      </c>
      <c r="D141" s="44">
        <f t="shared" ref="D141:E141" si="95">D58/D52</f>
        <v>0.14000000000000001</v>
      </c>
      <c r="E141" s="44">
        <f t="shared" ca="1" si="95"/>
        <v>0.14000000000000001</v>
      </c>
      <c r="F141" t="str">
        <f t="shared" ca="1" si="90"/>
        <v>=E58/E52</v>
      </c>
      <c r="G141" s="44"/>
      <c r="H141" s="44"/>
      <c r="I141" s="44"/>
      <c r="J141" s="44"/>
    </row>
    <row r="142" spans="1:10" ht="15" customHeight="1">
      <c r="B142" t="s">
        <v>125</v>
      </c>
      <c r="C142" s="44">
        <f>C123/C94</f>
        <v>4.2553191489361701E-2</v>
      </c>
      <c r="D142" s="44">
        <f t="shared" ref="D142:E142" si="96">D123/D94</f>
        <v>4.1732283464566929E-2</v>
      </c>
      <c r="E142" s="44">
        <f t="shared" ca="1" si="96"/>
        <v>4.2140000000000004E-2</v>
      </c>
      <c r="F142" t="str">
        <f t="shared" ca="1" si="90"/>
        <v>=E123/E94</v>
      </c>
      <c r="G142" s="44"/>
      <c r="H142" s="44"/>
      <c r="I142" s="44"/>
      <c r="J142" s="44"/>
    </row>
    <row r="143" spans="1:10" ht="15" customHeight="1">
      <c r="F143" t="str">
        <f t="shared" ca="1" si="90"/>
        <v/>
      </c>
    </row>
    <row r="144" spans="1:10" ht="15" customHeight="1">
      <c r="B144" t="s">
        <v>126</v>
      </c>
      <c r="F144" t="str">
        <f t="shared" ca="1" si="90"/>
        <v/>
      </c>
    </row>
    <row r="145" spans="1:10" ht="15" customHeight="1">
      <c r="B145" t="s">
        <v>127</v>
      </c>
      <c r="C145" s="44">
        <f>(C69+C70)/C71</f>
        <v>0.27941176470588236</v>
      </c>
      <c r="D145" s="44">
        <f t="shared" ref="D145:E145" si="97">(D69+D70)/D71</f>
        <v>0.28717201166180761</v>
      </c>
      <c r="E145" s="44">
        <f t="shared" ca="1" si="97"/>
        <v>0.28785083942549189</v>
      </c>
      <c r="F145" t="str">
        <f t="shared" ca="1" si="90"/>
        <v>=(E69+E70)/E71</v>
      </c>
      <c r="G145" s="44"/>
      <c r="H145" s="44"/>
      <c r="I145" s="44"/>
      <c r="J145" s="44"/>
    </row>
    <row r="146" spans="1:10" ht="15" customHeight="1">
      <c r="B146" t="s">
        <v>128</v>
      </c>
      <c r="D146">
        <f ca="1">D120</f>
        <v>1.358358721881229</v>
      </c>
      <c r="F146" t="str">
        <f t="shared" ca="1" si="90"/>
        <v/>
      </c>
    </row>
    <row r="148" spans="1:10" ht="15" customHeight="1">
      <c r="A148" s="4" t="s">
        <v>129</v>
      </c>
    </row>
  </sheetData>
  <printOptions headings="1" gridLines="1"/>
  <pageMargins left="0.7" right="0.7" top="0.75" bottom="0.75" header="0.3" footer="0.3"/>
  <pageSetup paperSize="9" scale="85" fitToHeight="0" orientation="landscape" verticalDpi="1200" r:id="rId1"/>
  <headerFooter>
    <oddHeader xml:space="preserve">&amp;R&amp;10&amp;F 
&amp;A
</oddHeader>
    <oddFooter>&amp;L&amp;10© 2025&amp;C&amp;10Page &amp;P of &amp;N&amp;R&amp;G</oddFooter>
  </headerFooter>
  <drawing r:id="rId2"/>
  <legacyDrawing r:id="rId3"/>
  <legacyDrawingHF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ea4884f-dd23-4a9e-9674-e0962577458b" xsi:nil="true"/>
    <lcf76f155ced4ddcb4097134ff3c332f xmlns="69eded41-6c5d-4718-b7b7-dbfd1652bccf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002F8CDD7ACF40A6C36B1C9FA62C55" ma:contentTypeVersion="14" ma:contentTypeDescription="Create a new document." ma:contentTypeScope="" ma:versionID="d404fa04c35d4f3b5506d3037726f8c7">
  <xsd:schema xmlns:xsd="http://www.w3.org/2001/XMLSchema" xmlns:xs="http://www.w3.org/2001/XMLSchema" xmlns:p="http://schemas.microsoft.com/office/2006/metadata/properties" xmlns:ns2="69eded41-6c5d-4718-b7b7-dbfd1652bccf" xmlns:ns3="6ea4884f-dd23-4a9e-9674-e0962577458b" targetNamespace="http://schemas.microsoft.com/office/2006/metadata/properties" ma:root="true" ma:fieldsID="80694a67426a54d6681b2d2a2fe6f891" ns2:_="" ns3:_="">
    <xsd:import namespace="69eded41-6c5d-4718-b7b7-dbfd1652bccf"/>
    <xsd:import namespace="6ea4884f-dd23-4a9e-9674-e0962577458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ded41-6c5d-4718-b7b7-dbfd1652bc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c32ff089-c713-41da-a7f8-7725fa36ebb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a4884f-dd23-4a9e-9674-e0962577458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797a576b-233c-4f6a-bc99-79689ae6a87f}" ma:internalName="TaxCatchAll" ma:showField="CatchAllData" ma:web="6ea4884f-dd23-4a9e-9674-e0962577458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9B4029B-E8C4-496E-9CB7-2D15DEFDAC18}"/>
</file>

<file path=customXml/itemProps2.xml><?xml version="1.0" encoding="utf-8"?>
<ds:datastoreItem xmlns:ds="http://schemas.openxmlformats.org/officeDocument/2006/customXml" ds:itemID="{3B0449A6-8EF6-479A-BF44-60218F6CA2A2}"/>
</file>

<file path=customXml/itemProps3.xml><?xml version="1.0" encoding="utf-8"?>
<ds:datastoreItem xmlns:ds="http://schemas.openxmlformats.org/officeDocument/2006/customXml" ds:itemID="{CDCC38A6-3310-4BCC-9F76-3B7C015B306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Henry Davies</dc:creator>
  <cp:keywords/>
  <dc:description/>
  <cp:lastModifiedBy>Sophie Harrup</cp:lastModifiedBy>
  <cp:revision/>
  <dcterms:created xsi:type="dcterms:W3CDTF">2016-02-03T14:06:14Z</dcterms:created>
  <dcterms:modified xsi:type="dcterms:W3CDTF">2026-03-03T09:04:23Z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0x0101004F002F8CDD7ACF40A6C36B1C9FA62C55</vt:lpwstr>
  </property>
  <property fmtid="{D5CDD505-2E9C-101B-9397-08002B2CF9AE}" pid="3" name="MediaServiceImageTags">
    <vt:lpwstr/>
  </property>
</Properties>
</file>