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andrew_jones_fe_training/Documents/Content/Materials Changes/5001/"/>
    </mc:Choice>
  </mc:AlternateContent>
  <xr:revisionPtr revIDLastSave="1" documentId="8_{7CF54F42-59FB-41D7-B691-91FEF5F09979}" xr6:coauthVersionLast="47" xr6:coauthVersionMax="47" xr10:uidLastSave="{8C8B7372-F3BA-4D86-99D7-CC115C3CBBA6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_xlnm.Print_Area" localSheetId="2">Workout!$A$1:$J$356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1" i="2" l="1"/>
  <c r="E365" i="2"/>
  <c r="E367" i="2" s="1"/>
  <c r="E369" i="2" s="1"/>
  <c r="D365" i="2"/>
  <c r="C365" i="2"/>
  <c r="F365" i="2" l="1"/>
  <c r="F373" i="2" s="1"/>
  <c r="F375" i="2" s="1"/>
  <c r="D367" i="2"/>
  <c r="D369" i="2" s="1"/>
  <c r="C367" i="2"/>
  <c r="C369" i="2" s="1"/>
  <c r="C332" i="2" l="1"/>
  <c r="C335" i="2" s="1"/>
  <c r="D352" i="2" l="1"/>
  <c r="D356" i="2" s="1"/>
  <c r="C352" i="2"/>
  <c r="C354" i="2" s="1"/>
  <c r="D332" i="2"/>
  <c r="D337" i="2" s="1"/>
  <c r="C315" i="2"/>
  <c r="C319" i="2" s="1"/>
  <c r="C322" i="2" s="1"/>
  <c r="D322" i="2" s="1"/>
  <c r="D319" i="2" s="1"/>
  <c r="D315" i="2" s="1"/>
  <c r="D313" i="2" s="1"/>
  <c r="C110" i="2" l="1"/>
  <c r="C97" i="2"/>
  <c r="C84" i="2"/>
  <c r="C71" i="2"/>
  <c r="C59" i="2"/>
  <c r="C303" i="2" l="1"/>
  <c r="C304" i="2" s="1"/>
  <c r="C305" i="2" s="1"/>
  <c r="C306" i="2" s="1"/>
  <c r="C307" i="2" s="1"/>
  <c r="A7" i="1" l="1"/>
  <c r="C240" i="2" l="1"/>
  <c r="C38" i="2" l="1"/>
  <c r="E250" i="2" l="1"/>
  <c r="C287" i="2" s="1"/>
  <c r="A1" i="2"/>
  <c r="C283" i="2"/>
  <c r="C288" i="2" s="1"/>
  <c r="C278" i="2"/>
  <c r="C272" i="2"/>
  <c r="C271" i="2"/>
  <c r="C263" i="2"/>
  <c r="C258" i="2"/>
  <c r="D250" i="2"/>
  <c r="C250" i="2"/>
  <c r="C241" i="2"/>
  <c r="C236" i="2"/>
  <c r="C231" i="2"/>
  <c r="C289" i="2" l="1"/>
  <c r="C282" i="2"/>
  <c r="C284" i="2" s="1"/>
  <c r="C273" i="2"/>
  <c r="C274" i="2" s="1"/>
  <c r="C277" i="2" s="1"/>
  <c r="C279" i="2" s="1"/>
  <c r="C189" i="2" l="1"/>
  <c r="C213" i="2" s="1"/>
  <c r="C188" i="2"/>
  <c r="C182" i="2"/>
  <c r="C206" i="2" s="1"/>
  <c r="C177" i="2"/>
  <c r="C201" i="2" s="1"/>
  <c r="C203" i="2" s="1"/>
  <c r="C179" i="2" l="1"/>
  <c r="C185" i="2" s="1"/>
  <c r="C184" i="2" s="1"/>
  <c r="C208" i="2" s="1"/>
  <c r="C209" i="2" s="1"/>
  <c r="C194" i="2"/>
  <c r="C195" i="2" l="1"/>
  <c r="C218" i="2"/>
  <c r="C170" i="2"/>
  <c r="C171" i="2" s="1"/>
  <c r="C155" i="2"/>
  <c r="C132" i="2"/>
  <c r="C138" i="2" s="1"/>
  <c r="C121" i="2"/>
  <c r="C120" i="2"/>
  <c r="C47" i="2"/>
  <c r="C28" i="2"/>
  <c r="C18" i="2"/>
  <c r="C9" i="2"/>
  <c r="C212" i="2" l="1"/>
  <c r="C219" i="2"/>
  <c r="C122" i="2"/>
  <c r="A1" i="6"/>
  <c r="C161" i="2" l="1"/>
</calcChain>
</file>

<file path=xl/sharedStrings.xml><?xml version="1.0" encoding="utf-8"?>
<sst xmlns="http://schemas.openxmlformats.org/spreadsheetml/2006/main" count="330" uniqueCount="200">
  <si>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</si>
  <si>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</si>
  <si>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</si>
  <si>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</si>
  <si>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</si>
  <si>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</si>
  <si>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</si>
  <si>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</si>
  <si>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</si>
  <si>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</si>
  <si>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</si>
  <si>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</si>
  <si>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</si>
  <si>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</si>
  <si>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</si>
  <si>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</si>
  <si>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Workout 1</t>
  </si>
  <si>
    <t>Company A has the following characteristics:</t>
  </si>
  <si>
    <t>Valuation</t>
  </si>
  <si>
    <t>Valuation Fundamentals</t>
  </si>
  <si>
    <t>NA</t>
  </si>
  <si>
    <t>Equity Value</t>
  </si>
  <si>
    <t>Number of Shares</t>
  </si>
  <si>
    <t>EV</t>
  </si>
  <si>
    <t>P/E</t>
  </si>
  <si>
    <t>EV/EBITDA</t>
  </si>
  <si>
    <t>Workout 2</t>
  </si>
  <si>
    <t>Workout 3</t>
  </si>
  <si>
    <t>Workout 4</t>
  </si>
  <si>
    <t>Workout 5</t>
  </si>
  <si>
    <t>What is the price per share?</t>
  </si>
  <si>
    <t>Workout 6</t>
  </si>
  <si>
    <t>What is the P/E ratio?</t>
  </si>
  <si>
    <t>Workout 7</t>
  </si>
  <si>
    <t>Mortgage</t>
  </si>
  <si>
    <t>Workout 8</t>
  </si>
  <si>
    <t>Workout 9</t>
  </si>
  <si>
    <t>1)</t>
  </si>
  <si>
    <t>2)</t>
  </si>
  <si>
    <t>3)</t>
  </si>
  <si>
    <t>4)</t>
  </si>
  <si>
    <t>State of repairs (amount of recent repairs)</t>
  </si>
  <si>
    <t>Location (south facing, further down/up etc)</t>
  </si>
  <si>
    <t>Special features</t>
  </si>
  <si>
    <t>Note though, that the closer 2,3 and 4 are to Johns house, the more confidently we can apply 1)!</t>
  </si>
  <si>
    <t>Size (price per square meter)</t>
  </si>
  <si>
    <t>Workout 10</t>
  </si>
  <si>
    <t>Assets</t>
  </si>
  <si>
    <t>Debt and Equity</t>
  </si>
  <si>
    <t>Cash</t>
  </si>
  <si>
    <t>Equity</t>
  </si>
  <si>
    <t>Total</t>
  </si>
  <si>
    <t>Its price per share is</t>
  </si>
  <si>
    <t>Its number of shares is</t>
  </si>
  <si>
    <t>Other assets</t>
  </si>
  <si>
    <t>A company has the following balance sheet:</t>
  </si>
  <si>
    <t>Equity value</t>
  </si>
  <si>
    <t>Enterprise value</t>
  </si>
  <si>
    <t>Workout 11</t>
  </si>
  <si>
    <t>Workout 12</t>
  </si>
  <si>
    <t>Workout 13</t>
  </si>
  <si>
    <t>Number of shares</t>
  </si>
  <si>
    <t>Workout 14</t>
  </si>
  <si>
    <t>Moon Inc.</t>
  </si>
  <si>
    <t>Comet Inc.</t>
  </si>
  <si>
    <t>Average</t>
  </si>
  <si>
    <t>EBIT</t>
  </si>
  <si>
    <t>Depreciation</t>
  </si>
  <si>
    <t>Amortization</t>
  </si>
  <si>
    <t>Tax rate</t>
  </si>
  <si>
    <t>EBITDA</t>
  </si>
  <si>
    <t>Tax</t>
  </si>
  <si>
    <t>NI</t>
  </si>
  <si>
    <t>Share price</t>
  </si>
  <si>
    <t>Use average multiples from the comparables table.</t>
  </si>
  <si>
    <t>EV/EBIT</t>
  </si>
  <si>
    <t>Free float</t>
  </si>
  <si>
    <t>Basic number of shares</t>
  </si>
  <si>
    <t>Number of A-shares</t>
  </si>
  <si>
    <t>Number of B-shares</t>
  </si>
  <si>
    <t>Market capitalisation</t>
  </si>
  <si>
    <t>Net income</t>
  </si>
  <si>
    <t>Earnings per share</t>
  </si>
  <si>
    <t>P/E ratio</t>
  </si>
  <si>
    <t>Value to John</t>
  </si>
  <si>
    <t>Value to John (adjusted)</t>
  </si>
  <si>
    <t>Interest bearing debt</t>
  </si>
  <si>
    <t>Non interest bearing liabilities</t>
  </si>
  <si>
    <t>A) Calculate this company's equity value.</t>
  </si>
  <si>
    <t>B) Calculate this company's enterprise value.</t>
  </si>
  <si>
    <t>EV to Equity bridge</t>
  </si>
  <si>
    <t xml:space="preserve"> </t>
  </si>
  <si>
    <t>Calculate the market value of the equity</t>
  </si>
  <si>
    <t>What is the value of John's ownership of the house?</t>
  </si>
  <si>
    <t>What is the value of John's ownership of the house after the repairs (assume that repairs restore the value of the house).</t>
  </si>
  <si>
    <t>You are considering buying a house next to John's. What is the first thing that you would want to know about the house you are buying? Second? Third?</t>
  </si>
  <si>
    <t>A) Calculate equity value.</t>
  </si>
  <si>
    <t>B) Calculate enterprise value.</t>
  </si>
  <si>
    <t>Using the data below, calculate the implied equity value and implied share price for CandleLight Inc.</t>
  </si>
  <si>
    <t>Company B has the following characteristics:</t>
  </si>
  <si>
    <t>Company C has the following characteristics:</t>
  </si>
  <si>
    <t>Company D has the following characteristics:</t>
  </si>
  <si>
    <t>Company E has the following characteristics:</t>
  </si>
  <si>
    <t>Company F has the following characteristics:</t>
  </si>
  <si>
    <t>Weighted average number of shares</t>
  </si>
  <si>
    <t>Fully diluted number of shares</t>
  </si>
  <si>
    <t>Price per A-share</t>
  </si>
  <si>
    <t>Price per B-share</t>
  </si>
  <si>
    <t>House value</t>
  </si>
  <si>
    <t>Non interest bearing Liabilities</t>
  </si>
  <si>
    <t>Short term assets</t>
  </si>
  <si>
    <t>Long term assets</t>
  </si>
  <si>
    <t>Total assets</t>
  </si>
  <si>
    <t>Total debt and equity</t>
  </si>
  <si>
    <t>Implied share price</t>
  </si>
  <si>
    <t>Sun Inc. financials</t>
  </si>
  <si>
    <t>Other liabilities</t>
  </si>
  <si>
    <t>Interest expense</t>
  </si>
  <si>
    <t>Net debt</t>
  </si>
  <si>
    <t>Pre tax profits</t>
  </si>
  <si>
    <t>Valuation based on P/E ratio</t>
  </si>
  <si>
    <t>Valuation based on EV/EBITDA ratio</t>
  </si>
  <si>
    <t>Valuation based on EV/EBIT ratio</t>
  </si>
  <si>
    <t>Balance sheet</t>
  </si>
  <si>
    <t>Cash and cash equivalents</t>
  </si>
  <si>
    <t>Debt</t>
  </si>
  <si>
    <t>Shares outstanding</t>
  </si>
  <si>
    <t>Workout 15</t>
  </si>
  <si>
    <t>EV/EBITDA Lauren Inc</t>
  </si>
  <si>
    <t>EV Lauren Inc</t>
  </si>
  <si>
    <t>EV/EBITDA Lizzie Inc</t>
  </si>
  <si>
    <t>EV Lizzie Inc</t>
  </si>
  <si>
    <t>Share price Lizzie Inc</t>
  </si>
  <si>
    <t>Lauren Inc</t>
  </si>
  <si>
    <t>End</t>
  </si>
  <si>
    <t>John's house suffers a water leak. John has to borrow 100,000.0 from the bank to pay for the damages.</t>
  </si>
  <si>
    <t>Recalculate the balance sheet, equity value and EV from the previous question, provided it has just paid 20.0 of dividend.</t>
  </si>
  <si>
    <t>Recalculate the balance sheet, equity value and EV from the previous question, provided it has just repaid 20.0 of interest bearing debt.</t>
  </si>
  <si>
    <t>Calculate a range of equity values and enterprise values for Sun Inc.</t>
  </si>
  <si>
    <t>John owns a house in London which is partially financed by a mortgage as described below.</t>
  </si>
  <si>
    <t>Short term debt</t>
  </si>
  <si>
    <t>Long term debt</t>
  </si>
  <si>
    <t>Cash equivalents</t>
  </si>
  <si>
    <t>Marketable securities</t>
  </si>
  <si>
    <t>Noncontrolling interests</t>
  </si>
  <si>
    <t>Non core assets</t>
  </si>
  <si>
    <t>Enterprise value (from DCF)</t>
  </si>
  <si>
    <t>Preferred stock value</t>
  </si>
  <si>
    <t>Financial assets</t>
  </si>
  <si>
    <t>Using the following information about Salt Plc, calculate enterprise value.</t>
  </si>
  <si>
    <t>Using the following information about Pepper Plc, calculate enterprise value.</t>
  </si>
  <si>
    <t>Using the following information about Chilli Inc, calculate enterprise value.</t>
  </si>
  <si>
    <t>Using the following information about Tabasco Plc, calculate the implied share price.</t>
  </si>
  <si>
    <t>Using the following information about Saffron Plc, calculate the implied share price.</t>
  </si>
  <si>
    <t>Workout 16</t>
  </si>
  <si>
    <t>Workout 17</t>
  </si>
  <si>
    <t>Workout 18</t>
  </si>
  <si>
    <t>Workout 19</t>
  </si>
  <si>
    <t>Workout 20</t>
  </si>
  <si>
    <t>Total liabilities and equity</t>
  </si>
  <si>
    <t>Workout 21</t>
  </si>
  <si>
    <t>Lizzie Ltd</t>
  </si>
  <si>
    <t>Using the information regarding Lauren Inc, calculate the implied share price for Lizzie Ltd.</t>
  </si>
  <si>
    <t>James Inc</t>
  </si>
  <si>
    <t>Emma Ltd</t>
  </si>
  <si>
    <t>Workout 22</t>
  </si>
  <si>
    <t>Troon</t>
  </si>
  <si>
    <t>Carnoustie</t>
  </si>
  <si>
    <t>Birkdale</t>
  </si>
  <si>
    <t>St Andrews</t>
  </si>
  <si>
    <t>Margin</t>
  </si>
  <si>
    <t>2 Year Proj</t>
  </si>
  <si>
    <t>Augusta</t>
  </si>
  <si>
    <t>Augusta EBITDA</t>
  </si>
  <si>
    <t>Augusta EBIT</t>
  </si>
  <si>
    <t>Augusta implied EV using EV/EBITDA</t>
  </si>
  <si>
    <t>Augusta implied EV using EV/EBIT</t>
  </si>
  <si>
    <t>Workout 23</t>
  </si>
  <si>
    <t>Peer group companies</t>
  </si>
  <si>
    <t>Workout 24</t>
  </si>
  <si>
    <t>Year ending</t>
  </si>
  <si>
    <t>Six months ending</t>
  </si>
  <si>
    <t>Sales</t>
  </si>
  <si>
    <t>Operating expense</t>
  </si>
  <si>
    <t>Net interest expense</t>
  </si>
  <si>
    <t>Profit before tax</t>
  </si>
  <si>
    <t>Tax expense</t>
  </si>
  <si>
    <t>Depreciation and amortization</t>
  </si>
  <si>
    <t>LTM EBITDA</t>
  </si>
  <si>
    <t>Average multiple of shortlisted companies</t>
  </si>
  <si>
    <t>Birkdale will be excluded from the peer group as its margin and growth rate are not comparable with Augusta's.</t>
  </si>
  <si>
    <t>LTM</t>
  </si>
  <si>
    <t>EV/LTM EBITDA</t>
  </si>
  <si>
    <t>Calculate last twelve months (LTM) EBITDA for Sawgrass Co for 12 months ending 30-Jun-61, and calculate EV/LTM EBITDA.</t>
  </si>
  <si>
    <t>Compare the margins and growth rates of Augusta to its peers. Which companies would you include/exclude in a shortlist peer group. Then calculate a range of implied EVs.</t>
  </si>
  <si>
    <t>How do the EVs compare to the previous workout?</t>
  </si>
  <si>
    <t>Revenue CAGR</t>
  </si>
  <si>
    <t>Using the information regarding James Inc, calculate the implied share price for Emma Ltd, a similar company.</t>
  </si>
  <si>
    <t>Calculate the average enterprise value (EV) multiples using all of the peer group companies below, and then calculate implied EVs for Augusta.</t>
  </si>
  <si>
    <t>Finance 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</si>
</sst>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#,##0.0_);\(#,##0.0\);0.0_);@_)"/>
    <numFmt numFmtId="174" formatCode="#,##0.00_);\(#,##0.00\);0.00_);@_)"/>
    <numFmt numFmtId="175" formatCode="0.0%"/>
    <numFmt numFmtId="176" formatCode="#,##0.0\ \x_);\(#,##0.0\ \x\)"/>
  </numFmts>
  <fonts count="32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73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1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68" fontId="29" fillId="0" borderId="0" applyFont="0" applyFill="0" applyBorder="0" applyAlignment="0" applyProtection="0"/>
    <xf numFmtId="176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</cellStyleXfs>
  <cellXfs count="84">
    <xf numFmtId="173" fontId="0" fillId="0" borderId="0" xfId="0"/>
    <xf numFmtId="172" fontId="30" fillId="0" borderId="0" xfId="57" applyNumberFormat="1" applyFill="1"/>
    <xf numFmtId="176" fontId="0" fillId="0" borderId="0" xfId="55" applyFont="1"/>
    <xf numFmtId="168" fontId="0" fillId="0" borderId="0" xfId="54" applyFont="1"/>
    <xf numFmtId="173" fontId="2" fillId="5" borderId="0" xfId="0" applyFont="1" applyFill="1"/>
    <xf numFmtId="173" fontId="2" fillId="4" borderId="0" xfId="0" applyFont="1" applyFill="1"/>
    <xf numFmtId="173" fontId="2" fillId="5" borderId="0" xfId="0" applyFont="1" applyFill="1" applyAlignment="1">
      <alignment vertical="top" wrapText="1"/>
    </xf>
    <xf numFmtId="173" fontId="2" fillId="5" borderId="1" xfId="0" applyFont="1" applyFill="1" applyBorder="1" applyAlignment="1">
      <alignment vertical="top"/>
    </xf>
    <xf numFmtId="170" fontId="31" fillId="2" borderId="0" xfId="48" applyNumberFormat="1">
      <alignment horizontal="left"/>
    </xf>
    <xf numFmtId="173" fontId="25" fillId="2" borderId="0" xfId="0" applyFont="1" applyFill="1"/>
    <xf numFmtId="173" fontId="26" fillId="3" borderId="0" xfId="0" applyFont="1" applyFill="1"/>
    <xf numFmtId="173" fontId="3" fillId="5" borderId="0" xfId="0" applyFont="1" applyFill="1" applyAlignment="1">
      <alignment horizontal="center" vertical="top"/>
    </xf>
    <xf numFmtId="173" fontId="3" fillId="5" borderId="0" xfId="0" applyFont="1" applyFill="1" applyAlignment="1">
      <alignment vertical="top"/>
    </xf>
    <xf numFmtId="173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1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3" fontId="2" fillId="5" borderId="0" xfId="0" applyFont="1" applyFill="1" applyAlignment="1">
      <alignment horizontal="left" vertical="top"/>
    </xf>
    <xf numFmtId="173" fontId="2" fillId="5" borderId="0" xfId="0" applyFont="1" applyFill="1" applyAlignment="1">
      <alignment vertical="top"/>
    </xf>
    <xf numFmtId="173" fontId="2" fillId="0" borderId="0" xfId="0" applyFont="1" applyAlignment="1">
      <alignment vertical="top" wrapText="1"/>
    </xf>
    <xf numFmtId="173" fontId="3" fillId="0" borderId="0" xfId="0" applyFont="1" applyAlignment="1">
      <alignment vertical="top"/>
    </xf>
    <xf numFmtId="173" fontId="2" fillId="0" borderId="0" xfId="0" applyFont="1" applyAlignment="1">
      <alignment horizontal="left" wrapText="1"/>
    </xf>
    <xf numFmtId="173" fontId="2" fillId="0" borderId="0" xfId="0" applyFont="1" applyAlignment="1">
      <alignment vertical="top"/>
    </xf>
    <xf numFmtId="173" fontId="2" fillId="0" borderId="0" xfId="0" applyFont="1"/>
    <xf numFmtId="173" fontId="4" fillId="0" borderId="0" xfId="0" applyFont="1" applyAlignment="1">
      <alignment vertical="center"/>
    </xf>
    <xf numFmtId="173" fontId="5" fillId="0" borderId="0" xfId="0" applyFont="1" applyAlignment="1">
      <alignment vertical="center" wrapText="1"/>
    </xf>
    <xf numFmtId="173" fontId="2" fillId="0" borderId="0" xfId="0" applyFont="1" applyAlignment="1">
      <alignment horizontal="left" vertical="top"/>
    </xf>
    <xf numFmtId="173" fontId="3" fillId="0" borderId="0" xfId="0" applyFont="1" applyAlignment="1">
      <alignment horizontal="center" vertical="top"/>
    </xf>
    <xf numFmtId="173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3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3" fontId="3" fillId="0" borderId="0" xfId="0" applyFont="1" applyAlignment="1">
      <alignment horizontal="left" vertical="top"/>
    </xf>
    <xf numFmtId="173" fontId="3" fillId="0" borderId="0" xfId="0" applyFont="1"/>
    <xf numFmtId="173" fontId="25" fillId="0" borderId="0" xfId="0" applyFont="1"/>
    <xf numFmtId="173" fontId="26" fillId="0" borderId="0" xfId="0" applyFont="1"/>
    <xf numFmtId="170" fontId="30" fillId="0" borderId="0" xfId="57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59" applyFont="1" applyAlignment="1">
      <alignment vertical="top"/>
    </xf>
    <xf numFmtId="0" fontId="3" fillId="5" borderId="12" xfId="59" applyFont="1" applyAlignment="1">
      <alignment horizontal="center" vertical="top"/>
    </xf>
    <xf numFmtId="0" fontId="2" fillId="5" borderId="12" xfId="59" applyFont="1" applyAlignment="1"/>
    <xf numFmtId="0" fontId="5" fillId="5" borderId="12" xfId="59" applyFont="1" applyAlignment="1">
      <alignment vertical="center" wrapText="1"/>
    </xf>
    <xf numFmtId="173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59" applyFont="1" applyAlignment="1"/>
    <xf numFmtId="0" fontId="2" fillId="5" borderId="12" xfId="59" applyFont="1" applyAlignment="1">
      <alignment horizontal="left"/>
    </xf>
    <xf numFmtId="0" fontId="7" fillId="5" borderId="12" xfId="59" applyFont="1" applyAlignment="1">
      <alignment horizontal="center" vertical="center" wrapText="1"/>
    </xf>
    <xf numFmtId="0" fontId="7" fillId="5" borderId="12" xfId="59" applyFont="1" applyAlignment="1">
      <alignment vertical="center" wrapText="1"/>
    </xf>
    <xf numFmtId="170" fontId="30" fillId="37" borderId="11" xfId="58" applyNumberFormat="1">
      <protection locked="0"/>
    </xf>
    <xf numFmtId="170" fontId="2" fillId="0" borderId="0" xfId="51" applyNumberFormat="1" applyFont="1" applyFill="1" applyAlignment="1"/>
    <xf numFmtId="0" fontId="2" fillId="0" borderId="0" xfId="59" applyFont="1" applyFill="1" applyBorder="1" applyAlignment="1"/>
    <xf numFmtId="173" fontId="0" fillId="5" borderId="0" xfId="51" applyNumberFormat="1" applyFont="1" applyAlignment="1"/>
    <xf numFmtId="173" fontId="2" fillId="5" borderId="0" xfId="51" applyNumberFormat="1" applyFont="1" applyAlignment="1">
      <alignment vertical="top"/>
    </xf>
    <xf numFmtId="0" fontId="0" fillId="5" borderId="12" xfId="59" applyFont="1" applyAlignment="1"/>
    <xf numFmtId="173" fontId="4" fillId="5" borderId="0" xfId="51" applyNumberFormat="1" applyFont="1" applyAlignment="1">
      <alignment vertical="center"/>
    </xf>
    <xf numFmtId="0" fontId="3" fillId="5" borderId="12" xfId="59" applyFont="1" applyAlignment="1">
      <alignment horizontal="left" vertical="top"/>
    </xf>
    <xf numFmtId="173" fontId="4" fillId="0" borderId="0" xfId="50" applyNumberFormat="1" applyFill="1">
      <alignment horizontal="left" vertical="center"/>
    </xf>
    <xf numFmtId="173" fontId="30" fillId="0" borderId="0" xfId="57" applyNumberFormat="1" applyFill="1"/>
    <xf numFmtId="174" fontId="30" fillId="0" borderId="0" xfId="57" applyNumberFormat="1" applyFill="1"/>
    <xf numFmtId="174" fontId="0" fillId="0" borderId="0" xfId="0" applyNumberFormat="1"/>
    <xf numFmtId="176" fontId="30" fillId="0" borderId="0" xfId="55" applyFont="1" applyFill="1"/>
    <xf numFmtId="175" fontId="30" fillId="0" borderId="0" xfId="57" applyNumberFormat="1" applyFill="1"/>
    <xf numFmtId="172" fontId="30" fillId="0" borderId="0" xfId="56" applyFont="1" applyFill="1"/>
    <xf numFmtId="174" fontId="4" fillId="0" borderId="0" xfId="50" applyNumberFormat="1">
      <alignment horizontal="left" vertical="center"/>
    </xf>
    <xf numFmtId="170" fontId="4" fillId="0" borderId="0" xfId="50" applyNumberFormat="1" applyFill="1">
      <alignment horizontal="left" vertical="center"/>
    </xf>
    <xf numFmtId="173" fontId="0" fillId="0" borderId="0" xfId="0" applyAlignment="1">
      <alignment horizontal="centerContinuous"/>
    </xf>
    <xf numFmtId="170" fontId="31" fillId="2" borderId="0" xfId="48" applyNumberFormat="1" applyAlignment="1">
      <alignment horizontal="center"/>
    </xf>
    <xf numFmtId="173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1" fillId="3" borderId="0" xfId="49" applyNumberFormat="1" applyFont="1" applyAlignment="1">
      <alignment horizontal="center" vertical="center"/>
    </xf>
    <xf numFmtId="170" fontId="0" fillId="5" borderId="0" xfId="0" applyNumberFormat="1" applyFill="1" applyAlignment="1">
      <alignment horizontal="center" vertical="center" wrapText="1"/>
    </xf>
    <xf numFmtId="173" fontId="7" fillId="0" borderId="0" xfId="0" applyFont="1" applyAlignment="1">
      <alignment horizontal="center" vertical="center" wrapText="1"/>
    </xf>
    <xf numFmtId="173" fontId="4" fillId="5" borderId="0" xfId="0" applyFont="1" applyFill="1" applyAlignment="1">
      <alignment horizontal="left" vertical="center"/>
    </xf>
    <xf numFmtId="173" fontId="4" fillId="5" borderId="0" xfId="50" applyNumberFormat="1" applyFill="1">
      <alignment horizontal="left" vertical="center"/>
    </xf>
    <xf numFmtId="173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59" xr:uid="{00000000-0005-0000-0000-00001A000000}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Input" xfId="15" builtinId="20" hidden="1"/>
    <cellStyle name="Input" xfId="58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 cent" xfId="6" builtinId="5" hidden="1"/>
    <cellStyle name="Per 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66675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2563" y="123826"/>
          <a:ext cx="468587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26" width="9.1328125" customWidth="1"/>
  </cols>
  <sheetData>
    <row r="1" spans="1:14" s="36" customFormat="1" ht="189.75" customHeight="1" x14ac:dyDescent="0.8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s="24" customFormat="1" ht="75" customHeight="1" x14ac:dyDescent="0.45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s="25" customFormat="1" ht="7.5" customHeight="1" x14ac:dyDescent="0.45">
      <c r="B3" s="26"/>
      <c r="C3" s="26"/>
      <c r="F3" s="27"/>
      <c r="G3" s="27"/>
      <c r="H3" s="27"/>
      <c r="I3" s="27"/>
      <c r="J3" s="27"/>
      <c r="K3" s="27"/>
    </row>
    <row r="4" spans="1:14" s="25" customFormat="1" ht="15" customHeight="1" x14ac:dyDescent="0.45">
      <c r="A4" s="39"/>
      <c r="B4" s="40"/>
      <c r="C4" s="74"/>
      <c r="D4" s="74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5" customFormat="1" ht="15" customHeight="1" x14ac:dyDescent="0.45">
      <c r="A5" s="76" t="s">
        <v>10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25" customFormat="1" ht="15" customHeight="1" x14ac:dyDescent="0.45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4" s="25" customFormat="1" ht="15" customHeight="1" x14ac:dyDescent="0.45">
      <c r="A7" s="76" t="str">
        <f ca="1">"© "&amp;YEAR(TODAY())&amp;" Financial Edge Training "</f>
        <v xml:space="preserve">© 2025 Financial Edge Training 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4" s="25" customFormat="1" ht="15" customHeight="1" thickBot="1" x14ac:dyDescent="0.5">
      <c r="A8" s="44"/>
      <c r="B8" s="45"/>
      <c r="C8" s="44"/>
      <c r="D8" s="44"/>
      <c r="E8" s="46"/>
      <c r="F8" s="47"/>
      <c r="G8" s="47"/>
      <c r="H8" s="47"/>
      <c r="I8" s="47"/>
      <c r="J8" s="47"/>
      <c r="K8" s="47"/>
      <c r="L8" s="46"/>
      <c r="M8" s="46"/>
      <c r="N8" s="46"/>
    </row>
    <row r="9" spans="1:14" s="25" customFormat="1" ht="15" customHeight="1" x14ac:dyDescent="0.45">
      <c r="F9" s="30"/>
      <c r="G9" s="77"/>
      <c r="H9" s="77"/>
      <c r="I9" s="77"/>
      <c r="J9" s="77"/>
      <c r="K9" s="30"/>
    </row>
    <row r="10" spans="1:14" s="25" customFormat="1" ht="15" customHeight="1" x14ac:dyDescent="0.45">
      <c r="B10" s="26"/>
      <c r="C10" s="26"/>
      <c r="F10" s="30"/>
      <c r="G10" s="77"/>
      <c r="H10" s="77"/>
      <c r="I10" s="77"/>
      <c r="J10" s="77"/>
      <c r="K10" s="30"/>
    </row>
    <row r="11" spans="1:14" s="25" customFormat="1" ht="15" customHeight="1" x14ac:dyDescent="0.45">
      <c r="B11" s="22"/>
      <c r="C11" s="22"/>
      <c r="D11" s="23"/>
      <c r="F11" s="27"/>
      <c r="G11" s="27"/>
      <c r="H11" s="27"/>
      <c r="I11" s="27"/>
      <c r="J11" s="27"/>
      <c r="K11" s="27"/>
    </row>
    <row r="12" spans="1:14" s="25" customFormat="1" ht="15" customHeight="1" x14ac:dyDescent="0.45">
      <c r="A12" s="28"/>
      <c r="B12" s="22"/>
      <c r="C12" s="22"/>
      <c r="D12" s="31"/>
      <c r="F12" s="27"/>
      <c r="G12" s="73"/>
      <c r="H12" s="73"/>
      <c r="I12" s="73"/>
      <c r="J12" s="73"/>
      <c r="K12" s="27"/>
    </row>
    <row r="13" spans="1:14" s="25" customFormat="1" ht="15" customHeight="1" x14ac:dyDescent="0.45">
      <c r="A13" s="21"/>
      <c r="B13" s="22"/>
      <c r="C13" s="22"/>
      <c r="D13" s="32"/>
      <c r="F13" s="27"/>
      <c r="G13" s="73"/>
      <c r="H13" s="73"/>
      <c r="I13" s="73"/>
      <c r="J13" s="73"/>
      <c r="K13" s="27"/>
    </row>
    <row r="14" spans="1:14" s="25" customFormat="1" ht="15" customHeight="1" x14ac:dyDescent="0.45">
      <c r="A14" s="24"/>
      <c r="B14" s="22"/>
      <c r="C14" s="22"/>
      <c r="D14" s="32"/>
      <c r="F14" s="27"/>
      <c r="G14" s="73"/>
      <c r="H14" s="73"/>
      <c r="I14" s="73"/>
      <c r="J14" s="73"/>
      <c r="K14" s="27"/>
    </row>
    <row r="15" spans="1:14" s="25" customFormat="1" ht="15" customHeight="1" x14ac:dyDescent="0.45">
      <c r="A15" s="24"/>
      <c r="B15" s="22"/>
      <c r="C15" s="22"/>
      <c r="D15" s="32"/>
      <c r="F15" s="27"/>
      <c r="G15" s="27"/>
      <c r="H15" s="27"/>
      <c r="I15" s="27"/>
      <c r="J15" s="27"/>
      <c r="K15" s="27"/>
    </row>
    <row r="16" spans="1:14" s="25" customFormat="1" ht="15" customHeight="1" x14ac:dyDescent="0.45">
      <c r="A16" s="24"/>
      <c r="B16" s="22"/>
      <c r="C16" s="22"/>
      <c r="D16" s="33"/>
      <c r="F16" s="27"/>
      <c r="G16" s="73"/>
      <c r="H16" s="73"/>
      <c r="I16" s="73"/>
      <c r="J16" s="73"/>
      <c r="K16" s="27"/>
    </row>
    <row r="17" spans="1:11" s="25" customFormat="1" ht="15" customHeight="1" x14ac:dyDescent="0.45">
      <c r="A17" s="24"/>
      <c r="B17" s="34"/>
      <c r="C17" s="35"/>
      <c r="D17" s="33"/>
      <c r="F17" s="27"/>
      <c r="G17" s="27"/>
      <c r="H17" s="27"/>
      <c r="I17" s="27"/>
      <c r="J17" s="27"/>
      <c r="K17" s="27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75" fitToHeight="0" orientation="portrait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6" customFormat="1" ht="45" customHeight="1" x14ac:dyDescent="0.85">
      <c r="A1" s="16" t="str">
        <f>Welcome!A2</f>
        <v>Valuation</v>
      </c>
      <c r="B1" s="16"/>
      <c r="C1" s="16"/>
      <c r="D1" s="16"/>
      <c r="E1" s="16"/>
      <c r="F1" s="16"/>
      <c r="G1" s="16"/>
      <c r="H1" s="16"/>
      <c r="I1" s="16"/>
      <c r="J1" s="9"/>
      <c r="K1" s="9"/>
      <c r="L1" s="9"/>
      <c r="M1" s="9"/>
      <c r="N1" s="9"/>
      <c r="O1" s="9"/>
      <c r="P1" s="9"/>
      <c r="Q1" s="9"/>
      <c r="R1" s="9"/>
    </row>
    <row r="2" spans="1:18" s="37" customFormat="1" ht="30" customHeight="1" x14ac:dyDescent="0.65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0"/>
      <c r="K2" s="10"/>
      <c r="L2" s="10"/>
      <c r="M2" s="10"/>
      <c r="N2" s="10"/>
      <c r="O2" s="10"/>
      <c r="P2" s="10"/>
      <c r="Q2" s="10"/>
      <c r="R2" s="10"/>
    </row>
    <row r="3" spans="1:18" s="5" customFormat="1" ht="7.5" customHeight="1" x14ac:dyDescent="0.45"/>
    <row r="4" spans="1:18" s="5" customFormat="1" ht="22.5" customHeight="1" x14ac:dyDescent="0.45">
      <c r="A4" s="4"/>
      <c r="B4" s="78" t="s">
        <v>0</v>
      </c>
      <c r="C4" s="78"/>
      <c r="D4" s="78"/>
      <c r="E4" s="78"/>
      <c r="F4" s="78"/>
      <c r="G4" s="78"/>
      <c r="H4" s="78"/>
      <c r="I4" s="78"/>
      <c r="K4" s="4"/>
      <c r="L4" s="78" t="s">
        <v>2</v>
      </c>
      <c r="M4" s="78"/>
      <c r="N4" s="78"/>
      <c r="O4" s="78"/>
      <c r="P4" s="78"/>
      <c r="Q4" s="42"/>
      <c r="R4" s="42"/>
    </row>
    <row r="5" spans="1:18" s="5" customFormat="1" ht="15" customHeight="1" x14ac:dyDescent="0.45">
      <c r="A5" s="19"/>
      <c r="B5" s="11" t="s">
        <v>1</v>
      </c>
      <c r="C5" s="57" t="s">
        <v>21</v>
      </c>
      <c r="D5" s="20"/>
      <c r="E5" s="20"/>
      <c r="F5" s="20"/>
      <c r="G5" s="20"/>
      <c r="H5" s="20"/>
      <c r="I5" s="20"/>
      <c r="K5" s="4"/>
      <c r="L5" s="12" t="s">
        <v>3</v>
      </c>
      <c r="M5" s="12"/>
      <c r="N5" s="81" t="s">
        <v>20</v>
      </c>
      <c r="O5" s="81"/>
      <c r="P5" s="81"/>
      <c r="Q5" s="81"/>
      <c r="R5" s="42"/>
    </row>
    <row r="6" spans="1:18" s="5" customFormat="1" ht="15" customHeight="1" x14ac:dyDescent="0.45">
      <c r="A6" s="6"/>
      <c r="B6" s="11" t="s">
        <v>1</v>
      </c>
      <c r="C6" s="20" t="s">
        <v>22</v>
      </c>
      <c r="D6" s="20"/>
      <c r="E6" s="20"/>
      <c r="F6" s="20"/>
      <c r="G6" s="20"/>
      <c r="H6" s="20"/>
      <c r="I6" s="20"/>
      <c r="K6" s="19"/>
      <c r="L6" s="12" t="s">
        <v>4</v>
      </c>
      <c r="M6" s="12"/>
      <c r="N6" s="82"/>
      <c r="O6" s="82"/>
      <c r="P6" s="82"/>
      <c r="Q6" s="82"/>
      <c r="R6" s="42"/>
    </row>
    <row r="7" spans="1:18" s="5" customFormat="1" ht="15" customHeight="1" x14ac:dyDescent="0.45">
      <c r="A7" s="20"/>
      <c r="B7" s="11" t="s">
        <v>1</v>
      </c>
      <c r="C7" s="20" t="s">
        <v>23</v>
      </c>
      <c r="D7" s="20"/>
      <c r="E7" s="20"/>
      <c r="F7" s="20"/>
      <c r="G7" s="20"/>
      <c r="H7" s="20"/>
      <c r="I7" s="20"/>
      <c r="K7" s="6"/>
      <c r="L7" s="12" t="s">
        <v>5</v>
      </c>
      <c r="M7" s="12"/>
      <c r="N7" s="81"/>
      <c r="O7" s="81"/>
      <c r="P7" s="81"/>
      <c r="Q7" s="81"/>
      <c r="R7" s="42"/>
    </row>
    <row r="8" spans="1:18" s="5" customFormat="1" ht="15" customHeight="1" x14ac:dyDescent="0.45">
      <c r="A8" s="20"/>
      <c r="B8" s="11" t="s">
        <v>1</v>
      </c>
      <c r="C8" s="20" t="s">
        <v>24</v>
      </c>
      <c r="D8" s="20"/>
      <c r="E8" s="20"/>
      <c r="F8" s="20"/>
      <c r="G8" s="20"/>
      <c r="H8" s="20"/>
      <c r="I8" s="20"/>
      <c r="K8" s="20"/>
      <c r="L8" s="12" t="s">
        <v>6</v>
      </c>
      <c r="M8" s="12"/>
      <c r="N8" s="81"/>
      <c r="O8" s="81"/>
      <c r="P8" s="81"/>
      <c r="Q8" s="81"/>
      <c r="R8" s="42"/>
    </row>
    <row r="9" spans="1:18" s="5" customFormat="1" ht="15" customHeight="1" x14ac:dyDescent="0.45">
      <c r="A9" s="43"/>
      <c r="B9" s="11" t="s">
        <v>1</v>
      </c>
      <c r="C9" s="43" t="s">
        <v>25</v>
      </c>
      <c r="D9" s="43"/>
      <c r="E9" s="43"/>
      <c r="F9" s="43"/>
      <c r="G9" s="43"/>
      <c r="H9" s="43"/>
      <c r="I9" s="43"/>
      <c r="K9" s="20"/>
      <c r="L9" s="12" t="s">
        <v>7</v>
      </c>
      <c r="M9" s="12"/>
      <c r="N9" s="81" t="s">
        <v>9</v>
      </c>
      <c r="O9" s="81"/>
      <c r="P9" s="81"/>
      <c r="Q9" s="81"/>
      <c r="R9" s="42"/>
    </row>
    <row r="10" spans="1:18" s="5" customFormat="1" ht="15" customHeight="1" x14ac:dyDescent="0.45">
      <c r="A10" s="41"/>
      <c r="B10" s="11" t="s">
        <v>1</v>
      </c>
      <c r="C10" s="41" t="s">
        <v>90</v>
      </c>
      <c r="D10" s="41"/>
      <c r="E10" s="41"/>
      <c r="F10" s="41"/>
      <c r="G10" s="41"/>
      <c r="H10" s="41"/>
      <c r="I10" s="41"/>
      <c r="K10" s="20"/>
      <c r="L10" s="12" t="s">
        <v>8</v>
      </c>
      <c r="M10" s="12"/>
      <c r="N10" s="83">
        <v>0</v>
      </c>
      <c r="O10" s="83"/>
      <c r="P10" s="83"/>
      <c r="Q10" s="83"/>
      <c r="R10" s="49"/>
    </row>
    <row r="11" spans="1:18" s="5" customFormat="1" ht="15" customHeight="1" thickBot="1" x14ac:dyDescent="0.5">
      <c r="A11" s="46"/>
      <c r="B11" s="46"/>
      <c r="C11" s="46"/>
      <c r="D11" s="46"/>
      <c r="E11" s="46"/>
      <c r="F11" s="46"/>
      <c r="G11" s="46"/>
      <c r="H11" s="46"/>
      <c r="I11" s="46"/>
      <c r="K11" s="7"/>
      <c r="L11" s="61"/>
      <c r="M11" s="61"/>
      <c r="N11" s="50"/>
      <c r="O11" s="51"/>
      <c r="P11" s="51"/>
      <c r="Q11" s="52"/>
      <c r="R11" s="53"/>
    </row>
    <row r="12" spans="1:18" s="5" customFormat="1" ht="7.5" customHeight="1" x14ac:dyDescent="0.45">
      <c r="K12" s="27"/>
      <c r="L12" s="27"/>
      <c r="M12" s="27"/>
      <c r="N12" s="27"/>
      <c r="O12" s="27"/>
      <c r="P12" s="27"/>
      <c r="Q12" s="27"/>
      <c r="R12" s="27"/>
    </row>
    <row r="13" spans="1:18" s="5" customFormat="1" ht="22.5" customHeight="1" x14ac:dyDescent="0.45">
      <c r="A13" s="57"/>
      <c r="B13" s="79" t="s">
        <v>15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N13" s="4"/>
      <c r="O13" s="78" t="s">
        <v>11</v>
      </c>
      <c r="P13" s="78"/>
      <c r="Q13" s="78"/>
      <c r="R13" s="60"/>
    </row>
    <row r="14" spans="1:18" s="5" customFormat="1" ht="15" customHeight="1" x14ac:dyDescent="0.45">
      <c r="A14" s="58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N14" s="19"/>
      <c r="O14" s="29"/>
      <c r="P14" s="24"/>
      <c r="Q14" s="24"/>
      <c r="R14" s="58"/>
    </row>
    <row r="15" spans="1:18" s="5" customFormat="1" ht="15" customHeight="1" x14ac:dyDescent="0.45">
      <c r="A15" s="58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N15" s="6"/>
      <c r="O15" s="29"/>
      <c r="P15" s="54" t="s">
        <v>12</v>
      </c>
      <c r="Q15" s="24"/>
      <c r="R15" s="58"/>
    </row>
    <row r="16" spans="1:18" s="5" customFormat="1" ht="15" customHeight="1" x14ac:dyDescent="0.45">
      <c r="A16" s="58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N16" s="20"/>
      <c r="O16" s="29"/>
      <c r="P16" s="38" t="s">
        <v>13</v>
      </c>
      <c r="Q16" s="24"/>
      <c r="R16" s="58"/>
    </row>
    <row r="17" spans="1:18" s="5" customFormat="1" ht="15" customHeight="1" x14ac:dyDescent="0.45">
      <c r="A17" s="58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N17" s="20"/>
      <c r="O17" s="29"/>
      <c r="P17" t="s">
        <v>14</v>
      </c>
      <c r="Q17" s="24"/>
      <c r="R17" s="58"/>
    </row>
    <row r="18" spans="1:18" s="5" customFormat="1" ht="15" customHeight="1" x14ac:dyDescent="0.45">
      <c r="A18" s="41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N18" s="41"/>
      <c r="O18" s="55"/>
      <c r="P18" s="55"/>
      <c r="Q18" s="55"/>
      <c r="R18" s="41"/>
    </row>
    <row r="19" spans="1:18" ht="14.65" thickBot="1" x14ac:dyDescent="0.5">
      <c r="A19" s="46"/>
      <c r="B19" s="46"/>
      <c r="C19" s="46"/>
      <c r="D19" s="59"/>
      <c r="E19" s="59"/>
      <c r="F19" s="59"/>
      <c r="G19" s="59"/>
      <c r="H19" s="59"/>
      <c r="I19" s="59"/>
      <c r="J19" s="59"/>
      <c r="K19" s="59"/>
      <c r="L19" s="59"/>
      <c r="N19" s="46"/>
      <c r="O19" s="46"/>
      <c r="P19" s="46"/>
      <c r="Q19" s="46"/>
      <c r="R19" s="46"/>
    </row>
    <row r="20" spans="1:18" x14ac:dyDescent="0.45">
      <c r="Q20" s="56"/>
    </row>
  </sheetData>
  <mergeCells count="20"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75" fitToHeight="0" orientation="portrait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77"/>
  <sheetViews>
    <sheetView zoomScaleNormal="100" workbookViewId="0"/>
  </sheetViews>
  <sheetFormatPr defaultColWidth="9.1328125" defaultRowHeight="15" customHeight="1" x14ac:dyDescent="0.45"/>
  <cols>
    <col min="1" max="1" width="1.3984375" style="18" customWidth="1"/>
    <col min="2" max="2" width="41.73046875" customWidth="1"/>
    <col min="3" max="10" width="11" customWidth="1"/>
    <col min="11" max="12" width="9.265625" customWidth="1"/>
  </cols>
  <sheetData>
    <row r="1" spans="1:12" s="48" customFormat="1" ht="45" customHeight="1" x14ac:dyDescent="0.85">
      <c r="A1" s="8" t="str">
        <f>Info!A2</f>
        <v>Valuation Fundamentals</v>
      </c>
      <c r="B1" s="13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37" customFormat="1" ht="30" customHeight="1" x14ac:dyDescent="0.65">
      <c r="A2" s="17"/>
      <c r="B2" s="10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5" customHeight="1" x14ac:dyDescent="0.45">
      <c r="A3" s="18" t="s">
        <v>16</v>
      </c>
    </row>
    <row r="4" spans="1:12" ht="15" customHeight="1" x14ac:dyDescent="0.45">
      <c r="B4" t="s">
        <v>17</v>
      </c>
      <c r="E4" t="s">
        <v>91</v>
      </c>
    </row>
    <row r="5" spans="1:12" ht="15" customHeight="1" x14ac:dyDescent="0.45">
      <c r="B5" t="s">
        <v>61</v>
      </c>
      <c r="C5" s="63">
        <v>100</v>
      </c>
    </row>
    <row r="6" spans="1:12" ht="15" customHeight="1" x14ac:dyDescent="0.45">
      <c r="B6" t="s">
        <v>73</v>
      </c>
      <c r="C6" s="64">
        <v>5</v>
      </c>
    </row>
    <row r="7" spans="1:12" ht="15" customHeight="1" x14ac:dyDescent="0.45">
      <c r="B7" t="s">
        <v>92</v>
      </c>
    </row>
    <row r="8" spans="1:12" ht="15" customHeight="1" x14ac:dyDescent="0.45">
      <c r="A8" s="62"/>
    </row>
    <row r="9" spans="1:12" ht="15" customHeight="1" x14ac:dyDescent="0.45">
      <c r="B9" t="s">
        <v>56</v>
      </c>
      <c r="C9">
        <f>C5*C6</f>
        <v>500</v>
      </c>
    </row>
    <row r="11" spans="1:12" ht="15" customHeight="1" x14ac:dyDescent="0.45">
      <c r="A11" s="18" t="s">
        <v>26</v>
      </c>
    </row>
    <row r="12" spans="1:12" ht="15" customHeight="1" x14ac:dyDescent="0.45">
      <c r="B12" t="s">
        <v>99</v>
      </c>
    </row>
    <row r="13" spans="1:12" ht="15" customHeight="1" x14ac:dyDescent="0.45">
      <c r="B13" t="s">
        <v>61</v>
      </c>
      <c r="C13" s="63">
        <v>111</v>
      </c>
    </row>
    <row r="14" spans="1:12" ht="15" customHeight="1" x14ac:dyDescent="0.45">
      <c r="B14" t="s">
        <v>76</v>
      </c>
      <c r="C14" s="68">
        <v>0.5</v>
      </c>
    </row>
    <row r="15" spans="1:12" ht="15" customHeight="1" x14ac:dyDescent="0.45">
      <c r="B15" t="s">
        <v>73</v>
      </c>
      <c r="C15" s="64">
        <v>10</v>
      </c>
    </row>
    <row r="16" spans="1:12" ht="15" customHeight="1" x14ac:dyDescent="0.45">
      <c r="B16" t="s">
        <v>92</v>
      </c>
    </row>
    <row r="18" spans="1:3" ht="15" customHeight="1" x14ac:dyDescent="0.45">
      <c r="B18" t="s">
        <v>56</v>
      </c>
      <c r="C18">
        <f>C13*C15</f>
        <v>1110</v>
      </c>
    </row>
    <row r="20" spans="1:3" ht="15" customHeight="1" x14ac:dyDescent="0.45">
      <c r="A20" s="18" t="s">
        <v>27</v>
      </c>
    </row>
    <row r="21" spans="1:3" ht="15" customHeight="1" x14ac:dyDescent="0.45">
      <c r="B21" t="s">
        <v>100</v>
      </c>
    </row>
    <row r="22" spans="1:3" ht="15" customHeight="1" x14ac:dyDescent="0.45">
      <c r="B22" t="s">
        <v>77</v>
      </c>
      <c r="C22" s="63">
        <v>100</v>
      </c>
    </row>
    <row r="23" spans="1:3" ht="15" customHeight="1" x14ac:dyDescent="0.45">
      <c r="B23" t="s">
        <v>104</v>
      </c>
      <c r="C23" s="63">
        <v>99</v>
      </c>
    </row>
    <row r="24" spans="1:3" ht="15" customHeight="1" x14ac:dyDescent="0.45">
      <c r="B24" t="s">
        <v>105</v>
      </c>
      <c r="C24" s="63">
        <v>105</v>
      </c>
    </row>
    <row r="25" spans="1:3" ht="15" customHeight="1" x14ac:dyDescent="0.45">
      <c r="B25" t="s">
        <v>73</v>
      </c>
      <c r="C25" s="64">
        <v>6.5</v>
      </c>
    </row>
    <row r="26" spans="1:3" ht="15" customHeight="1" x14ac:dyDescent="0.45">
      <c r="B26" t="s">
        <v>92</v>
      </c>
    </row>
    <row r="28" spans="1:3" ht="15" customHeight="1" x14ac:dyDescent="0.45">
      <c r="B28" t="s">
        <v>56</v>
      </c>
      <c r="C28">
        <f>C24*C25</f>
        <v>682.5</v>
      </c>
    </row>
    <row r="30" spans="1:3" ht="15" customHeight="1" x14ac:dyDescent="0.45">
      <c r="A30" s="18" t="s">
        <v>28</v>
      </c>
    </row>
    <row r="31" spans="1:3" ht="15" customHeight="1" x14ac:dyDescent="0.45">
      <c r="B31" t="s">
        <v>101</v>
      </c>
    </row>
    <row r="32" spans="1:3" ht="15" customHeight="1" x14ac:dyDescent="0.45">
      <c r="B32" t="s">
        <v>78</v>
      </c>
      <c r="C32" s="63">
        <v>100</v>
      </c>
    </row>
    <row r="33" spans="1:3" ht="15" customHeight="1" x14ac:dyDescent="0.45">
      <c r="B33" t="s">
        <v>79</v>
      </c>
      <c r="C33" s="63">
        <v>50</v>
      </c>
    </row>
    <row r="34" spans="1:3" ht="15" customHeight="1" x14ac:dyDescent="0.45">
      <c r="B34" t="s">
        <v>106</v>
      </c>
      <c r="C34" s="64">
        <v>6</v>
      </c>
    </row>
    <row r="35" spans="1:3" ht="15" customHeight="1" x14ac:dyDescent="0.45">
      <c r="B35" t="s">
        <v>107</v>
      </c>
      <c r="C35" s="64">
        <v>5</v>
      </c>
    </row>
    <row r="36" spans="1:3" ht="15" customHeight="1" x14ac:dyDescent="0.45">
      <c r="B36" t="s">
        <v>92</v>
      </c>
    </row>
    <row r="38" spans="1:3" ht="15" customHeight="1" x14ac:dyDescent="0.45">
      <c r="B38" t="s">
        <v>56</v>
      </c>
      <c r="C38">
        <f>C32*C34+C33*C35</f>
        <v>850</v>
      </c>
    </row>
    <row r="40" spans="1:3" ht="15" customHeight="1" x14ac:dyDescent="0.45">
      <c r="A40" s="18" t="s">
        <v>29</v>
      </c>
    </row>
    <row r="41" spans="1:3" ht="15" customHeight="1" x14ac:dyDescent="0.45">
      <c r="B41" t="s">
        <v>102</v>
      </c>
    </row>
    <row r="42" spans="1:3" ht="15" customHeight="1" x14ac:dyDescent="0.45">
      <c r="B42" t="s">
        <v>80</v>
      </c>
      <c r="C42" s="63">
        <v>100</v>
      </c>
    </row>
    <row r="43" spans="1:3" ht="15" customHeight="1" x14ac:dyDescent="0.45">
      <c r="B43" t="s">
        <v>61</v>
      </c>
      <c r="C43" s="63">
        <v>250</v>
      </c>
    </row>
    <row r="44" spans="1:3" ht="15" customHeight="1" x14ac:dyDescent="0.45">
      <c r="B44" t="s">
        <v>104</v>
      </c>
      <c r="C44" s="63">
        <v>240</v>
      </c>
    </row>
    <row r="45" spans="1:3" ht="15" customHeight="1" x14ac:dyDescent="0.45">
      <c r="B45" t="s">
        <v>30</v>
      </c>
    </row>
    <row r="47" spans="1:3" ht="15" customHeight="1" x14ac:dyDescent="0.45">
      <c r="B47" t="s">
        <v>73</v>
      </c>
      <c r="C47" s="65">
        <f>C42/C43</f>
        <v>0.4</v>
      </c>
    </row>
    <row r="49" spans="1:3" ht="15" customHeight="1" x14ac:dyDescent="0.45">
      <c r="A49" s="70" t="s">
        <v>31</v>
      </c>
    </row>
    <row r="50" spans="1:3" ht="15" customHeight="1" x14ac:dyDescent="0.45">
      <c r="B50" t="s">
        <v>149</v>
      </c>
    </row>
    <row r="52" spans="1:3" ht="15" customHeight="1" x14ac:dyDescent="0.45">
      <c r="B52" t="s">
        <v>73</v>
      </c>
      <c r="C52" s="64">
        <v>12.5</v>
      </c>
    </row>
    <row r="53" spans="1:3" ht="15" customHeight="1" x14ac:dyDescent="0.45">
      <c r="B53" t="s">
        <v>126</v>
      </c>
      <c r="C53" s="63">
        <v>1250</v>
      </c>
    </row>
    <row r="54" spans="1:3" ht="15" customHeight="1" x14ac:dyDescent="0.45">
      <c r="B54" t="s">
        <v>140</v>
      </c>
      <c r="C54" s="64">
        <v>1200</v>
      </c>
    </row>
    <row r="55" spans="1:3" ht="15" customHeight="1" x14ac:dyDescent="0.45">
      <c r="B55" t="s">
        <v>141</v>
      </c>
      <c r="C55" s="64">
        <v>16000</v>
      </c>
    </row>
    <row r="56" spans="1:3" ht="15" customHeight="1" x14ac:dyDescent="0.45">
      <c r="B56" t="s">
        <v>49</v>
      </c>
      <c r="C56" s="64">
        <v>950</v>
      </c>
    </row>
    <row r="57" spans="1:3" ht="15" customHeight="1" x14ac:dyDescent="0.45">
      <c r="B57" t="s">
        <v>142</v>
      </c>
      <c r="C57" s="64">
        <v>45</v>
      </c>
    </row>
    <row r="59" spans="1:3" ht="15" customHeight="1" x14ac:dyDescent="0.45">
      <c r="B59" t="s">
        <v>57</v>
      </c>
      <c r="C59">
        <f>C52*C53+C54+C55-C56-C57</f>
        <v>31830</v>
      </c>
    </row>
    <row r="61" spans="1:3" ht="15" customHeight="1" x14ac:dyDescent="0.45">
      <c r="A61" s="70" t="s">
        <v>33</v>
      </c>
    </row>
    <row r="62" spans="1:3" ht="15" customHeight="1" x14ac:dyDescent="0.45">
      <c r="B62" t="s">
        <v>150</v>
      </c>
    </row>
    <row r="64" spans="1:3" ht="15" customHeight="1" x14ac:dyDescent="0.45">
      <c r="B64" t="s">
        <v>73</v>
      </c>
      <c r="C64" s="64">
        <v>1.93</v>
      </c>
    </row>
    <row r="65" spans="1:3" ht="15" customHeight="1" x14ac:dyDescent="0.45">
      <c r="B65" t="s">
        <v>126</v>
      </c>
      <c r="C65" s="63">
        <v>550</v>
      </c>
    </row>
    <row r="66" spans="1:3" ht="15" customHeight="1" x14ac:dyDescent="0.45">
      <c r="B66" t="s">
        <v>140</v>
      </c>
      <c r="C66" s="63">
        <v>175</v>
      </c>
    </row>
    <row r="67" spans="1:3" ht="15" customHeight="1" x14ac:dyDescent="0.45">
      <c r="B67" t="s">
        <v>141</v>
      </c>
      <c r="C67" s="63">
        <v>2200</v>
      </c>
    </row>
    <row r="68" spans="1:3" ht="15" customHeight="1" x14ac:dyDescent="0.45">
      <c r="B68" t="s">
        <v>124</v>
      </c>
      <c r="C68" s="63">
        <v>93.2</v>
      </c>
    </row>
    <row r="69" spans="1:3" ht="15" customHeight="1" x14ac:dyDescent="0.45">
      <c r="B69" t="s">
        <v>143</v>
      </c>
      <c r="C69" s="63">
        <v>55.2</v>
      </c>
    </row>
    <row r="71" spans="1:3" ht="15" customHeight="1" x14ac:dyDescent="0.45">
      <c r="B71" t="s">
        <v>57</v>
      </c>
      <c r="C71">
        <f>C64*C65+C66+C67-C68-C69</f>
        <v>3288.1000000000004</v>
      </c>
    </row>
    <row r="73" spans="1:3" ht="15" customHeight="1" x14ac:dyDescent="0.45">
      <c r="A73" s="70" t="s">
        <v>35</v>
      </c>
    </row>
    <row r="74" spans="1:3" ht="15" customHeight="1" x14ac:dyDescent="0.45">
      <c r="B74" t="s">
        <v>151</v>
      </c>
    </row>
    <row r="76" spans="1:3" ht="15" customHeight="1" x14ac:dyDescent="0.45">
      <c r="B76" t="s">
        <v>73</v>
      </c>
      <c r="C76" s="64">
        <v>5</v>
      </c>
    </row>
    <row r="77" spans="1:3" ht="15" customHeight="1" x14ac:dyDescent="0.45">
      <c r="B77" t="s">
        <v>126</v>
      </c>
      <c r="C77" s="63">
        <v>750</v>
      </c>
    </row>
    <row r="78" spans="1:3" ht="15" customHeight="1" x14ac:dyDescent="0.45">
      <c r="B78" t="s">
        <v>144</v>
      </c>
      <c r="C78" s="63">
        <v>490</v>
      </c>
    </row>
    <row r="79" spans="1:3" ht="15" customHeight="1" x14ac:dyDescent="0.45">
      <c r="B79" t="s">
        <v>140</v>
      </c>
      <c r="C79" s="63">
        <v>365</v>
      </c>
    </row>
    <row r="80" spans="1:3" ht="15" customHeight="1" x14ac:dyDescent="0.45">
      <c r="B80" t="s">
        <v>141</v>
      </c>
      <c r="C80" s="63">
        <v>4255</v>
      </c>
    </row>
    <row r="81" spans="1:5" ht="15" customHeight="1" x14ac:dyDescent="0.45">
      <c r="B81" t="s">
        <v>124</v>
      </c>
      <c r="C81" s="63">
        <v>85</v>
      </c>
    </row>
    <row r="82" spans="1:5" ht="15" customHeight="1" x14ac:dyDescent="0.45">
      <c r="B82" t="s">
        <v>145</v>
      </c>
      <c r="C82" s="63">
        <v>750</v>
      </c>
    </row>
    <row r="84" spans="1:5" ht="15" customHeight="1" x14ac:dyDescent="0.45">
      <c r="B84" t="s">
        <v>57</v>
      </c>
      <c r="C84">
        <f>C76*C77+C78+C79+C80-C81-C82</f>
        <v>8025</v>
      </c>
    </row>
    <row r="86" spans="1:5" ht="15" customHeight="1" x14ac:dyDescent="0.45">
      <c r="A86" s="70" t="s">
        <v>36</v>
      </c>
    </row>
    <row r="87" spans="1:5" ht="15" customHeight="1" x14ac:dyDescent="0.45">
      <c r="B87" t="s">
        <v>152</v>
      </c>
    </row>
    <row r="89" spans="1:5" ht="15" customHeight="1" x14ac:dyDescent="0.45">
      <c r="B89" t="s">
        <v>146</v>
      </c>
      <c r="C89" s="63">
        <v>1200000</v>
      </c>
      <c r="E89" s="65"/>
    </row>
    <row r="90" spans="1:5" ht="15" customHeight="1" x14ac:dyDescent="0.45">
      <c r="B90" t="s">
        <v>126</v>
      </c>
      <c r="C90" s="63">
        <v>14000</v>
      </c>
    </row>
    <row r="91" spans="1:5" ht="15" customHeight="1" x14ac:dyDescent="0.45">
      <c r="B91" t="s">
        <v>144</v>
      </c>
      <c r="C91" s="63">
        <v>5000</v>
      </c>
    </row>
    <row r="92" spans="1:5" ht="15" customHeight="1" x14ac:dyDescent="0.45">
      <c r="B92" t="s">
        <v>140</v>
      </c>
      <c r="C92" s="63">
        <v>3500</v>
      </c>
    </row>
    <row r="93" spans="1:5" ht="15" customHeight="1" x14ac:dyDescent="0.45">
      <c r="B93" t="s">
        <v>141</v>
      </c>
      <c r="C93" s="63">
        <v>48935</v>
      </c>
    </row>
    <row r="94" spans="1:5" ht="15" customHeight="1" x14ac:dyDescent="0.45">
      <c r="B94" t="s">
        <v>124</v>
      </c>
      <c r="C94" s="63">
        <v>1500</v>
      </c>
    </row>
    <row r="95" spans="1:5" ht="15" customHeight="1" x14ac:dyDescent="0.45">
      <c r="B95" t="s">
        <v>145</v>
      </c>
      <c r="C95" s="63">
        <v>475</v>
      </c>
    </row>
    <row r="97" spans="1:5" ht="15" customHeight="1" x14ac:dyDescent="0.45">
      <c r="B97" t="s">
        <v>114</v>
      </c>
      <c r="C97" s="65">
        <f>(C89+C94+C95-C91-C92-C93)/C90</f>
        <v>81.752857142857138</v>
      </c>
    </row>
    <row r="99" spans="1:5" ht="15" customHeight="1" x14ac:dyDescent="0.45">
      <c r="A99" s="70" t="s">
        <v>46</v>
      </c>
    </row>
    <row r="100" spans="1:5" ht="15" customHeight="1" x14ac:dyDescent="0.45">
      <c r="B100" t="s">
        <v>153</v>
      </c>
    </row>
    <row r="102" spans="1:5" ht="15" customHeight="1" x14ac:dyDescent="0.45">
      <c r="B102" t="s">
        <v>146</v>
      </c>
      <c r="C102" s="63">
        <v>700000</v>
      </c>
      <c r="E102" s="65"/>
    </row>
    <row r="103" spans="1:5" ht="15" customHeight="1" x14ac:dyDescent="0.45">
      <c r="B103" t="s">
        <v>126</v>
      </c>
      <c r="C103" s="63">
        <v>52355</v>
      </c>
    </row>
    <row r="104" spans="1:5" ht="15" customHeight="1" x14ac:dyDescent="0.45">
      <c r="B104" t="s">
        <v>147</v>
      </c>
      <c r="C104" s="63">
        <v>2450</v>
      </c>
    </row>
    <row r="105" spans="1:5" ht="15" customHeight="1" x14ac:dyDescent="0.45">
      <c r="B105" t="s">
        <v>140</v>
      </c>
      <c r="C105" s="63">
        <v>1400</v>
      </c>
    </row>
    <row r="106" spans="1:5" ht="15" customHeight="1" x14ac:dyDescent="0.45">
      <c r="B106" t="s">
        <v>141</v>
      </c>
      <c r="C106" s="63">
        <v>15000</v>
      </c>
    </row>
    <row r="107" spans="1:5" ht="15" customHeight="1" x14ac:dyDescent="0.45">
      <c r="B107" t="s">
        <v>124</v>
      </c>
      <c r="C107" s="63">
        <v>1500</v>
      </c>
    </row>
    <row r="108" spans="1:5" ht="15" customHeight="1" x14ac:dyDescent="0.45">
      <c r="B108" t="s">
        <v>148</v>
      </c>
      <c r="C108" s="63">
        <v>420</v>
      </c>
    </row>
    <row r="110" spans="1:5" ht="15" customHeight="1" x14ac:dyDescent="0.45">
      <c r="B110" t="s">
        <v>114</v>
      </c>
      <c r="C110" s="65">
        <f>(C102+C107+C108-C104-C105-C106)/C103</f>
        <v>13.04689141438258</v>
      </c>
    </row>
    <row r="111" spans="1:5" ht="15" customHeight="1" x14ac:dyDescent="0.45">
      <c r="C111" s="65"/>
    </row>
    <row r="112" spans="1:5" ht="15" customHeight="1" x14ac:dyDescent="0.45">
      <c r="A112" s="18" t="s">
        <v>58</v>
      </c>
    </row>
    <row r="113" spans="1:3" ht="15" customHeight="1" x14ac:dyDescent="0.45">
      <c r="B113" t="s">
        <v>103</v>
      </c>
    </row>
    <row r="115" spans="1:3" ht="15" customHeight="1" x14ac:dyDescent="0.45">
      <c r="B115" t="s">
        <v>80</v>
      </c>
      <c r="C115" s="63">
        <v>100</v>
      </c>
    </row>
    <row r="116" spans="1:3" ht="15" customHeight="1" x14ac:dyDescent="0.45">
      <c r="B116" t="s">
        <v>61</v>
      </c>
      <c r="C116" s="63">
        <v>250</v>
      </c>
    </row>
    <row r="117" spans="1:3" ht="15" customHeight="1" x14ac:dyDescent="0.45">
      <c r="B117" t="s">
        <v>81</v>
      </c>
      <c r="C117" s="63">
        <v>10</v>
      </c>
    </row>
    <row r="118" spans="1:3" ht="15" customHeight="1" x14ac:dyDescent="0.45">
      <c r="B118" t="s">
        <v>32</v>
      </c>
    </row>
    <row r="120" spans="1:3" ht="15" customHeight="1" x14ac:dyDescent="0.45">
      <c r="B120" t="s">
        <v>73</v>
      </c>
      <c r="C120" s="65">
        <f>C115/C116</f>
        <v>0.4</v>
      </c>
    </row>
    <row r="121" spans="1:3" ht="15" customHeight="1" x14ac:dyDescent="0.45">
      <c r="B121" t="s">
        <v>82</v>
      </c>
      <c r="C121" s="65">
        <f>C117/C116</f>
        <v>0.04</v>
      </c>
    </row>
    <row r="122" spans="1:3" ht="15" customHeight="1" x14ac:dyDescent="0.45">
      <c r="B122" t="s">
        <v>83</v>
      </c>
      <c r="C122">
        <f>C120/C121</f>
        <v>10</v>
      </c>
    </row>
    <row r="124" spans="1:3" ht="15" customHeight="1" x14ac:dyDescent="0.45">
      <c r="A124" s="18" t="s">
        <v>59</v>
      </c>
    </row>
    <row r="125" spans="1:3" ht="15" customHeight="1" x14ac:dyDescent="0.45">
      <c r="B125" t="s">
        <v>139</v>
      </c>
    </row>
    <row r="127" spans="1:3" ht="15" customHeight="1" x14ac:dyDescent="0.45">
      <c r="B127" t="s">
        <v>108</v>
      </c>
      <c r="C127" s="63">
        <v>500000</v>
      </c>
    </row>
    <row r="128" spans="1:3" ht="15" customHeight="1" x14ac:dyDescent="0.45">
      <c r="B128" t="s">
        <v>34</v>
      </c>
      <c r="C128" s="63">
        <v>300000</v>
      </c>
    </row>
    <row r="130" spans="1:3" ht="15" customHeight="1" x14ac:dyDescent="0.45">
      <c r="B130" t="s">
        <v>93</v>
      </c>
    </row>
    <row r="132" spans="1:3" ht="15" customHeight="1" x14ac:dyDescent="0.45">
      <c r="B132" t="s">
        <v>84</v>
      </c>
      <c r="C132">
        <f>C127-C128</f>
        <v>200000</v>
      </c>
    </row>
    <row r="134" spans="1:3" ht="15" customHeight="1" x14ac:dyDescent="0.45">
      <c r="A134" s="18" t="s">
        <v>60</v>
      </c>
    </row>
    <row r="135" spans="1:3" ht="15" customHeight="1" x14ac:dyDescent="0.45">
      <c r="B135" t="s">
        <v>135</v>
      </c>
    </row>
    <row r="136" spans="1:3" ht="15" customHeight="1" x14ac:dyDescent="0.45">
      <c r="B136" t="s">
        <v>94</v>
      </c>
    </row>
    <row r="138" spans="1:3" ht="15" customHeight="1" x14ac:dyDescent="0.45">
      <c r="B138" t="s">
        <v>85</v>
      </c>
      <c r="C138">
        <f>C132-100000</f>
        <v>100000</v>
      </c>
    </row>
    <row r="140" spans="1:3" ht="15" customHeight="1" x14ac:dyDescent="0.45">
      <c r="A140" s="18" t="s">
        <v>62</v>
      </c>
    </row>
    <row r="141" spans="1:3" ht="15" customHeight="1" x14ac:dyDescent="0.45">
      <c r="B141" t="s">
        <v>95</v>
      </c>
    </row>
    <row r="143" spans="1:3" ht="15" customHeight="1" x14ac:dyDescent="0.45">
      <c r="B143" t="s">
        <v>37</v>
      </c>
      <c r="C143" t="s">
        <v>45</v>
      </c>
    </row>
    <row r="144" spans="1:3" ht="15" customHeight="1" x14ac:dyDescent="0.45">
      <c r="B144" t="s">
        <v>38</v>
      </c>
      <c r="C144" t="s">
        <v>41</v>
      </c>
    </row>
    <row r="145" spans="1:3" ht="15" customHeight="1" x14ac:dyDescent="0.45">
      <c r="B145" t="s">
        <v>39</v>
      </c>
      <c r="C145" t="s">
        <v>42</v>
      </c>
    </row>
    <row r="146" spans="1:3" ht="15" customHeight="1" x14ac:dyDescent="0.45">
      <c r="B146" t="s">
        <v>40</v>
      </c>
      <c r="C146" t="s">
        <v>43</v>
      </c>
    </row>
    <row r="147" spans="1:3" ht="15" customHeight="1" x14ac:dyDescent="0.45">
      <c r="C147" t="s">
        <v>44</v>
      </c>
    </row>
    <row r="149" spans="1:3" ht="15" customHeight="1" x14ac:dyDescent="0.45">
      <c r="A149" s="18" t="s">
        <v>127</v>
      </c>
    </row>
    <row r="150" spans="1:3" ht="15" customHeight="1" x14ac:dyDescent="0.45">
      <c r="B150" t="s">
        <v>55</v>
      </c>
    </row>
    <row r="152" spans="1:3" ht="15" customHeight="1" x14ac:dyDescent="0.45">
      <c r="C152" t="s">
        <v>47</v>
      </c>
    </row>
    <row r="153" spans="1:3" ht="15" customHeight="1" x14ac:dyDescent="0.45">
      <c r="B153" t="s">
        <v>49</v>
      </c>
      <c r="C153" s="63">
        <v>50</v>
      </c>
    </row>
    <row r="154" spans="1:3" ht="15" customHeight="1" x14ac:dyDescent="0.45">
      <c r="B154" t="s">
        <v>54</v>
      </c>
      <c r="C154" s="63">
        <v>300</v>
      </c>
    </row>
    <row r="155" spans="1:3" ht="15" customHeight="1" x14ac:dyDescent="0.45">
      <c r="B155" t="s">
        <v>51</v>
      </c>
      <c r="C155">
        <f>SUM(C153:C154)</f>
        <v>350</v>
      </c>
    </row>
    <row r="157" spans="1:3" ht="15" customHeight="1" x14ac:dyDescent="0.45">
      <c r="C157" t="s">
        <v>48</v>
      </c>
    </row>
    <row r="158" spans="1:3" ht="15" customHeight="1" x14ac:dyDescent="0.45">
      <c r="B158" t="s">
        <v>86</v>
      </c>
      <c r="C158" s="63">
        <v>100</v>
      </c>
    </row>
    <row r="159" spans="1:3" ht="15" customHeight="1" x14ac:dyDescent="0.45">
      <c r="B159" t="s">
        <v>87</v>
      </c>
      <c r="C159" s="63">
        <v>100</v>
      </c>
    </row>
    <row r="160" spans="1:3" ht="15" customHeight="1" x14ac:dyDescent="0.45">
      <c r="B160" t="s">
        <v>50</v>
      </c>
      <c r="C160" s="63">
        <v>150</v>
      </c>
    </row>
    <row r="161" spans="1:3" ht="15" customHeight="1" x14ac:dyDescent="0.45">
      <c r="B161" t="s">
        <v>51</v>
      </c>
      <c r="C161">
        <f>SUM(C158:C160)</f>
        <v>350</v>
      </c>
    </row>
    <row r="164" spans="1:3" ht="15" customHeight="1" x14ac:dyDescent="0.45">
      <c r="B164" t="s">
        <v>73</v>
      </c>
      <c r="C164" s="64">
        <v>2.5</v>
      </c>
    </row>
    <row r="165" spans="1:3" ht="15" customHeight="1" x14ac:dyDescent="0.45">
      <c r="B165" t="s">
        <v>61</v>
      </c>
      <c r="C165" s="63">
        <v>100</v>
      </c>
    </row>
    <row r="167" spans="1:3" ht="15" customHeight="1" x14ac:dyDescent="0.45">
      <c r="B167" t="s">
        <v>96</v>
      </c>
    </row>
    <row r="168" spans="1:3" ht="15" customHeight="1" x14ac:dyDescent="0.45">
      <c r="B168" t="s">
        <v>97</v>
      </c>
    </row>
    <row r="170" spans="1:3" ht="15" customHeight="1" x14ac:dyDescent="0.45">
      <c r="B170" t="s">
        <v>56</v>
      </c>
      <c r="C170">
        <f>C164*C165</f>
        <v>250</v>
      </c>
    </row>
    <row r="171" spans="1:3" ht="15" customHeight="1" x14ac:dyDescent="0.45">
      <c r="B171" t="s">
        <v>57</v>
      </c>
      <c r="C171">
        <f>C170+C158-C153</f>
        <v>300</v>
      </c>
    </row>
    <row r="173" spans="1:3" ht="15" customHeight="1" x14ac:dyDescent="0.45">
      <c r="A173" s="18" t="s">
        <v>154</v>
      </c>
    </row>
    <row r="174" spans="1:3" ht="15" customHeight="1" x14ac:dyDescent="0.45">
      <c r="B174" t="s">
        <v>137</v>
      </c>
    </row>
    <row r="176" spans="1:3" ht="15" customHeight="1" x14ac:dyDescent="0.45">
      <c r="C176" t="s">
        <v>47</v>
      </c>
    </row>
    <row r="177" spans="2:3" ht="15" customHeight="1" x14ac:dyDescent="0.45">
      <c r="B177" t="s">
        <v>49</v>
      </c>
      <c r="C177" s="63">
        <f>C153-20</f>
        <v>30</v>
      </c>
    </row>
    <row r="178" spans="2:3" ht="15" customHeight="1" x14ac:dyDescent="0.45">
      <c r="B178" t="s">
        <v>54</v>
      </c>
      <c r="C178" s="63">
        <v>300</v>
      </c>
    </row>
    <row r="179" spans="2:3" ht="15" customHeight="1" x14ac:dyDescent="0.45">
      <c r="B179" t="s">
        <v>51</v>
      </c>
      <c r="C179">
        <f>SUM(C177:C178)</f>
        <v>330</v>
      </c>
    </row>
    <row r="181" spans="2:3" ht="15" customHeight="1" x14ac:dyDescent="0.45">
      <c r="C181" t="s">
        <v>48</v>
      </c>
    </row>
    <row r="182" spans="2:3" ht="15" customHeight="1" x14ac:dyDescent="0.45">
      <c r="B182" t="s">
        <v>86</v>
      </c>
      <c r="C182" s="63">
        <f>C158-20</f>
        <v>80</v>
      </c>
    </row>
    <row r="183" spans="2:3" ht="15" customHeight="1" x14ac:dyDescent="0.45">
      <c r="B183" t="s">
        <v>109</v>
      </c>
      <c r="C183" s="63">
        <v>100</v>
      </c>
    </row>
    <row r="184" spans="2:3" ht="15" customHeight="1" x14ac:dyDescent="0.45">
      <c r="B184" t="s">
        <v>50</v>
      </c>
      <c r="C184" s="63">
        <f>C185-C182-C183</f>
        <v>150</v>
      </c>
    </row>
    <row r="185" spans="2:3" ht="15" customHeight="1" x14ac:dyDescent="0.45">
      <c r="B185" t="s">
        <v>51</v>
      </c>
      <c r="C185">
        <f>C179</f>
        <v>330</v>
      </c>
    </row>
    <row r="188" spans="2:3" ht="15" customHeight="1" x14ac:dyDescent="0.45">
      <c r="B188" t="s">
        <v>52</v>
      </c>
      <c r="C188" s="64">
        <f>C164</f>
        <v>2.5</v>
      </c>
    </row>
    <row r="189" spans="2:3" ht="15" customHeight="1" x14ac:dyDescent="0.45">
      <c r="B189" t="s">
        <v>53</v>
      </c>
      <c r="C189" s="63">
        <f>C165</f>
        <v>100</v>
      </c>
    </row>
    <row r="191" spans="2:3" ht="15" customHeight="1" x14ac:dyDescent="0.45">
      <c r="B191" t="s">
        <v>96</v>
      </c>
    </row>
    <row r="192" spans="2:3" ht="15" customHeight="1" x14ac:dyDescent="0.45">
      <c r="B192" t="s">
        <v>97</v>
      </c>
    </row>
    <row r="194" spans="1:3" ht="15" customHeight="1" x14ac:dyDescent="0.45">
      <c r="B194" t="s">
        <v>56</v>
      </c>
      <c r="C194">
        <f>C189*C188</f>
        <v>250</v>
      </c>
    </row>
    <row r="195" spans="1:3" ht="15" customHeight="1" x14ac:dyDescent="0.45">
      <c r="B195" t="s">
        <v>57</v>
      </c>
      <c r="C195">
        <f>C194+C182-C177</f>
        <v>300</v>
      </c>
    </row>
    <row r="197" spans="1:3" ht="15" customHeight="1" x14ac:dyDescent="0.45">
      <c r="A197" s="18" t="s">
        <v>155</v>
      </c>
    </row>
    <row r="198" spans="1:3" ht="15" customHeight="1" x14ac:dyDescent="0.45">
      <c r="B198" t="s">
        <v>136</v>
      </c>
    </row>
    <row r="200" spans="1:3" ht="15" customHeight="1" x14ac:dyDescent="0.45">
      <c r="C200" t="s">
        <v>47</v>
      </c>
    </row>
    <row r="201" spans="1:3" ht="15" customHeight="1" x14ac:dyDescent="0.45">
      <c r="B201" t="s">
        <v>49</v>
      </c>
      <c r="C201" s="63">
        <f>C177-20</f>
        <v>10</v>
      </c>
    </row>
    <row r="202" spans="1:3" ht="15" customHeight="1" x14ac:dyDescent="0.45">
      <c r="B202" t="s">
        <v>54</v>
      </c>
      <c r="C202" s="63">
        <v>300</v>
      </c>
    </row>
    <row r="203" spans="1:3" ht="15" customHeight="1" x14ac:dyDescent="0.45">
      <c r="B203" t="s">
        <v>51</v>
      </c>
      <c r="C203">
        <f>SUM(C201:C202)</f>
        <v>310</v>
      </c>
    </row>
    <row r="205" spans="1:3" ht="15" customHeight="1" x14ac:dyDescent="0.45">
      <c r="C205" t="s">
        <v>48</v>
      </c>
    </row>
    <row r="206" spans="1:3" ht="15" customHeight="1" x14ac:dyDescent="0.45">
      <c r="B206" t="s">
        <v>86</v>
      </c>
      <c r="C206" s="63">
        <f>C182</f>
        <v>80</v>
      </c>
    </row>
    <row r="207" spans="1:3" ht="15" customHeight="1" x14ac:dyDescent="0.45">
      <c r="B207" t="s">
        <v>87</v>
      </c>
      <c r="C207" s="63">
        <v>100</v>
      </c>
    </row>
    <row r="208" spans="1:3" ht="15" customHeight="1" x14ac:dyDescent="0.45">
      <c r="B208" t="s">
        <v>50</v>
      </c>
      <c r="C208" s="63">
        <f>C184-20</f>
        <v>130</v>
      </c>
    </row>
    <row r="209" spans="1:3" ht="15" customHeight="1" x14ac:dyDescent="0.45">
      <c r="B209" t="s">
        <v>51</v>
      </c>
      <c r="C209">
        <f>SUM(C206:C208)</f>
        <v>310</v>
      </c>
    </row>
    <row r="212" spans="1:3" ht="15" customHeight="1" x14ac:dyDescent="0.45">
      <c r="B212" t="s">
        <v>52</v>
      </c>
      <c r="C212" s="65">
        <f>C218/C213</f>
        <v>2.2999999999999998</v>
      </c>
    </row>
    <row r="213" spans="1:3" ht="15" customHeight="1" x14ac:dyDescent="0.45">
      <c r="B213" t="s">
        <v>53</v>
      </c>
      <c r="C213" s="63">
        <f>C189</f>
        <v>100</v>
      </c>
    </row>
    <row r="215" spans="1:3" ht="15" customHeight="1" x14ac:dyDescent="0.45">
      <c r="B215" t="s">
        <v>88</v>
      </c>
    </row>
    <row r="216" spans="1:3" ht="15" customHeight="1" x14ac:dyDescent="0.45">
      <c r="B216" t="s">
        <v>89</v>
      </c>
    </row>
    <row r="218" spans="1:3" ht="15" customHeight="1" x14ac:dyDescent="0.45">
      <c r="B218" t="s">
        <v>56</v>
      </c>
      <c r="C218">
        <f>C194-20</f>
        <v>230</v>
      </c>
    </row>
    <row r="219" spans="1:3" ht="15" customHeight="1" x14ac:dyDescent="0.45">
      <c r="B219" t="s">
        <v>57</v>
      </c>
      <c r="C219">
        <f>C218+C206-C201</f>
        <v>300</v>
      </c>
    </row>
    <row r="221" spans="1:3" ht="15" customHeight="1" x14ac:dyDescent="0.45">
      <c r="A221" s="18" t="s">
        <v>156</v>
      </c>
    </row>
    <row r="222" spans="1:3" ht="15" customHeight="1" x14ac:dyDescent="0.45">
      <c r="B222" t="s">
        <v>98</v>
      </c>
    </row>
    <row r="224" spans="1:3" ht="15" customHeight="1" x14ac:dyDescent="0.45">
      <c r="B224" t="s">
        <v>23</v>
      </c>
      <c r="C224" s="63">
        <v>500</v>
      </c>
    </row>
    <row r="225" spans="2:3" ht="15" customHeight="1" x14ac:dyDescent="0.45">
      <c r="C225" s="63"/>
    </row>
    <row r="226" spans="2:3" ht="15" customHeight="1" x14ac:dyDescent="0.45">
      <c r="B226" t="s">
        <v>123</v>
      </c>
      <c r="C226" s="63"/>
    </row>
    <row r="228" spans="2:3" ht="15" customHeight="1" x14ac:dyDescent="0.45">
      <c r="B228" t="s">
        <v>49</v>
      </c>
      <c r="C228" s="63">
        <v>50</v>
      </c>
    </row>
    <row r="229" spans="2:3" ht="15" customHeight="1" x14ac:dyDescent="0.45">
      <c r="B229" t="s">
        <v>110</v>
      </c>
      <c r="C229" s="63">
        <v>125</v>
      </c>
    </row>
    <row r="230" spans="2:3" ht="15" customHeight="1" x14ac:dyDescent="0.45">
      <c r="B230" t="s">
        <v>111</v>
      </c>
      <c r="C230" s="63">
        <v>200</v>
      </c>
    </row>
    <row r="231" spans="2:3" ht="15" customHeight="1" x14ac:dyDescent="0.45">
      <c r="B231" t="s">
        <v>112</v>
      </c>
      <c r="C231">
        <f>SUM(C228:C230)</f>
        <v>375</v>
      </c>
    </row>
    <row r="233" spans="2:3" ht="15" customHeight="1" x14ac:dyDescent="0.45">
      <c r="B233" t="s">
        <v>86</v>
      </c>
      <c r="C233" s="63">
        <v>75</v>
      </c>
    </row>
    <row r="234" spans="2:3" ht="15" customHeight="1" x14ac:dyDescent="0.45">
      <c r="B234" t="s">
        <v>87</v>
      </c>
      <c r="C234" s="63">
        <v>50</v>
      </c>
    </row>
    <row r="235" spans="2:3" ht="15" customHeight="1" x14ac:dyDescent="0.45">
      <c r="B235" t="s">
        <v>50</v>
      </c>
      <c r="C235" s="63">
        <v>250</v>
      </c>
    </row>
    <row r="236" spans="2:3" ht="15" customHeight="1" x14ac:dyDescent="0.45">
      <c r="B236" t="s">
        <v>113</v>
      </c>
      <c r="C236">
        <f>SUM(C233:C235)</f>
        <v>375</v>
      </c>
    </row>
    <row r="238" spans="2:3" ht="15" customHeight="1" x14ac:dyDescent="0.45">
      <c r="B238" t="s">
        <v>61</v>
      </c>
      <c r="C238" s="63">
        <v>100</v>
      </c>
    </row>
    <row r="240" spans="2:3" ht="15" customHeight="1" x14ac:dyDescent="0.45">
      <c r="B240" t="s">
        <v>56</v>
      </c>
      <c r="C240">
        <f>C224-C233+C228</f>
        <v>475</v>
      </c>
    </row>
    <row r="241" spans="1:5" ht="15" customHeight="1" x14ac:dyDescent="0.45">
      <c r="B241" t="s">
        <v>114</v>
      </c>
      <c r="C241" s="65">
        <f>C240/C238</f>
        <v>4.75</v>
      </c>
    </row>
    <row r="243" spans="1:5" ht="15" customHeight="1" x14ac:dyDescent="0.45">
      <c r="A243" s="18" t="s">
        <v>157</v>
      </c>
    </row>
    <row r="244" spans="1:5" ht="15" customHeight="1" x14ac:dyDescent="0.45">
      <c r="B244" t="s">
        <v>138</v>
      </c>
    </row>
    <row r="245" spans="1:5" ht="15" customHeight="1" x14ac:dyDescent="0.45">
      <c r="B245" t="s">
        <v>74</v>
      </c>
    </row>
    <row r="247" spans="1:5" ht="15" customHeight="1" x14ac:dyDescent="0.45">
      <c r="C247" t="s">
        <v>24</v>
      </c>
      <c r="D247" t="s">
        <v>25</v>
      </c>
      <c r="E247" t="s">
        <v>75</v>
      </c>
    </row>
    <row r="248" spans="1:5" ht="15" customHeight="1" x14ac:dyDescent="0.45">
      <c r="B248" t="s">
        <v>63</v>
      </c>
      <c r="C248" s="66">
        <v>12</v>
      </c>
      <c r="D248" s="66">
        <v>7</v>
      </c>
      <c r="E248" s="66">
        <v>8</v>
      </c>
    </row>
    <row r="249" spans="1:5" ht="15" customHeight="1" x14ac:dyDescent="0.45">
      <c r="B249" t="s">
        <v>64</v>
      </c>
      <c r="C249" s="66">
        <v>14</v>
      </c>
      <c r="D249" s="66">
        <v>5</v>
      </c>
      <c r="E249" s="66">
        <v>6</v>
      </c>
    </row>
    <row r="250" spans="1:5" ht="15" customHeight="1" x14ac:dyDescent="0.45">
      <c r="B250" t="s">
        <v>65</v>
      </c>
      <c r="C250">
        <f>AVERAGE(C248:C249)</f>
        <v>13</v>
      </c>
      <c r="D250">
        <f t="shared" ref="D250:E250" si="0">AVERAGE(D248:D249)</f>
        <v>6</v>
      </c>
      <c r="E250">
        <f t="shared" si="0"/>
        <v>7</v>
      </c>
    </row>
    <row r="252" spans="1:5" ht="15" customHeight="1" x14ac:dyDescent="0.45">
      <c r="B252" t="s">
        <v>115</v>
      </c>
    </row>
    <row r="254" spans="1:5" ht="15" customHeight="1" x14ac:dyDescent="0.45">
      <c r="B254" t="s">
        <v>123</v>
      </c>
    </row>
    <row r="256" spans="1:5" ht="15" customHeight="1" x14ac:dyDescent="0.45">
      <c r="B256" t="s">
        <v>49</v>
      </c>
      <c r="C256" s="63">
        <v>15</v>
      </c>
    </row>
    <row r="257" spans="2:3" ht="15" customHeight="1" x14ac:dyDescent="0.45">
      <c r="B257" t="s">
        <v>54</v>
      </c>
      <c r="C257" s="63">
        <v>205</v>
      </c>
    </row>
    <row r="258" spans="2:3" ht="15" customHeight="1" x14ac:dyDescent="0.45">
      <c r="B258" t="s">
        <v>112</v>
      </c>
      <c r="C258">
        <f>SUM(C256:C257)</f>
        <v>220</v>
      </c>
    </row>
    <row r="260" spans="2:3" ht="15" customHeight="1" x14ac:dyDescent="0.45">
      <c r="B260" t="s">
        <v>86</v>
      </c>
      <c r="C260" s="63">
        <v>60</v>
      </c>
    </row>
    <row r="261" spans="2:3" ht="15" customHeight="1" x14ac:dyDescent="0.45">
      <c r="B261" t="s">
        <v>116</v>
      </c>
      <c r="C261" s="63">
        <v>60</v>
      </c>
    </row>
    <row r="262" spans="2:3" ht="15" customHeight="1" x14ac:dyDescent="0.45">
      <c r="B262" t="s">
        <v>50</v>
      </c>
      <c r="C262" s="63">
        <v>100</v>
      </c>
    </row>
    <row r="263" spans="2:3" ht="15" customHeight="1" x14ac:dyDescent="0.45">
      <c r="B263" t="s">
        <v>159</v>
      </c>
      <c r="C263">
        <f>SUM(C260:C262)</f>
        <v>220</v>
      </c>
    </row>
    <row r="265" spans="2:3" ht="15" customHeight="1" x14ac:dyDescent="0.45">
      <c r="B265" t="s">
        <v>66</v>
      </c>
      <c r="C265" s="63">
        <v>40</v>
      </c>
    </row>
    <row r="266" spans="2:3" ht="15" customHeight="1" x14ac:dyDescent="0.45">
      <c r="B266" t="s">
        <v>67</v>
      </c>
      <c r="C266" s="63">
        <v>5</v>
      </c>
    </row>
    <row r="267" spans="2:3" ht="15" customHeight="1" x14ac:dyDescent="0.45">
      <c r="B267" t="s">
        <v>68</v>
      </c>
      <c r="C267" s="63">
        <v>5</v>
      </c>
    </row>
    <row r="268" spans="2:3" ht="15" customHeight="1" x14ac:dyDescent="0.45">
      <c r="B268" t="s">
        <v>117</v>
      </c>
      <c r="C268" s="63">
        <v>5</v>
      </c>
    </row>
    <row r="269" spans="2:3" ht="15" customHeight="1" x14ac:dyDescent="0.45">
      <c r="B269" t="s">
        <v>69</v>
      </c>
      <c r="C269" s="67">
        <v>0.3</v>
      </c>
    </row>
    <row r="271" spans="2:3" ht="15" customHeight="1" x14ac:dyDescent="0.45">
      <c r="B271" t="s">
        <v>70</v>
      </c>
      <c r="C271">
        <f>C265+C266+C267</f>
        <v>50</v>
      </c>
    </row>
    <row r="272" spans="2:3" ht="15" customHeight="1" x14ac:dyDescent="0.45">
      <c r="B272" t="s">
        <v>119</v>
      </c>
      <c r="C272">
        <f>C265-C268</f>
        <v>35</v>
      </c>
    </row>
    <row r="273" spans="2:3" ht="15" customHeight="1" x14ac:dyDescent="0.45">
      <c r="B273" t="s">
        <v>71</v>
      </c>
      <c r="C273">
        <f>C269*C272</f>
        <v>10.5</v>
      </c>
    </row>
    <row r="274" spans="2:3" ht="15" customHeight="1" x14ac:dyDescent="0.45">
      <c r="B274" t="s">
        <v>72</v>
      </c>
      <c r="C274">
        <f>C272-C273</f>
        <v>24.5</v>
      </c>
    </row>
    <row r="276" spans="2:3" ht="15" customHeight="1" x14ac:dyDescent="0.45">
      <c r="B276" t="s">
        <v>120</v>
      </c>
    </row>
    <row r="277" spans="2:3" ht="15" customHeight="1" x14ac:dyDescent="0.45">
      <c r="B277" t="s">
        <v>56</v>
      </c>
      <c r="C277">
        <f>C250*C274</f>
        <v>318.5</v>
      </c>
    </row>
    <row r="278" spans="2:3" ht="15" customHeight="1" x14ac:dyDescent="0.45">
      <c r="B278" t="s">
        <v>118</v>
      </c>
      <c r="C278">
        <f>C260-C256</f>
        <v>45</v>
      </c>
    </row>
    <row r="279" spans="2:3" ht="15" customHeight="1" x14ac:dyDescent="0.45">
      <c r="B279" t="s">
        <v>23</v>
      </c>
      <c r="C279">
        <f>SUM(C277:C278)</f>
        <v>363.5</v>
      </c>
    </row>
    <row r="281" spans="2:3" ht="15" customHeight="1" x14ac:dyDescent="0.45">
      <c r="B281" t="s">
        <v>121</v>
      </c>
    </row>
    <row r="282" spans="2:3" ht="15" customHeight="1" x14ac:dyDescent="0.45">
      <c r="B282" t="s">
        <v>23</v>
      </c>
      <c r="C282">
        <f>D250*C271</f>
        <v>300</v>
      </c>
    </row>
    <row r="283" spans="2:3" ht="15" customHeight="1" x14ac:dyDescent="0.45">
      <c r="B283" t="s">
        <v>118</v>
      </c>
      <c r="C283">
        <f>C260-C256</f>
        <v>45</v>
      </c>
    </row>
    <row r="284" spans="2:3" ht="15" customHeight="1" x14ac:dyDescent="0.45">
      <c r="B284" t="s">
        <v>56</v>
      </c>
      <c r="C284">
        <f>C282-C283</f>
        <v>255</v>
      </c>
    </row>
    <row r="286" spans="2:3" ht="15" customHeight="1" x14ac:dyDescent="0.45">
      <c r="B286" t="s">
        <v>122</v>
      </c>
    </row>
    <row r="287" spans="2:3" ht="15" customHeight="1" x14ac:dyDescent="0.45">
      <c r="B287" t="s">
        <v>23</v>
      </c>
      <c r="C287">
        <f>E250*C265</f>
        <v>280</v>
      </c>
    </row>
    <row r="288" spans="2:3" ht="15" customHeight="1" x14ac:dyDescent="0.45">
      <c r="B288" t="s">
        <v>118</v>
      </c>
      <c r="C288">
        <f>C283</f>
        <v>45</v>
      </c>
    </row>
    <row r="289" spans="1:4" ht="15" customHeight="1" x14ac:dyDescent="0.45">
      <c r="B289" t="s">
        <v>56</v>
      </c>
      <c r="C289">
        <f>C287-C288</f>
        <v>235</v>
      </c>
    </row>
    <row r="291" spans="1:4" ht="15" customHeight="1" x14ac:dyDescent="0.45">
      <c r="A291" s="18" t="s">
        <v>158</v>
      </c>
    </row>
    <row r="292" spans="1:4" ht="15" customHeight="1" x14ac:dyDescent="0.45">
      <c r="B292" t="s">
        <v>162</v>
      </c>
    </row>
    <row r="294" spans="1:4" ht="15" customHeight="1" x14ac:dyDescent="0.45">
      <c r="C294" t="s">
        <v>133</v>
      </c>
      <c r="D294" t="s">
        <v>161</v>
      </c>
    </row>
    <row r="295" spans="1:4" ht="15" customHeight="1" x14ac:dyDescent="0.45">
      <c r="B295" t="s">
        <v>124</v>
      </c>
      <c r="C295" s="63">
        <v>671</v>
      </c>
      <c r="D295" s="63">
        <v>1498</v>
      </c>
    </row>
    <row r="296" spans="1:4" ht="15" customHeight="1" x14ac:dyDescent="0.45">
      <c r="B296" t="s">
        <v>125</v>
      </c>
      <c r="C296" s="63">
        <v>3634</v>
      </c>
      <c r="D296" s="63">
        <v>1350</v>
      </c>
    </row>
    <row r="297" spans="1:4" ht="15" customHeight="1" x14ac:dyDescent="0.45">
      <c r="B297" t="s">
        <v>199</v>
      </c>
      <c r="C297" s="63">
        <v>170</v>
      </c>
      <c r="D297" s="63">
        <v>10</v>
      </c>
    </row>
    <row r="298" spans="1:4" ht="15" customHeight="1" x14ac:dyDescent="0.45">
      <c r="B298" t="s">
        <v>126</v>
      </c>
      <c r="C298" s="63">
        <v>340</v>
      </c>
      <c r="D298" s="63">
        <v>1975</v>
      </c>
    </row>
    <row r="299" spans="1:4" ht="15" customHeight="1" x14ac:dyDescent="0.45">
      <c r="B299" t="s">
        <v>73</v>
      </c>
      <c r="C299" s="64">
        <v>23.8</v>
      </c>
    </row>
    <row r="300" spans="1:4" ht="15" customHeight="1" x14ac:dyDescent="0.45">
      <c r="C300" s="64"/>
    </row>
    <row r="301" spans="1:4" ht="15" customHeight="1" x14ac:dyDescent="0.45">
      <c r="B301" t="s">
        <v>70</v>
      </c>
      <c r="C301" s="63">
        <v>987</v>
      </c>
      <c r="D301" s="63">
        <v>1350</v>
      </c>
    </row>
    <row r="302" spans="1:4" ht="15" customHeight="1" x14ac:dyDescent="0.45">
      <c r="C302" s="64"/>
      <c r="D302" s="64"/>
    </row>
    <row r="303" spans="1:4" ht="15" customHeight="1" x14ac:dyDescent="0.45">
      <c r="B303" t="s">
        <v>129</v>
      </c>
      <c r="C303">
        <f>(C299*C298)+C297+C296-C295</f>
        <v>11225</v>
      </c>
    </row>
    <row r="304" spans="1:4" ht="15" customHeight="1" x14ac:dyDescent="0.45">
      <c r="B304" t="s">
        <v>128</v>
      </c>
      <c r="C304">
        <f>C303/C301</f>
        <v>11.372847011144884</v>
      </c>
    </row>
    <row r="305" spans="1:10" ht="15" customHeight="1" x14ac:dyDescent="0.45">
      <c r="B305" t="s">
        <v>130</v>
      </c>
      <c r="C305">
        <f>C304</f>
        <v>11.372847011144884</v>
      </c>
    </row>
    <row r="306" spans="1:10" ht="15" customHeight="1" x14ac:dyDescent="0.45">
      <c r="B306" t="s">
        <v>131</v>
      </c>
      <c r="C306">
        <f>C305*D301</f>
        <v>15353.343465045593</v>
      </c>
    </row>
    <row r="307" spans="1:10" s="65" customFormat="1" ht="15" customHeight="1" x14ac:dyDescent="0.45">
      <c r="A307" s="69"/>
      <c r="B307" s="65" t="s">
        <v>132</v>
      </c>
      <c r="C307" s="65">
        <f>(C306+D295-D296-D297)/D298</f>
        <v>7.8437182101496674</v>
      </c>
      <c r="D307"/>
      <c r="E307"/>
      <c r="F307"/>
      <c r="G307"/>
      <c r="H307"/>
      <c r="I307"/>
      <c r="J307"/>
    </row>
    <row r="309" spans="1:10" ht="15" customHeight="1" x14ac:dyDescent="0.45">
      <c r="A309" s="18" t="s">
        <v>160</v>
      </c>
    </row>
    <row r="310" spans="1:10" ht="15" customHeight="1" x14ac:dyDescent="0.45">
      <c r="B310" t="s">
        <v>197</v>
      </c>
    </row>
    <row r="312" spans="1:10" ht="15" customHeight="1" x14ac:dyDescent="0.45">
      <c r="C312" t="s">
        <v>163</v>
      </c>
      <c r="D312" t="s">
        <v>164</v>
      </c>
    </row>
    <row r="313" spans="1:10" ht="15" customHeight="1" x14ac:dyDescent="0.45">
      <c r="B313" t="s">
        <v>73</v>
      </c>
      <c r="C313" s="64">
        <v>35</v>
      </c>
      <c r="D313" s="65">
        <f>D315/D314</f>
        <v>27.292307692307695</v>
      </c>
    </row>
    <row r="314" spans="1:10" ht="15" customHeight="1" x14ac:dyDescent="0.45">
      <c r="B314" t="s">
        <v>126</v>
      </c>
      <c r="C314" s="63">
        <v>1400</v>
      </c>
      <c r="D314" s="63">
        <v>700</v>
      </c>
    </row>
    <row r="315" spans="1:10" ht="15" customHeight="1" x14ac:dyDescent="0.45">
      <c r="B315" t="s">
        <v>56</v>
      </c>
      <c r="C315">
        <f>C313*C314</f>
        <v>49000</v>
      </c>
      <c r="D315">
        <f>D319+D318+D317-D316</f>
        <v>19104.615384615387</v>
      </c>
    </row>
    <row r="316" spans="1:10" ht="15" customHeight="1" x14ac:dyDescent="0.45">
      <c r="B316" t="s">
        <v>125</v>
      </c>
      <c r="C316" s="63">
        <v>4200</v>
      </c>
      <c r="D316" s="63">
        <v>1400</v>
      </c>
    </row>
    <row r="317" spans="1:10" ht="15" customHeight="1" x14ac:dyDescent="0.45">
      <c r="B317" t="s">
        <v>124</v>
      </c>
      <c r="C317" s="63">
        <v>630</v>
      </c>
      <c r="D317" s="63">
        <v>280</v>
      </c>
    </row>
    <row r="318" spans="1:10" ht="15" customHeight="1" x14ac:dyDescent="0.45">
      <c r="B318" t="s">
        <v>148</v>
      </c>
      <c r="C318" s="63">
        <v>350</v>
      </c>
      <c r="D318" s="63">
        <v>140</v>
      </c>
    </row>
    <row r="319" spans="1:10" ht="15" customHeight="1" x14ac:dyDescent="0.45">
      <c r="B319" t="s">
        <v>57</v>
      </c>
      <c r="C319">
        <f>C315+C316-C317-C318</f>
        <v>52220</v>
      </c>
      <c r="D319">
        <f>D321*D322</f>
        <v>20084.615384615387</v>
      </c>
    </row>
    <row r="321" spans="1:4" ht="15" customHeight="1" x14ac:dyDescent="0.45">
      <c r="B321" t="s">
        <v>66</v>
      </c>
      <c r="C321" s="63">
        <v>1820</v>
      </c>
      <c r="D321" s="63">
        <v>700</v>
      </c>
    </row>
    <row r="322" spans="1:4" ht="15" customHeight="1" x14ac:dyDescent="0.45">
      <c r="B322" t="s">
        <v>75</v>
      </c>
      <c r="C322" s="2">
        <f>C319/C321</f>
        <v>28.692307692307693</v>
      </c>
      <c r="D322" s="2">
        <f>C322</f>
        <v>28.692307692307693</v>
      </c>
    </row>
    <row r="324" spans="1:4" ht="15" customHeight="1" x14ac:dyDescent="0.45">
      <c r="A324" s="18" t="s">
        <v>165</v>
      </c>
    </row>
    <row r="325" spans="1:4" ht="15" customHeight="1" x14ac:dyDescent="0.45">
      <c r="B325" t="s">
        <v>198</v>
      </c>
    </row>
    <row r="327" spans="1:4" ht="15" customHeight="1" x14ac:dyDescent="0.45">
      <c r="B327" t="s">
        <v>178</v>
      </c>
      <c r="C327" t="s">
        <v>25</v>
      </c>
      <c r="D327" t="s">
        <v>75</v>
      </c>
    </row>
    <row r="328" spans="1:4" ht="15" customHeight="1" x14ac:dyDescent="0.45">
      <c r="B328" t="s">
        <v>169</v>
      </c>
      <c r="C328" s="66">
        <v>17</v>
      </c>
      <c r="D328" s="66">
        <v>18</v>
      </c>
    </row>
    <row r="329" spans="1:4" ht="15" customHeight="1" x14ac:dyDescent="0.45">
      <c r="B329" t="s">
        <v>166</v>
      </c>
      <c r="C329" s="66">
        <v>15</v>
      </c>
      <c r="D329" s="66">
        <v>16</v>
      </c>
    </row>
    <row r="330" spans="1:4" ht="15" customHeight="1" x14ac:dyDescent="0.45">
      <c r="B330" t="s">
        <v>167</v>
      </c>
      <c r="C330" s="66">
        <v>15.5</v>
      </c>
      <c r="D330" s="66">
        <v>16.5</v>
      </c>
    </row>
    <row r="331" spans="1:4" ht="15" customHeight="1" x14ac:dyDescent="0.45">
      <c r="B331" t="s">
        <v>168</v>
      </c>
      <c r="C331" s="66">
        <v>10</v>
      </c>
      <c r="D331" s="66">
        <v>11</v>
      </c>
    </row>
    <row r="332" spans="1:4" ht="15" customHeight="1" x14ac:dyDescent="0.45">
      <c r="B332" t="s">
        <v>65</v>
      </c>
      <c r="C332" s="2">
        <f>AVERAGE(C328:C331)</f>
        <v>14.375</v>
      </c>
      <c r="D332" s="2">
        <f>AVERAGE(D328:D331)</f>
        <v>15.375</v>
      </c>
    </row>
    <row r="334" spans="1:4" ht="15" customHeight="1" x14ac:dyDescent="0.45">
      <c r="B334" t="s">
        <v>173</v>
      </c>
      <c r="C334" s="63">
        <v>100</v>
      </c>
    </row>
    <row r="335" spans="1:4" ht="15" customHeight="1" x14ac:dyDescent="0.45">
      <c r="B335" t="s">
        <v>175</v>
      </c>
      <c r="C335">
        <f>C332*C334</f>
        <v>1437.5</v>
      </c>
    </row>
    <row r="336" spans="1:4" ht="15" customHeight="1" x14ac:dyDescent="0.45">
      <c r="B336" t="s">
        <v>174</v>
      </c>
      <c r="D336" s="63">
        <v>95</v>
      </c>
    </row>
    <row r="337" spans="1:6" ht="15" customHeight="1" x14ac:dyDescent="0.45">
      <c r="B337" t="s">
        <v>176</v>
      </c>
      <c r="D337">
        <f>D332*D336</f>
        <v>1460.625</v>
      </c>
    </row>
    <row r="339" spans="1:6" ht="15" customHeight="1" x14ac:dyDescent="0.45">
      <c r="A339" s="18" t="s">
        <v>177</v>
      </c>
    </row>
    <row r="340" spans="1:6" ht="15" customHeight="1" x14ac:dyDescent="0.45">
      <c r="B340" t="s">
        <v>194</v>
      </c>
    </row>
    <row r="341" spans="1:6" ht="15" customHeight="1" x14ac:dyDescent="0.45">
      <c r="B341" t="s">
        <v>195</v>
      </c>
    </row>
    <row r="342" spans="1:6" ht="15" customHeight="1" x14ac:dyDescent="0.45">
      <c r="E342" t="s">
        <v>70</v>
      </c>
      <c r="F342" t="s">
        <v>171</v>
      </c>
    </row>
    <row r="343" spans="1:6" ht="15" customHeight="1" x14ac:dyDescent="0.45">
      <c r="B343" t="s">
        <v>178</v>
      </c>
      <c r="C343" t="s">
        <v>25</v>
      </c>
      <c r="D343" t="s">
        <v>75</v>
      </c>
      <c r="E343" t="s">
        <v>170</v>
      </c>
      <c r="F343" t="s">
        <v>196</v>
      </c>
    </row>
    <row r="344" spans="1:6" ht="15" customHeight="1" x14ac:dyDescent="0.45">
      <c r="B344" t="s">
        <v>169</v>
      </c>
      <c r="C344" s="66">
        <v>17</v>
      </c>
      <c r="D344" s="66">
        <v>18</v>
      </c>
      <c r="E344" s="1">
        <v>0.24</v>
      </c>
      <c r="F344" s="1">
        <v>0.1</v>
      </c>
    </row>
    <row r="345" spans="1:6" ht="15" customHeight="1" x14ac:dyDescent="0.45">
      <c r="B345" t="s">
        <v>166</v>
      </c>
      <c r="C345" s="66">
        <v>15</v>
      </c>
      <c r="D345" s="66">
        <v>16</v>
      </c>
      <c r="E345" s="1">
        <v>0.2</v>
      </c>
      <c r="F345" s="1">
        <v>9.5000000000000001E-2</v>
      </c>
    </row>
    <row r="346" spans="1:6" ht="15" customHeight="1" x14ac:dyDescent="0.45">
      <c r="B346" t="s">
        <v>167</v>
      </c>
      <c r="C346" s="66">
        <v>15.5</v>
      </c>
      <c r="D346" s="66">
        <v>16.5</v>
      </c>
      <c r="E346" s="1">
        <v>0.27</v>
      </c>
      <c r="F346" s="1">
        <v>0.08</v>
      </c>
    </row>
    <row r="347" spans="1:6" ht="15" customHeight="1" x14ac:dyDescent="0.45">
      <c r="B347" t="s">
        <v>168</v>
      </c>
      <c r="C347" s="66">
        <v>10</v>
      </c>
      <c r="D347" s="66">
        <v>11</v>
      </c>
      <c r="E347" s="1">
        <v>0.08</v>
      </c>
      <c r="F347" s="1">
        <v>-0.01</v>
      </c>
    </row>
    <row r="349" spans="1:6" ht="15" customHeight="1" x14ac:dyDescent="0.45">
      <c r="B349" t="s">
        <v>172</v>
      </c>
      <c r="E349" s="1">
        <v>0.25</v>
      </c>
      <c r="F349" s="1">
        <v>0.09</v>
      </c>
    </row>
    <row r="350" spans="1:6" ht="15" customHeight="1" x14ac:dyDescent="0.45">
      <c r="B350" t="s">
        <v>190</v>
      </c>
    </row>
    <row r="352" spans="1:6" ht="15" customHeight="1" x14ac:dyDescent="0.45">
      <c r="B352" t="s">
        <v>189</v>
      </c>
      <c r="C352" s="2">
        <f>AVERAGE(C344:C346)</f>
        <v>15.833333333333334</v>
      </c>
      <c r="D352" s="2">
        <f>AVERAGE(D344:D346)</f>
        <v>16.833333333333332</v>
      </c>
    </row>
    <row r="353" spans="1:6" ht="15" customHeight="1" x14ac:dyDescent="0.45">
      <c r="B353" t="s">
        <v>173</v>
      </c>
      <c r="C353" s="63">
        <v>100</v>
      </c>
    </row>
    <row r="354" spans="1:6" ht="15" customHeight="1" x14ac:dyDescent="0.45">
      <c r="B354" t="s">
        <v>175</v>
      </c>
      <c r="C354">
        <f>C352*C353</f>
        <v>1583.3333333333335</v>
      </c>
    </row>
    <row r="355" spans="1:6" ht="15" customHeight="1" x14ac:dyDescent="0.45">
      <c r="B355" t="s">
        <v>174</v>
      </c>
      <c r="D355" s="63">
        <v>95</v>
      </c>
    </row>
    <row r="356" spans="1:6" ht="15" customHeight="1" x14ac:dyDescent="0.45">
      <c r="B356" t="s">
        <v>176</v>
      </c>
      <c r="D356">
        <f>D352*D355</f>
        <v>1599.1666666666665</v>
      </c>
    </row>
    <row r="358" spans="1:6" ht="15" customHeight="1" x14ac:dyDescent="0.45">
      <c r="A358" s="18" t="s">
        <v>179</v>
      </c>
    </row>
    <row r="359" spans="1:6" ht="15" customHeight="1" x14ac:dyDescent="0.45">
      <c r="B359" t="s">
        <v>193</v>
      </c>
    </row>
    <row r="361" spans="1:6" ht="15" customHeight="1" x14ac:dyDescent="0.45">
      <c r="C361" t="s">
        <v>180</v>
      </c>
      <c r="D361" s="71" t="s">
        <v>181</v>
      </c>
      <c r="E361" s="71"/>
      <c r="F361" t="s">
        <v>191</v>
      </c>
    </row>
    <row r="362" spans="1:6" ht="15" customHeight="1" x14ac:dyDescent="0.45">
      <c r="C362" s="3">
        <v>58806</v>
      </c>
      <c r="D362" s="3">
        <v>58622</v>
      </c>
      <c r="E362" s="3">
        <v>58987</v>
      </c>
      <c r="F362" s="3">
        <v>58987</v>
      </c>
    </row>
    <row r="363" spans="1:6" ht="15" customHeight="1" x14ac:dyDescent="0.45">
      <c r="B363" t="s">
        <v>182</v>
      </c>
      <c r="C363" s="63">
        <v>1205</v>
      </c>
      <c r="D363" s="63">
        <v>545</v>
      </c>
      <c r="E363" s="63">
        <v>665</v>
      </c>
    </row>
    <row r="364" spans="1:6" ht="15" customHeight="1" x14ac:dyDescent="0.45">
      <c r="B364" t="s">
        <v>183</v>
      </c>
      <c r="C364" s="63">
        <v>820</v>
      </c>
      <c r="D364" s="63">
        <v>360</v>
      </c>
      <c r="E364" s="63">
        <v>450</v>
      </c>
    </row>
    <row r="365" spans="1:6" ht="15" customHeight="1" x14ac:dyDescent="0.45">
      <c r="B365" t="s">
        <v>66</v>
      </c>
      <c r="C365">
        <f>C363-C364</f>
        <v>385</v>
      </c>
      <c r="D365">
        <f>D363-D364</f>
        <v>185</v>
      </c>
      <c r="E365">
        <f>E363-E364</f>
        <v>215</v>
      </c>
      <c r="F365">
        <f>C365-D365+E365</f>
        <v>415</v>
      </c>
    </row>
    <row r="366" spans="1:6" ht="15" customHeight="1" x14ac:dyDescent="0.45">
      <c r="B366" t="s">
        <v>184</v>
      </c>
      <c r="C366" s="63">
        <v>180</v>
      </c>
      <c r="D366" s="63">
        <v>81</v>
      </c>
      <c r="E366" s="63">
        <v>99.000000000000014</v>
      </c>
    </row>
    <row r="367" spans="1:6" ht="15" customHeight="1" x14ac:dyDescent="0.45">
      <c r="B367" t="s">
        <v>185</v>
      </c>
      <c r="C367">
        <f>C365-C366</f>
        <v>205</v>
      </c>
      <c r="D367">
        <f>D365-D366</f>
        <v>104</v>
      </c>
      <c r="E367">
        <f>E365-E366</f>
        <v>115.99999999999999</v>
      </c>
    </row>
    <row r="368" spans="1:6" ht="15" customHeight="1" x14ac:dyDescent="0.45">
      <c r="B368" t="s">
        <v>186</v>
      </c>
      <c r="C368" s="63">
        <v>62</v>
      </c>
      <c r="D368" s="63">
        <v>28</v>
      </c>
      <c r="E368" s="63">
        <v>34</v>
      </c>
    </row>
    <row r="369" spans="1:6" ht="15" customHeight="1" x14ac:dyDescent="0.45">
      <c r="B369" t="s">
        <v>81</v>
      </c>
      <c r="C369">
        <f>C367-C368</f>
        <v>143</v>
      </c>
      <c r="D369">
        <f>D367-D368</f>
        <v>76</v>
      </c>
      <c r="E369">
        <f>E367-E368</f>
        <v>81.999999999999986</v>
      </c>
    </row>
    <row r="371" spans="1:6" ht="15" customHeight="1" x14ac:dyDescent="0.45">
      <c r="B371" t="s">
        <v>187</v>
      </c>
      <c r="C371" s="63">
        <v>134</v>
      </c>
      <c r="D371" s="63">
        <v>60</v>
      </c>
      <c r="E371" s="63">
        <v>75</v>
      </c>
      <c r="F371">
        <f>C371-D371+E371</f>
        <v>149</v>
      </c>
    </row>
    <row r="373" spans="1:6" ht="15" customHeight="1" x14ac:dyDescent="0.45">
      <c r="B373" t="s">
        <v>188</v>
      </c>
      <c r="F373">
        <f>F371+F365</f>
        <v>564</v>
      </c>
    </row>
    <row r="374" spans="1:6" ht="15" customHeight="1" x14ac:dyDescent="0.45">
      <c r="B374" t="s">
        <v>57</v>
      </c>
      <c r="F374" s="63">
        <v>6000</v>
      </c>
    </row>
    <row r="375" spans="1:6" ht="15" customHeight="1" x14ac:dyDescent="0.45">
      <c r="B375" t="s">
        <v>192</v>
      </c>
      <c r="F375" s="2">
        <f>F374/F373</f>
        <v>10.638297872340425</v>
      </c>
    </row>
    <row r="377" spans="1:6" ht="15" customHeight="1" x14ac:dyDescent="0.45">
      <c r="A377" s="18" t="s">
        <v>134</v>
      </c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72" fitToHeight="0" orientation="portrait" horizontalDpi="2400" verticalDpi="2400" r:id="rId1"/>
  <headerFooter>
    <oddHeader xml:space="preserve">&amp;R&amp;10&amp;F 
&amp;A
</oddHeader>
    <oddFooter>&amp;L&amp;10© 2017&amp;C&amp;10Page &amp;P of &amp;N&amp;R&amp;G</oddFooter>
  </headerFooter>
  <rowBreaks count="3" manualBreakCount="3">
    <brk id="133" max="16383" man="1"/>
    <brk id="196" max="16383" man="1"/>
    <brk id="242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8C00255B-53DA-4BBF-8AF5-FEE2FB5855EB}"/>
</file>

<file path=customXml/itemProps2.xml><?xml version="1.0" encoding="utf-8"?>
<ds:datastoreItem xmlns:ds="http://schemas.openxmlformats.org/officeDocument/2006/customXml" ds:itemID="{C5E6EB16-DA08-49AF-B576-29EC7DB6AC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07D5CA-61C3-4F80-B065-328CC86E8E6E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 Ljunggren</dc:creator>
  <cp:lastModifiedBy>Andrew Jones</cp:lastModifiedBy>
  <cp:lastPrinted>2017-03-03T17:57:56Z</cp:lastPrinted>
  <dcterms:created xsi:type="dcterms:W3CDTF">2016-02-03T14:06:14Z</dcterms:created>
  <dcterms:modified xsi:type="dcterms:W3CDTF">2025-03-28T16:33:56Z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