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wsporg-my.sharepoint.com/personal/andrea_ward_fe_training/Documents/Andrea/Andrea Ward/1 Teaching 2026/LinkedIn Live Feb 2026/"/>
    </mc:Choice>
  </mc:AlternateContent>
  <xr:revisionPtr revIDLastSave="16" documentId="8_{1CD06CD8-E126-400E-B0EE-8C16FA51BD97}" xr6:coauthVersionLast="47" xr6:coauthVersionMax="47" xr10:uidLastSave="{FCFE40E3-0997-4098-A609-CCB0C441749B}"/>
  <bookViews>
    <workbookView xWindow="-120" yWindow="-120" windowWidth="29040" windowHeight="15720" tabRatio="679" activeTab="1" xr2:uid="{00000000-000D-0000-FFFF-FFFF00000000}"/>
  </bookViews>
  <sheets>
    <sheet name="Welcome" sheetId="1" r:id="rId1"/>
    <sheet name="PSKY" sheetId="12" r:id="rId2"/>
    <sheet name="WB detail" sheetId="11" r:id="rId3"/>
  </sheets>
  <definedNames>
    <definedName name="_xlnm.Print_Area" localSheetId="1">PSKY!$A$1:$J$118</definedName>
    <definedName name="_xlnm.Print_Area" localSheetId="2">'WB detail'!$A$1:$J$3</definedName>
  </definedNames>
  <calcPr calcId="191029" calcMode="autoNoTable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87" i="12" l="1"/>
  <c r="K86" i="12"/>
  <c r="K85" i="12"/>
  <c r="K84" i="12"/>
  <c r="K83" i="12"/>
  <c r="F41" i="12"/>
  <c r="E41" i="12"/>
  <c r="F39" i="12"/>
  <c r="E39" i="12"/>
  <c r="D11" i="12"/>
  <c r="C34" i="12" l="1"/>
  <c r="Q96" i="12"/>
  <c r="N96" i="12"/>
  <c r="O96" i="12" s="1"/>
  <c r="P96" i="12" s="1"/>
  <c r="M96" i="12"/>
  <c r="L80" i="12"/>
  <c r="M80" i="12"/>
  <c r="E67" i="12"/>
  <c r="F67" i="12"/>
  <c r="D67" i="12"/>
  <c r="K67" i="12" s="1"/>
  <c r="M69" i="12"/>
  <c r="L69" i="12"/>
  <c r="K69" i="12"/>
  <c r="M67" i="12"/>
  <c r="L67" i="12"/>
  <c r="M63" i="12"/>
  <c r="L63" i="12"/>
  <c r="K63" i="12"/>
  <c r="L62" i="12"/>
  <c r="K62" i="12"/>
  <c r="L61" i="12"/>
  <c r="K61" i="12"/>
  <c r="L100" i="12"/>
  <c r="L101" i="12" s="1"/>
  <c r="L99" i="12"/>
  <c r="L97" i="12"/>
  <c r="B110" i="12"/>
  <c r="F109" i="12"/>
  <c r="E109" i="12"/>
  <c r="D109" i="12"/>
  <c r="F108" i="12"/>
  <c r="E108" i="12"/>
  <c r="D108" i="12"/>
  <c r="F107" i="12"/>
  <c r="E107" i="12"/>
  <c r="D107" i="12"/>
  <c r="H96" i="12"/>
  <c r="H98" i="12" s="1"/>
  <c r="C100" i="12" s="1"/>
  <c r="G96" i="12"/>
  <c r="G98" i="12" s="1"/>
  <c r="F96" i="12"/>
  <c r="F98" i="12" s="1"/>
  <c r="E96" i="12"/>
  <c r="E98" i="12" s="1"/>
  <c r="E110" i="12" s="1"/>
  <c r="E111" i="12" s="1"/>
  <c r="D96" i="12"/>
  <c r="D98" i="12" s="1"/>
  <c r="D110" i="12" s="1"/>
  <c r="F97" i="12"/>
  <c r="E97" i="12"/>
  <c r="D97" i="12"/>
  <c r="N14" i="12"/>
  <c r="N13" i="12"/>
  <c r="N12" i="12"/>
  <c r="C78" i="12"/>
  <c r="E62" i="12"/>
  <c r="D62" i="12"/>
  <c r="F110" i="12" l="1"/>
  <c r="F111" i="12" s="1"/>
  <c r="C99" i="12"/>
  <c r="C101" i="12" s="1"/>
  <c r="C90" i="12"/>
  <c r="F57" i="12" l="1"/>
  <c r="E58" i="12"/>
  <c r="F58" i="12" s="1"/>
  <c r="D58" i="12"/>
  <c r="D9" i="12"/>
  <c r="F55" i="12"/>
  <c r="E55" i="12"/>
  <c r="D55" i="12"/>
  <c r="D14" i="12"/>
  <c r="C79" i="12" s="1"/>
  <c r="F95" i="12"/>
  <c r="E95" i="12"/>
  <c r="D95" i="12"/>
  <c r="B90" i="12"/>
  <c r="B89" i="12"/>
  <c r="C80" i="12"/>
  <c r="D84" i="12"/>
  <c r="F76" i="12"/>
  <c r="E76" i="12"/>
  <c r="D76" i="12"/>
  <c r="F74" i="12"/>
  <c r="E74" i="12"/>
  <c r="D74" i="12"/>
  <c r="F69" i="12"/>
  <c r="E69" i="12"/>
  <c r="D69" i="12"/>
  <c r="F65" i="12"/>
  <c r="M65" i="12" s="1"/>
  <c r="E65" i="12"/>
  <c r="L65" i="12" s="1"/>
  <c r="L66" i="12" s="1"/>
  <c r="L68" i="12" s="1"/>
  <c r="D65" i="12"/>
  <c r="K65" i="12" s="1"/>
  <c r="K66" i="12" s="1"/>
  <c r="K68" i="12" s="1"/>
  <c r="F63" i="12"/>
  <c r="E63" i="12"/>
  <c r="D63" i="12"/>
  <c r="E61" i="12"/>
  <c r="D61" i="12"/>
  <c r="F75" i="12"/>
  <c r="E75" i="12"/>
  <c r="D75" i="12"/>
  <c r="E51" i="12"/>
  <c r="D51" i="12"/>
  <c r="F40" i="12"/>
  <c r="E40" i="12"/>
  <c r="F38" i="12"/>
  <c r="E38" i="12"/>
  <c r="C33" i="12"/>
  <c r="G30" i="12"/>
  <c r="B29" i="12"/>
  <c r="C12" i="12"/>
  <c r="C32" i="11"/>
  <c r="F17" i="11"/>
  <c r="H35" i="12"/>
  <c r="H30" i="12"/>
  <c r="H29" i="12"/>
  <c r="K71" i="12" l="1"/>
  <c r="K70" i="12"/>
  <c r="L70" i="12"/>
  <c r="L71" i="12"/>
  <c r="N6" i="12"/>
  <c r="N8" i="12"/>
  <c r="N7" i="12"/>
  <c r="D66" i="12"/>
  <c r="D68" i="12" s="1"/>
  <c r="E66" i="12"/>
  <c r="E68" i="12" s="1"/>
  <c r="E70" i="12" s="1"/>
  <c r="L81" i="12" s="1"/>
  <c r="F51" i="12"/>
  <c r="F56" i="12"/>
  <c r="F62" i="12" s="1"/>
  <c r="M62" i="12" s="1"/>
  <c r="D77" i="12"/>
  <c r="D111" i="12"/>
  <c r="D13" i="12"/>
  <c r="D16" i="12" s="1"/>
  <c r="C30" i="12" s="1"/>
  <c r="F77" i="12"/>
  <c r="E77" i="12"/>
  <c r="E84" i="12"/>
  <c r="F14" i="11"/>
  <c r="F13" i="11"/>
  <c r="F12" i="11"/>
  <c r="F11" i="11"/>
  <c r="C25" i="11" s="1"/>
  <c r="F10" i="11"/>
  <c r="E15" i="11"/>
  <c r="D15" i="11"/>
  <c r="C15" i="11"/>
  <c r="D70" i="12" l="1"/>
  <c r="D71" i="12"/>
  <c r="F49" i="12"/>
  <c r="F42" i="12"/>
  <c r="F43" i="12"/>
  <c r="E43" i="12"/>
  <c r="E42" i="12"/>
  <c r="E71" i="12"/>
  <c r="C89" i="12"/>
  <c r="C91" i="12" s="1"/>
  <c r="C102" i="12" s="1"/>
  <c r="L96" i="12" s="1"/>
  <c r="C81" i="12"/>
  <c r="C29" i="12"/>
  <c r="C35" i="12" s="1"/>
  <c r="C113" i="12" s="1"/>
  <c r="F15" i="11"/>
  <c r="C24" i="11"/>
  <c r="C26" i="11"/>
  <c r="D24" i="11" s="1"/>
  <c r="E114" i="12" l="1"/>
  <c r="F114" i="12"/>
  <c r="D114" i="12"/>
  <c r="F61" i="12"/>
  <c r="M61" i="12" s="1"/>
  <c r="M66" i="12" s="1"/>
  <c r="M68" i="12" s="1"/>
  <c r="F84" i="12"/>
  <c r="G29" i="12"/>
  <c r="G35" i="12" s="1"/>
  <c r="F82" i="12"/>
  <c r="E82" i="12"/>
  <c r="D82" i="12"/>
  <c r="F24" i="11"/>
  <c r="E24" i="11"/>
  <c r="D25" i="11"/>
  <c r="A7" i="1"/>
  <c r="M70" i="12" l="1"/>
  <c r="M71" i="12"/>
  <c r="F66" i="12"/>
  <c r="F68" i="12" s="1"/>
  <c r="C28" i="11"/>
  <c r="E25" i="11"/>
  <c r="F25" i="11"/>
  <c r="F70" i="12" l="1"/>
  <c r="M81" i="12" s="1"/>
  <c r="F71" i="12"/>
  <c r="C29" i="11"/>
  <c r="C30" i="11" s="1"/>
</calcChain>
</file>

<file path=xl/sharedStrings.xml><?xml version="1.0" encoding="utf-8"?>
<sst xmlns="http://schemas.openxmlformats.org/spreadsheetml/2006/main" count="171" uniqueCount="147">
  <si>
    <t>This document is for training purposes only. Financial Edge accepts no responsibility or liability for any other purpose or usage.</t>
  </si>
  <si>
    <t>Refinanced net debt</t>
  </si>
  <si>
    <t>Total uses of funds</t>
  </si>
  <si>
    <t>Total sources of funds</t>
  </si>
  <si>
    <t>Diluted shares outstanding</t>
  </si>
  <si>
    <t>Advisory fees</t>
  </si>
  <si>
    <t>Debt financing</t>
  </si>
  <si>
    <t>Merger Analysis</t>
  </si>
  <si>
    <t>EBITDA</t>
  </si>
  <si>
    <t>EBIT</t>
  </si>
  <si>
    <t>Net income</t>
  </si>
  <si>
    <t>Tax rate</t>
  </si>
  <si>
    <t>EPS</t>
  </si>
  <si>
    <t>Proforma net income</t>
  </si>
  <si>
    <t>Proforma EPS</t>
  </si>
  <si>
    <t>Debt P/E</t>
  </si>
  <si>
    <t>Acquirer EPS</t>
  </si>
  <si>
    <t>ROIC</t>
  </si>
  <si>
    <t>Debt</t>
  </si>
  <si>
    <t>Cash</t>
  </si>
  <si>
    <t>Shares outstanding</t>
  </si>
  <si>
    <t>Pre tax synergies</t>
  </si>
  <si>
    <t>Post tax synergies</t>
  </si>
  <si>
    <t>Acquisition equity value</t>
  </si>
  <si>
    <t>Proforma</t>
  </si>
  <si>
    <t>LTM</t>
  </si>
  <si>
    <t>EPS accretion / (dilution)</t>
  </si>
  <si>
    <t>Total debt</t>
  </si>
  <si>
    <t>Acquisition price per share</t>
  </si>
  <si>
    <t>Debt funding</t>
  </si>
  <si>
    <t xml:space="preserve">Strike </t>
  </si>
  <si>
    <t>Dilution</t>
  </si>
  <si>
    <t>Sources and uses of funds</t>
  </si>
  <si>
    <t>Relative P/Es</t>
  </si>
  <si>
    <t>Other assumptions</t>
  </si>
  <si>
    <t>Cost of acquisition debt</t>
  </si>
  <si>
    <t>Proforma debt ratings</t>
  </si>
  <si>
    <t>Synergies</t>
  </si>
  <si>
    <t>Market cap</t>
  </si>
  <si>
    <t>Debt / EBITDA</t>
  </si>
  <si>
    <t xml:space="preserve"> + synergies post tax</t>
  </si>
  <si>
    <t>Premium paid</t>
  </si>
  <si>
    <t>Return on invested capital</t>
  </si>
  <si>
    <t>Adjusted NOPAT</t>
  </si>
  <si>
    <t>Invested capital</t>
  </si>
  <si>
    <t>End</t>
  </si>
  <si>
    <t>Acquisition assumptions and valuation</t>
  </si>
  <si>
    <t xml:space="preserve"> - interest on acquisition debt post tax</t>
  </si>
  <si>
    <t>WACC</t>
  </si>
  <si>
    <t>Warner</t>
  </si>
  <si>
    <t>Splitting the Warner Bros Segments - focus on EBITDA</t>
  </si>
  <si>
    <t xml:space="preserve">Adjusted EBITDA by segment </t>
  </si>
  <si>
    <t>Studios</t>
  </si>
  <si>
    <t>Networks</t>
  </si>
  <si>
    <t>DTC</t>
  </si>
  <si>
    <t>Corporate</t>
  </si>
  <si>
    <t>Inter segment eliminations</t>
  </si>
  <si>
    <t>Total</t>
  </si>
  <si>
    <t>Streaming &amp; studios = Studios + DTC</t>
  </si>
  <si>
    <t>Global networks = Networks</t>
  </si>
  <si>
    <t>Streaming &amp; studios gross</t>
  </si>
  <si>
    <t>Global networks gross</t>
  </si>
  <si>
    <t>as % of total</t>
  </si>
  <si>
    <t>Split corporate and eliminations pro-rata by gross segment</t>
  </si>
  <si>
    <t>Allocation of</t>
  </si>
  <si>
    <t>Inter segment</t>
  </si>
  <si>
    <t>Reconciliation of Segment Adjusted EBITDA to loss before income taxes</t>
  </si>
  <si>
    <t>9 months to</t>
  </si>
  <si>
    <t>Reconciliation of segment adjusted EBITDA to loss before income taxes</t>
  </si>
  <si>
    <t>10K</t>
  </si>
  <si>
    <t>10Q</t>
  </si>
  <si>
    <t>Mapping segments to the 2 announced entities - LTM financials</t>
  </si>
  <si>
    <t>Total Adjusted LTM EBITDA</t>
  </si>
  <si>
    <t>Streaming &amp; studios net LTM EBITDA</t>
  </si>
  <si>
    <t>Global networks net LTM EBITDA</t>
  </si>
  <si>
    <t>Options</t>
  </si>
  <si>
    <t>Outstanding</t>
  </si>
  <si>
    <t>RSUs</t>
  </si>
  <si>
    <t>PSUs</t>
  </si>
  <si>
    <t>Total acquisition EV as per press release</t>
  </si>
  <si>
    <t>Current WB Projections</t>
  </si>
  <si>
    <t>Adjusted EBITDA</t>
  </si>
  <si>
    <t>Corporate and intercompany eliminations</t>
  </si>
  <si>
    <t>Adjusted EBITDA Post-SBC</t>
  </si>
  <si>
    <t>Discovery Global (networks) EBITDA</t>
  </si>
  <si>
    <t>Unlevered Free Cash Flow</t>
  </si>
  <si>
    <t>Debt financing fees</t>
  </si>
  <si>
    <t>Advisory fees % EV</t>
  </si>
  <si>
    <t>D&amp;A</t>
  </si>
  <si>
    <t>Streaming &amp; studios net LTM EBIT</t>
  </si>
  <si>
    <t>Warner EBITDA</t>
  </si>
  <si>
    <t>Proforma EBITDA</t>
  </si>
  <si>
    <t>Acquisition debt</t>
  </si>
  <si>
    <t>Implied combo EV/EBITDA</t>
  </si>
  <si>
    <t>Warner acquisition EV/EBITDA</t>
  </si>
  <si>
    <t>Implied Warner acquisition P/E</t>
  </si>
  <si>
    <t>Rating</t>
  </si>
  <si>
    <t>Synergies analysis</t>
  </si>
  <si>
    <t>PSKY</t>
  </si>
  <si>
    <t>from press release 26 Feb 2026</t>
  </si>
  <si>
    <t>Netflix break fee</t>
  </si>
  <si>
    <t>WBD financing fee</t>
  </si>
  <si>
    <t>Equity guarantee</t>
  </si>
  <si>
    <t xml:space="preserve">EBITDA </t>
  </si>
  <si>
    <t>Assumed ticking fee if deal closes by year end</t>
  </si>
  <si>
    <t>Total acquisition price per share</t>
  </si>
  <si>
    <t>PSKY P/E</t>
  </si>
  <si>
    <t>PSKY EV/EBITDA</t>
  </si>
  <si>
    <t>assumed constant</t>
  </si>
  <si>
    <t>Implied FD WASO</t>
  </si>
  <si>
    <t>assumed by year 5</t>
  </si>
  <si>
    <t>Additional synergies need to break even</t>
  </si>
  <si>
    <t>PSKY EBITDA</t>
  </si>
  <si>
    <t>PSKY debt</t>
  </si>
  <si>
    <t>Warner debt</t>
  </si>
  <si>
    <t>PSKY standalone debt/EBITDA</t>
  </si>
  <si>
    <t>BBB-</t>
  </si>
  <si>
    <t>Outlook</t>
  </si>
  <si>
    <t>Negative</t>
  </si>
  <si>
    <t>Current share or pre offer price</t>
  </si>
  <si>
    <t>Acquisition</t>
  </si>
  <si>
    <t>Standalone</t>
  </si>
  <si>
    <t>Terminal value of synergies</t>
  </si>
  <si>
    <t>assumed</t>
  </si>
  <si>
    <t>Year 1 - 5 present value of post tax synergies</t>
  </si>
  <si>
    <t>Total synergies</t>
  </si>
  <si>
    <t>Value retained by PSKY shareholders</t>
  </si>
  <si>
    <t>Warner EBIT</t>
  </si>
  <si>
    <t>Warner NOPAT</t>
  </si>
  <si>
    <t>PSKY Factset estimates</t>
  </si>
  <si>
    <t>Warner Factset estimates</t>
  </si>
  <si>
    <t>assuming IG rating</t>
  </si>
  <si>
    <t>Value retained by PSKY shareholders - sensitivity analysis, assuming same run rate</t>
  </si>
  <si>
    <t>ignores opportunity cost of equity guarantee</t>
  </si>
  <si>
    <t>Assuming Netflix stated synergies and achievement over 3 years</t>
  </si>
  <si>
    <t>Interest</t>
  </si>
  <si>
    <t>PSKY/WBD Deal Analysis</t>
  </si>
  <si>
    <t>PSKY standalone enterprise value</t>
  </si>
  <si>
    <t xml:space="preserve"> + PSKY net income</t>
  </si>
  <si>
    <t>pre any rumours</t>
  </si>
  <si>
    <t>+ Warner net income</t>
  </si>
  <si>
    <t>Warner Bros - The segments</t>
  </si>
  <si>
    <t>guaranteed by L Ellison</t>
  </si>
  <si>
    <t>Synergy assumed run rate</t>
  </si>
  <si>
    <t>Run rate</t>
  </si>
  <si>
    <t>Equity financing (Ellison Trust)</t>
  </si>
  <si>
    <t>EPS accretion/dilution impact if debt priced at sub IG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</si>
</sst>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409]d\-mmm\-yy;@"/>
    <numFmt numFmtId="169" formatCode="0.0"/>
    <numFmt numFmtId="170" formatCode="#,##0.0_);\(#,##0.0\)\,0.0_);@_)"/>
    <numFmt numFmtId="171" formatCode="#,##0.0\ \x_);\(#,##0.0\ \x\);"/>
    <numFmt numFmtId="172" formatCode="0.0%_);\(0.0%\)"/>
    <numFmt numFmtId="173" formatCode=";;;"/>
    <numFmt numFmtId="174" formatCode="#,##0.0_);\(#,##0.0\);0.0_);@_)"/>
    <numFmt numFmtId="175" formatCode="#,##0.00_);\(#,##0.00\);0.00_);@_)"/>
    <numFmt numFmtId="176" formatCode="#,##0.0\x_);\(#,##0.0\x\)"/>
    <numFmt numFmtId="177" formatCode="#,##0.0_);\(#,##0.0\)"/>
    <numFmt numFmtId="178" formatCode="#,##0.0_)_%;\(#,##0.0\)_%;#,##0.0_)_%;@_)_%"/>
    <numFmt numFmtId="179" formatCode="#,##0.0%_);\(#,##0.0%\)"/>
    <numFmt numFmtId="180" formatCode="#,##0.00_);\(#,##0.00\)"/>
    <numFmt numFmtId="181" formatCode="#,##0.00_);\(#,##0.00\)\,0.0_);@_)"/>
  </numFmts>
  <fonts count="40" x14ac:knownFonts="1">
    <font>
      <sz val="11"/>
      <color theme="1" tint="0.2499465926084170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  <font>
      <sz val="12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85393"/>
      <name val="Calibri"/>
      <family val="2"/>
      <scheme val="minor"/>
    </font>
    <font>
      <b/>
      <sz val="11"/>
      <color theme="1" tint="0.2499465926084170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theme="0" tint="-0.1499984740745262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0" tint="-0.14996795556505021"/>
      </bottom>
      <diagonal/>
    </border>
    <border>
      <left style="thin">
        <color rgb="FF163260"/>
      </left>
      <right style="thin">
        <color rgb="FF163260"/>
      </right>
      <top style="thin">
        <color rgb="FF163260"/>
      </top>
      <bottom style="thin">
        <color rgb="FF163260"/>
      </bottom>
      <diagonal/>
    </border>
  </borders>
  <cellStyleXfs count="69">
    <xf numFmtId="174" fontId="0" fillId="0" borderId="0"/>
    <xf numFmtId="0" fontId="7" fillId="0" borderId="0" applyNumberFormat="0" applyFill="0" applyBorder="0" applyAlignment="0" applyProtection="0"/>
    <xf numFmtId="167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4" applyNumberFormat="0" applyAlignment="0" applyProtection="0"/>
    <xf numFmtId="0" fontId="19" fillId="9" borderId="5" applyNumberFormat="0" applyAlignment="0" applyProtection="0"/>
    <xf numFmtId="0" fontId="20" fillId="9" borderId="4" applyNumberFormat="0" applyAlignment="0" applyProtection="0"/>
    <xf numFmtId="0" fontId="21" fillId="0" borderId="6" applyNumberFormat="0" applyFill="0" applyAlignment="0" applyProtection="0"/>
    <xf numFmtId="0" fontId="22" fillId="10" borderId="7" applyNumberFormat="0" applyAlignment="0" applyProtection="0"/>
    <xf numFmtId="0" fontId="23" fillId="0" borderId="0" applyNumberFormat="0" applyFill="0" applyBorder="0" applyAlignment="0" applyProtection="0"/>
    <xf numFmtId="0" fontId="10" fillId="11" borderId="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6" fillId="35" borderId="0" applyNumberFormat="0" applyBorder="0" applyAlignment="0" applyProtection="0"/>
    <xf numFmtId="0" fontId="33" fillId="2" borderId="0" applyNumberFormat="0">
      <alignment horizontal="left"/>
    </xf>
    <xf numFmtId="0" fontId="9" fillId="3" borderId="0" applyNumberFormat="0" applyAlignment="0">
      <alignment horizontal="left"/>
    </xf>
    <xf numFmtId="0" fontId="5" fillId="0" borderId="0" applyNumberFormat="0" applyFill="0" applyBorder="0">
      <alignment horizontal="left" vertical="center"/>
    </xf>
    <xf numFmtId="0" fontId="3" fillId="4" borderId="0" applyNumberFormat="0" applyFont="0" applyAlignment="0" applyProtection="0">
      <alignment vertical="top"/>
    </xf>
    <xf numFmtId="168" fontId="29" fillId="3" borderId="0">
      <alignment horizontal="center"/>
    </xf>
    <xf numFmtId="170" fontId="28" fillId="2" borderId="0">
      <alignment horizontal="center"/>
    </xf>
    <xf numFmtId="170" fontId="4" fillId="0" borderId="0">
      <alignment vertical="top"/>
    </xf>
    <xf numFmtId="168" fontId="30" fillId="0" borderId="0" applyFont="0" applyFill="0" applyBorder="0" applyAlignment="0" applyProtection="0"/>
    <xf numFmtId="171" fontId="10" fillId="0" borderId="0" applyFont="0" applyFill="0" applyBorder="0" applyAlignment="0" applyProtection="0"/>
    <xf numFmtId="172" fontId="30" fillId="2" borderId="0" applyFont="0" applyFill="0" applyBorder="0" applyAlignment="0" applyProtection="0"/>
    <xf numFmtId="170" fontId="31" fillId="2" borderId="0" applyNumberFormat="0" applyFill="0" applyBorder="0" applyAlignment="0" applyProtection="0"/>
    <xf numFmtId="170" fontId="32" fillId="0" borderId="0" applyNumberFormat="0" applyFill="0" applyBorder="0" applyAlignment="0">
      <alignment vertical="top"/>
    </xf>
    <xf numFmtId="173" fontId="30" fillId="2" borderId="0" applyFont="0" applyFill="0" applyBorder="0" applyAlignment="0" applyProtection="0"/>
    <xf numFmtId="171" fontId="31" fillId="36" borderId="11" applyNumberFormat="0">
      <protection locked="0"/>
    </xf>
    <xf numFmtId="0" fontId="3" fillId="4" borderId="10" applyFont="0" applyAlignment="0" applyProtection="0">
      <alignment vertical="top"/>
    </xf>
    <xf numFmtId="170" fontId="33" fillId="3" borderId="0" applyNumberFormat="0" applyBorder="0">
      <alignment horizontal="center" vertical="top"/>
    </xf>
    <xf numFmtId="170" fontId="4" fillId="37" borderId="0" applyNumberFormat="0" applyFont="0" applyBorder="0" applyAlignment="0" applyProtection="0">
      <alignment vertical="top"/>
    </xf>
    <xf numFmtId="178" fontId="34" fillId="0" borderId="0" applyFill="0" applyBorder="0" applyAlignment="0" applyProtection="0"/>
    <xf numFmtId="177" fontId="31" fillId="0" borderId="0" applyNumberFormat="0" applyFill="0" applyBorder="0" applyAlignment="0" applyProtection="0"/>
    <xf numFmtId="172" fontId="1" fillId="0" borderId="0" applyFont="0" applyFill="0" applyBorder="0" applyAlignment="0" applyProtection="0"/>
    <xf numFmtId="174" fontId="35" fillId="0" borderId="0" applyNumberFormat="0" applyFill="0" applyBorder="0" applyAlignment="0" applyProtection="0"/>
  </cellStyleXfs>
  <cellXfs count="73">
    <xf numFmtId="174" fontId="0" fillId="0" borderId="0" xfId="0"/>
    <xf numFmtId="174" fontId="27" fillId="3" borderId="0" xfId="0" applyFont="1" applyFill="1"/>
    <xf numFmtId="174" fontId="26" fillId="2" borderId="0" xfId="0" applyFont="1" applyFill="1" applyAlignment="1">
      <alignment vertical="center"/>
    </xf>
    <xf numFmtId="168" fontId="29" fillId="3" borderId="0" xfId="52">
      <alignment horizontal="center"/>
    </xf>
    <xf numFmtId="170" fontId="28" fillId="2" borderId="0" xfId="53">
      <alignment horizontal="center"/>
    </xf>
    <xf numFmtId="170" fontId="33" fillId="2" borderId="0" xfId="48" applyNumberFormat="1" applyAlignment="1"/>
    <xf numFmtId="170" fontId="9" fillId="3" borderId="0" xfId="49" applyNumberFormat="1" applyAlignment="1"/>
    <xf numFmtId="170" fontId="5" fillId="0" borderId="0" xfId="50" applyNumberFormat="1">
      <alignment horizontal="left" vertical="center"/>
    </xf>
    <xf numFmtId="170" fontId="4" fillId="0" borderId="0" xfId="54">
      <alignment vertical="top"/>
    </xf>
    <xf numFmtId="174" fontId="3" fillId="0" borderId="0" xfId="0" applyFont="1" applyAlignment="1">
      <alignment vertical="top" wrapText="1"/>
    </xf>
    <xf numFmtId="174" fontId="4" fillId="0" borderId="0" xfId="0" applyFont="1" applyAlignment="1">
      <alignment vertical="top"/>
    </xf>
    <xf numFmtId="174" fontId="3" fillId="0" borderId="0" xfId="0" applyFont="1" applyAlignment="1">
      <alignment horizontal="left" wrapText="1"/>
    </xf>
    <xf numFmtId="174" fontId="3" fillId="0" borderId="0" xfId="0" applyFont="1" applyAlignment="1">
      <alignment vertical="top"/>
    </xf>
    <xf numFmtId="174" fontId="3" fillId="0" borderId="0" xfId="0" applyFont="1"/>
    <xf numFmtId="174" fontId="5" fillId="0" borderId="0" xfId="0" applyFont="1" applyAlignment="1">
      <alignment vertical="center"/>
    </xf>
    <xf numFmtId="174" fontId="6" fillId="0" borderId="0" xfId="0" applyFont="1" applyAlignment="1">
      <alignment vertical="center" wrapText="1"/>
    </xf>
    <xf numFmtId="174" fontId="3" fillId="0" borderId="0" xfId="0" applyFont="1" applyAlignment="1">
      <alignment horizontal="left" vertical="top"/>
    </xf>
    <xf numFmtId="174" fontId="8" fillId="0" borderId="0" xfId="0" applyFont="1" applyAlignment="1">
      <alignment vertical="center" wrapText="1"/>
    </xf>
    <xf numFmtId="168" fontId="3" fillId="0" borderId="0" xfId="0" applyNumberFormat="1" applyFont="1" applyAlignment="1">
      <alignment horizontal="left"/>
    </xf>
    <xf numFmtId="174" fontId="3" fillId="0" borderId="0" xfId="0" applyFont="1" applyAlignment="1">
      <alignment horizontal="left"/>
    </xf>
    <xf numFmtId="169" fontId="3" fillId="0" borderId="0" xfId="0" applyNumberFormat="1" applyFont="1" applyAlignment="1">
      <alignment horizontal="left"/>
    </xf>
    <xf numFmtId="174" fontId="4" fillId="0" borderId="0" xfId="0" applyFont="1" applyAlignment="1">
      <alignment horizontal="left" vertical="top"/>
    </xf>
    <xf numFmtId="174" fontId="4" fillId="0" borderId="0" xfId="0" applyFont="1"/>
    <xf numFmtId="174" fontId="26" fillId="0" borderId="0" xfId="0" applyFont="1"/>
    <xf numFmtId="174" fontId="27" fillId="0" borderId="0" xfId="0" applyFont="1"/>
    <xf numFmtId="170" fontId="3" fillId="4" borderId="0" xfId="51" applyNumberFormat="1" applyFont="1" applyAlignment="1">
      <alignment horizontal="left" vertical="top"/>
    </xf>
    <xf numFmtId="170" fontId="4" fillId="4" borderId="0" xfId="51" applyNumberFormat="1" applyFont="1" applyAlignment="1">
      <alignment horizontal="center" vertical="top"/>
    </xf>
    <xf numFmtId="170" fontId="3" fillId="4" borderId="0" xfId="51" applyNumberFormat="1" applyFont="1" applyAlignment="1"/>
    <xf numFmtId="170" fontId="6" fillId="4" borderId="0" xfId="51" applyNumberFormat="1" applyFont="1" applyAlignment="1">
      <alignment vertical="center" wrapText="1"/>
    </xf>
    <xf numFmtId="0" fontId="3" fillId="4" borderId="10" xfId="62" applyFont="1" applyAlignment="1">
      <alignment vertical="top"/>
    </xf>
    <xf numFmtId="0" fontId="4" fillId="4" borderId="10" xfId="62" applyFont="1" applyAlignment="1">
      <alignment horizontal="center" vertical="top"/>
    </xf>
    <xf numFmtId="0" fontId="3" fillId="4" borderId="10" xfId="62" applyFont="1" applyAlignment="1"/>
    <xf numFmtId="0" fontId="6" fillId="4" borderId="10" xfId="62" applyFont="1" applyAlignment="1">
      <alignment vertical="center" wrapText="1"/>
    </xf>
    <xf numFmtId="174" fontId="26" fillId="0" borderId="0" xfId="0" applyFont="1" applyAlignment="1">
      <alignment vertical="center"/>
    </xf>
    <xf numFmtId="172" fontId="0" fillId="0" borderId="0" xfId="57" applyFont="1" applyFill="1"/>
    <xf numFmtId="174" fontId="31" fillId="0" borderId="0" xfId="58" applyNumberFormat="1" applyFill="1"/>
    <xf numFmtId="171" fontId="0" fillId="0" borderId="0" xfId="56" applyFont="1"/>
    <xf numFmtId="175" fontId="31" fillId="0" borderId="0" xfId="58" applyNumberFormat="1" applyFill="1"/>
    <xf numFmtId="175" fontId="0" fillId="0" borderId="0" xfId="0" applyNumberFormat="1"/>
    <xf numFmtId="174" fontId="32" fillId="0" borderId="0" xfId="59" applyNumberFormat="1" applyAlignment="1">
      <alignment horizontal="center"/>
    </xf>
    <xf numFmtId="170" fontId="4" fillId="0" borderId="0" xfId="54" quotePrefix="1">
      <alignment vertical="top"/>
    </xf>
    <xf numFmtId="176" fontId="0" fillId="0" borderId="0" xfId="0" applyNumberFormat="1"/>
    <xf numFmtId="174" fontId="31" fillId="36" borderId="11" xfId="61" applyNumberFormat="1">
      <protection locked="0"/>
    </xf>
    <xf numFmtId="172" fontId="31" fillId="36" borderId="11" xfId="61" applyNumberFormat="1">
      <protection locked="0"/>
    </xf>
    <xf numFmtId="172" fontId="31" fillId="36" borderId="11" xfId="57" applyFont="1" applyFill="1" applyBorder="1" applyProtection="1">
      <protection locked="0"/>
    </xf>
    <xf numFmtId="177" fontId="0" fillId="0" borderId="0" xfId="0" applyNumberFormat="1"/>
    <xf numFmtId="179" fontId="0" fillId="0" borderId="0" xfId="0" applyNumberFormat="1"/>
    <xf numFmtId="174" fontId="0" fillId="0" borderId="0" xfId="0" applyAlignment="1">
      <alignment horizontal="center"/>
    </xf>
    <xf numFmtId="174" fontId="35" fillId="0" borderId="0" xfId="68"/>
    <xf numFmtId="168" fontId="28" fillId="2" borderId="0" xfId="55" applyFont="1" applyFill="1" applyAlignment="1">
      <alignment horizontal="center"/>
    </xf>
    <xf numFmtId="170" fontId="36" fillId="0" borderId="0" xfId="54" applyFont="1">
      <alignment vertical="top"/>
    </xf>
    <xf numFmtId="174" fontId="37" fillId="0" borderId="0" xfId="0" applyFont="1"/>
    <xf numFmtId="180" fontId="31" fillId="0" borderId="0" xfId="65" applyNumberFormat="1" applyFont="1" applyAlignment="1">
      <alignment horizontal="right"/>
    </xf>
    <xf numFmtId="174" fontId="4" fillId="0" borderId="0" xfId="59" applyNumberFormat="1" applyFont="1" applyAlignment="1">
      <alignment horizontal="center"/>
    </xf>
    <xf numFmtId="0" fontId="28" fillId="2" borderId="0" xfId="53" applyNumberFormat="1">
      <alignment horizontal="center"/>
    </xf>
    <xf numFmtId="179" fontId="31" fillId="36" borderId="11" xfId="61" applyNumberFormat="1">
      <protection locked="0"/>
    </xf>
    <xf numFmtId="177" fontId="0" fillId="0" borderId="0" xfId="57" applyNumberFormat="1" applyFont="1" applyFill="1"/>
    <xf numFmtId="179" fontId="0" fillId="0" borderId="0" xfId="56" applyNumberFormat="1" applyFont="1"/>
    <xf numFmtId="174" fontId="38" fillId="36" borderId="11" xfId="61" applyNumberFormat="1" applyFont="1">
      <protection locked="0"/>
    </xf>
    <xf numFmtId="179" fontId="37" fillId="0" borderId="0" xfId="0" applyNumberFormat="1" applyFont="1"/>
    <xf numFmtId="172" fontId="38" fillId="36" borderId="11" xfId="57" applyFont="1" applyFill="1" applyBorder="1" applyProtection="1">
      <protection locked="0"/>
    </xf>
    <xf numFmtId="174" fontId="39" fillId="0" borderId="0" xfId="0" applyFont="1"/>
    <xf numFmtId="170" fontId="5" fillId="2" borderId="0" xfId="50" applyNumberFormat="1" applyFill="1">
      <alignment horizontal="left" vertical="center"/>
    </xf>
    <xf numFmtId="174" fontId="0" fillId="2" borderId="0" xfId="0" applyFill="1"/>
    <xf numFmtId="181" fontId="4" fillId="0" borderId="0" xfId="54" applyNumberFormat="1">
      <alignment vertical="top"/>
    </xf>
    <xf numFmtId="181" fontId="0" fillId="0" borderId="0" xfId="0" applyNumberFormat="1"/>
    <xf numFmtId="180" fontId="31" fillId="0" borderId="0" xfId="58" applyNumberFormat="1" applyFill="1"/>
    <xf numFmtId="170" fontId="33" fillId="2" borderId="0" xfId="48" applyNumberFormat="1" applyAlignment="1">
      <alignment horizontal="center" wrapText="1"/>
    </xf>
    <xf numFmtId="174" fontId="6" fillId="0" borderId="0" xfId="0" applyFont="1" applyAlignment="1">
      <alignment horizontal="center" vertical="center" wrapText="1"/>
    </xf>
    <xf numFmtId="170" fontId="3" fillId="4" borderId="0" xfId="51" applyNumberFormat="1" applyFont="1" applyAlignment="1">
      <alignment horizontal="left" vertical="top"/>
    </xf>
    <xf numFmtId="170" fontId="33" fillId="3" borderId="0" xfId="49" applyNumberFormat="1" applyFont="1" applyAlignment="1">
      <alignment horizontal="center" vertical="center"/>
    </xf>
    <xf numFmtId="170" fontId="32" fillId="4" borderId="0" xfId="59" applyNumberFormat="1" applyFill="1" applyBorder="1" applyAlignment="1">
      <alignment horizontal="center" vertical="center" wrapText="1"/>
    </xf>
    <xf numFmtId="174" fontId="8" fillId="0" borderId="0" xfId="0" applyFont="1" applyAlignment="1">
      <alignment horizontal="center" vertical="center" wrapText="1"/>
    </xf>
  </cellXfs>
  <cellStyles count="69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" xfId="66" xr:uid="{00000000-0005-0000-0000-000018000000}"/>
    <cellStyle name="Background Fill" xfId="51" xr:uid="{00000000-0005-0000-0000-000019000000}"/>
    <cellStyle name="Bad" xfId="13" builtinId="27" hidden="1"/>
    <cellStyle name="BG Border" xfId="62" xr:uid="{00000000-0005-0000-0000-00001B000000}"/>
    <cellStyle name="Blank" xfId="60" xr:uid="{00000000-0005-0000-0000-00001C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3" xr:uid="{00000000-0005-0000-0000-000021000000}"/>
    <cellStyle name="Currency" xfId="4" builtinId="4" hidden="1"/>
    <cellStyle name="Currency [0]" xfId="5" builtinId="7" hidden="1"/>
    <cellStyle name="Date" xfId="55" xr:uid="{00000000-0005-0000-0000-000024000000}"/>
    <cellStyle name="Date Heading" xfId="52" xr:uid="{00000000-0005-0000-0000-000025000000}"/>
    <cellStyle name="Explanatory Text" xfId="22" builtinId="53" hidden="1"/>
    <cellStyle name="Good" xfId="12" builtinId="26" hidden="1"/>
    <cellStyle name="Hard Coded Number" xfId="58" xr:uid="{00000000-0005-0000-0000-000028000000}"/>
    <cellStyle name="Hard_number_1dp" xfId="65" xr:uid="{00000000-0005-0000-0000-000029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ghlight" xfId="64" xr:uid="{00000000-0005-0000-0000-00002E000000}"/>
    <cellStyle name="Hist Proj Title" xfId="53" xr:uid="{00000000-0005-0000-0000-00002F000000}"/>
    <cellStyle name="Hyperlink" xfId="1" builtinId="8" hidden="1" customBuiltin="1"/>
    <cellStyle name="Hyperlink" xfId="68" builtinId="8"/>
    <cellStyle name="Input" xfId="15" builtinId="20" hidden="1"/>
    <cellStyle name="Input" xfId="61" builtinId="20" customBuiltin="1"/>
    <cellStyle name="Linked Cell" xfId="18" builtinId="24" hidden="1"/>
    <cellStyle name="Multiple" xfId="56" xr:uid="{00000000-0005-0000-0000-000034000000}"/>
    <cellStyle name="Neutral" xfId="14" builtinId="28" hidden="1"/>
    <cellStyle name="Normal" xfId="0" builtinId="0" customBuiltin="1"/>
    <cellStyle name="Note" xfId="21" builtinId="10" hidden="1"/>
    <cellStyle name="Notes and Comments" xfId="59" xr:uid="{00000000-0005-0000-0000-000038000000}"/>
    <cellStyle name="Output" xfId="16" builtinId="21" hidden="1"/>
    <cellStyle name="P" xfId="67" xr:uid="{00000000-0005-0000-0000-00003A000000}"/>
    <cellStyle name="Percent" xfId="6" builtinId="5" hidden="1"/>
    <cellStyle name="Percent" xfId="57" builtinId="5" customBuiltin="1"/>
    <cellStyle name="Primary Title" xfId="48" xr:uid="{00000000-0005-0000-0000-00003D000000}"/>
    <cellStyle name="Row Label" xfId="54" xr:uid="{00000000-0005-0000-0000-00003E000000}"/>
    <cellStyle name="Secondary Title" xfId="49" xr:uid="{00000000-0005-0000-0000-00003F000000}"/>
    <cellStyle name="Tertiary Title" xfId="50" xr:uid="{00000000-0005-0000-0000-000040000000}"/>
    <cellStyle name="Title" xfId="7" builtinId="15" hidden="1"/>
    <cellStyle name="Total" xfId="23" builtinId="25" hidden="1"/>
    <cellStyle name="Warning Text" xfId="20" builtinId="11" hidden="1"/>
  </cellStyles>
  <dxfs count="0"/>
  <tableStyles count="0" defaultTableStyle="TableStyleMedium2" defaultPivotStyle="PivotStyleLight16"/>
  <colors>
    <mruColors>
      <color rgb="FF163260"/>
      <color rgb="FF085393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1503980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95250</xdr:rowOff>
    </xdr:from>
    <xdr:to>
      <xdr:col>1</xdr:col>
      <xdr:colOff>2511504</xdr:colOff>
      <xdr:row>0</xdr:row>
      <xdr:rowOff>427284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378F52BA-14E8-4758-97A1-D5938D6639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61925" y="95250"/>
          <a:ext cx="2444829" cy="332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felix.fe.training/filing/document.php/?hid=699f1d70ca498" TargetMode="External"/><Relationship Id="rId3" Type="http://schemas.openxmlformats.org/officeDocument/2006/relationships/hyperlink" Target="https://felix.fe.training/filing/document.php/?hid=699f1d017bfcc" TargetMode="External"/><Relationship Id="rId7" Type="http://schemas.openxmlformats.org/officeDocument/2006/relationships/hyperlink" Target="https://felix.fe.training/filing/document.php/?hid=699f1d017bfcc" TargetMode="External"/><Relationship Id="rId12" Type="http://schemas.openxmlformats.org/officeDocument/2006/relationships/vmlDrawing" Target="../drawings/vmlDrawing2.vml"/><Relationship Id="rId2" Type="http://schemas.openxmlformats.org/officeDocument/2006/relationships/hyperlink" Target="https://felix.fe.training/filing/document.php/?hid=699f1cf327dcc" TargetMode="External"/><Relationship Id="rId1" Type="http://schemas.openxmlformats.org/officeDocument/2006/relationships/hyperlink" Target="https://felix.fe.training/filing/document.php/?hid=699f1ca1e01d8" TargetMode="External"/><Relationship Id="rId6" Type="http://schemas.openxmlformats.org/officeDocument/2006/relationships/hyperlink" Target="https://felix.fe.training/filing/document.php/?hid=699f1cf327dcc" TargetMode="External"/><Relationship Id="rId11" Type="http://schemas.openxmlformats.org/officeDocument/2006/relationships/drawing" Target="../drawings/drawing2.xml"/><Relationship Id="rId5" Type="http://schemas.openxmlformats.org/officeDocument/2006/relationships/hyperlink" Target="https://felix.fe.training/filing/document.php/?hid=699f1da58e83b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https://felix.fe.training/filing/document.php/?hid=699f1d70ca498" TargetMode="External"/><Relationship Id="rId9" Type="http://schemas.openxmlformats.org/officeDocument/2006/relationships/hyperlink" Target="https://felix.fe.training/filing/document.php/?hid=699f1da58e83b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felix.fe.training/filing/document.php/?hid=699f17230f0ef" TargetMode="External"/><Relationship Id="rId13" Type="http://schemas.openxmlformats.org/officeDocument/2006/relationships/hyperlink" Target="https://felix.fe.training/filing/document.php/?hid=699f185fb920d" TargetMode="External"/><Relationship Id="rId18" Type="http://schemas.openxmlformats.org/officeDocument/2006/relationships/hyperlink" Target="https://felix.fe.training/filing/document.php/?hid=699f21bc4602b" TargetMode="External"/><Relationship Id="rId3" Type="http://schemas.openxmlformats.org/officeDocument/2006/relationships/hyperlink" Target="https://felix.fe.training/filing/document.php/?hid=699f16e52aa6b" TargetMode="External"/><Relationship Id="rId21" Type="http://schemas.openxmlformats.org/officeDocument/2006/relationships/hyperlink" Target="https://felix.fe.training/filing/document.php/?hid=699f2eb84d7af" TargetMode="External"/><Relationship Id="rId7" Type="http://schemas.openxmlformats.org/officeDocument/2006/relationships/hyperlink" Target="https://felix.fe.training/filing/document.php/?hid=699f171864a80" TargetMode="External"/><Relationship Id="rId12" Type="http://schemas.openxmlformats.org/officeDocument/2006/relationships/hyperlink" Target="https://felix.fe.training/filing/document.php/?hid=699f175e2a9dc" TargetMode="External"/><Relationship Id="rId17" Type="http://schemas.openxmlformats.org/officeDocument/2006/relationships/hyperlink" Target="https://felix.fe.training/filing/document.php/?hid=699f189d67095" TargetMode="External"/><Relationship Id="rId2" Type="http://schemas.openxmlformats.org/officeDocument/2006/relationships/hyperlink" Target="https://felix.fe.training/filing/document.php/?hid=699f164ceb3af" TargetMode="External"/><Relationship Id="rId16" Type="http://schemas.openxmlformats.org/officeDocument/2006/relationships/hyperlink" Target="https://felix.fe.training/filing/document.php/?hid=699f188ba11ff" TargetMode="External"/><Relationship Id="rId20" Type="http://schemas.openxmlformats.org/officeDocument/2006/relationships/hyperlink" Target="https://felix.fe.training/filing/document.php/?hid=699f2ead45bd0" TargetMode="External"/><Relationship Id="rId1" Type="http://schemas.openxmlformats.org/officeDocument/2006/relationships/hyperlink" Target="https://felix.fe.training/filing/document.php/?hid=699f15b0f2706" TargetMode="External"/><Relationship Id="rId6" Type="http://schemas.openxmlformats.org/officeDocument/2006/relationships/hyperlink" Target="https://felix.fe.training/filing/document.php/?hid=699f170941986" TargetMode="External"/><Relationship Id="rId11" Type="http://schemas.openxmlformats.org/officeDocument/2006/relationships/hyperlink" Target="https://felix.fe.training/filing/document.php/?hid=699f174d59a56" TargetMode="External"/><Relationship Id="rId5" Type="http://schemas.openxmlformats.org/officeDocument/2006/relationships/hyperlink" Target="https://felix.fe.training/filing/document.php/?hid=699f16fd43503" TargetMode="External"/><Relationship Id="rId15" Type="http://schemas.openxmlformats.org/officeDocument/2006/relationships/hyperlink" Target="https://felix.fe.training/filing/document.php/?hid=699f18774f66a" TargetMode="External"/><Relationship Id="rId23" Type="http://schemas.openxmlformats.org/officeDocument/2006/relationships/vmlDrawing" Target="../drawings/vmlDrawing3.vml"/><Relationship Id="rId10" Type="http://schemas.openxmlformats.org/officeDocument/2006/relationships/hyperlink" Target="https://felix.fe.training/filing/document.php/?hid=699f173db6cf9" TargetMode="External"/><Relationship Id="rId19" Type="http://schemas.openxmlformats.org/officeDocument/2006/relationships/hyperlink" Target="https://felix.fe.training/filing/document.php/?hid=699f2e914b2a6" TargetMode="External"/><Relationship Id="rId4" Type="http://schemas.openxmlformats.org/officeDocument/2006/relationships/hyperlink" Target="https://felix.fe.training/filing/document.php/?hid=699f16ef6e54f" TargetMode="External"/><Relationship Id="rId9" Type="http://schemas.openxmlformats.org/officeDocument/2006/relationships/hyperlink" Target="https://felix.fe.training/filing/document.php/?hid=699f173106f5b" TargetMode="External"/><Relationship Id="rId14" Type="http://schemas.openxmlformats.org/officeDocument/2006/relationships/hyperlink" Target="https://felix.fe.training/filing/document.php/?hid=699f186bdbac7" TargetMode="External"/><Relationship Id="rId22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18"/>
  <sheetViews>
    <sheetView showGridLines="0" zoomScaleNormal="100" workbookViewId="0">
      <selection sqref="A1:N1"/>
    </sheetView>
  </sheetViews>
  <sheetFormatPr defaultColWidth="9.140625" defaultRowHeight="15" x14ac:dyDescent="0.25"/>
  <cols>
    <col min="1" max="1" width="9.85546875" customWidth="1"/>
    <col min="2" max="13" width="9.28515625" customWidth="1"/>
    <col min="14" max="14" width="9.85546875" customWidth="1"/>
    <col min="15" max="26" width="9.140625" customWidth="1"/>
  </cols>
  <sheetData>
    <row r="1" spans="1:14" s="23" customFormat="1" ht="189.75" customHeight="1" x14ac:dyDescent="0.4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1:14" s="12" customFormat="1" ht="75" customHeight="1" x14ac:dyDescent="0.25">
      <c r="A2" s="70" t="s">
        <v>7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s="13" customFormat="1" ht="7.5" customHeight="1" x14ac:dyDescent="0.25">
      <c r="B3" s="14"/>
      <c r="C3" s="14"/>
      <c r="F3" s="15"/>
      <c r="G3" s="15"/>
      <c r="H3" s="15"/>
      <c r="I3" s="15"/>
      <c r="J3" s="15"/>
      <c r="K3" s="15"/>
    </row>
    <row r="4" spans="1:14" s="13" customFormat="1" ht="15" customHeight="1" x14ac:dyDescent="0.25">
      <c r="A4" s="25"/>
      <c r="B4" s="26"/>
      <c r="C4" s="69"/>
      <c r="D4" s="69"/>
      <c r="E4" s="27"/>
      <c r="F4" s="28"/>
      <c r="G4" s="28"/>
      <c r="H4" s="28"/>
      <c r="I4" s="28"/>
      <c r="J4" s="28"/>
      <c r="K4" s="28"/>
      <c r="L4" s="27"/>
      <c r="M4" s="27"/>
      <c r="N4" s="27"/>
    </row>
    <row r="5" spans="1:14" s="13" customFormat="1" ht="15" customHeight="1" x14ac:dyDescent="0.25">
      <c r="A5" s="71" t="s">
        <v>0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</row>
    <row r="6" spans="1:14" s="13" customFormat="1" ht="15" customHeight="1" x14ac:dyDescent="0.25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</row>
    <row r="7" spans="1:14" s="13" customFormat="1" ht="15" customHeight="1" x14ac:dyDescent="0.25">
      <c r="A7" s="71" t="str">
        <f ca="1">"© "&amp;YEAR(TODAY())&amp;" Financial Edge Training"</f>
        <v>© 2026 Financial Edge Training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s="13" customFormat="1" ht="15" customHeight="1" thickBot="1" x14ac:dyDescent="0.3">
      <c r="A8" s="29"/>
      <c r="B8" s="30"/>
      <c r="C8" s="29"/>
      <c r="D8" s="29"/>
      <c r="E8" s="31"/>
      <c r="F8" s="32"/>
      <c r="G8" s="32"/>
      <c r="H8" s="32"/>
      <c r="I8" s="32"/>
      <c r="J8" s="32"/>
      <c r="K8" s="32"/>
      <c r="L8" s="31"/>
      <c r="M8" s="31"/>
      <c r="N8" s="31"/>
    </row>
    <row r="9" spans="1:14" s="13" customFormat="1" ht="15" customHeight="1" x14ac:dyDescent="0.25">
      <c r="F9" s="17"/>
      <c r="G9" s="72"/>
      <c r="H9" s="72"/>
      <c r="I9" s="72"/>
      <c r="J9" s="72"/>
      <c r="K9" s="17"/>
    </row>
    <row r="10" spans="1:14" s="13" customFormat="1" ht="15" customHeight="1" x14ac:dyDescent="0.25">
      <c r="B10" s="14"/>
      <c r="C10" s="14"/>
      <c r="F10" s="17"/>
      <c r="G10" s="72"/>
      <c r="H10" s="72"/>
      <c r="I10" s="72"/>
      <c r="J10" s="72"/>
      <c r="K10" s="17"/>
    </row>
    <row r="11" spans="1:14" s="13" customFormat="1" ht="15" customHeight="1" x14ac:dyDescent="0.25">
      <c r="B11" s="10"/>
      <c r="C11" s="10"/>
      <c r="D11" s="11"/>
      <c r="F11" s="15"/>
      <c r="G11" s="15"/>
      <c r="H11" s="15"/>
      <c r="I11" s="15"/>
      <c r="J11" s="15"/>
      <c r="K11" s="15"/>
    </row>
    <row r="12" spans="1:14" s="13" customFormat="1" ht="15" customHeight="1" x14ac:dyDescent="0.25">
      <c r="A12" s="16"/>
      <c r="B12" s="10"/>
      <c r="C12" s="10"/>
      <c r="D12" s="18"/>
      <c r="F12" s="15"/>
      <c r="G12" s="68"/>
      <c r="H12" s="68"/>
      <c r="I12" s="68"/>
      <c r="J12" s="68"/>
      <c r="K12" s="15"/>
    </row>
    <row r="13" spans="1:14" s="13" customFormat="1" ht="15" customHeight="1" x14ac:dyDescent="0.25">
      <c r="A13" s="9"/>
      <c r="B13" s="10"/>
      <c r="C13" s="10"/>
      <c r="D13" s="19"/>
      <c r="F13" s="15"/>
      <c r="G13" s="68"/>
      <c r="H13" s="68"/>
      <c r="I13" s="68"/>
      <c r="J13" s="68"/>
      <c r="K13" s="15"/>
    </row>
    <row r="14" spans="1:14" s="13" customFormat="1" ht="15" customHeight="1" x14ac:dyDescent="0.25">
      <c r="A14" s="12"/>
      <c r="B14" s="10"/>
      <c r="C14" s="10"/>
      <c r="D14" s="19"/>
      <c r="F14" s="15"/>
      <c r="G14" s="68"/>
      <c r="H14" s="68"/>
      <c r="I14" s="68"/>
      <c r="J14" s="68"/>
      <c r="K14" s="15"/>
    </row>
    <row r="15" spans="1:14" s="13" customFormat="1" ht="15" customHeight="1" x14ac:dyDescent="0.25">
      <c r="A15" s="12"/>
      <c r="B15" s="10"/>
      <c r="C15" s="10"/>
      <c r="D15" s="19"/>
      <c r="F15" s="15"/>
      <c r="G15" s="15"/>
      <c r="H15" s="15"/>
      <c r="I15" s="15"/>
      <c r="J15" s="15"/>
      <c r="K15" s="15"/>
    </row>
    <row r="16" spans="1:14" s="13" customFormat="1" ht="15" customHeight="1" x14ac:dyDescent="0.25">
      <c r="A16" s="12"/>
      <c r="B16" s="10"/>
      <c r="C16" s="10"/>
      <c r="D16" s="20"/>
      <c r="F16" s="15"/>
      <c r="G16" s="68"/>
      <c r="H16" s="68"/>
      <c r="I16" s="68"/>
      <c r="J16" s="68"/>
      <c r="K16" s="15"/>
    </row>
    <row r="17" spans="1:11" s="13" customFormat="1" ht="15" customHeight="1" x14ac:dyDescent="0.25">
      <c r="A17" s="12"/>
      <c r="B17" s="21"/>
      <c r="C17" s="22"/>
      <c r="D17" s="20"/>
      <c r="F17" s="15"/>
      <c r="G17" s="15"/>
      <c r="H17" s="15"/>
      <c r="I17" s="15"/>
      <c r="J17" s="15"/>
      <c r="K17" s="15"/>
    </row>
    <row r="18" spans="1:11" ht="15" customHeight="1" x14ac:dyDescent="0.25"/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75" orientation="portrait" horizontalDpi="2400" verticalDpi="2400" r:id="rId1"/>
  <headerFooter>
    <oddHeader xml:space="preserve">&amp;R&amp;10&amp;F 
&amp;A
</oddHeader>
    <oddFooter>&amp;L&amp;10© 2018&amp;C&amp;10Page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2EF7C-4A94-4B15-B2E7-8DE8481E4F2A}">
  <sheetPr>
    <pageSetUpPr fitToPage="1"/>
  </sheetPr>
  <dimension ref="A1:Q117"/>
  <sheetViews>
    <sheetView tabSelected="1" zoomScale="110" zoomScaleNormal="110" workbookViewId="0">
      <pane ySplit="1" topLeftCell="A2" activePane="bottomLeft" state="frozen"/>
      <selection pane="bottomLeft" activeCell="A2" sqref="A2"/>
    </sheetView>
  </sheetViews>
  <sheetFormatPr defaultColWidth="9.140625" defaultRowHeight="15" customHeight="1" x14ac:dyDescent="0.25"/>
  <cols>
    <col min="1" max="1" width="1.42578125" style="7" customWidth="1"/>
    <col min="2" max="2" width="57.42578125" style="8" bestFit="1" customWidth="1"/>
    <col min="3" max="6" width="11" customWidth="1"/>
    <col min="7" max="7" width="12.140625" customWidth="1"/>
    <col min="8" max="10" width="11" customWidth="1"/>
    <col min="11" max="11" width="9.28515625" customWidth="1"/>
    <col min="12" max="12" width="12.5703125" bestFit="1" customWidth="1"/>
    <col min="13" max="16" width="10.42578125" customWidth="1"/>
    <col min="17" max="17" width="9.5703125" bestFit="1" customWidth="1"/>
  </cols>
  <sheetData>
    <row r="1" spans="1:17" ht="45.6" customHeight="1" x14ac:dyDescent="0.25">
      <c r="A1" s="62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</row>
    <row r="2" spans="1:17" s="24" customFormat="1" ht="30" customHeight="1" x14ac:dyDescent="0.35">
      <c r="A2" s="3"/>
      <c r="B2" s="6" t="s">
        <v>136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4" spans="1:17" ht="15" customHeight="1" x14ac:dyDescent="0.25">
      <c r="A4" s="7" t="s">
        <v>46</v>
      </c>
      <c r="K4" s="51" t="s">
        <v>120</v>
      </c>
    </row>
    <row r="5" spans="1:17" ht="15" customHeight="1" x14ac:dyDescent="0.25">
      <c r="C5" s="4" t="s">
        <v>98</v>
      </c>
      <c r="D5" s="4" t="s">
        <v>49</v>
      </c>
      <c r="L5" s="53" t="s">
        <v>76</v>
      </c>
      <c r="M5" s="53" t="s">
        <v>30</v>
      </c>
      <c r="N5" s="53" t="s">
        <v>31</v>
      </c>
    </row>
    <row r="6" spans="1:17" ht="15" customHeight="1" x14ac:dyDescent="0.25">
      <c r="B6" s="8" t="s">
        <v>119</v>
      </c>
      <c r="C6" s="66">
        <v>10.16</v>
      </c>
      <c r="D6" s="37">
        <v>10</v>
      </c>
      <c r="K6" t="s">
        <v>75</v>
      </c>
      <c r="L6" s="48">
        <v>36</v>
      </c>
      <c r="M6" s="48">
        <v>30.9</v>
      </c>
      <c r="N6">
        <f>MAX(($D$9-M6)/$D$9*L6,0)</f>
        <v>0.40320000000000161</v>
      </c>
    </row>
    <row r="7" spans="1:17" ht="15" customHeight="1" x14ac:dyDescent="0.25">
      <c r="B7" s="8" t="s">
        <v>28</v>
      </c>
      <c r="D7" s="52">
        <v>31</v>
      </c>
      <c r="K7" t="s">
        <v>77</v>
      </c>
      <c r="L7" s="48">
        <v>78.8</v>
      </c>
      <c r="M7" s="35">
        <v>0</v>
      </c>
      <c r="N7">
        <f t="shared" ref="N7:N8" si="0">MAX(($D$9-M7)/$D$9*L7,0)</f>
        <v>78.8</v>
      </c>
    </row>
    <row r="8" spans="1:17" ht="15" customHeight="1" x14ac:dyDescent="0.25">
      <c r="B8" s="8" t="s">
        <v>104</v>
      </c>
      <c r="D8" s="52">
        <v>0.25</v>
      </c>
      <c r="K8" t="s">
        <v>78</v>
      </c>
      <c r="L8" s="48">
        <v>9.8000000000000007</v>
      </c>
      <c r="M8" s="35">
        <v>0</v>
      </c>
      <c r="N8">
        <f t="shared" si="0"/>
        <v>9.8000000000000007</v>
      </c>
    </row>
    <row r="9" spans="1:17" ht="15" customHeight="1" x14ac:dyDescent="0.25">
      <c r="B9" s="8" t="s">
        <v>105</v>
      </c>
      <c r="D9" s="52">
        <f>SUM(D7:D8)</f>
        <v>31.25</v>
      </c>
      <c r="G9" s="48"/>
      <c r="H9" s="35"/>
    </row>
    <row r="10" spans="1:17" ht="15" customHeight="1" x14ac:dyDescent="0.25">
      <c r="B10" s="8" t="s">
        <v>20</v>
      </c>
      <c r="D10" s="48">
        <v>2477.9745090000001</v>
      </c>
      <c r="K10" s="51" t="s">
        <v>121</v>
      </c>
    </row>
    <row r="11" spans="1:17" ht="15" customHeight="1" x14ac:dyDescent="0.25">
      <c r="B11" s="8" t="s">
        <v>4</v>
      </c>
      <c r="C11" s="35">
        <v>1179.5999999999999</v>
      </c>
      <c r="D11">
        <f>D10+SUM(N6:N8)</f>
        <v>2566.9777090000002</v>
      </c>
      <c r="L11" s="53" t="s">
        <v>76</v>
      </c>
      <c r="M11" s="53" t="s">
        <v>30</v>
      </c>
      <c r="N11" s="53" t="s">
        <v>31</v>
      </c>
    </row>
    <row r="12" spans="1:17" ht="15" customHeight="1" x14ac:dyDescent="0.25">
      <c r="B12" s="8" t="s">
        <v>38</v>
      </c>
      <c r="C12">
        <f>C11*C6</f>
        <v>11984.735999999999</v>
      </c>
      <c r="K12" t="s">
        <v>75</v>
      </c>
      <c r="L12" s="48">
        <v>36</v>
      </c>
      <c r="M12" s="48">
        <v>30.9</v>
      </c>
      <c r="N12">
        <f>MAX(($D$6-M12)/$D$6*L12,0)</f>
        <v>0</v>
      </c>
    </row>
    <row r="13" spans="1:17" ht="15" customHeight="1" x14ac:dyDescent="0.25">
      <c r="B13" s="8" t="s">
        <v>23</v>
      </c>
      <c r="D13">
        <f>D11*D9</f>
        <v>80218.053406250008</v>
      </c>
      <c r="K13" t="s">
        <v>77</v>
      </c>
      <c r="L13" s="48">
        <v>78.8</v>
      </c>
      <c r="M13" s="35">
        <v>0</v>
      </c>
      <c r="N13">
        <f t="shared" ref="N13:N14" si="1">MAX(($D$6-M13)/$D$6*L13,0)</f>
        <v>78.8</v>
      </c>
    </row>
    <row r="14" spans="1:17" ht="15" customHeight="1" x14ac:dyDescent="0.25">
      <c r="B14" s="8" t="s">
        <v>18</v>
      </c>
      <c r="C14" s="35">
        <v>13658</v>
      </c>
      <c r="D14" s="35">
        <f>32428+139</f>
        <v>32567</v>
      </c>
      <c r="E14" t="s">
        <v>99</v>
      </c>
      <c r="K14" t="s">
        <v>78</v>
      </c>
      <c r="L14" s="48">
        <v>9.8000000000000007</v>
      </c>
      <c r="M14" s="35">
        <v>0</v>
      </c>
      <c r="N14">
        <f t="shared" si="1"/>
        <v>9.8000000000000007</v>
      </c>
    </row>
    <row r="15" spans="1:17" ht="15" customHeight="1" x14ac:dyDescent="0.25">
      <c r="B15" s="8" t="s">
        <v>19</v>
      </c>
      <c r="C15" s="35">
        <v>3274</v>
      </c>
      <c r="D15" s="35">
        <v>4566</v>
      </c>
      <c r="E15" t="s">
        <v>99</v>
      </c>
    </row>
    <row r="16" spans="1:17" ht="15" customHeight="1" x14ac:dyDescent="0.25">
      <c r="B16" s="8" t="s">
        <v>79</v>
      </c>
      <c r="D16">
        <f>+D13+D14-D15</f>
        <v>108219.05340625001</v>
      </c>
    </row>
    <row r="17" spans="1:9" ht="15" customHeight="1" x14ac:dyDescent="0.25">
      <c r="B17" s="8" t="s">
        <v>137</v>
      </c>
      <c r="C17" s="35">
        <v>24414.2</v>
      </c>
    </row>
    <row r="18" spans="1:9" ht="15" customHeight="1" x14ac:dyDescent="0.25">
      <c r="D18" s="35"/>
      <c r="H18" s="64"/>
      <c r="I18" s="65"/>
    </row>
    <row r="19" spans="1:9" ht="15" customHeight="1" x14ac:dyDescent="0.25">
      <c r="A19" s="7" t="s">
        <v>34</v>
      </c>
      <c r="D19" s="35"/>
      <c r="H19" s="8"/>
    </row>
    <row r="20" spans="1:9" ht="15" customHeight="1" x14ac:dyDescent="0.25">
      <c r="B20" s="8" t="s">
        <v>37</v>
      </c>
      <c r="C20" s="42">
        <v>6000</v>
      </c>
      <c r="D20" t="s">
        <v>110</v>
      </c>
      <c r="H20" s="8"/>
    </row>
    <row r="21" spans="1:9" ht="15" customHeight="1" x14ac:dyDescent="0.25">
      <c r="B21" s="8" t="s">
        <v>6</v>
      </c>
      <c r="C21" s="42">
        <v>57500</v>
      </c>
      <c r="D21" s="35"/>
      <c r="H21" s="8"/>
    </row>
    <row r="22" spans="1:9" ht="15" customHeight="1" x14ac:dyDescent="0.25">
      <c r="B22" s="8" t="s">
        <v>145</v>
      </c>
      <c r="C22" s="42">
        <v>45700</v>
      </c>
      <c r="D22" t="s">
        <v>142</v>
      </c>
      <c r="H22" s="8"/>
    </row>
    <row r="23" spans="1:9" ht="15" customHeight="1" x14ac:dyDescent="0.25">
      <c r="B23" s="8" t="s">
        <v>35</v>
      </c>
      <c r="C23" s="43">
        <v>0.06</v>
      </c>
      <c r="D23" t="s">
        <v>131</v>
      </c>
      <c r="H23" s="8"/>
    </row>
    <row r="24" spans="1:9" ht="15" customHeight="1" x14ac:dyDescent="0.25">
      <c r="B24" s="8" t="s">
        <v>11</v>
      </c>
      <c r="C24" s="43">
        <v>0.15</v>
      </c>
      <c r="D24" t="s">
        <v>123</v>
      </c>
      <c r="H24" s="8"/>
    </row>
    <row r="25" spans="1:9" ht="15" customHeight="1" x14ac:dyDescent="0.25">
      <c r="B25" s="8" t="s">
        <v>87</v>
      </c>
      <c r="C25" s="43">
        <v>5.0000000000000001E-3</v>
      </c>
      <c r="D25" t="s">
        <v>123</v>
      </c>
      <c r="H25" s="8"/>
    </row>
    <row r="26" spans="1:9" ht="15" customHeight="1" x14ac:dyDescent="0.25">
      <c r="B26" s="8" t="s">
        <v>86</v>
      </c>
      <c r="C26" s="42">
        <v>450</v>
      </c>
      <c r="D26" s="35"/>
      <c r="H26" s="8"/>
    </row>
    <row r="27" spans="1:9" ht="15" customHeight="1" x14ac:dyDescent="0.25">
      <c r="D27" s="35"/>
    </row>
    <row r="28" spans="1:9" ht="15" customHeight="1" x14ac:dyDescent="0.25">
      <c r="A28" s="7" t="s">
        <v>32</v>
      </c>
      <c r="D28" s="35"/>
    </row>
    <row r="29" spans="1:9" ht="15" customHeight="1" x14ac:dyDescent="0.25">
      <c r="B29" s="8" t="str">
        <f>B13</f>
        <v>Acquisition equity value</v>
      </c>
      <c r="C29">
        <f>D13</f>
        <v>80218.053406250008</v>
      </c>
      <c r="E29" s="8" t="s">
        <v>102</v>
      </c>
      <c r="G29">
        <f>+C35-G30</f>
        <v>56010.148673281263</v>
      </c>
      <c r="H29" t="str">
        <f ca="1">_xlfn.FORMULATEXT(G29)</f>
        <v>=+C35-G30</v>
      </c>
    </row>
    <row r="30" spans="1:9" ht="15" customHeight="1" x14ac:dyDescent="0.25">
      <c r="B30" s="8" t="s">
        <v>5</v>
      </c>
      <c r="C30">
        <f>C25*D16</f>
        <v>541.09526703125005</v>
      </c>
      <c r="E30" s="8" t="s">
        <v>29</v>
      </c>
      <c r="G30">
        <f>+C21</f>
        <v>57500</v>
      </c>
      <c r="H30" t="str">
        <f t="shared" ref="H30:H35" ca="1" si="2">_xlfn.FORMULATEXT(G30)</f>
        <v>=+C21</v>
      </c>
    </row>
    <row r="31" spans="1:9" ht="15" customHeight="1" x14ac:dyDescent="0.25">
      <c r="B31" s="8" t="s">
        <v>100</v>
      </c>
      <c r="C31" s="35">
        <v>2800</v>
      </c>
      <c r="E31" s="8"/>
    </row>
    <row r="32" spans="1:9" ht="15" customHeight="1" x14ac:dyDescent="0.25">
      <c r="B32" s="8" t="s">
        <v>101</v>
      </c>
      <c r="C32" s="35">
        <v>1500</v>
      </c>
      <c r="E32" s="8"/>
    </row>
    <row r="33" spans="1:8" ht="15" customHeight="1" x14ac:dyDescent="0.25">
      <c r="B33" s="8" t="s">
        <v>86</v>
      </c>
      <c r="C33">
        <f>+C26</f>
        <v>450</v>
      </c>
      <c r="E33" s="8"/>
    </row>
    <row r="34" spans="1:8" ht="15" customHeight="1" x14ac:dyDescent="0.25">
      <c r="B34" s="8" t="s">
        <v>1</v>
      </c>
      <c r="C34">
        <f>+D14-D15</f>
        <v>28001</v>
      </c>
      <c r="E34" s="8"/>
    </row>
    <row r="35" spans="1:8" ht="15" customHeight="1" x14ac:dyDescent="0.25">
      <c r="B35" s="8" t="s">
        <v>2</v>
      </c>
      <c r="C35">
        <f>SUM(C29:C34)</f>
        <v>113510.14867328126</v>
      </c>
      <c r="E35" s="8" t="s">
        <v>3</v>
      </c>
      <c r="G35">
        <f>SUM(G29:G30)</f>
        <v>113510.14867328126</v>
      </c>
      <c r="H35" t="str">
        <f t="shared" ca="1" si="2"/>
        <v>=SUM(G29:G30)</v>
      </c>
    </row>
    <row r="36" spans="1:8" ht="15" customHeight="1" x14ac:dyDescent="0.25">
      <c r="D36" s="35"/>
    </row>
    <row r="37" spans="1:8" ht="15" customHeight="1" x14ac:dyDescent="0.25">
      <c r="A37" s="7" t="s">
        <v>33</v>
      </c>
      <c r="D37" s="39"/>
      <c r="E37" s="54">
        <v>2028</v>
      </c>
      <c r="F37" s="54">
        <v>2029</v>
      </c>
    </row>
    <row r="38" spans="1:8" ht="15" customHeight="1" x14ac:dyDescent="0.25">
      <c r="B38" s="8" t="s">
        <v>106</v>
      </c>
      <c r="D38" s="36"/>
      <c r="E38" s="36">
        <f>$C$6/E50</f>
        <v>8.1280000000000001</v>
      </c>
      <c r="F38" s="36">
        <f>$C$6/F50</f>
        <v>6.1575757575757581</v>
      </c>
    </row>
    <row r="39" spans="1:8" ht="15" customHeight="1" x14ac:dyDescent="0.25">
      <c r="B39" s="8" t="s">
        <v>95</v>
      </c>
      <c r="D39" s="57"/>
      <c r="E39" s="36">
        <f>+$D$9/E57</f>
        <v>115.74074074074073</v>
      </c>
      <c r="F39" s="36">
        <f>+$D$9/F57</f>
        <v>81.447187928669408</v>
      </c>
    </row>
    <row r="40" spans="1:8" ht="15" customHeight="1" x14ac:dyDescent="0.25">
      <c r="B40" s="8" t="s">
        <v>15</v>
      </c>
      <c r="D40" s="57"/>
      <c r="E40" s="36">
        <f>1/($C$23*(1-$C$24))</f>
        <v>19.607843137254903</v>
      </c>
      <c r="F40" s="36">
        <f>1/($C$23*(1-$C$24))</f>
        <v>19.607843137254903</v>
      </c>
    </row>
    <row r="41" spans="1:8" ht="15" customHeight="1" x14ac:dyDescent="0.25">
      <c r="B41" s="8" t="s">
        <v>107</v>
      </c>
      <c r="D41" s="57"/>
      <c r="E41" s="36">
        <f>+$C$17/E49</f>
        <v>17.833601168736305</v>
      </c>
      <c r="F41" s="36">
        <f>+$C$17/F49</f>
        <v>13.510303915709322</v>
      </c>
    </row>
    <row r="42" spans="1:8" ht="15" customHeight="1" x14ac:dyDescent="0.25">
      <c r="B42" s="8" t="s">
        <v>94</v>
      </c>
      <c r="D42" s="57"/>
      <c r="E42" s="36">
        <f>$D$16/E54</f>
        <v>11.863522627302128</v>
      </c>
      <c r="F42" s="36">
        <f>$D$16/F54</f>
        <v>11.698092466354989</v>
      </c>
    </row>
    <row r="43" spans="1:8" ht="15" customHeight="1" x14ac:dyDescent="0.25">
      <c r="B43" s="8" t="s">
        <v>93</v>
      </c>
      <c r="D43" s="57"/>
      <c r="E43" s="36">
        <f>SUM($C$17,$D$16)/E77</f>
        <v>8.3390916948286709</v>
      </c>
      <c r="F43" s="36">
        <f>SUM($C$17,$D$16)/F77</f>
        <v>7.8620778545494963</v>
      </c>
    </row>
    <row r="44" spans="1:8" ht="15" customHeight="1" x14ac:dyDescent="0.25">
      <c r="D44" s="57"/>
      <c r="E44" s="36"/>
      <c r="F44" s="36"/>
    </row>
    <row r="46" spans="1:8" ht="15" customHeight="1" x14ac:dyDescent="0.25">
      <c r="A46" s="7" t="s">
        <v>26</v>
      </c>
    </row>
    <row r="47" spans="1:8" ht="15" customHeight="1" x14ac:dyDescent="0.25">
      <c r="B47" s="8" t="s">
        <v>129</v>
      </c>
      <c r="C47" s="39"/>
      <c r="D47" s="54">
        <v>2027</v>
      </c>
      <c r="E47" s="54">
        <v>2028</v>
      </c>
      <c r="F47" s="54">
        <v>2029</v>
      </c>
    </row>
    <row r="48" spans="1:8" ht="15" customHeight="1" x14ac:dyDescent="0.25">
      <c r="B48" s="8" t="s">
        <v>8</v>
      </c>
      <c r="C48" s="39"/>
      <c r="D48" s="35">
        <v>3739</v>
      </c>
      <c r="E48" s="35">
        <v>4383</v>
      </c>
      <c r="F48" s="35">
        <v>4019</v>
      </c>
    </row>
    <row r="49" spans="2:13" ht="15" customHeight="1" x14ac:dyDescent="0.25">
      <c r="B49" s="8" t="s">
        <v>10</v>
      </c>
      <c r="D49" s="35">
        <v>1084</v>
      </c>
      <c r="E49" s="35">
        <v>1369</v>
      </c>
      <c r="F49">
        <f>+F50*F51</f>
        <v>1807.08</v>
      </c>
    </row>
    <row r="50" spans="2:13" ht="15" customHeight="1" x14ac:dyDescent="0.25">
      <c r="B50" s="8" t="s">
        <v>12</v>
      </c>
      <c r="D50" s="37">
        <v>0.83</v>
      </c>
      <c r="E50" s="37">
        <v>1.25</v>
      </c>
      <c r="F50" s="37">
        <v>1.65</v>
      </c>
    </row>
    <row r="51" spans="2:13" ht="15" customHeight="1" x14ac:dyDescent="0.25">
      <c r="B51" s="8" t="s">
        <v>109</v>
      </c>
      <c r="D51" s="37">
        <f>+D49/D50</f>
        <v>1306.0240963855422</v>
      </c>
      <c r="E51" s="37">
        <f t="shared" ref="E51" si="3">+E49/E50</f>
        <v>1095.2</v>
      </c>
      <c r="F51">
        <f>+E51</f>
        <v>1095.2</v>
      </c>
      <c r="G51" t="s">
        <v>108</v>
      </c>
    </row>
    <row r="53" spans="2:13" ht="15" customHeight="1" x14ac:dyDescent="0.25">
      <c r="B53" s="8" t="s">
        <v>130</v>
      </c>
      <c r="C53" s="39"/>
      <c r="D53" s="39"/>
      <c r="E53" s="39"/>
      <c r="F53" s="39"/>
    </row>
    <row r="54" spans="2:13" ht="15" customHeight="1" x14ac:dyDescent="0.25">
      <c r="B54" s="8" t="s">
        <v>103</v>
      </c>
      <c r="C54" s="37"/>
      <c r="D54" s="35">
        <v>8749</v>
      </c>
      <c r="E54" s="35">
        <v>9122</v>
      </c>
      <c r="F54" s="35">
        <v>9251</v>
      </c>
    </row>
    <row r="55" spans="2:13" ht="15" customHeight="1" x14ac:dyDescent="0.25">
      <c r="B55" s="8" t="s">
        <v>9</v>
      </c>
      <c r="C55" s="37"/>
      <c r="D55" s="35">
        <f>+D54-4938</f>
        <v>3811</v>
      </c>
      <c r="E55" s="35">
        <f>+E54-5268</f>
        <v>3854</v>
      </c>
      <c r="F55" s="35">
        <f>+F54-5635</f>
        <v>3616</v>
      </c>
    </row>
    <row r="56" spans="2:13" ht="15" customHeight="1" x14ac:dyDescent="0.25">
      <c r="B56" s="8" t="s">
        <v>10</v>
      </c>
      <c r="C56" s="37"/>
      <c r="D56" s="35">
        <v>488</v>
      </c>
      <c r="E56" s="35">
        <v>747</v>
      </c>
      <c r="F56" s="35">
        <f>+F57*F58</f>
        <v>1061.5263157894735</v>
      </c>
    </row>
    <row r="57" spans="2:13" ht="15" customHeight="1" x14ac:dyDescent="0.25">
      <c r="B57" s="8" t="s">
        <v>12</v>
      </c>
      <c r="D57" s="37">
        <v>0.19</v>
      </c>
      <c r="E57" s="37">
        <v>0.27</v>
      </c>
      <c r="F57" s="38">
        <f>+E57*(1+(E57/D57-1))</f>
        <v>0.38368421052631579</v>
      </c>
      <c r="K57" s="51" t="s">
        <v>134</v>
      </c>
    </row>
    <row r="58" spans="2:13" ht="15" customHeight="1" x14ac:dyDescent="0.25">
      <c r="B58" s="8" t="s">
        <v>109</v>
      </c>
      <c r="D58" s="37">
        <f>+D56/D57</f>
        <v>2568.4210526315787</v>
      </c>
      <c r="E58" s="37">
        <f t="shared" ref="E58" si="4">+E56/E57</f>
        <v>2766.6666666666665</v>
      </c>
      <c r="F58">
        <f>+E58</f>
        <v>2766.6666666666665</v>
      </c>
    </row>
    <row r="59" spans="2:13" ht="15" customHeight="1" x14ac:dyDescent="0.25">
      <c r="K59" t="s">
        <v>37</v>
      </c>
      <c r="L59" s="42">
        <v>2500</v>
      </c>
    </row>
    <row r="60" spans="2:13" ht="15" customHeight="1" x14ac:dyDescent="0.25">
      <c r="B60" s="8" t="s">
        <v>24</v>
      </c>
      <c r="C60" s="39"/>
      <c r="D60" s="39"/>
      <c r="E60" s="39"/>
      <c r="F60" s="39"/>
      <c r="K60" s="54">
        <v>2027</v>
      </c>
      <c r="L60" s="54">
        <v>2028</v>
      </c>
      <c r="M60" s="54">
        <v>2029</v>
      </c>
    </row>
    <row r="61" spans="2:13" ht="15" customHeight="1" x14ac:dyDescent="0.25">
      <c r="B61" s="40" t="s">
        <v>138</v>
      </c>
      <c r="D61">
        <f>D49</f>
        <v>1084</v>
      </c>
      <c r="E61">
        <f>E49</f>
        <v>1369</v>
      </c>
      <c r="F61">
        <f>F49</f>
        <v>1807.08</v>
      </c>
      <c r="K61">
        <f>+D61</f>
        <v>1084</v>
      </c>
      <c r="L61">
        <f t="shared" ref="L61:M62" si="5">+E61</f>
        <v>1369</v>
      </c>
      <c r="M61">
        <f t="shared" si="5"/>
        <v>1807.08</v>
      </c>
    </row>
    <row r="62" spans="2:13" ht="15" customHeight="1" x14ac:dyDescent="0.25">
      <c r="B62" s="40" t="s">
        <v>140</v>
      </c>
      <c r="D62">
        <f>+D56</f>
        <v>488</v>
      </c>
      <c r="E62">
        <f t="shared" ref="E62:F62" si="6">+E56</f>
        <v>747</v>
      </c>
      <c r="F62">
        <f t="shared" si="6"/>
        <v>1061.5263157894735</v>
      </c>
      <c r="K62">
        <f>+D62</f>
        <v>488</v>
      </c>
      <c r="L62">
        <f t="shared" si="5"/>
        <v>747</v>
      </c>
      <c r="M62">
        <f t="shared" si="5"/>
        <v>1061.5263157894735</v>
      </c>
    </row>
    <row r="63" spans="2:13" ht="15" customHeight="1" x14ac:dyDescent="0.25">
      <c r="B63" s="40" t="s">
        <v>40</v>
      </c>
      <c r="D63">
        <f>+$C$20*D64*(1-$C$24)</f>
        <v>1020</v>
      </c>
      <c r="E63">
        <f t="shared" ref="E63:F63" si="7">+$C$20*E64*(1-$C$24)</f>
        <v>2040</v>
      </c>
      <c r="F63">
        <f t="shared" si="7"/>
        <v>3060</v>
      </c>
      <c r="K63">
        <f>+$L$59*K64*(1-$C$24)</f>
        <v>531.25</v>
      </c>
      <c r="L63">
        <f t="shared" ref="L63:M63" si="8">+$L$59*L64*(1-$C$24)</f>
        <v>1062.5</v>
      </c>
      <c r="M63">
        <f t="shared" si="8"/>
        <v>2125</v>
      </c>
    </row>
    <row r="64" spans="2:13" ht="15" customHeight="1" x14ac:dyDescent="0.25">
      <c r="B64" s="40" t="s">
        <v>143</v>
      </c>
      <c r="D64" s="55">
        <v>0.2</v>
      </c>
      <c r="E64" s="55">
        <v>0.4</v>
      </c>
      <c r="F64" s="55">
        <v>0.6</v>
      </c>
      <c r="K64" s="55">
        <v>0.25</v>
      </c>
      <c r="L64" s="55">
        <v>0.5</v>
      </c>
      <c r="M64" s="55">
        <v>1</v>
      </c>
    </row>
    <row r="65" spans="1:13" ht="15" customHeight="1" x14ac:dyDescent="0.25">
      <c r="B65" s="40" t="s">
        <v>47</v>
      </c>
      <c r="D65">
        <f>$C$23*$C$21*-1*(1-$C$24)</f>
        <v>-2932.5</v>
      </c>
      <c r="E65">
        <f t="shared" ref="E65" si="9">$C$23*$C$21*-1*(1-$C$24)</f>
        <v>-2932.5</v>
      </c>
      <c r="F65">
        <f>$C$23*$C$21*-1*(1-$C$24)</f>
        <v>-2932.5</v>
      </c>
      <c r="G65" t="s">
        <v>133</v>
      </c>
      <c r="K65">
        <f>+D65</f>
        <v>-2932.5</v>
      </c>
      <c r="L65">
        <f t="shared" ref="L65:M65" si="10">+E65</f>
        <v>-2932.5</v>
      </c>
      <c r="M65">
        <f t="shared" si="10"/>
        <v>-2932.5</v>
      </c>
    </row>
    <row r="66" spans="1:13" ht="15" customHeight="1" x14ac:dyDescent="0.25">
      <c r="B66" s="8" t="s">
        <v>13</v>
      </c>
      <c r="D66">
        <f>+D61+D62+D63+D65</f>
        <v>-340.5</v>
      </c>
      <c r="E66">
        <f t="shared" ref="E66:F66" si="11">+E61+E62+E63+E65</f>
        <v>1223.5</v>
      </c>
      <c r="F66">
        <f t="shared" si="11"/>
        <v>2996.1063157894732</v>
      </c>
      <c r="K66">
        <f t="shared" ref="K66" si="12">+K61+K62+K63+K65</f>
        <v>-829.25</v>
      </c>
      <c r="L66">
        <f t="shared" ref="L66" si="13">+L61+L62+L63+L65</f>
        <v>246</v>
      </c>
      <c r="M66">
        <f t="shared" ref="M66" si="14">+M61+M62+M63+M65</f>
        <v>2061.1063157894732</v>
      </c>
    </row>
    <row r="67" spans="1:13" ht="15" customHeight="1" x14ac:dyDescent="0.25">
      <c r="B67" s="8" t="s">
        <v>20</v>
      </c>
      <c r="D67">
        <f>+D51</f>
        <v>1306.0240963855422</v>
      </c>
      <c r="E67">
        <f t="shared" ref="E67:F67" si="15">$C$11</f>
        <v>1179.5999999999999</v>
      </c>
      <c r="F67">
        <f t="shared" si="15"/>
        <v>1179.5999999999999</v>
      </c>
      <c r="K67">
        <f>+D67</f>
        <v>1306.0240963855422</v>
      </c>
      <c r="L67">
        <f t="shared" ref="L67:M67" si="16">+E67</f>
        <v>1179.5999999999999</v>
      </c>
      <c r="M67">
        <f t="shared" si="16"/>
        <v>1179.5999999999999</v>
      </c>
    </row>
    <row r="68" spans="1:13" ht="15" customHeight="1" x14ac:dyDescent="0.25">
      <c r="B68" s="8" t="s">
        <v>14</v>
      </c>
      <c r="C68" s="38"/>
      <c r="D68" s="38">
        <f>D66/D67</f>
        <v>-0.2607149446494465</v>
      </c>
      <c r="E68" s="38">
        <f>E66/E67</f>
        <v>1.0372160054255681</v>
      </c>
      <c r="F68" s="38">
        <f>F66/F67</f>
        <v>2.539934143599079</v>
      </c>
      <c r="K68" s="38">
        <f>+K66/K67</f>
        <v>-0.63494234317343168</v>
      </c>
      <c r="L68" s="38">
        <f t="shared" ref="L68:M68" si="17">+L66/L67</f>
        <v>0.20854526958290948</v>
      </c>
      <c r="M68" s="38">
        <f t="shared" si="17"/>
        <v>1.747292570184362</v>
      </c>
    </row>
    <row r="69" spans="1:13" ht="15" customHeight="1" x14ac:dyDescent="0.25">
      <c r="B69" s="8" t="s">
        <v>16</v>
      </c>
      <c r="C69" s="38"/>
      <c r="D69" s="38">
        <f>D50</f>
        <v>0.83</v>
      </c>
      <c r="E69" s="38">
        <f>E50</f>
        <v>1.25</v>
      </c>
      <c r="F69" s="38">
        <f>F50</f>
        <v>1.65</v>
      </c>
      <c r="K69" s="38">
        <f>+D69</f>
        <v>0.83</v>
      </c>
      <c r="L69" s="38">
        <f t="shared" ref="L69:M69" si="18">+E69</f>
        <v>1.25</v>
      </c>
      <c r="M69" s="38">
        <f t="shared" si="18"/>
        <v>1.65</v>
      </c>
    </row>
    <row r="70" spans="1:13" ht="15" customHeight="1" x14ac:dyDescent="0.25">
      <c r="B70" s="8" t="s">
        <v>26</v>
      </c>
      <c r="C70" s="34"/>
      <c r="D70" s="34">
        <f>D68/D69-1</f>
        <v>-1.3141143911439115</v>
      </c>
      <c r="E70" s="34">
        <f>E68/E69-1</f>
        <v>-0.17022719565954547</v>
      </c>
      <c r="F70" s="34">
        <f>F68/F69-1</f>
        <v>0.53935402642368424</v>
      </c>
      <c r="K70" s="34">
        <f>K68/K69-1</f>
        <v>-1.7649907749077491</v>
      </c>
      <c r="L70" s="34">
        <f t="shared" ref="L70:M70" si="19">L68/L69-1</f>
        <v>-0.83316378433367244</v>
      </c>
      <c r="M70" s="34">
        <f t="shared" si="19"/>
        <v>5.8965194051128655E-2</v>
      </c>
    </row>
    <row r="71" spans="1:13" ht="15" customHeight="1" x14ac:dyDescent="0.25">
      <c r="B71" s="8" t="s">
        <v>111</v>
      </c>
      <c r="C71" s="34"/>
      <c r="D71" s="56">
        <f>(D69-D68)/(1-$C$24)*D67</f>
        <v>1675.8823529411766</v>
      </c>
      <c r="E71" s="56">
        <f>(E69-E68)/(1-$C$24)*E67</f>
        <v>295.29411764705861</v>
      </c>
      <c r="F71" s="56">
        <f>(F69-F68)/(1-$C$24)*F67</f>
        <v>-1235.0191950464396</v>
      </c>
      <c r="K71" s="56">
        <f>(K69-K68)/(1-$C$24)*K67</f>
        <v>2250.8823529411761</v>
      </c>
      <c r="L71" s="56">
        <f t="shared" ref="L71:M71" si="20">(L69-L68)/(1-$C$24)*L67</f>
        <v>1445.2941176470586</v>
      </c>
      <c r="M71" s="56">
        <f t="shared" si="20"/>
        <v>-135.01919504643945</v>
      </c>
    </row>
    <row r="73" spans="1:13" ht="15" customHeight="1" x14ac:dyDescent="0.25">
      <c r="A73" s="7" t="s">
        <v>36</v>
      </c>
      <c r="C73" s="39"/>
      <c r="D73" s="39"/>
      <c r="E73" s="39"/>
    </row>
    <row r="74" spans="1:13" ht="15" customHeight="1" x14ac:dyDescent="0.25">
      <c r="B74" s="8" t="s">
        <v>112</v>
      </c>
      <c r="C74" s="35"/>
      <c r="D74">
        <f>+D48</f>
        <v>3739</v>
      </c>
      <c r="E74">
        <f>+E48</f>
        <v>4383</v>
      </c>
      <c r="F74">
        <f>+F48</f>
        <v>4019</v>
      </c>
    </row>
    <row r="75" spans="1:13" ht="15" customHeight="1" x14ac:dyDescent="0.25">
      <c r="B75" s="8" t="s">
        <v>90</v>
      </c>
      <c r="C75" s="35"/>
      <c r="D75">
        <f>D54</f>
        <v>8749</v>
      </c>
      <c r="E75">
        <f>E54</f>
        <v>9122</v>
      </c>
      <c r="F75">
        <f>F54</f>
        <v>9251</v>
      </c>
    </row>
    <row r="76" spans="1:13" ht="15" customHeight="1" x14ac:dyDescent="0.25">
      <c r="B76" s="8" t="s">
        <v>37</v>
      </c>
      <c r="C76" s="35"/>
      <c r="D76">
        <f>+$C$20*D64</f>
        <v>1200</v>
      </c>
      <c r="E76">
        <f>+$C$20*E64</f>
        <v>2400</v>
      </c>
      <c r="F76">
        <f>+$C$20*F64</f>
        <v>3600</v>
      </c>
    </row>
    <row r="77" spans="1:13" ht="15" customHeight="1" x14ac:dyDescent="0.25">
      <c r="B77" s="8" t="s">
        <v>91</v>
      </c>
      <c r="C77" s="35"/>
      <c r="D77">
        <f>SUM(D74:D76)</f>
        <v>13688</v>
      </c>
      <c r="E77">
        <f t="shared" ref="E77:F77" si="21">SUM(E74:E76)</f>
        <v>15905</v>
      </c>
      <c r="F77">
        <f t="shared" si="21"/>
        <v>16870</v>
      </c>
    </row>
    <row r="78" spans="1:13" ht="15" customHeight="1" x14ac:dyDescent="0.25">
      <c r="B78" s="8" t="s">
        <v>113</v>
      </c>
      <c r="C78">
        <f>+C14</f>
        <v>13658</v>
      </c>
    </row>
    <row r="79" spans="1:13" ht="15" customHeight="1" x14ac:dyDescent="0.25">
      <c r="B79" s="8" t="s">
        <v>114</v>
      </c>
      <c r="C79">
        <f>+D14</f>
        <v>32567</v>
      </c>
      <c r="K79" s="51" t="s">
        <v>146</v>
      </c>
    </row>
    <row r="80" spans="1:13" ht="15" customHeight="1" x14ac:dyDescent="0.25">
      <c r="B80" s="8" t="s">
        <v>92</v>
      </c>
      <c r="C80">
        <f>+C21</f>
        <v>57500</v>
      </c>
      <c r="D80" s="35"/>
      <c r="K80" t="s">
        <v>135</v>
      </c>
      <c r="L80" s="54">
        <f>+L60</f>
        <v>2028</v>
      </c>
      <c r="M80" s="54">
        <f>+M60</f>
        <v>2029</v>
      </c>
    </row>
    <row r="81" spans="1:17" ht="15" customHeight="1" x14ac:dyDescent="0.25">
      <c r="B81" s="8" t="s">
        <v>27</v>
      </c>
      <c r="C81">
        <f>SUM(C78:C80)</f>
        <v>103725</v>
      </c>
      <c r="D81" s="35"/>
      <c r="L81" s="46">
        <f>+E70</f>
        <v>-0.17022719565954547</v>
      </c>
      <c r="M81" s="46">
        <f>+F70</f>
        <v>0.53935402642368424</v>
      </c>
    </row>
    <row r="82" spans="1:17" ht="15" customHeight="1" x14ac:dyDescent="0.25">
      <c r="B82" s="8" t="s">
        <v>39</v>
      </c>
      <c r="C82" s="36"/>
      <c r="D82" s="36">
        <f>+$C$81/D77</f>
        <v>7.5778053769725311</v>
      </c>
      <c r="E82" s="36">
        <f t="shared" ref="E82:F82" si="22">+$C$81/E77</f>
        <v>6.521534108770827</v>
      </c>
      <c r="F82" s="36">
        <f t="shared" si="22"/>
        <v>6.1484884410195617</v>
      </c>
      <c r="K82" s="55">
        <v>0.06</v>
      </c>
      <c r="L82" s="46">
        <f t="dataTable" ref="L82:M87" dt2D="0" dtr="0" r1="C23"/>
        <v>-0.17022719565954547</v>
      </c>
      <c r="M82" s="46">
        <v>0.53935402642368424</v>
      </c>
    </row>
    <row r="83" spans="1:17" ht="15" customHeight="1" x14ac:dyDescent="0.25">
      <c r="C83" s="36"/>
      <c r="D83" s="36"/>
      <c r="E83" s="36"/>
      <c r="F83" s="36"/>
      <c r="K83" s="46">
        <f>+K82+0.5%</f>
        <v>6.5000000000000002E-2</v>
      </c>
      <c r="L83" s="46">
        <v>-0.33596134282807733</v>
      </c>
      <c r="M83" s="46">
        <v>0.41379785432631189</v>
      </c>
    </row>
    <row r="84" spans="1:17" ht="15" customHeight="1" x14ac:dyDescent="0.25">
      <c r="B84" s="8" t="s">
        <v>115</v>
      </c>
      <c r="C84" s="36"/>
      <c r="D84" s="36">
        <f>+$C$78/D49</f>
        <v>12.599630996309964</v>
      </c>
      <c r="E84" s="36">
        <f>+$C$78/E49</f>
        <v>9.976625273922572</v>
      </c>
      <c r="F84" s="36">
        <f>+$C$78/F49</f>
        <v>7.5580494499413424</v>
      </c>
      <c r="K84" s="46">
        <f t="shared" ref="K84:K85" si="23">+K83+0.5%</f>
        <v>7.0000000000000007E-2</v>
      </c>
      <c r="L84" s="46">
        <v>-0.50169548999660929</v>
      </c>
      <c r="M84" s="46">
        <v>0.28824168222893909</v>
      </c>
    </row>
    <row r="85" spans="1:17" ht="15" customHeight="1" x14ac:dyDescent="0.25">
      <c r="B85" s="8" t="s">
        <v>96</v>
      </c>
      <c r="C85" t="s">
        <v>116</v>
      </c>
      <c r="D85" s="47"/>
      <c r="E85" s="47"/>
      <c r="F85" s="47"/>
      <c r="K85" s="46">
        <f t="shared" si="23"/>
        <v>7.5000000000000011E-2</v>
      </c>
      <c r="L85" s="46">
        <v>-0.66742963716514103</v>
      </c>
      <c r="M85" s="46">
        <v>0.16268551013156651</v>
      </c>
    </row>
    <row r="86" spans="1:17" ht="15" customHeight="1" x14ac:dyDescent="0.25">
      <c r="B86" s="8" t="s">
        <v>117</v>
      </c>
      <c r="C86" t="s">
        <v>118</v>
      </c>
      <c r="K86" s="46">
        <f t="shared" ref="K86" si="24">+K85+0.5%</f>
        <v>8.0000000000000016E-2</v>
      </c>
      <c r="L86" s="46">
        <v>-0.83316378433367277</v>
      </c>
      <c r="M86" s="46">
        <v>3.7129338034193937E-2</v>
      </c>
    </row>
    <row r="87" spans="1:17" ht="15" customHeight="1" x14ac:dyDescent="0.25">
      <c r="K87" s="46">
        <f t="shared" ref="K87" si="25">+K86+0.5%</f>
        <v>8.500000000000002E-2</v>
      </c>
      <c r="L87" s="46">
        <v>-0.99889793150220474</v>
      </c>
      <c r="M87" s="46">
        <v>-8.8426834063178861E-2</v>
      </c>
    </row>
    <row r="88" spans="1:17" ht="15" customHeight="1" x14ac:dyDescent="0.25">
      <c r="A88" s="7" t="s">
        <v>97</v>
      </c>
      <c r="K88" s="46"/>
    </row>
    <row r="89" spans="1:17" ht="15" customHeight="1" x14ac:dyDescent="0.25">
      <c r="B89" s="8" t="str">
        <f>B13</f>
        <v>Acquisition equity value</v>
      </c>
      <c r="C89">
        <f>D13</f>
        <v>80218.053406250008</v>
      </c>
    </row>
    <row r="90" spans="1:17" ht="15" customHeight="1" x14ac:dyDescent="0.25">
      <c r="B90" s="8" t="str">
        <f>B12</f>
        <v>Market cap</v>
      </c>
      <c r="C90">
        <f>D6*SUM(D10,N12,N13,N14)</f>
        <v>25665.745090000004</v>
      </c>
      <c r="D90" t="s">
        <v>139</v>
      </c>
    </row>
    <row r="91" spans="1:17" ht="15" customHeight="1" x14ac:dyDescent="0.25">
      <c r="B91" s="8" t="s">
        <v>41</v>
      </c>
      <c r="C91">
        <f>C89-C90</f>
        <v>54552.308316250004</v>
      </c>
    </row>
    <row r="93" spans="1:17" ht="15" customHeight="1" x14ac:dyDescent="0.25">
      <c r="B93" s="8" t="s">
        <v>48</v>
      </c>
      <c r="C93" s="44">
        <v>8.5000000000000006E-2</v>
      </c>
    </row>
    <row r="94" spans="1:17" ht="15" customHeight="1" x14ac:dyDescent="0.25">
      <c r="C94" s="34"/>
      <c r="K94" s="51" t="s">
        <v>132</v>
      </c>
    </row>
    <row r="95" spans="1:17" ht="15" customHeight="1" x14ac:dyDescent="0.25">
      <c r="D95" s="54">
        <f>D47</f>
        <v>2027</v>
      </c>
      <c r="E95" s="54">
        <f>E47</f>
        <v>2028</v>
      </c>
      <c r="F95" s="54">
        <f>F47</f>
        <v>2029</v>
      </c>
      <c r="G95" s="54">
        <v>2030</v>
      </c>
      <c r="H95" s="54">
        <v>2031</v>
      </c>
      <c r="M95" s="51" t="s">
        <v>37</v>
      </c>
    </row>
    <row r="96" spans="1:17" ht="15" customHeight="1" x14ac:dyDescent="0.25">
      <c r="B96" s="8" t="s">
        <v>21</v>
      </c>
      <c r="D96">
        <f>+$C$20*D97</f>
        <v>1200</v>
      </c>
      <c r="E96">
        <f t="shared" ref="E96:H96" si="26">+$C$20*E97</f>
        <v>2400</v>
      </c>
      <c r="F96">
        <f t="shared" si="26"/>
        <v>3600</v>
      </c>
      <c r="G96">
        <f t="shared" si="26"/>
        <v>4800</v>
      </c>
      <c r="H96">
        <f t="shared" si="26"/>
        <v>6000</v>
      </c>
      <c r="L96" s="61">
        <f>+C102</f>
        <v>-3245.1484481963416</v>
      </c>
      <c r="M96" s="58">
        <f>+L59</f>
        <v>2500</v>
      </c>
      <c r="N96" s="51">
        <f>+M96+1000</f>
        <v>3500</v>
      </c>
      <c r="O96" s="51">
        <f t="shared" ref="O96:P96" si="27">+N96+1000</f>
        <v>4500</v>
      </c>
      <c r="P96" s="51">
        <f t="shared" si="27"/>
        <v>5500</v>
      </c>
      <c r="Q96" s="51">
        <f>+P96+500</f>
        <v>6000</v>
      </c>
    </row>
    <row r="97" spans="1:17" ht="15" customHeight="1" x14ac:dyDescent="0.25">
      <c r="B97" s="8" t="s">
        <v>144</v>
      </c>
      <c r="D97" s="46">
        <f>D64</f>
        <v>0.2</v>
      </c>
      <c r="E97" s="46">
        <f t="shared" ref="E97:F97" si="28">E64</f>
        <v>0.4</v>
      </c>
      <c r="F97" s="46">
        <f t="shared" si="28"/>
        <v>0.6</v>
      </c>
      <c r="G97" s="46">
        <v>0.8</v>
      </c>
      <c r="H97" s="46">
        <v>1</v>
      </c>
      <c r="K97" s="51" t="s">
        <v>48</v>
      </c>
      <c r="L97" s="59">
        <f>+L98-1%</f>
        <v>7.5000000000000011E-2</v>
      </c>
      <c r="M97">
        <f t="dataTable" ref="M97:Q101" dt2D="1" dtr="1" r1="C20" r2="C93"/>
        <v>-29906.126121576104</v>
      </c>
      <c r="N97">
        <v>-20047.65324370654</v>
      </c>
      <c r="O97">
        <v>-10189.180365836983</v>
      </c>
      <c r="P97">
        <v>-330.70748796742555</v>
      </c>
      <c r="Q97">
        <v>4598.528950967353</v>
      </c>
    </row>
    <row r="98" spans="1:17" ht="15" customHeight="1" x14ac:dyDescent="0.25">
      <c r="B98" s="8" t="s">
        <v>22</v>
      </c>
      <c r="D98">
        <f>+D96*(1-$C$24)</f>
        <v>1020</v>
      </c>
      <c r="E98">
        <f t="shared" ref="E98:H98" si="29">+E96*(1-$C$24)</f>
        <v>2040</v>
      </c>
      <c r="F98">
        <f t="shared" si="29"/>
        <v>3060</v>
      </c>
      <c r="G98">
        <f t="shared" si="29"/>
        <v>4080</v>
      </c>
      <c r="H98">
        <f t="shared" si="29"/>
        <v>5100</v>
      </c>
      <c r="L98" s="60">
        <v>8.5000000000000006E-2</v>
      </c>
      <c r="M98">
        <v>-33174.325037894305</v>
      </c>
      <c r="N98">
        <v>-24623.13172655203</v>
      </c>
      <c r="O98">
        <v>-16071.938415209748</v>
      </c>
      <c r="P98">
        <v>-7520.7451038674699</v>
      </c>
      <c r="Q98">
        <v>-3245.1484481963416</v>
      </c>
    </row>
    <row r="99" spans="1:17" ht="15" customHeight="1" x14ac:dyDescent="0.25">
      <c r="B99" s="8" t="s">
        <v>124</v>
      </c>
      <c r="C99">
        <f>NPV(C93,D98:H98)</f>
        <v>11404.434470747497</v>
      </c>
      <c r="L99" s="59">
        <f>+L98+1%</f>
        <v>9.5000000000000001E-2</v>
      </c>
      <c r="M99">
        <v>-35742.787510770358</v>
      </c>
      <c r="N99">
        <v>-28218.979188578505</v>
      </c>
      <c r="O99">
        <v>-20695.170866386652</v>
      </c>
      <c r="P99">
        <v>-13171.362544194788</v>
      </c>
      <c r="Q99">
        <v>-9409.4583830988631</v>
      </c>
    </row>
    <row r="100" spans="1:17" ht="15" customHeight="1" x14ac:dyDescent="0.25">
      <c r="B100" s="8" t="s">
        <v>122</v>
      </c>
      <c r="C100">
        <f>+(H98/C93)/(1+C93)^5</f>
        <v>39902.725397306167</v>
      </c>
      <c r="L100" s="59">
        <f t="shared" ref="L100:L101" si="30">+L99+1%</f>
        <v>0.105</v>
      </c>
      <c r="M100">
        <v>-37811.929333433858</v>
      </c>
      <c r="N100">
        <v>-31115.777740307403</v>
      </c>
      <c r="O100">
        <v>-24419.626147180952</v>
      </c>
      <c r="P100">
        <v>-17723.47455405449</v>
      </c>
      <c r="Q100">
        <v>-14375.398757491261</v>
      </c>
    </row>
    <row r="101" spans="1:17" ht="15" customHeight="1" x14ac:dyDescent="0.25">
      <c r="B101" s="8" t="s">
        <v>125</v>
      </c>
      <c r="C101">
        <f>SUM(C99:C100)</f>
        <v>51307.159868053663</v>
      </c>
      <c r="L101" s="59">
        <f t="shared" si="30"/>
        <v>0.11499999999999999</v>
      </c>
      <c r="M101">
        <v>-39512.431231575581</v>
      </c>
      <c r="N101">
        <v>-33496.480397705818</v>
      </c>
      <c r="O101">
        <v>-27480.529563836051</v>
      </c>
      <c r="P101">
        <v>-21464.578729966284</v>
      </c>
      <c r="Q101">
        <v>-18456.603313031395</v>
      </c>
    </row>
    <row r="102" spans="1:17" ht="15" customHeight="1" x14ac:dyDescent="0.25">
      <c r="B102" s="8" t="s">
        <v>126</v>
      </c>
      <c r="C102" s="45">
        <f>+C101-C91</f>
        <v>-3245.1484481963416</v>
      </c>
    </row>
    <row r="103" spans="1:17" ht="15" customHeight="1" x14ac:dyDescent="0.25">
      <c r="C103" s="41"/>
    </row>
    <row r="104" spans="1:17" ht="15" customHeight="1" x14ac:dyDescent="0.25">
      <c r="C104" s="41"/>
    </row>
    <row r="105" spans="1:17" ht="15" customHeight="1" x14ac:dyDescent="0.25">
      <c r="C105" s="41"/>
    </row>
    <row r="106" spans="1:17" ht="15" customHeight="1" x14ac:dyDescent="0.25">
      <c r="A106" s="7" t="s">
        <v>42</v>
      </c>
    </row>
    <row r="107" spans="1:17" ht="15" customHeight="1" x14ac:dyDescent="0.25">
      <c r="C107" s="54">
        <v>2026</v>
      </c>
      <c r="D107" s="54">
        <f>+D95</f>
        <v>2027</v>
      </c>
      <c r="E107" s="54">
        <f t="shared" ref="E107:F107" si="31">+E95</f>
        <v>2028</v>
      </c>
      <c r="F107" s="54">
        <f t="shared" si="31"/>
        <v>2029</v>
      </c>
    </row>
    <row r="108" spans="1:17" ht="15" customHeight="1" x14ac:dyDescent="0.25">
      <c r="B108" s="8" t="s">
        <v>127</v>
      </c>
      <c r="D108">
        <f>+D55</f>
        <v>3811</v>
      </c>
      <c r="E108">
        <f t="shared" ref="E108:F108" si="32">+E55</f>
        <v>3854</v>
      </c>
      <c r="F108">
        <f t="shared" si="32"/>
        <v>3616</v>
      </c>
    </row>
    <row r="109" spans="1:17" ht="15" customHeight="1" x14ac:dyDescent="0.25">
      <c r="B109" s="8" t="s">
        <v>128</v>
      </c>
      <c r="D109">
        <f>D108*(1-$C$24)</f>
        <v>3239.35</v>
      </c>
      <c r="E109">
        <f t="shared" ref="E109:F109" si="33">E108*(1-$C$24)</f>
        <v>3275.9</v>
      </c>
      <c r="F109">
        <f t="shared" si="33"/>
        <v>3073.6</v>
      </c>
    </row>
    <row r="110" spans="1:17" ht="15" customHeight="1" x14ac:dyDescent="0.25">
      <c r="B110" s="8" t="str">
        <f>+B98</f>
        <v>Post tax synergies</v>
      </c>
      <c r="D110">
        <f>+D98</f>
        <v>1020</v>
      </c>
      <c r="E110">
        <f t="shared" ref="E110:F110" si="34">+E98</f>
        <v>2040</v>
      </c>
      <c r="F110">
        <f t="shared" si="34"/>
        <v>3060</v>
      </c>
    </row>
    <row r="111" spans="1:17" ht="15" customHeight="1" x14ac:dyDescent="0.25">
      <c r="B111" s="8" t="s">
        <v>43</v>
      </c>
      <c r="D111">
        <f>D109+D110</f>
        <v>4259.3500000000004</v>
      </c>
      <c r="E111">
        <f t="shared" ref="E111:F111" si="35">E109+E110</f>
        <v>5315.9</v>
      </c>
      <c r="F111">
        <f t="shared" si="35"/>
        <v>6133.6</v>
      </c>
    </row>
    <row r="113" spans="1:6" ht="15" customHeight="1" x14ac:dyDescent="0.25">
      <c r="B113" s="8" t="s">
        <v>44</v>
      </c>
      <c r="C113">
        <f>+C35</f>
        <v>113510.14867328126</v>
      </c>
    </row>
    <row r="114" spans="1:6" ht="15" customHeight="1" x14ac:dyDescent="0.25">
      <c r="B114" s="8" t="s">
        <v>17</v>
      </c>
      <c r="C114" s="34"/>
      <c r="D114" s="46">
        <f>+D111/$C$113</f>
        <v>3.7523957547265493E-2</v>
      </c>
      <c r="E114" s="46">
        <f t="shared" ref="E114:F114" si="36">+E111/$C$113</f>
        <v>4.6831935841268879E-2</v>
      </c>
      <c r="F114" s="46">
        <f t="shared" si="36"/>
        <v>5.4035696998816156E-2</v>
      </c>
    </row>
    <row r="117" spans="1:6" ht="15" customHeight="1" x14ac:dyDescent="0.25">
      <c r="A117" s="7" t="s">
        <v>45</v>
      </c>
    </row>
  </sheetData>
  <hyperlinks>
    <hyperlink ref="D10" r:id="rId1" display="https://felix.fe.training/filing/document.php/?hid=699f1ca1e01d8" xr:uid="{9E01DD05-DF0C-4F32-A0B4-6F550E27FF98}"/>
    <hyperlink ref="L6" r:id="rId2" display="https://felix.fe.training/filing/document.php/?hid=699f1cf327dcc" xr:uid="{44A23D51-30FD-4AA0-8F17-ACA1D2C8FC60}"/>
    <hyperlink ref="M6" r:id="rId3" display="https://felix.fe.training/filing/document.php/?hid=699f1d017bfcc" xr:uid="{631216CA-4F9D-4E20-A9B8-09A052CA797E}"/>
    <hyperlink ref="L7" r:id="rId4" display="https://felix.fe.training/filing/document.php/?hid=699f1d70ca498" xr:uid="{8D2B7457-759E-4F15-A97F-7E549FE1635A}"/>
    <hyperlink ref="L8" r:id="rId5" display="https://felix.fe.training/filing/document.php/?hid=699f1da58e83b" xr:uid="{6E86CDAA-6075-456D-838F-C0F9204D1795}"/>
    <hyperlink ref="L12" r:id="rId6" display="https://felix.fe.training/filing/document.php/?hid=699f1cf327dcc" xr:uid="{454CFCB8-14E6-4C0C-8268-E231517238AE}"/>
    <hyperlink ref="M12" r:id="rId7" display="https://felix.fe.training/filing/document.php/?hid=699f1d017bfcc" xr:uid="{2E83C10F-D489-419C-9350-0F78A16E558D}"/>
    <hyperlink ref="L13" r:id="rId8" display="https://felix.fe.training/filing/document.php/?hid=699f1d70ca498" xr:uid="{F014C15C-6750-4857-8E81-D49E2C9E1D1F}"/>
    <hyperlink ref="L14" r:id="rId9" display="https://felix.fe.training/filing/document.php/?hid=699f1da58e83b" xr:uid="{294FEB79-B8D8-4A6D-8BD0-94B25267FB97}"/>
  </hyperlinks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scale="69" fitToHeight="0" orientation="portrait" cellComments="asDisplayed" horizontalDpi="2400" verticalDpi="2400" r:id="rId10"/>
  <headerFooter>
    <oddHeader xml:space="preserve">&amp;R&amp;10&amp;F 
&amp;A
</oddHeader>
    <oddFooter>&amp;L&amp;10© 2018&amp;C&amp;10Page &amp;P of &amp;N&amp;R&amp;G</oddFooter>
  </headerFooter>
  <rowBreaks count="1" manualBreakCount="1">
    <brk id="87" max="16383" man="1"/>
  </rowBreaks>
  <drawing r:id="rId11"/>
  <legacyDrawingHF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794C5-0EB4-4F67-897D-088B4F8494F4}">
  <sheetPr>
    <pageSetUpPr fitToPage="1"/>
  </sheetPr>
  <dimension ref="A1:J45"/>
  <sheetViews>
    <sheetView topLeftCell="A13" zoomScaleNormal="100" workbookViewId="0">
      <selection activeCell="C33" sqref="C33:C34"/>
    </sheetView>
  </sheetViews>
  <sheetFormatPr defaultColWidth="9.140625" defaultRowHeight="15" customHeight="1" x14ac:dyDescent="0.25"/>
  <cols>
    <col min="1" max="1" width="1.42578125" style="7" customWidth="1"/>
    <col min="2" max="2" width="54.85546875" style="8" bestFit="1" customWidth="1"/>
    <col min="3" max="3" width="11" customWidth="1"/>
    <col min="4" max="4" width="12.7109375" customWidth="1"/>
    <col min="5" max="5" width="12.5703125" customWidth="1"/>
    <col min="6" max="6" width="13.140625" bestFit="1" customWidth="1"/>
    <col min="7" max="10" width="11" customWidth="1"/>
    <col min="11" max="12" width="9.28515625" customWidth="1"/>
  </cols>
  <sheetData>
    <row r="1" spans="1:10" s="33" customFormat="1" ht="45" customHeight="1" x14ac:dyDescent="0.45">
      <c r="A1" s="5" t="s">
        <v>141</v>
      </c>
      <c r="B1" s="2"/>
      <c r="C1" s="4"/>
      <c r="D1" s="4"/>
      <c r="E1" s="4"/>
      <c r="F1" s="4"/>
      <c r="G1" s="4"/>
      <c r="H1" s="4"/>
      <c r="I1" s="4"/>
      <c r="J1" s="4"/>
    </row>
    <row r="2" spans="1:10" s="24" customFormat="1" ht="30" customHeight="1" x14ac:dyDescent="0.35">
      <c r="A2" s="6"/>
      <c r="B2" s="1"/>
      <c r="C2" s="3"/>
      <c r="D2" s="3"/>
      <c r="E2" s="3"/>
      <c r="F2" s="3"/>
      <c r="G2" s="3"/>
      <c r="H2" s="3"/>
      <c r="I2" s="3"/>
      <c r="J2" s="3"/>
    </row>
    <row r="4" spans="1:10" ht="15" customHeight="1" x14ac:dyDescent="0.25">
      <c r="A4" s="7" t="s">
        <v>50</v>
      </c>
    </row>
    <row r="5" spans="1:10" ht="15" customHeight="1" x14ac:dyDescent="0.25">
      <c r="B5" s="48" t="s">
        <v>66</v>
      </c>
      <c r="D5" t="s">
        <v>69</v>
      </c>
      <c r="E5" s="48"/>
    </row>
    <row r="6" spans="1:10" ht="15" customHeight="1" x14ac:dyDescent="0.25">
      <c r="B6" s="48" t="s">
        <v>68</v>
      </c>
      <c r="D6" t="s">
        <v>70</v>
      </c>
      <c r="E6" s="48"/>
    </row>
    <row r="7" spans="1:10" ht="15" customHeight="1" x14ac:dyDescent="0.25">
      <c r="B7" s="48"/>
      <c r="E7" s="48"/>
    </row>
    <row r="8" spans="1:10" ht="15" customHeight="1" x14ac:dyDescent="0.25">
      <c r="D8" s="4" t="s">
        <v>67</v>
      </c>
      <c r="E8" s="4" t="s">
        <v>67</v>
      </c>
    </row>
    <row r="9" spans="1:10" ht="15" customHeight="1" x14ac:dyDescent="0.25">
      <c r="B9" s="8" t="s">
        <v>51</v>
      </c>
      <c r="C9" s="49">
        <v>45657</v>
      </c>
      <c r="D9" s="49">
        <v>45565</v>
      </c>
      <c r="E9" s="49">
        <v>45930</v>
      </c>
      <c r="F9" s="4" t="s">
        <v>25</v>
      </c>
    </row>
    <row r="10" spans="1:10" ht="15" customHeight="1" x14ac:dyDescent="0.25">
      <c r="B10" s="8" t="s">
        <v>52</v>
      </c>
      <c r="C10" s="48">
        <v>1652</v>
      </c>
      <c r="D10" s="48">
        <v>702</v>
      </c>
      <c r="E10" s="48">
        <v>1817</v>
      </c>
      <c r="F10">
        <f>+C10-D10+E10</f>
        <v>2767</v>
      </c>
    </row>
    <row r="11" spans="1:10" ht="15" customHeight="1" x14ac:dyDescent="0.25">
      <c r="B11" s="8" t="s">
        <v>53</v>
      </c>
      <c r="C11" s="48">
        <v>8149</v>
      </c>
      <c r="D11" s="48">
        <v>6232</v>
      </c>
      <c r="E11" s="48">
        <v>5007</v>
      </c>
      <c r="F11">
        <f t="shared" ref="F11:F14" si="0">+C11-D11+E11</f>
        <v>6924</v>
      </c>
    </row>
    <row r="12" spans="1:10" ht="15" customHeight="1" x14ac:dyDescent="0.25">
      <c r="B12" s="8" t="s">
        <v>54</v>
      </c>
      <c r="C12" s="48">
        <v>677</v>
      </c>
      <c r="D12" s="48">
        <v>268</v>
      </c>
      <c r="E12" s="48">
        <v>977</v>
      </c>
      <c r="F12">
        <f t="shared" si="0"/>
        <v>1386</v>
      </c>
    </row>
    <row r="13" spans="1:10" ht="15" customHeight="1" x14ac:dyDescent="0.25">
      <c r="B13" s="8" t="s">
        <v>55</v>
      </c>
      <c r="C13" s="48">
        <v>-1260</v>
      </c>
      <c r="D13" s="48">
        <v>-927</v>
      </c>
      <c r="E13" s="48">
        <v>-807</v>
      </c>
      <c r="F13">
        <f t="shared" si="0"/>
        <v>-1140</v>
      </c>
    </row>
    <row r="14" spans="1:10" ht="15" customHeight="1" x14ac:dyDescent="0.25">
      <c r="B14" s="8" t="s">
        <v>56</v>
      </c>
      <c r="C14" s="48">
        <v>-186</v>
      </c>
      <c r="D14" s="48">
        <v>35</v>
      </c>
      <c r="E14" s="48">
        <v>-466</v>
      </c>
      <c r="F14">
        <f t="shared" si="0"/>
        <v>-687</v>
      </c>
    </row>
    <row r="15" spans="1:10" ht="15" customHeight="1" x14ac:dyDescent="0.25">
      <c r="B15" s="8" t="s">
        <v>57</v>
      </c>
      <c r="C15">
        <f>SUM(C10:C14)</f>
        <v>9032</v>
      </c>
      <c r="D15">
        <f>SUM(D10:D14)</f>
        <v>6310</v>
      </c>
      <c r="E15">
        <f>SUM(E10:E14)</f>
        <v>6528</v>
      </c>
      <c r="F15">
        <f>SUM(F10:F14)</f>
        <v>9250</v>
      </c>
    </row>
    <row r="17" spans="1:6" ht="15" customHeight="1" x14ac:dyDescent="0.25">
      <c r="B17" s="8" t="s">
        <v>88</v>
      </c>
      <c r="C17" s="48">
        <v>7037</v>
      </c>
      <c r="D17" s="48">
        <v>5394</v>
      </c>
      <c r="E17" s="48">
        <v>4369</v>
      </c>
      <c r="F17">
        <f t="shared" ref="F17" si="1">+C17-D17+E17</f>
        <v>6012</v>
      </c>
    </row>
    <row r="19" spans="1:6" ht="15" customHeight="1" x14ac:dyDescent="0.25">
      <c r="A19" s="7" t="s">
        <v>71</v>
      </c>
    </row>
    <row r="20" spans="1:6" ht="15" customHeight="1" x14ac:dyDescent="0.25">
      <c r="B20" s="8" t="s">
        <v>58</v>
      </c>
    </row>
    <row r="21" spans="1:6" ht="15" customHeight="1" x14ac:dyDescent="0.25">
      <c r="B21" s="8" t="s">
        <v>59</v>
      </c>
    </row>
    <row r="22" spans="1:6" ht="15" customHeight="1" x14ac:dyDescent="0.25">
      <c r="B22" s="8" t="s">
        <v>63</v>
      </c>
      <c r="E22" s="47" t="s">
        <v>64</v>
      </c>
      <c r="F22" s="47" t="s">
        <v>64</v>
      </c>
    </row>
    <row r="23" spans="1:6" ht="15" customHeight="1" x14ac:dyDescent="0.25">
      <c r="D23" t="s">
        <v>62</v>
      </c>
      <c r="E23" s="47" t="s">
        <v>55</v>
      </c>
      <c r="F23" t="s">
        <v>65</v>
      </c>
    </row>
    <row r="24" spans="1:6" ht="15" customHeight="1" x14ac:dyDescent="0.25">
      <c r="B24" s="8" t="s">
        <v>60</v>
      </c>
      <c r="C24">
        <f>+F10+F12</f>
        <v>4153</v>
      </c>
      <c r="D24" s="46">
        <f>+C24/C26</f>
        <v>0.3749210074930035</v>
      </c>
      <c r="E24">
        <f>+D24*$F$13</f>
        <v>-427.40994854202398</v>
      </c>
      <c r="F24">
        <f>+D24*$F$14</f>
        <v>-257.57073214769338</v>
      </c>
    </row>
    <row r="25" spans="1:6" ht="15" customHeight="1" x14ac:dyDescent="0.25">
      <c r="B25" s="8" t="s">
        <v>61</v>
      </c>
      <c r="C25">
        <f>+F11</f>
        <v>6924</v>
      </c>
      <c r="D25" s="46">
        <f>1-D24</f>
        <v>0.6250789925069965</v>
      </c>
      <c r="E25">
        <f>+D25*$F$13</f>
        <v>-712.59005145797596</v>
      </c>
      <c r="F25">
        <f>+D25*$F$14</f>
        <v>-429.42926785230662</v>
      </c>
    </row>
    <row r="26" spans="1:6" ht="15" customHeight="1" x14ac:dyDescent="0.25">
      <c r="B26" s="8" t="s">
        <v>57</v>
      </c>
      <c r="C26">
        <f>SUM(C24:C25)</f>
        <v>11077</v>
      </c>
    </row>
    <row r="28" spans="1:6" ht="15" customHeight="1" x14ac:dyDescent="0.25">
      <c r="B28" s="8" t="s">
        <v>73</v>
      </c>
      <c r="C28">
        <f>+C24+SUM(E24:F24)</f>
        <v>3468.0193193102828</v>
      </c>
    </row>
    <row r="29" spans="1:6" ht="15" customHeight="1" x14ac:dyDescent="0.25">
      <c r="B29" s="8" t="s">
        <v>74</v>
      </c>
      <c r="C29">
        <f>+C25+SUM(E25:F25)</f>
        <v>5781.9806806897177</v>
      </c>
    </row>
    <row r="30" spans="1:6" ht="15" customHeight="1" x14ac:dyDescent="0.25">
      <c r="B30" s="50" t="s">
        <v>72</v>
      </c>
      <c r="C30" s="51">
        <f>SUM(C28:C29)</f>
        <v>9250</v>
      </c>
    </row>
    <row r="31" spans="1:6" ht="15" customHeight="1" x14ac:dyDescent="0.25">
      <c r="B31" s="50"/>
      <c r="C31" s="51"/>
    </row>
    <row r="32" spans="1:6" ht="15" customHeight="1" x14ac:dyDescent="0.25">
      <c r="B32" s="8" t="s">
        <v>89</v>
      </c>
      <c r="C32">
        <f>+C28-F17*D24</f>
        <v>1213.9942222623458</v>
      </c>
    </row>
    <row r="34" spans="2:7" ht="15" customHeight="1" x14ac:dyDescent="0.25">
      <c r="B34" s="48" t="s">
        <v>80</v>
      </c>
    </row>
    <row r="37" spans="2:7" ht="15" customHeight="1" x14ac:dyDescent="0.25">
      <c r="C37" s="49">
        <v>46387</v>
      </c>
      <c r="D37" s="49">
        <v>46752</v>
      </c>
      <c r="E37" s="49">
        <v>47118</v>
      </c>
      <c r="F37" s="49">
        <v>47483</v>
      </c>
      <c r="G37" s="49">
        <v>47848</v>
      </c>
    </row>
    <row r="38" spans="2:7" ht="15" customHeight="1" x14ac:dyDescent="0.25">
      <c r="B38" s="8" t="s">
        <v>81</v>
      </c>
    </row>
    <row r="39" spans="2:7" ht="15" customHeight="1" x14ac:dyDescent="0.25">
      <c r="B39" s="8" t="s">
        <v>54</v>
      </c>
      <c r="C39">
        <v>1500</v>
      </c>
      <c r="D39">
        <v>2100</v>
      </c>
      <c r="E39">
        <v>2800</v>
      </c>
      <c r="F39">
        <v>3600</v>
      </c>
      <c r="G39">
        <v>4400</v>
      </c>
    </row>
    <row r="40" spans="2:7" ht="15" customHeight="1" x14ac:dyDescent="0.25">
      <c r="B40" s="8" t="s">
        <v>52</v>
      </c>
      <c r="C40">
        <v>2500</v>
      </c>
      <c r="D40">
        <v>3300</v>
      </c>
      <c r="E40">
        <v>3700</v>
      </c>
      <c r="F40">
        <v>4400</v>
      </c>
      <c r="G40">
        <v>4600</v>
      </c>
    </row>
    <row r="41" spans="2:7" ht="15" customHeight="1" x14ac:dyDescent="0.25">
      <c r="B41" s="8" t="s">
        <v>82</v>
      </c>
      <c r="C41">
        <v>-400</v>
      </c>
      <c r="D41">
        <v>-600</v>
      </c>
      <c r="E41">
        <v>-600</v>
      </c>
      <c r="F41">
        <v>-600</v>
      </c>
      <c r="G41">
        <v>-600</v>
      </c>
    </row>
    <row r="42" spans="2:7" ht="15" customHeight="1" x14ac:dyDescent="0.25">
      <c r="B42" s="8" t="s">
        <v>83</v>
      </c>
      <c r="C42">
        <v>3200</v>
      </c>
      <c r="D42">
        <v>4500</v>
      </c>
      <c r="E42">
        <v>5600</v>
      </c>
      <c r="F42">
        <v>7000</v>
      </c>
      <c r="G42">
        <v>8000</v>
      </c>
    </row>
    <row r="43" spans="2:7" ht="15" customHeight="1" x14ac:dyDescent="0.25">
      <c r="B43" s="8" t="s">
        <v>85</v>
      </c>
      <c r="C43">
        <v>300</v>
      </c>
      <c r="D43">
        <v>1600</v>
      </c>
      <c r="E43">
        <v>2400</v>
      </c>
      <c r="F43">
        <v>3700</v>
      </c>
      <c r="G43">
        <v>4500</v>
      </c>
    </row>
    <row r="45" spans="2:7" ht="15" customHeight="1" x14ac:dyDescent="0.25">
      <c r="B45" s="8" t="s">
        <v>84</v>
      </c>
      <c r="C45">
        <v>4600</v>
      </c>
      <c r="D45">
        <v>3600</v>
      </c>
      <c r="E45">
        <v>3100</v>
      </c>
      <c r="F45">
        <v>3200</v>
      </c>
      <c r="G45">
        <v>2900</v>
      </c>
    </row>
  </sheetData>
  <hyperlinks>
    <hyperlink ref="B5" r:id="rId1" display="https://felix.fe.training/filing/document.php/?hid=699f15b0f2706" xr:uid="{94D4CB10-C0E3-42EC-AB7A-A9B3B454824A}"/>
    <hyperlink ref="B6" r:id="rId2" display="https://felix.fe.training/filing/document.php/?hid=699f164ceb3af" xr:uid="{F9E2746D-BB15-4B17-AFD9-A451993C3396}"/>
    <hyperlink ref="D10" r:id="rId3" display="https://felix.fe.training/filing/document.php/?hid=699f16e52aa6b" xr:uid="{2F312837-1EC9-4D55-B6BD-C9AA5F643F45}"/>
    <hyperlink ref="E10" r:id="rId4" display="https://felix.fe.training/filing/document.php/?hid=699f16ef6e54f" xr:uid="{FB6108D1-BBE6-411E-AF16-764E745F6827}"/>
    <hyperlink ref="D11" r:id="rId5" display="https://felix.fe.training/filing/document.php/?hid=699f16fd43503" xr:uid="{ABBA2A2A-781B-4024-AA8F-A9413F3E48D1}"/>
    <hyperlink ref="E11" r:id="rId6" display="https://felix.fe.training/filing/document.php/?hid=699f170941986" xr:uid="{8BDB9AC3-81E5-4BE5-890C-5D08E49FBEFC}"/>
    <hyperlink ref="D12" r:id="rId7" display="https://felix.fe.training/filing/document.php/?hid=699f171864a80" xr:uid="{3638A038-24D8-458E-9331-746BC9CA5890}"/>
    <hyperlink ref="E12" r:id="rId8" display="https://felix.fe.training/filing/document.php/?hid=699f17230f0ef" xr:uid="{6EF9DA9D-FB8C-43BE-9A6B-9E87B25CC7C8}"/>
    <hyperlink ref="D13" r:id="rId9" display="https://felix.fe.training/filing/document.php/?hid=699f173106f5b" xr:uid="{9A0ADB2E-64C7-4627-A62F-1404A6E77700}"/>
    <hyperlink ref="E13" r:id="rId10" display="https://felix.fe.training/filing/document.php/?hid=699f173db6cf9" xr:uid="{110E69B8-F9F9-407F-A765-4F0DB06C1273}"/>
    <hyperlink ref="D14" r:id="rId11" display="https://felix.fe.training/filing/document.php/?hid=699f174d59a56" xr:uid="{411F7E2F-1381-4374-8934-11D343728B2E}"/>
    <hyperlink ref="E14" r:id="rId12" display="https://felix.fe.training/filing/document.php/?hid=699f175e2a9dc" xr:uid="{34EF3102-CA3E-4DFB-89CF-E810278F8228}"/>
    <hyperlink ref="C10" r:id="rId13" display="https://felix.fe.training/filing/document.php/?hid=699f185fb920d" xr:uid="{3428D9EA-9C26-4767-A707-E809246AE00C}"/>
    <hyperlink ref="C11" r:id="rId14" display="https://felix.fe.training/filing/document.php/?hid=699f186bdbac7" xr:uid="{88F14EBD-2B78-42E1-893D-6829D4F83BE0}"/>
    <hyperlink ref="C12" r:id="rId15" display="https://felix.fe.training/filing/document.php/?hid=699f18774f66a" xr:uid="{DACDEABF-00B7-47F2-AD2E-D2ABDB4DD992}"/>
    <hyperlink ref="C13" r:id="rId16" display="https://felix.fe.training/filing/document.php/?hid=699f188ba11ff" xr:uid="{535243FB-C98C-43A8-8B0E-DA91DEE29F60}"/>
    <hyperlink ref="C14" r:id="rId17" display="https://felix.fe.training/filing/document.php/?hid=699f189d67095" xr:uid="{8B571273-4E75-4D0D-BAA4-8370F89213BA}"/>
    <hyperlink ref="B34" r:id="rId18" display="https://felix.fe.training/filing/document.php/?hid=699f21bc4602b" xr:uid="{6960BA8F-096C-41C3-BF1B-7159371DA30D}"/>
    <hyperlink ref="C17" r:id="rId19" display="https://felix.fe.training/filing/document.php/?hid=699f2e914b2a6" xr:uid="{B9BB43AB-81EA-40B9-8D10-AC3DF526BB60}"/>
    <hyperlink ref="E17" r:id="rId20" display="https://felix.fe.training/filing/document.php/?hid=699f2ead45bd0" xr:uid="{276370EE-6CE9-4182-80A5-1923AD8BCBD5}"/>
    <hyperlink ref="D17" r:id="rId21" display="https://felix.fe.training/filing/document.php/?hid=699f2eb84d7af" xr:uid="{6BEB2ED5-9C94-4E62-9920-DA9548975A41}"/>
  </hyperlinks>
  <printOptions horizontalCentered="1" headings="1" gridLines="1"/>
  <pageMargins left="0.31496062992125984" right="0.31496062992125984" top="0.74803149606299213" bottom="0.74803149606299213" header="0.31496062992125984" footer="0.31496062992125984"/>
  <pageSetup paperSize="9" scale="69" fitToHeight="0" orientation="portrait" cellComments="asDisplayed" horizontalDpi="2400" verticalDpi="2400" r:id="rId22"/>
  <headerFooter>
    <oddHeader xml:space="preserve">&amp;R&amp;10&amp;F 
&amp;A
</oddHeader>
    <oddFooter>&amp;L&amp;10© 2018&amp;C&amp;10Page &amp;P of &amp;N&amp;R&amp;G</oddFooter>
  </headerFooter>
  <legacyDrawingHF r:id="rId2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177b724d556871ba26d1daa708a8bded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17e090879e8722037c31bb140bfb891e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703F1C9-D436-40EF-9671-B89443E01D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1644B2-F9B0-4A74-811B-CF37DC5FA9D1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3.xml><?xml version="1.0" encoding="utf-8"?>
<ds:datastoreItem xmlns:ds="http://schemas.openxmlformats.org/officeDocument/2006/customXml" ds:itemID="{AD4F80A4-49CB-47E8-B150-8F748AFE4D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ded41-6c5d-4718-b7b7-dbfd1652bccf"/>
    <ds:schemaRef ds:uri="6ea4884f-dd23-4a9e-9674-e096257745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Welcome</vt:lpstr>
      <vt:lpstr>PSKY</vt:lpstr>
      <vt:lpstr>WB detail</vt:lpstr>
      <vt:lpstr>PSKY!Print_Area</vt:lpstr>
      <vt:lpstr>'WB detail'!Print_Area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</dc:creator>
  <cp:lastModifiedBy>Andrea Ward</cp:lastModifiedBy>
  <cp:lastPrinted>2018-02-02T14:30:17Z</cp:lastPrinted>
  <dcterms:created xsi:type="dcterms:W3CDTF">2016-02-03T14:06:14Z</dcterms:created>
  <dcterms:modified xsi:type="dcterms:W3CDTF">2026-02-27T15:44:32Z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</Properties>
</file>