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alastair_matchett_fe_training/Documents/Alastair Matchett/AI/Endex/"/>
    </mc:Choice>
  </mc:AlternateContent>
  <xr:revisionPtr revIDLastSave="0" documentId="8_{CEEB2AE0-6F86-45D1-AEC5-4258C278C046}" xr6:coauthVersionLast="47" xr6:coauthVersionMax="47" xr10:uidLastSave="{00000000-0000-0000-0000-000000000000}"/>
  <bookViews>
    <workbookView xWindow="71897" yWindow="-103" windowWidth="29006" windowHeight="15686" activeTab="2" xr2:uid="{00000000-000D-0000-FFFF-FFFF00000000}"/>
  </bookViews>
  <sheets>
    <sheet name="Assumptions" sheetId="2" r:id="rId1"/>
    <sheet name="Income Statement" sheetId="3" r:id="rId2"/>
    <sheet name="Balance Sheet" sheetId="4" r:id="rId3"/>
    <sheet name="Cash Flow Statement" sheetId="5" r:id="rId4"/>
  </sheets>
  <definedNames>
    <definedName name="Circswitch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5" l="1"/>
  <c r="E36" i="5"/>
  <c r="F36" i="5"/>
  <c r="G36" i="5"/>
  <c r="H35" i="5" s="1"/>
  <c r="H36" i="5" s="1"/>
  <c r="I35" i="5" s="1"/>
  <c r="I36" i="5" s="1"/>
  <c r="J35" i="5" s="1"/>
  <c r="J36" i="5" s="1"/>
  <c r="K35" i="5" s="1"/>
  <c r="K36" i="5" s="1"/>
  <c r="E35" i="5"/>
  <c r="F35" i="5"/>
  <c r="G35" i="5"/>
  <c r="D34" i="5"/>
  <c r="E34" i="5"/>
  <c r="F34" i="5"/>
  <c r="G34" i="5"/>
  <c r="H34" i="5"/>
  <c r="I34" i="5"/>
  <c r="J34" i="5"/>
  <c r="K34" i="5"/>
  <c r="D32" i="5"/>
  <c r="E32" i="5"/>
  <c r="F32" i="5"/>
  <c r="G32" i="5"/>
  <c r="H32" i="5"/>
  <c r="I32" i="5"/>
  <c r="J32" i="5"/>
  <c r="K32" i="5"/>
  <c r="D31" i="5"/>
  <c r="E31" i="5"/>
  <c r="F31" i="5"/>
  <c r="G31" i="5"/>
  <c r="H31" i="5"/>
  <c r="I31" i="5"/>
  <c r="J31" i="5"/>
  <c r="K31" i="5"/>
  <c r="D30" i="5"/>
  <c r="E30" i="5"/>
  <c r="F30" i="5"/>
  <c r="G30" i="5"/>
  <c r="H30" i="5"/>
  <c r="I30" i="5"/>
  <c r="J30" i="5"/>
  <c r="K30" i="5"/>
  <c r="D29" i="5"/>
  <c r="E29" i="5"/>
  <c r="F29" i="5"/>
  <c r="G29" i="5"/>
  <c r="H29" i="5"/>
  <c r="I29" i="5"/>
  <c r="J29" i="5"/>
  <c r="K29" i="5"/>
  <c r="G27" i="5"/>
  <c r="H27" i="5"/>
  <c r="I27" i="5"/>
  <c r="J27" i="5"/>
  <c r="K27" i="5"/>
  <c r="D24" i="5"/>
  <c r="E24" i="5"/>
  <c r="F24" i="5"/>
  <c r="G24" i="5"/>
  <c r="H24" i="5"/>
  <c r="I24" i="5"/>
  <c r="J24" i="5"/>
  <c r="K24" i="5"/>
  <c r="D22" i="5"/>
  <c r="E22" i="5"/>
  <c r="F22" i="5"/>
  <c r="G22" i="5"/>
  <c r="H22" i="5"/>
  <c r="I22" i="5"/>
  <c r="J22" i="5"/>
  <c r="K22" i="5"/>
  <c r="D19" i="5"/>
  <c r="E19" i="5"/>
  <c r="F19" i="5"/>
  <c r="G19" i="5"/>
  <c r="H19" i="5"/>
  <c r="I19" i="5"/>
  <c r="J19" i="5"/>
  <c r="K19" i="5"/>
  <c r="G18" i="5"/>
  <c r="H18" i="5"/>
  <c r="I18" i="5"/>
  <c r="J18" i="5"/>
  <c r="K18" i="5"/>
  <c r="G17" i="5"/>
  <c r="H17" i="5"/>
  <c r="I17" i="5"/>
  <c r="J17" i="5"/>
  <c r="K17" i="5"/>
  <c r="G16" i="5"/>
  <c r="H16" i="5"/>
  <c r="I16" i="5"/>
  <c r="J16" i="5"/>
  <c r="K16" i="5"/>
  <c r="G15" i="5"/>
  <c r="H15" i="5"/>
  <c r="I15" i="5"/>
  <c r="J15" i="5"/>
  <c r="K15" i="5"/>
  <c r="G14" i="5"/>
  <c r="H14" i="5"/>
  <c r="I14" i="5"/>
  <c r="J14" i="5"/>
  <c r="K14" i="5"/>
  <c r="D13" i="5"/>
  <c r="E13" i="5"/>
  <c r="F13" i="5"/>
  <c r="G13" i="5"/>
  <c r="H13" i="5"/>
  <c r="I13" i="5"/>
  <c r="J13" i="5"/>
  <c r="K13" i="5"/>
  <c r="D9" i="5"/>
  <c r="E9" i="5"/>
  <c r="F9" i="5"/>
  <c r="G9" i="5"/>
  <c r="H9" i="5"/>
  <c r="I9" i="5"/>
  <c r="J9" i="5"/>
  <c r="K9" i="5"/>
  <c r="D8" i="5"/>
  <c r="E8" i="5"/>
  <c r="F8" i="5"/>
  <c r="G8" i="5"/>
  <c r="H8" i="5"/>
  <c r="I8" i="5"/>
  <c r="J8" i="5"/>
  <c r="K8" i="5"/>
  <c r="G17" i="4"/>
  <c r="H17" i="4"/>
  <c r="I17" i="4"/>
  <c r="J17" i="4"/>
  <c r="K17" i="4"/>
  <c r="G32" i="4"/>
  <c r="H32" i="4" s="1"/>
  <c r="G32" i="2"/>
  <c r="H32" i="2" s="1"/>
  <c r="I32" i="2" s="1"/>
  <c r="J32" i="2" s="1"/>
  <c r="K32" i="2" s="1"/>
  <c r="D37" i="4"/>
  <c r="E37" i="4"/>
  <c r="D35" i="4"/>
  <c r="E35" i="4"/>
  <c r="D33" i="4"/>
  <c r="E33" i="4"/>
  <c r="F33" i="4"/>
  <c r="D31" i="4"/>
  <c r="E31" i="4"/>
  <c r="F31" i="4"/>
  <c r="G31" i="4"/>
  <c r="H31" i="4"/>
  <c r="I31" i="4"/>
  <c r="J31" i="4"/>
  <c r="K31" i="4"/>
  <c r="D27" i="4"/>
  <c r="E27" i="4"/>
  <c r="D26" i="4"/>
  <c r="E26" i="4"/>
  <c r="F26" i="4"/>
  <c r="G26" i="4"/>
  <c r="H26" i="4"/>
  <c r="I26" i="4"/>
  <c r="J26" i="4"/>
  <c r="K26" i="4"/>
  <c r="D21" i="4"/>
  <c r="E21" i="4"/>
  <c r="F21" i="4"/>
  <c r="F27" i="4" s="1"/>
  <c r="F35" i="4" s="1"/>
  <c r="F37" i="4" s="1"/>
  <c r="D18" i="4"/>
  <c r="E18" i="4"/>
  <c r="F18" i="4"/>
  <c r="G13" i="4"/>
  <c r="H13" i="4" s="1"/>
  <c r="I13" i="4" s="1"/>
  <c r="J13" i="4" s="1"/>
  <c r="K13" i="4" s="1"/>
  <c r="D9" i="4"/>
  <c r="E9" i="4"/>
  <c r="F9" i="4"/>
  <c r="G9" i="4"/>
  <c r="H9" i="4"/>
  <c r="I9" i="4"/>
  <c r="J9" i="4"/>
  <c r="K9" i="4"/>
  <c r="D8" i="4"/>
  <c r="E8" i="4"/>
  <c r="F8" i="4"/>
  <c r="G8" i="4"/>
  <c r="H8" i="4"/>
  <c r="I8" i="4"/>
  <c r="J8" i="4"/>
  <c r="K8" i="4"/>
  <c r="G9" i="3"/>
  <c r="H9" i="3"/>
  <c r="I9" i="3"/>
  <c r="J9" i="3"/>
  <c r="K9" i="3"/>
  <c r="G8" i="3"/>
  <c r="H8" i="3"/>
  <c r="I8" i="3"/>
  <c r="J8" i="3"/>
  <c r="K8" i="3"/>
  <c r="G7" i="3"/>
  <c r="H7" i="3"/>
  <c r="I7" i="3"/>
  <c r="J7" i="3"/>
  <c r="K7" i="3"/>
  <c r="G10" i="2"/>
  <c r="H10" i="2" s="1"/>
  <c r="I10" i="2" s="1"/>
  <c r="J10" i="2" s="1"/>
  <c r="K10" i="2" s="1"/>
  <c r="D32" i="3"/>
  <c r="E32" i="3"/>
  <c r="F32" i="3"/>
  <c r="E31" i="3"/>
  <c r="F31" i="3"/>
  <c r="D30" i="3"/>
  <c r="E30" i="3"/>
  <c r="F30" i="3"/>
  <c r="D27" i="3"/>
  <c r="E27" i="3"/>
  <c r="F27" i="3"/>
  <c r="D24" i="3"/>
  <c r="E24" i="3"/>
  <c r="F24" i="3"/>
  <c r="D22" i="3"/>
  <c r="E22" i="3"/>
  <c r="F22" i="3"/>
  <c r="D21" i="3"/>
  <c r="E21" i="3"/>
  <c r="F21" i="3"/>
  <c r="D18" i="3"/>
  <c r="E18" i="3"/>
  <c r="F18" i="3"/>
  <c r="G18" i="3"/>
  <c r="H18" i="3"/>
  <c r="I18" i="3"/>
  <c r="J18" i="3"/>
  <c r="K18" i="3"/>
  <c r="D17" i="3"/>
  <c r="E17" i="3"/>
  <c r="F17" i="3"/>
  <c r="G17" i="3"/>
  <c r="H17" i="3"/>
  <c r="I17" i="3"/>
  <c r="J17" i="3"/>
  <c r="K17" i="3"/>
  <c r="G13" i="3"/>
  <c r="H13" i="3"/>
  <c r="I13" i="3"/>
  <c r="J13" i="3"/>
  <c r="K13" i="3"/>
  <c r="D11" i="3"/>
  <c r="E11" i="3"/>
  <c r="F11" i="3"/>
  <c r="D10" i="3"/>
  <c r="E10" i="3"/>
  <c r="F10" i="3"/>
  <c r="G31" i="3"/>
  <c r="H12" i="4"/>
  <c r="H18" i="4" s="1"/>
  <c r="E33" i="2"/>
  <c r="F33" i="2"/>
  <c r="F14" i="2"/>
  <c r="G14" i="2" s="1"/>
  <c r="H14" i="2" s="1"/>
  <c r="D20" i="2"/>
  <c r="E20" i="2"/>
  <c r="F20" i="2"/>
  <c r="G20" i="2"/>
  <c r="H20" i="2"/>
  <c r="I20" i="2"/>
  <c r="J20" i="2"/>
  <c r="K20" i="2"/>
  <c r="E13" i="2"/>
  <c r="F13" i="2"/>
  <c r="G13" i="2"/>
  <c r="H13" i="2"/>
  <c r="I13" i="2"/>
  <c r="J13" i="2"/>
  <c r="K13" i="2"/>
  <c r="E11" i="2"/>
  <c r="F11" i="2"/>
  <c r="G11" i="2"/>
  <c r="H11" i="2"/>
  <c r="I11" i="2"/>
  <c r="E9" i="2"/>
  <c r="I32" i="4" l="1"/>
  <c r="H33" i="4"/>
  <c r="G33" i="4"/>
  <c r="H21" i="4"/>
  <c r="H27" i="4" s="1"/>
  <c r="H35" i="4" s="1"/>
  <c r="H37" i="4" s="1"/>
  <c r="G12" i="4"/>
  <c r="G18" i="4" s="1"/>
  <c r="G21" i="4"/>
  <c r="G27" i="4" s="1"/>
  <c r="G35" i="4" s="1"/>
  <c r="K11" i="2"/>
  <c r="J11" i="2"/>
  <c r="I10" i="3"/>
  <c r="H10" i="3"/>
  <c r="I14" i="2"/>
  <c r="J14" i="2" s="1"/>
  <c r="K14" i="2" s="1"/>
  <c r="J31" i="3"/>
  <c r="I31" i="3"/>
  <c r="H31" i="3"/>
  <c r="G10" i="3"/>
  <c r="J10" i="3"/>
  <c r="H33" i="2"/>
  <c r="G33" i="2"/>
  <c r="I33" i="4" l="1"/>
  <c r="J32" i="4"/>
  <c r="G37" i="4"/>
  <c r="I12" i="4"/>
  <c r="I18" i="4" s="1"/>
  <c r="I21" i="4"/>
  <c r="I27" i="4" s="1"/>
  <c r="I35" i="4" s="1"/>
  <c r="H11" i="3"/>
  <c r="H21" i="3"/>
  <c r="I21" i="3"/>
  <c r="I11" i="3"/>
  <c r="G21" i="3"/>
  <c r="G11" i="3"/>
  <c r="J21" i="3"/>
  <c r="J11" i="3"/>
  <c r="K10" i="3"/>
  <c r="K31" i="3"/>
  <c r="I33" i="2"/>
  <c r="J33" i="4" l="1"/>
  <c r="K32" i="4"/>
  <c r="K33" i="4" s="1"/>
  <c r="J21" i="4"/>
  <c r="J27" i="4" s="1"/>
  <c r="J35" i="4" s="1"/>
  <c r="J12" i="4"/>
  <c r="J18" i="4" s="1"/>
  <c r="I37" i="4"/>
  <c r="K21" i="3"/>
  <c r="K11" i="3"/>
  <c r="J22" i="3"/>
  <c r="J24" i="3" s="1"/>
  <c r="G22" i="3"/>
  <c r="G24" i="3" s="1"/>
  <c r="I22" i="3"/>
  <c r="I24" i="3" s="1"/>
  <c r="H22" i="3"/>
  <c r="H24" i="3" s="1"/>
  <c r="J33" i="2"/>
  <c r="K33" i="2" l="1"/>
  <c r="K12" i="4"/>
  <c r="K18" i="4" s="1"/>
  <c r="K21" i="4"/>
  <c r="K27" i="4" s="1"/>
  <c r="K35" i="4" s="1"/>
  <c r="J37" i="4"/>
  <c r="H27" i="3"/>
  <c r="H30" i="3" s="1"/>
  <c r="H32" i="3"/>
  <c r="I27" i="3"/>
  <c r="I30" i="3" s="1"/>
  <c r="I32" i="3"/>
  <c r="G32" i="3"/>
  <c r="G27" i="3"/>
  <c r="G30" i="3" s="1"/>
  <c r="J32" i="3"/>
  <c r="J27" i="3"/>
  <c r="J30" i="3" s="1"/>
  <c r="K22" i="3"/>
  <c r="K24" i="3" s="1"/>
  <c r="K37" i="4" l="1"/>
  <c r="K27" i="3"/>
  <c r="K30" i="3" s="1"/>
  <c r="K32" i="3"/>
  <c r="F8" i="2" l="1"/>
  <c r="G8" i="2" s="1"/>
  <c r="H8" i="2" s="1"/>
  <c r="I8" i="2" s="1"/>
  <c r="J8" i="2" s="1"/>
  <c r="K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E8" authorId="0" shapeId="0" xr:uid="{87536DDB-1651-45D3-80BD-8A3CDDF3AF9D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DLG FY2024 Prelim Results p. 8</t>
        </r>
      </text>
    </comment>
    <comment ref="F8" authorId="0" shapeId="0" xr:uid="{263DF702-C264-414B-AA8E-AD0498321DD5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DLG FY2024 Prelim Results p. 8</t>
        </r>
      </text>
    </comment>
    <comment ref="F21" authorId="0" shapeId="0" xr:uid="{2B18764F-AD34-4F87-82B7-4C5F02322183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DLG FY2024 Prelim Results p. 8 - Target 13% NIM in 2026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D7" authorId="0" shapeId="0" xr:uid="{2D71E0DA-FB38-4C19-B919-57FCDE41578B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DLG 2024 Annual Report p. 168</t>
        </r>
      </text>
    </comment>
    <comment ref="E7" authorId="0" shapeId="0" xr:uid="{0376471A-11DD-4E76-923F-0BD7F300C67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DLG 2024 Annual Report p. 168</t>
        </r>
      </text>
    </comment>
    <comment ref="F7" authorId="0" shapeId="0" xr:uid="{A2C5A6CF-5130-41EF-8BEB-68C397B05627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DLG 2024 Annual Report p. 168</t>
        </r>
      </text>
    </comment>
    <comment ref="E21" authorId="0" shapeId="0" xr:uid="{704F6303-7862-4250-8D90-D635E812E2EC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DLG FY2024 Prelim Results p. 8</t>
        </r>
      </text>
    </comment>
    <comment ref="F21" authorId="0" shapeId="0" xr:uid="{D8BD7051-43A1-46D5-BD36-14B93BCC9662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DLG FY2024 Prelim Results p. 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E17" authorId="0" shapeId="0" xr:uid="{06DEF04D-14F8-4BF7-ADAD-B0922E32C994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DLG FY2024 Prelim Results p. 35</t>
        </r>
      </text>
    </comment>
    <comment ref="F17" authorId="0" shapeId="0" xr:uid="{7A89FE4B-5ED5-4F1A-9889-7205ECFC70CF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DLG FY2024 Prelim Results p. 35</t>
        </r>
      </text>
    </comment>
  </commentList>
</comments>
</file>

<file path=xl/sharedStrings.xml><?xml version="1.0" encoding="utf-8"?>
<sst xmlns="http://schemas.openxmlformats.org/spreadsheetml/2006/main" count="153" uniqueCount="117">
  <si>
    <t>Direct Line Group plc - Three Statement Model</t>
  </si>
  <si>
    <t>(£ in millions)</t>
  </si>
  <si>
    <t>Key Assumptions &amp; Drivers</t>
  </si>
  <si>
    <t>FY2022A</t>
  </si>
  <si>
    <t>FY2023A</t>
  </si>
  <si>
    <t>FY2024A</t>
  </si>
  <si>
    <t>FY2025E</t>
  </si>
  <si>
    <t>FY2026E</t>
  </si>
  <si>
    <t>FY2027E</t>
  </si>
  <si>
    <t>FY2028E</t>
  </si>
  <si>
    <t>FY2029E</t>
  </si>
  <si>
    <t>Revenue / Premium Drivers</t>
  </si>
  <si>
    <t>Gross Written Premium &amp; Associated Fees</t>
  </si>
  <si>
    <t>GWP Growth %</t>
  </si>
  <si>
    <t>Insurance Revenue</t>
  </si>
  <si>
    <t>Insurance Revenue Growth %</t>
  </si>
  <si>
    <t>In-Force Policies (thousands)</t>
  </si>
  <si>
    <t>Policy Count Growth %</t>
  </si>
  <si>
    <t>Net Insurance Revenue (Ongoing)</t>
  </si>
  <si>
    <t>Profitability Drivers</t>
  </si>
  <si>
    <t>Net Insurance Claims Ratio</t>
  </si>
  <si>
    <t>Net Acquisition Costs Ratio</t>
  </si>
  <si>
    <t>Net Expense Ratio</t>
  </si>
  <si>
    <t>Combined Operating Ratio</t>
  </si>
  <si>
    <t>Net Insurance Margin (Ongoing)</t>
  </si>
  <si>
    <t>Investment Income Yield</t>
  </si>
  <si>
    <t>Effective Tax Rate</t>
  </si>
  <si>
    <t>Restructuring &amp; One-Off Costs</t>
  </si>
  <si>
    <t>Other Finance Costs</t>
  </si>
  <si>
    <t>Dividend Payout Ratio (% of Post-Tax Op. Profit)</t>
  </si>
  <si>
    <t>Balance Sheet Drivers</t>
  </si>
  <si>
    <t>Financial Investments (% of Insurance Liabs)</t>
  </si>
  <si>
    <t>Goodwill &amp; Intangibles</t>
  </si>
  <si>
    <t>PP&amp;E (Net of Depreciation)</t>
  </si>
  <si>
    <t>Insurance Contract Liabilities (Gross)</t>
  </si>
  <si>
    <t>Ins. Liab. Growth % (Linked to GWP Growth)</t>
  </si>
  <si>
    <t>Subordinated Debt</t>
  </si>
  <si>
    <t>Tier 1 Notes</t>
  </si>
  <si>
    <t>Shares Outstanding (millions)</t>
  </si>
  <si>
    <t>Cash Flow Drivers</t>
  </si>
  <si>
    <t>Capex (Capital Expenditure)</t>
  </si>
  <si>
    <t>D&amp;A and Impairment of Intangibles / Fixed Assets</t>
  </si>
  <si>
    <t>Purchase of Employee Trust Shares</t>
  </si>
  <si>
    <t>Lease Payments (Principal)</t>
  </si>
  <si>
    <t>SBC Expense</t>
  </si>
  <si>
    <t>Direct Line Group plc - Consolidated Statement of Profit or Loss</t>
  </si>
  <si>
    <t>Income Statement</t>
  </si>
  <si>
    <t>Insurance Service Expenses</t>
  </si>
  <si>
    <t>Net Expenses from Reinsurance Contracts</t>
  </si>
  <si>
    <t>Insurance Service Result</t>
  </si>
  <si>
    <t>Insurance Service Result Margin</t>
  </si>
  <si>
    <t>Investment Income (Net)</t>
  </si>
  <si>
    <t>Net Insurance Finance Income / (Expense)</t>
  </si>
  <si>
    <t>Net Fair Value Gains / (Losses)</t>
  </si>
  <si>
    <t>Other Operating Income</t>
  </si>
  <si>
    <t>Gain / (Loss) on Disposal of Business</t>
  </si>
  <si>
    <t>Profit / (Loss) Before Tax</t>
  </si>
  <si>
    <t>Tax Charge</t>
  </si>
  <si>
    <t>Net Income / (Loss)</t>
  </si>
  <si>
    <t>Tier 1 Note Coupon (Charged to Equity)</t>
  </si>
  <si>
    <t>Earnings Attributable to Ordinary Shareholders</t>
  </si>
  <si>
    <t>Key Metrics</t>
  </si>
  <si>
    <t>Basic EPS (pence)</t>
  </si>
  <si>
    <t>Net Income Margin</t>
  </si>
  <si>
    <t>Direct Line Group plc - Consolidated Statement of Financial Position</t>
  </si>
  <si>
    <t>Balance Sheet</t>
  </si>
  <si>
    <t>Assets</t>
  </si>
  <si>
    <t>Goodwill &amp; Intangible Assets</t>
  </si>
  <si>
    <t>Property, Plant &amp; Equipment</t>
  </si>
  <si>
    <t>Right-of-Use Assets</t>
  </si>
  <si>
    <t>Investment Property</t>
  </si>
  <si>
    <t>Financial Investments</t>
  </si>
  <si>
    <t>Reinsurance Contract Assets</t>
  </si>
  <si>
    <t>Deferred Tax Assets</t>
  </si>
  <si>
    <t>Prepayments &amp; Other Assets</t>
  </si>
  <si>
    <t>Assets Held for Sale</t>
  </si>
  <si>
    <t>Cash &amp; Cash Equivalents</t>
  </si>
  <si>
    <t>Total Assets</t>
  </si>
  <si>
    <t>Liabilities</t>
  </si>
  <si>
    <t>Lease Liabilities</t>
  </si>
  <si>
    <t>Provisions</t>
  </si>
  <si>
    <t>Trade &amp; Other Payables</t>
  </si>
  <si>
    <t>Deferred Tax Liabilities</t>
  </si>
  <si>
    <t>Subordinated Liabilities</t>
  </si>
  <si>
    <t>Total Liabilities</t>
  </si>
  <si>
    <t>Shareholders' Equity</t>
  </si>
  <si>
    <t>Share Capital &amp; Reserves</t>
  </si>
  <si>
    <t>Retained Earnings &amp; Other Reserves</t>
  </si>
  <si>
    <t>Total Equity</t>
  </si>
  <si>
    <t>Total Liabilities &amp; Equity</t>
  </si>
  <si>
    <t>Balance Check (Assets - L&amp;E)</t>
  </si>
  <si>
    <t>Direct Line Group plc - Consolidated Cash Flow Statement</t>
  </si>
  <si>
    <t>Cash Flow Statement</t>
  </si>
  <si>
    <t>Cash Flows from Operating Activities</t>
  </si>
  <si>
    <t>Depreciation, Amortisation &amp; Impairment</t>
  </si>
  <si>
    <t>Net Fair Value (Gains) / Losses</t>
  </si>
  <si>
    <t>Net Insurance Finance (Income) / Expense</t>
  </si>
  <si>
    <t>(Gain) / Loss on Disposal of Business</t>
  </si>
  <si>
    <t>Share-Based Compensation</t>
  </si>
  <si>
    <t>Change in Insurance Contract Liabilities</t>
  </si>
  <si>
    <t>Change in Reinsurance Assets</t>
  </si>
  <si>
    <t>Change in Financial Investments</t>
  </si>
  <si>
    <t>Change in Trade Payables &amp; Other Working Capital</t>
  </si>
  <si>
    <t>Tax Paid</t>
  </si>
  <si>
    <t>Net Cash from Operating Activities</t>
  </si>
  <si>
    <t>Cash Flows from Investing Activities</t>
  </si>
  <si>
    <t>Capital Expenditure</t>
  </si>
  <si>
    <t>Proceeds from Disposals</t>
  </si>
  <si>
    <t>Net Cash from Investing Activities</t>
  </si>
  <si>
    <t>Cash Flows from Financing Activities</t>
  </si>
  <si>
    <t>Dividends Paid</t>
  </si>
  <si>
    <t>Tier 1 Note Coupon Paid</t>
  </si>
  <si>
    <t>Other Finance Costs Paid</t>
  </si>
  <si>
    <t>Net Cash from Financing Activities</t>
  </si>
  <si>
    <t>Net Change in Cash</t>
  </si>
  <si>
    <t>Cash at Beginning of Period</t>
  </si>
  <si>
    <t>Cash at 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</si>
</sst>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  <numFmt numFmtId="174" formatCode="0.0%;\(0.0%\);0.0%;@"/>
    <numFmt numFmtId="175" formatCode="_(#,##0.0_);\(#,##0.0\);_(0.0_);_(@_)"/>
    <numFmt numFmtId="176" formatCode="_([$£-809]#,##0.0_);\([$£-809]#,##0.0\);_(\£0.0_);_(@_)"/>
    <numFmt numFmtId="177" formatCode="0.0"/>
  </numFmts>
  <fonts count="44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u/>
      <sz val="11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377E22"/>
      <name val="Arial"/>
      <family val="2"/>
    </font>
    <font>
      <b/>
      <i/>
      <sz val="10"/>
      <name val="Arial"/>
      <family val="2"/>
    </font>
    <font>
      <b/>
      <i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rgb="FF2D426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9DAF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thin">
        <color auto="1"/>
      </bottom>
      <diagonal/>
    </border>
    <border>
      <left style="dotted">
        <color rgb="FF999999"/>
      </left>
      <right/>
      <top/>
      <bottom/>
      <diagonal/>
    </border>
    <border>
      <left style="dotted">
        <color rgb="FF999999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rgb="FF999999"/>
      </left>
      <right/>
      <top style="thin">
        <color auto="1"/>
      </top>
      <bottom/>
      <diagonal/>
    </border>
    <border>
      <left style="dotted">
        <color rgb="FF999999"/>
      </left>
      <right/>
      <top style="thin">
        <color auto="1"/>
      </top>
      <bottom style="thin">
        <color auto="1"/>
      </bottom>
      <diagonal/>
    </border>
  </borders>
  <cellStyleXfs count="60">
    <xf numFmtId="171" fontId="0" fillId="0" borderId="0"/>
    <xf numFmtId="0" fontId="4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6" fillId="10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27" fillId="2" borderId="0" applyNumberFormat="0" applyBorder="0" applyAlignment="0" applyProtection="0">
      <alignment horizontal="left"/>
    </xf>
    <xf numFmtId="0" fontId="5" fillId="35" borderId="0" applyNumberFormat="0" applyBorder="0" applyAlignment="0" applyProtection="0">
      <alignment horizontal="left"/>
    </xf>
    <xf numFmtId="0" fontId="3" fillId="0" borderId="0" applyNumberFormat="0" applyFill="0" applyBorder="0" applyAlignment="0" applyProtection="0">
      <alignment horizontal="left" vertical="center"/>
    </xf>
    <xf numFmtId="0" fontId="2" fillId="3" borderId="0" applyNumberFormat="0" applyFont="0" applyBorder="0" applyAlignment="0" applyProtection="0">
      <alignment vertical="top"/>
    </xf>
    <xf numFmtId="168" fontId="24" fillId="35" borderId="0" applyBorder="0" applyProtection="0">
      <alignment horizontal="center"/>
    </xf>
    <xf numFmtId="169" fontId="23" fillId="2" borderId="0" applyNumberFormat="0" applyBorder="0" applyProtection="0">
      <alignment horizontal="center"/>
    </xf>
    <xf numFmtId="168" fontId="25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25" fillId="2" borderId="0" applyFont="0" applyFill="0" applyBorder="0" applyAlignment="0" applyProtection="0"/>
    <xf numFmtId="169" fontId="26" fillId="2" borderId="0" applyNumberFormat="0" applyFill="0" applyBorder="0" applyAlignment="0" applyProtection="0"/>
    <xf numFmtId="171" fontId="28" fillId="0" borderId="0" applyNumberFormat="0" applyFill="0" applyBorder="0" applyAlignment="0" applyProtection="0"/>
    <xf numFmtId="170" fontId="26" fillId="36" borderId="10" applyNumberFormat="0" applyAlignment="0" applyProtection="0">
      <protection locked="0"/>
    </xf>
  </cellStyleXfs>
  <cellXfs count="45">
    <xf numFmtId="171" fontId="0" fillId="0" borderId="0" xfId="0"/>
    <xf numFmtId="171" fontId="29" fillId="0" borderId="0" xfId="0" applyFont="1"/>
    <xf numFmtId="171" fontId="30" fillId="37" borderId="0" xfId="0" applyFont="1" applyFill="1" applyAlignment="1">
      <alignment horizontal="left"/>
    </xf>
    <xf numFmtId="171" fontId="31" fillId="0" borderId="0" xfId="0" applyFont="1"/>
    <xf numFmtId="171" fontId="32" fillId="0" borderId="0" xfId="0" applyFont="1"/>
    <xf numFmtId="171" fontId="33" fillId="0" borderId="11" xfId="0" applyFont="1" applyBorder="1"/>
    <xf numFmtId="171" fontId="33" fillId="38" borderId="11" xfId="0" applyFont="1" applyFill="1" applyBorder="1" applyAlignment="1">
      <alignment horizontal="center"/>
    </xf>
    <xf numFmtId="171" fontId="33" fillId="39" borderId="11" xfId="0" applyFont="1" applyFill="1" applyBorder="1" applyAlignment="1">
      <alignment horizontal="center"/>
    </xf>
    <xf numFmtId="171" fontId="34" fillId="0" borderId="0" xfId="0" applyFont="1"/>
    <xf numFmtId="171" fontId="29" fillId="0" borderId="0" xfId="0" applyFont="1" applyAlignment="1">
      <alignment horizontal="right"/>
    </xf>
    <xf numFmtId="171" fontId="34" fillId="0" borderId="0" xfId="0" applyFont="1" applyAlignment="1">
      <alignment horizontal="right"/>
    </xf>
    <xf numFmtId="174" fontId="36" fillId="0" borderId="0" xfId="0" applyNumberFormat="1" applyFont="1" applyAlignment="1">
      <alignment horizontal="right"/>
    </xf>
    <xf numFmtId="174" fontId="35" fillId="0" borderId="0" xfId="0" applyNumberFormat="1" applyFont="1" applyAlignment="1">
      <alignment horizontal="right"/>
    </xf>
    <xf numFmtId="174" fontId="29" fillId="0" borderId="0" xfId="0" applyNumberFormat="1" applyFont="1" applyAlignment="1">
      <alignment horizontal="right"/>
    </xf>
    <xf numFmtId="175" fontId="35" fillId="0" borderId="0" xfId="0" applyNumberFormat="1" applyFont="1" applyAlignment="1">
      <alignment horizontal="right"/>
    </xf>
    <xf numFmtId="175" fontId="29" fillId="0" borderId="0" xfId="0" applyNumberFormat="1" applyFont="1" applyAlignment="1">
      <alignment horizontal="right"/>
    </xf>
    <xf numFmtId="171" fontId="33" fillId="39" borderId="13" xfId="0" applyFont="1" applyFill="1" applyBorder="1" applyAlignment="1">
      <alignment horizontal="center"/>
    </xf>
    <xf numFmtId="171" fontId="29" fillId="0" borderId="12" xfId="0" applyFont="1" applyBorder="1" applyAlignment="1">
      <alignment horizontal="right"/>
    </xf>
    <xf numFmtId="171" fontId="34" fillId="0" borderId="12" xfId="0" applyFont="1" applyBorder="1" applyAlignment="1">
      <alignment horizontal="right"/>
    </xf>
    <xf numFmtId="175" fontId="29" fillId="0" borderId="12" xfId="0" applyNumberFormat="1" applyFont="1" applyBorder="1" applyAlignment="1">
      <alignment horizontal="right"/>
    </xf>
    <xf numFmtId="174" fontId="35" fillId="0" borderId="12" xfId="0" applyNumberFormat="1" applyFont="1" applyBorder="1" applyAlignment="1">
      <alignment horizontal="right"/>
    </xf>
    <xf numFmtId="174" fontId="29" fillId="0" borderId="12" xfId="0" applyNumberFormat="1" applyFont="1" applyBorder="1" applyAlignment="1">
      <alignment horizontal="right"/>
    </xf>
    <xf numFmtId="175" fontId="35" fillId="0" borderId="12" xfId="0" applyNumberFormat="1" applyFont="1" applyBorder="1" applyAlignment="1">
      <alignment horizontal="right"/>
    </xf>
    <xf numFmtId="171" fontId="33" fillId="0" borderId="14" xfId="0" applyFont="1" applyBorder="1"/>
    <xf numFmtId="171" fontId="33" fillId="0" borderId="15" xfId="0" applyFont="1" applyBorder="1"/>
    <xf numFmtId="176" fontId="35" fillId="0" borderId="0" xfId="0" applyNumberFormat="1" applyFont="1" applyAlignment="1">
      <alignment horizontal="right"/>
    </xf>
    <xf numFmtId="176" fontId="37" fillId="0" borderId="14" xfId="0" applyNumberFormat="1" applyFont="1" applyBorder="1" applyAlignment="1">
      <alignment horizontal="right"/>
    </xf>
    <xf numFmtId="174" fontId="38" fillId="0" borderId="0" xfId="0" applyNumberFormat="1" applyFont="1" applyAlignment="1">
      <alignment horizontal="right"/>
    </xf>
    <xf numFmtId="175" fontId="36" fillId="0" borderId="0" xfId="0" applyNumberFormat="1" applyFont="1" applyAlignment="1">
      <alignment horizontal="right"/>
    </xf>
    <xf numFmtId="176" fontId="37" fillId="0" borderId="15" xfId="0" applyNumberFormat="1" applyFont="1" applyBorder="1" applyAlignment="1">
      <alignment horizontal="right"/>
    </xf>
    <xf numFmtId="177" fontId="36" fillId="0" borderId="0" xfId="0" applyNumberFormat="1" applyFont="1" applyAlignment="1">
      <alignment horizontal="right"/>
    </xf>
    <xf numFmtId="176" fontId="39" fillId="0" borderId="0" xfId="0" applyNumberFormat="1" applyFont="1" applyAlignment="1">
      <alignment horizontal="right"/>
    </xf>
    <xf numFmtId="175" fontId="39" fillId="0" borderId="0" xfId="0" applyNumberFormat="1" applyFont="1" applyAlignment="1">
      <alignment horizontal="right"/>
    </xf>
    <xf numFmtId="171" fontId="29" fillId="0" borderId="12" xfId="0" applyFont="1" applyBorder="1"/>
    <xf numFmtId="176" fontId="39" fillId="0" borderId="12" xfId="0" applyNumberFormat="1" applyFont="1" applyBorder="1" applyAlignment="1">
      <alignment horizontal="right"/>
    </xf>
    <xf numFmtId="175" fontId="39" fillId="0" borderId="12" xfId="0" applyNumberFormat="1" applyFont="1" applyBorder="1" applyAlignment="1">
      <alignment horizontal="right"/>
    </xf>
    <xf numFmtId="176" fontId="37" fillId="0" borderId="16" xfId="0" applyNumberFormat="1" applyFont="1" applyBorder="1" applyAlignment="1">
      <alignment horizontal="right"/>
    </xf>
    <xf numFmtId="174" fontId="38" fillId="0" borderId="12" xfId="0" applyNumberFormat="1" applyFont="1" applyBorder="1" applyAlignment="1">
      <alignment horizontal="right"/>
    </xf>
    <xf numFmtId="175" fontId="36" fillId="0" borderId="12" xfId="0" applyNumberFormat="1" applyFont="1" applyBorder="1" applyAlignment="1">
      <alignment horizontal="right"/>
    </xf>
    <xf numFmtId="176" fontId="37" fillId="0" borderId="17" xfId="0" applyNumberFormat="1" applyFont="1" applyBorder="1" applyAlignment="1">
      <alignment horizontal="right"/>
    </xf>
    <xf numFmtId="177" fontId="36" fillId="0" borderId="12" xfId="0" applyNumberFormat="1" applyFont="1" applyBorder="1" applyAlignment="1">
      <alignment horizontal="right"/>
    </xf>
    <xf numFmtId="171" fontId="40" fillId="0" borderId="0" xfId="0" applyFont="1"/>
    <xf numFmtId="176" fontId="41" fillId="0" borderId="0" xfId="0" applyNumberFormat="1" applyFont="1" applyAlignment="1">
      <alignment horizontal="right"/>
    </xf>
    <xf numFmtId="176" fontId="35" fillId="0" borderId="12" xfId="0" applyNumberFormat="1" applyFont="1" applyBorder="1" applyAlignment="1">
      <alignment horizontal="right"/>
    </xf>
    <xf numFmtId="176" fontId="41" fillId="0" borderId="12" xfId="0" applyNumberFormat="1" applyFont="1" applyBorder="1" applyAlignment="1">
      <alignment horizontal="righ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F0F8FE"/>
      <color rgb="FF163260"/>
      <color rgb="FF085393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875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7BF1D57-B95D-4B24-BC8A-F42F38335461}">
  <we:reference id="WA200008783" version="1.0.2.0" store="Omex" storeType="OMEX"/>
  <we:alternateReferences>
    <we:reference id="WA200008783" version="1.0.2.0" store="WA200008783" storeType="OMEX"/>
  </we:alternateReferences>
  <we:properties>
    <we:property name="Office.AutoShowTaskpaneWithDocument" value="false"/>
    <we:property name="endex_file_id" value="&quot;\&quot;1454508374000_24109680-6721-4762-9bda-1697db81aede_30bb7a3b\&quot;&quot;"/>
  </we:properties>
  <we:bindings/>
  <we:snapshot xmlns:r="http://schemas.openxmlformats.org/officeDocument/2006/relationships"/>
  <we:extLst>
    <a:ext xmlns:a="http://schemas.openxmlformats.org/drawingml/2006/main" uri="{0858819E-0033-43BF-8937-05EC82904868}">
      <we:backgroundApp state="0" runtimeId="Taskpane.Url"/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3"/>
  <sheetViews>
    <sheetView showGridLines="0" zoomScaleNormal="100" workbookViewId="0"/>
  </sheetViews>
  <sheetFormatPr defaultColWidth="9.07421875" defaultRowHeight="15" customHeight="1" x14ac:dyDescent="0.4"/>
  <cols>
    <col min="1" max="1" width="2.15234375" customWidth="1"/>
    <col min="2" max="2" width="44.84375" customWidth="1"/>
    <col min="3" max="3" width="2.69140625" customWidth="1"/>
    <col min="4" max="11" width="13.4609375" customWidth="1"/>
  </cols>
  <sheetData>
    <row r="1" spans="1:11" ht="1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5" customHeight="1" x14ac:dyDescent="0.4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4">
      <c r="A3" s="1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</row>
    <row r="4" spans="1:11" ht="1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 x14ac:dyDescent="0.4">
      <c r="A5" s="1"/>
      <c r="B5" s="5" t="s">
        <v>2</v>
      </c>
      <c r="C5" s="5"/>
      <c r="D5" s="6" t="s">
        <v>3</v>
      </c>
      <c r="E5" s="6" t="s">
        <v>4</v>
      </c>
      <c r="F5" s="6" t="s">
        <v>5</v>
      </c>
      <c r="G5" s="16" t="s">
        <v>6</v>
      </c>
      <c r="H5" s="7" t="s">
        <v>7</v>
      </c>
      <c r="I5" s="7" t="s">
        <v>8</v>
      </c>
      <c r="J5" s="7" t="s">
        <v>9</v>
      </c>
      <c r="K5" s="7" t="s">
        <v>10</v>
      </c>
    </row>
    <row r="6" spans="1:11" ht="15" customHeight="1" x14ac:dyDescent="0.4">
      <c r="A6" s="1"/>
      <c r="B6" s="1"/>
      <c r="C6" s="1"/>
      <c r="D6" s="9"/>
      <c r="E6" s="9"/>
      <c r="F6" s="9"/>
      <c r="G6" s="17"/>
      <c r="H6" s="9"/>
      <c r="I6" s="9"/>
      <c r="J6" s="9"/>
      <c r="K6" s="9"/>
    </row>
    <row r="7" spans="1:11" ht="15" customHeight="1" x14ac:dyDescent="0.4">
      <c r="A7" s="1"/>
      <c r="B7" s="8" t="s">
        <v>11</v>
      </c>
      <c r="C7" s="8"/>
      <c r="D7" s="10"/>
      <c r="E7" s="10"/>
      <c r="F7" s="10"/>
      <c r="G7" s="18"/>
      <c r="H7" s="10"/>
      <c r="I7" s="10"/>
      <c r="J7" s="10"/>
      <c r="K7" s="10"/>
    </row>
    <row r="8" spans="1:11" ht="15" customHeight="1" x14ac:dyDescent="0.4">
      <c r="A8" s="1"/>
      <c r="B8" s="1" t="s">
        <v>12</v>
      </c>
      <c r="C8" s="1"/>
      <c r="D8" s="14">
        <v>2916</v>
      </c>
      <c r="E8" s="14">
        <v>2977.6</v>
      </c>
      <c r="F8" s="14">
        <f>E8*(1+F9)</f>
        <v>3156.2559999999999</v>
      </c>
      <c r="G8" s="19">
        <f>F8*(1+G9)</f>
        <v>3314.0688</v>
      </c>
      <c r="H8" s="15">
        <f>G8*(1+H9)</f>
        <v>3446.6315520000003</v>
      </c>
      <c r="I8" s="15">
        <f>H8*(1+I9)</f>
        <v>3567.2636563199999</v>
      </c>
      <c r="J8" s="15">
        <f>I8*(1+J9)</f>
        <v>3674.2815660095998</v>
      </c>
      <c r="K8" s="15">
        <f>J8*(1+K9)</f>
        <v>3784.5100129898879</v>
      </c>
    </row>
    <row r="9" spans="1:11" ht="15" customHeight="1" x14ac:dyDescent="0.4">
      <c r="A9" s="1"/>
      <c r="B9" s="1" t="s">
        <v>13</v>
      </c>
      <c r="C9" s="1"/>
      <c r="D9" s="11"/>
      <c r="E9" s="11">
        <f>E8/D8-1</f>
        <v>2.1124828532235851E-2</v>
      </c>
      <c r="F9" s="11">
        <v>0.06</v>
      </c>
      <c r="G9" s="20">
        <v>0.05</v>
      </c>
      <c r="H9" s="12">
        <v>0.04</v>
      </c>
      <c r="I9" s="12">
        <v>3.5000000000000003E-2</v>
      </c>
      <c r="J9" s="12">
        <v>0.03</v>
      </c>
      <c r="K9" s="12">
        <v>0.03</v>
      </c>
    </row>
    <row r="10" spans="1:11" ht="15" customHeight="1" x14ac:dyDescent="0.4">
      <c r="A10" s="1"/>
      <c r="B10" s="1" t="s">
        <v>14</v>
      </c>
      <c r="C10" s="1"/>
      <c r="D10" s="14">
        <v>3068.3</v>
      </c>
      <c r="E10" s="14">
        <v>3601.7</v>
      </c>
      <c r="F10" s="14">
        <v>4567</v>
      </c>
      <c r="G10" s="19">
        <f>F10*(1+G9)</f>
        <v>4795.3500000000004</v>
      </c>
      <c r="H10" s="15">
        <f>G10*(1+H9)</f>
        <v>4987.1640000000007</v>
      </c>
      <c r="I10" s="15">
        <f>H10*(1+I9)</f>
        <v>5161.7147400000003</v>
      </c>
      <c r="J10" s="15">
        <f>I10*(1+J9)</f>
        <v>5316.5661822000002</v>
      </c>
      <c r="K10" s="15">
        <f>J10*(1+K9)</f>
        <v>5476.0631676660005</v>
      </c>
    </row>
    <row r="11" spans="1:11" ht="15" customHeight="1" x14ac:dyDescent="0.4">
      <c r="A11" s="1"/>
      <c r="B11" s="1" t="s">
        <v>15</v>
      </c>
      <c r="C11" s="1"/>
      <c r="D11" s="11"/>
      <c r="E11" s="11">
        <f>E10/D10-1</f>
        <v>0.1738421927451681</v>
      </c>
      <c r="F11" s="11">
        <f>F10/E10-1</f>
        <v>0.26801232751200832</v>
      </c>
      <c r="G11" s="21">
        <f>G10/F10-1</f>
        <v>5.0000000000000044E-2</v>
      </c>
      <c r="H11" s="13">
        <f>H10/G10-1</f>
        <v>4.0000000000000036E-2</v>
      </c>
      <c r="I11" s="13">
        <f>I10/H10-1</f>
        <v>3.499999999999992E-2</v>
      </c>
      <c r="J11" s="13">
        <f>J10/I10-1</f>
        <v>3.0000000000000027E-2</v>
      </c>
      <c r="K11" s="13">
        <f>K10/J10-1</f>
        <v>3.0000000000000027E-2</v>
      </c>
    </row>
    <row r="12" spans="1:11" ht="15" customHeight="1" x14ac:dyDescent="0.4">
      <c r="A12" s="1"/>
      <c r="B12" s="1" t="s">
        <v>16</v>
      </c>
      <c r="C12" s="1"/>
      <c r="D12" s="14">
        <v>9900</v>
      </c>
      <c r="E12" s="14">
        <v>9339</v>
      </c>
      <c r="F12" s="14">
        <v>8900</v>
      </c>
      <c r="G12" s="22">
        <v>9100</v>
      </c>
      <c r="H12" s="14">
        <v>9250</v>
      </c>
      <c r="I12" s="14">
        <v>9350</v>
      </c>
      <c r="J12" s="14">
        <v>9450</v>
      </c>
      <c r="K12" s="14">
        <v>9550</v>
      </c>
    </row>
    <row r="13" spans="1:11" ht="15" customHeight="1" x14ac:dyDescent="0.4">
      <c r="A13" s="1"/>
      <c r="B13" s="1" t="s">
        <v>17</v>
      </c>
      <c r="C13" s="1"/>
      <c r="D13" s="11"/>
      <c r="E13" s="11">
        <f>E12/D12-1</f>
        <v>-5.6666666666666643E-2</v>
      </c>
      <c r="F13" s="11">
        <f>F12/E12-1</f>
        <v>-4.7007174215654812E-2</v>
      </c>
      <c r="G13" s="21">
        <f>G12/F12-1</f>
        <v>2.2471910112359605E-2</v>
      </c>
      <c r="H13" s="13">
        <f>H12/G12-1</f>
        <v>1.6483516483516425E-2</v>
      </c>
      <c r="I13" s="13">
        <f>I12/H12-1</f>
        <v>1.08108108108107E-2</v>
      </c>
      <c r="J13" s="13">
        <f>J12/I12-1</f>
        <v>1.0695187165775444E-2</v>
      </c>
      <c r="K13" s="13">
        <f>K12/J12-1</f>
        <v>1.0582010582010692E-2</v>
      </c>
    </row>
    <row r="14" spans="1:11" ht="15" customHeight="1" x14ac:dyDescent="0.4">
      <c r="A14" s="1"/>
      <c r="B14" s="1" t="s">
        <v>18</v>
      </c>
      <c r="C14" s="1"/>
      <c r="D14" s="14">
        <v>2366</v>
      </c>
      <c r="E14" s="14">
        <v>2422.6</v>
      </c>
      <c r="F14" s="14">
        <f>F10*E14/E10</f>
        <v>3071.886664630591</v>
      </c>
      <c r="G14" s="19">
        <f>G10*F14/F10</f>
        <v>3225.4809978621211</v>
      </c>
      <c r="H14" s="15">
        <f>H10*G14/G10</f>
        <v>3354.5002377766064</v>
      </c>
      <c r="I14" s="15">
        <f>I10*H14/H10</f>
        <v>3471.9077460987869</v>
      </c>
      <c r="J14" s="15">
        <f>J10*I14/I10</f>
        <v>3576.0649784817506</v>
      </c>
      <c r="K14" s="15">
        <f>K10*J14/J10</f>
        <v>3683.3469278362036</v>
      </c>
    </row>
    <row r="15" spans="1:11" ht="15" customHeight="1" x14ac:dyDescent="0.4">
      <c r="A15" s="1"/>
      <c r="B15" s="1"/>
      <c r="C15" s="1"/>
      <c r="D15" s="9"/>
      <c r="E15" s="9"/>
      <c r="F15" s="9"/>
      <c r="G15" s="17"/>
      <c r="H15" s="9"/>
      <c r="I15" s="9"/>
      <c r="J15" s="9"/>
      <c r="K15" s="9"/>
    </row>
    <row r="16" spans="1:11" ht="15" customHeight="1" x14ac:dyDescent="0.4">
      <c r="A16" s="1"/>
      <c r="B16" s="8" t="s">
        <v>19</v>
      </c>
      <c r="C16" s="8"/>
      <c r="D16" s="10"/>
      <c r="E16" s="10"/>
      <c r="F16" s="10"/>
      <c r="G16" s="18"/>
      <c r="H16" s="10"/>
      <c r="I16" s="10"/>
      <c r="J16" s="10"/>
      <c r="K16" s="10"/>
    </row>
    <row r="17" spans="1:11" ht="15" customHeight="1" x14ac:dyDescent="0.4">
      <c r="A17" s="1"/>
      <c r="B17" s="1" t="s">
        <v>20</v>
      </c>
      <c r="C17" s="1"/>
      <c r="D17" s="12">
        <v>0.76200000000000001</v>
      </c>
      <c r="E17" s="12">
        <v>0.82099999999999995</v>
      </c>
      <c r="F17" s="12">
        <v>0.69899999999999995</v>
      </c>
      <c r="G17" s="20">
        <v>0.68</v>
      </c>
      <c r="H17" s="12">
        <v>0.66</v>
      </c>
      <c r="I17" s="12">
        <v>0.65</v>
      </c>
      <c r="J17" s="12">
        <v>0.64500000000000002</v>
      </c>
      <c r="K17" s="12">
        <v>0.64</v>
      </c>
    </row>
    <row r="18" spans="1:11" ht="15" customHeight="1" x14ac:dyDescent="0.4">
      <c r="A18" s="1"/>
      <c r="B18" s="1" t="s">
        <v>21</v>
      </c>
      <c r="C18" s="1"/>
      <c r="D18" s="12">
        <v>7.8E-2</v>
      </c>
      <c r="E18" s="12">
        <v>6.8000000000000005E-2</v>
      </c>
      <c r="F18" s="12">
        <v>6.3E-2</v>
      </c>
      <c r="G18" s="20">
        <v>6.2E-2</v>
      </c>
      <c r="H18" s="12">
        <v>0.06</v>
      </c>
      <c r="I18" s="12">
        <v>5.8000000000000003E-2</v>
      </c>
      <c r="J18" s="12">
        <v>5.7000000000000002E-2</v>
      </c>
      <c r="K18" s="12">
        <v>5.6000000000000001E-2</v>
      </c>
    </row>
    <row r="19" spans="1:11" ht="15" customHeight="1" x14ac:dyDescent="0.4">
      <c r="A19" s="1"/>
      <c r="B19" s="1" t="s">
        <v>22</v>
      </c>
      <c r="C19" s="1"/>
      <c r="D19" s="12">
        <v>0.219</v>
      </c>
      <c r="E19" s="12">
        <v>0.19800000000000001</v>
      </c>
      <c r="F19" s="12">
        <v>0.20200000000000001</v>
      </c>
      <c r="G19" s="20">
        <v>0.19500000000000001</v>
      </c>
      <c r="H19" s="12">
        <v>0.185</v>
      </c>
      <c r="I19" s="12">
        <v>0.18</v>
      </c>
      <c r="J19" s="12">
        <v>0.17799999999999999</v>
      </c>
      <c r="K19" s="12">
        <v>0.17499999999999999</v>
      </c>
    </row>
    <row r="20" spans="1:11" ht="15" customHeight="1" x14ac:dyDescent="0.4">
      <c r="A20" s="1"/>
      <c r="B20" s="1" t="s">
        <v>23</v>
      </c>
      <c r="C20" s="1"/>
      <c r="D20" s="11">
        <f>D17+D18+D19</f>
        <v>1.0589999999999999</v>
      </c>
      <c r="E20" s="11">
        <f>E17+E18+E19</f>
        <v>1.087</v>
      </c>
      <c r="F20" s="11">
        <f>F17+F18+F19</f>
        <v>0.96399999999999997</v>
      </c>
      <c r="G20" s="21">
        <f>G17+G18+G19</f>
        <v>0.93700000000000006</v>
      </c>
      <c r="H20" s="13">
        <f>H17+H18+H19</f>
        <v>0.90500000000000003</v>
      </c>
      <c r="I20" s="13">
        <f>I17+I18+I19</f>
        <v>0.88800000000000012</v>
      </c>
      <c r="J20" s="13">
        <f>J17+J18+J19</f>
        <v>0.88000000000000012</v>
      </c>
      <c r="K20" s="13">
        <f>K17+K18+K19</f>
        <v>0.871</v>
      </c>
    </row>
    <row r="21" spans="1:11" ht="15" customHeight="1" x14ac:dyDescent="0.4">
      <c r="A21" s="1"/>
      <c r="B21" s="1" t="s">
        <v>24</v>
      </c>
      <c r="C21" s="1"/>
      <c r="D21" s="12">
        <v>-8.9999999999999993E-3</v>
      </c>
      <c r="E21" s="12">
        <v>-8.6999999999999994E-2</v>
      </c>
      <c r="F21" s="12">
        <v>3.5999999999999997E-2</v>
      </c>
      <c r="G21" s="20">
        <v>6.3E-2</v>
      </c>
      <c r="H21" s="12">
        <v>9.5000000000000001E-2</v>
      </c>
      <c r="I21" s="12">
        <v>0.112</v>
      </c>
      <c r="J21" s="12">
        <v>0.12</v>
      </c>
      <c r="K21" s="12">
        <v>0.13</v>
      </c>
    </row>
    <row r="22" spans="1:11" ht="15" customHeight="1" x14ac:dyDescent="0.4">
      <c r="A22" s="1"/>
      <c r="B22" s="1" t="s">
        <v>25</v>
      </c>
      <c r="C22" s="1"/>
      <c r="D22" s="12">
        <v>2.3E-2</v>
      </c>
      <c r="E22" s="12">
        <v>3.5000000000000003E-2</v>
      </c>
      <c r="F22" s="12">
        <v>4.1000000000000002E-2</v>
      </c>
      <c r="G22" s="20">
        <v>4.2000000000000003E-2</v>
      </c>
      <c r="H22" s="12">
        <v>0.04</v>
      </c>
      <c r="I22" s="12">
        <v>3.7999999999999999E-2</v>
      </c>
      <c r="J22" s="12">
        <v>3.6999999999999998E-2</v>
      </c>
      <c r="K22" s="12">
        <v>3.5999999999999997E-2</v>
      </c>
    </row>
    <row r="23" spans="1:11" ht="15" customHeight="1" x14ac:dyDescent="0.4">
      <c r="A23" s="1"/>
      <c r="B23" s="1" t="s">
        <v>26</v>
      </c>
      <c r="C23" s="1"/>
      <c r="D23" s="12">
        <v>0.23499999999999999</v>
      </c>
      <c r="E23" s="12">
        <v>0.19600000000000001</v>
      </c>
      <c r="F23" s="12">
        <v>0.255</v>
      </c>
      <c r="G23" s="20">
        <v>0.25</v>
      </c>
      <c r="H23" s="12">
        <v>0.25</v>
      </c>
      <c r="I23" s="12">
        <v>0.25</v>
      </c>
      <c r="J23" s="12">
        <v>0.25</v>
      </c>
      <c r="K23" s="12">
        <v>0.25</v>
      </c>
    </row>
    <row r="24" spans="1:11" ht="15" customHeight="1" x14ac:dyDescent="0.4">
      <c r="A24" s="1"/>
      <c r="B24" s="1" t="s">
        <v>27</v>
      </c>
      <c r="C24" s="1"/>
      <c r="D24" s="14">
        <v>-51</v>
      </c>
      <c r="E24" s="14">
        <v>-59.5</v>
      </c>
      <c r="F24" s="14">
        <v>-118.1</v>
      </c>
      <c r="G24" s="22">
        <v>-80</v>
      </c>
      <c r="H24" s="14">
        <v>-40</v>
      </c>
      <c r="I24" s="14">
        <v>-20</v>
      </c>
      <c r="J24" s="14">
        <v>-15</v>
      </c>
      <c r="K24" s="14">
        <v>-10</v>
      </c>
    </row>
    <row r="25" spans="1:11" ht="15" customHeight="1" x14ac:dyDescent="0.4">
      <c r="A25" s="1"/>
      <c r="B25" s="1" t="s">
        <v>28</v>
      </c>
      <c r="C25" s="1"/>
      <c r="D25" s="14">
        <v>-13.8</v>
      </c>
      <c r="E25" s="14">
        <v>-14.5</v>
      </c>
      <c r="F25" s="14">
        <v>-15.4</v>
      </c>
      <c r="G25" s="22">
        <v>-15.5</v>
      </c>
      <c r="H25" s="14">
        <v>-15.5</v>
      </c>
      <c r="I25" s="14">
        <v>-15.5</v>
      </c>
      <c r="J25" s="14">
        <v>-15.5</v>
      </c>
      <c r="K25" s="14">
        <v>-15.5</v>
      </c>
    </row>
    <row r="26" spans="1:11" ht="15" customHeight="1" x14ac:dyDescent="0.4">
      <c r="A26" s="1"/>
      <c r="B26" s="1" t="s">
        <v>29</v>
      </c>
      <c r="C26" s="1"/>
      <c r="D26" s="12">
        <v>0</v>
      </c>
      <c r="E26" s="12">
        <v>0</v>
      </c>
      <c r="F26" s="12">
        <v>0.6</v>
      </c>
      <c r="G26" s="20">
        <v>0.6</v>
      </c>
      <c r="H26" s="12">
        <v>0.6</v>
      </c>
      <c r="I26" s="12">
        <v>0.6</v>
      </c>
      <c r="J26" s="12">
        <v>0.6</v>
      </c>
      <c r="K26" s="12">
        <v>0.6</v>
      </c>
    </row>
    <row r="27" spans="1:11" ht="15" customHeight="1" x14ac:dyDescent="0.4">
      <c r="A27" s="1"/>
      <c r="B27" s="1"/>
      <c r="C27" s="1"/>
      <c r="D27" s="9"/>
      <c r="E27" s="9"/>
      <c r="F27" s="9"/>
      <c r="G27" s="17"/>
      <c r="H27" s="9"/>
      <c r="I27" s="9"/>
      <c r="J27" s="9"/>
      <c r="K27" s="9"/>
    </row>
    <row r="28" spans="1:11" ht="15" customHeight="1" x14ac:dyDescent="0.4">
      <c r="A28" s="1"/>
      <c r="B28" s="8" t="s">
        <v>30</v>
      </c>
      <c r="C28" s="8"/>
      <c r="D28" s="10"/>
      <c r="E28" s="10"/>
      <c r="F28" s="10"/>
      <c r="G28" s="18"/>
      <c r="H28" s="10"/>
      <c r="I28" s="10"/>
      <c r="J28" s="10"/>
      <c r="K28" s="10"/>
    </row>
    <row r="29" spans="1:11" ht="15" customHeight="1" x14ac:dyDescent="0.4">
      <c r="A29" s="1"/>
      <c r="B29" s="1" t="s">
        <v>31</v>
      </c>
      <c r="C29" s="1"/>
      <c r="D29" s="12">
        <v>0.55000000000000004</v>
      </c>
      <c r="E29" s="12">
        <v>0.52</v>
      </c>
      <c r="F29" s="12">
        <v>0.55000000000000004</v>
      </c>
      <c r="G29" s="20">
        <v>0.55000000000000004</v>
      </c>
      <c r="H29" s="12">
        <v>0.55000000000000004</v>
      </c>
      <c r="I29" s="12">
        <v>0.55000000000000004</v>
      </c>
      <c r="J29" s="12">
        <v>0.55000000000000004</v>
      </c>
      <c r="K29" s="12">
        <v>0.55000000000000004</v>
      </c>
    </row>
    <row r="30" spans="1:11" ht="15" customHeight="1" x14ac:dyDescent="0.4">
      <c r="A30" s="1"/>
      <c r="B30" s="1" t="s">
        <v>32</v>
      </c>
      <c r="C30" s="1"/>
      <c r="D30" s="14">
        <v>776.2</v>
      </c>
      <c r="E30" s="14">
        <v>775.8</v>
      </c>
      <c r="F30" s="14">
        <v>776.1</v>
      </c>
      <c r="G30" s="22">
        <v>776</v>
      </c>
      <c r="H30" s="14">
        <v>776</v>
      </c>
      <c r="I30" s="14">
        <v>776</v>
      </c>
      <c r="J30" s="14">
        <v>776</v>
      </c>
      <c r="K30" s="14">
        <v>776</v>
      </c>
    </row>
    <row r="31" spans="1:11" ht="15" customHeight="1" x14ac:dyDescent="0.4">
      <c r="A31" s="1"/>
      <c r="B31" s="1" t="s">
        <v>33</v>
      </c>
      <c r="C31" s="1"/>
      <c r="D31" s="14">
        <v>229.1</v>
      </c>
      <c r="E31" s="14">
        <v>230.6</v>
      </c>
      <c r="F31" s="14">
        <v>214.8</v>
      </c>
      <c r="G31" s="22">
        <v>210</v>
      </c>
      <c r="H31" s="14">
        <v>205</v>
      </c>
      <c r="I31" s="14">
        <v>200</v>
      </c>
      <c r="J31" s="14">
        <v>198</v>
      </c>
      <c r="K31" s="14">
        <v>195</v>
      </c>
    </row>
    <row r="32" spans="1:11" ht="15" customHeight="1" x14ac:dyDescent="0.4">
      <c r="A32" s="1"/>
      <c r="B32" s="1" t="s">
        <v>34</v>
      </c>
      <c r="C32" s="1"/>
      <c r="D32" s="14">
        <v>6095</v>
      </c>
      <c r="E32" s="14">
        <v>5834.2</v>
      </c>
      <c r="F32" s="14">
        <v>6297.3</v>
      </c>
      <c r="G32" s="19">
        <f>F32*(1+G9)</f>
        <v>6612.1650000000009</v>
      </c>
      <c r="H32" s="15">
        <f>G32*(1+H9)</f>
        <v>6876.6516000000011</v>
      </c>
      <c r="I32" s="15">
        <f>H32*(1+I9)</f>
        <v>7117.3344060000009</v>
      </c>
      <c r="J32" s="15">
        <f>I32*(1+J9)</f>
        <v>7330.8544381800011</v>
      </c>
      <c r="K32" s="15">
        <f>J32*(1+K9)</f>
        <v>7550.780071325401</v>
      </c>
    </row>
    <row r="33" spans="1:11" ht="15" customHeight="1" x14ac:dyDescent="0.4">
      <c r="A33" s="1"/>
      <c r="B33" s="1" t="s">
        <v>35</v>
      </c>
      <c r="C33" s="1"/>
      <c r="D33" s="11"/>
      <c r="E33" s="11">
        <f>E32/D32-1</f>
        <v>-4.2789171452009889E-2</v>
      </c>
      <c r="F33" s="11">
        <f>F32/E32-1</f>
        <v>7.9376778307223006E-2</v>
      </c>
      <c r="G33" s="21">
        <f>G32/F32-1</f>
        <v>5.0000000000000044E-2</v>
      </c>
      <c r="H33" s="13">
        <f>H32/G32-1</f>
        <v>4.0000000000000036E-2</v>
      </c>
      <c r="I33" s="13">
        <f>I32/H32-1</f>
        <v>3.499999999999992E-2</v>
      </c>
      <c r="J33" s="13">
        <f>J32/I32-1</f>
        <v>3.0000000000000027E-2</v>
      </c>
      <c r="K33" s="13">
        <f>K32/J32-1</f>
        <v>3.0000000000000027E-2</v>
      </c>
    </row>
    <row r="34" spans="1:11" ht="15" customHeight="1" x14ac:dyDescent="0.4">
      <c r="A34" s="1"/>
      <c r="B34" s="1" t="s">
        <v>36</v>
      </c>
      <c r="C34" s="1"/>
      <c r="D34" s="14">
        <v>259.5</v>
      </c>
      <c r="E34" s="14">
        <v>259.5</v>
      </c>
      <c r="F34" s="14">
        <v>259.7</v>
      </c>
      <c r="G34" s="22">
        <v>260</v>
      </c>
      <c r="H34" s="14">
        <v>260</v>
      </c>
      <c r="I34" s="14">
        <v>260</v>
      </c>
      <c r="J34" s="14">
        <v>260</v>
      </c>
      <c r="K34" s="14">
        <v>260</v>
      </c>
    </row>
    <row r="35" spans="1:11" ht="15" customHeight="1" x14ac:dyDescent="0.4">
      <c r="A35" s="1"/>
      <c r="B35" s="1" t="s">
        <v>37</v>
      </c>
      <c r="C35" s="1"/>
      <c r="D35" s="14">
        <v>346.5</v>
      </c>
      <c r="E35" s="14">
        <v>346.5</v>
      </c>
      <c r="F35" s="14">
        <v>346.5</v>
      </c>
      <c r="G35" s="22">
        <v>346.5</v>
      </c>
      <c r="H35" s="14">
        <v>346.5</v>
      </c>
      <c r="I35" s="14">
        <v>346.5</v>
      </c>
      <c r="J35" s="14">
        <v>346.5</v>
      </c>
      <c r="K35" s="14">
        <v>346.5</v>
      </c>
    </row>
    <row r="36" spans="1:11" ht="15" customHeight="1" x14ac:dyDescent="0.4">
      <c r="A36" s="1"/>
      <c r="B36" s="1" t="s">
        <v>38</v>
      </c>
      <c r="C36" s="1"/>
      <c r="D36" s="14">
        <v>1311.4</v>
      </c>
      <c r="E36" s="14">
        <v>1311.4</v>
      </c>
      <c r="F36" s="14">
        <v>1311.4</v>
      </c>
      <c r="G36" s="22">
        <v>1311.4</v>
      </c>
      <c r="H36" s="14">
        <v>1311.4</v>
      </c>
      <c r="I36" s="14">
        <v>1311.4</v>
      </c>
      <c r="J36" s="14">
        <v>1311.4</v>
      </c>
      <c r="K36" s="14">
        <v>1311.4</v>
      </c>
    </row>
    <row r="37" spans="1:11" ht="15" customHeight="1" x14ac:dyDescent="0.4">
      <c r="A37" s="1"/>
      <c r="B37" s="1"/>
      <c r="C37" s="1"/>
      <c r="D37" s="9"/>
      <c r="E37" s="9"/>
      <c r="F37" s="9"/>
      <c r="G37" s="17"/>
      <c r="H37" s="9"/>
      <c r="I37" s="9"/>
      <c r="J37" s="9"/>
      <c r="K37" s="9"/>
    </row>
    <row r="38" spans="1:11" ht="15" customHeight="1" x14ac:dyDescent="0.4">
      <c r="A38" s="1"/>
      <c r="B38" s="8" t="s">
        <v>39</v>
      </c>
      <c r="C38" s="8"/>
      <c r="D38" s="10"/>
      <c r="E38" s="10"/>
      <c r="F38" s="10"/>
      <c r="G38" s="18"/>
      <c r="H38" s="10"/>
      <c r="I38" s="10"/>
      <c r="J38" s="10"/>
      <c r="K38" s="10"/>
    </row>
    <row r="39" spans="1:11" ht="15" customHeight="1" x14ac:dyDescent="0.4">
      <c r="A39" s="1"/>
      <c r="B39" s="1" t="s">
        <v>40</v>
      </c>
      <c r="C39" s="1"/>
      <c r="D39" s="14">
        <v>-65</v>
      </c>
      <c r="E39" s="14">
        <v>-77</v>
      </c>
      <c r="F39" s="14">
        <v>-85</v>
      </c>
      <c r="G39" s="22">
        <v>-80</v>
      </c>
      <c r="H39" s="14">
        <v>-75</v>
      </c>
      <c r="I39" s="14">
        <v>-70</v>
      </c>
      <c r="J39" s="14">
        <v>-65</v>
      </c>
      <c r="K39" s="14">
        <v>-60</v>
      </c>
    </row>
    <row r="40" spans="1:11" ht="15" customHeight="1" x14ac:dyDescent="0.4">
      <c r="A40" s="1"/>
      <c r="B40" s="1" t="s">
        <v>41</v>
      </c>
      <c r="C40" s="1"/>
      <c r="D40" s="14">
        <v>110</v>
      </c>
      <c r="E40" s="14">
        <v>122.9</v>
      </c>
      <c r="F40" s="14">
        <v>143.6</v>
      </c>
      <c r="G40" s="22">
        <v>140</v>
      </c>
      <c r="H40" s="14">
        <v>135</v>
      </c>
      <c r="I40" s="14">
        <v>130</v>
      </c>
      <c r="J40" s="14">
        <v>128</v>
      </c>
      <c r="K40" s="14">
        <v>125</v>
      </c>
    </row>
    <row r="41" spans="1:11" ht="15" customHeight="1" x14ac:dyDescent="0.4">
      <c r="A41" s="1"/>
      <c r="B41" s="1" t="s">
        <v>42</v>
      </c>
      <c r="C41" s="1"/>
      <c r="D41" s="14">
        <v>-16</v>
      </c>
      <c r="E41" s="14">
        <v>-10.199999999999999</v>
      </c>
      <c r="F41" s="14">
        <v>-7.2</v>
      </c>
      <c r="G41" s="22">
        <v>-8</v>
      </c>
      <c r="H41" s="14">
        <v>-8</v>
      </c>
      <c r="I41" s="14">
        <v>-8</v>
      </c>
      <c r="J41" s="14">
        <v>-8</v>
      </c>
      <c r="K41" s="14">
        <v>-8</v>
      </c>
    </row>
    <row r="42" spans="1:11" ht="15" customHeight="1" x14ac:dyDescent="0.4">
      <c r="A42" s="1"/>
      <c r="B42" s="1" t="s">
        <v>43</v>
      </c>
      <c r="C42" s="1"/>
      <c r="D42" s="14">
        <v>-10</v>
      </c>
      <c r="E42" s="14">
        <v>-10.8</v>
      </c>
      <c r="F42" s="14">
        <v>-12.5</v>
      </c>
      <c r="G42" s="22">
        <v>-12</v>
      </c>
      <c r="H42" s="14">
        <v>-12</v>
      </c>
      <c r="I42" s="14">
        <v>-12</v>
      </c>
      <c r="J42" s="14">
        <v>-12</v>
      </c>
      <c r="K42" s="14">
        <v>-12</v>
      </c>
    </row>
    <row r="43" spans="1:11" ht="15" customHeight="1" x14ac:dyDescent="0.4">
      <c r="A43" s="1"/>
      <c r="B43" s="1" t="s">
        <v>44</v>
      </c>
      <c r="C43" s="1"/>
      <c r="D43" s="14">
        <v>12</v>
      </c>
      <c r="E43" s="14">
        <v>12.5</v>
      </c>
      <c r="F43" s="14">
        <v>13</v>
      </c>
      <c r="G43" s="22">
        <v>13.5</v>
      </c>
      <c r="H43" s="14">
        <v>14</v>
      </c>
      <c r="I43" s="14">
        <v>14.5</v>
      </c>
      <c r="J43" s="14">
        <v>15</v>
      </c>
      <c r="K43" s="14">
        <v>15.5</v>
      </c>
    </row>
  </sheetData>
  <printOptions headings="1" gridLines="1"/>
  <pageMargins left="0.7" right="0.7" top="0.75" bottom="0.75" header="0.3" footer="0.3"/>
  <pageSetup paperSize="9" scale="97" orientation="landscape" verticalDpi="1200" r:id="rId1"/>
  <headerFooter>
    <oddHeader xml:space="preserve">&amp;R&amp;10&amp;F 
&amp;A
</oddHeader>
    <oddFooter>&amp;L&amp;10© 2025&amp;C&amp;10Page &amp;P of &amp;N&amp;R&amp;G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A644E-7C57-4D46-BCD6-2EEE2C551331}">
  <dimension ref="A1:K32"/>
  <sheetViews>
    <sheetView showGridLines="0" workbookViewId="0"/>
  </sheetViews>
  <sheetFormatPr defaultRowHeight="14.6" x14ac:dyDescent="0.4"/>
  <cols>
    <col min="1" max="1" width="2.15234375" customWidth="1"/>
    <col min="2" max="2" width="44.84375" customWidth="1"/>
    <col min="3" max="3" width="2.69140625" customWidth="1"/>
    <col min="4" max="11" width="13.4609375" customWidth="1"/>
  </cols>
  <sheetData>
    <row r="1" spans="1:1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5" customHeight="1" x14ac:dyDescent="0.4">
      <c r="A2" s="1"/>
      <c r="B2" s="2" t="s">
        <v>45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4">
      <c r="A3" s="1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</row>
    <row r="4" spans="1:1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4">
      <c r="A5" s="1"/>
      <c r="B5" s="5" t="s">
        <v>46</v>
      </c>
      <c r="C5" s="5"/>
      <c r="D5" s="6" t="s">
        <v>3</v>
      </c>
      <c r="E5" s="6" t="s">
        <v>4</v>
      </c>
      <c r="F5" s="6" t="s">
        <v>5</v>
      </c>
      <c r="G5" s="16" t="s">
        <v>6</v>
      </c>
      <c r="H5" s="7" t="s">
        <v>7</v>
      </c>
      <c r="I5" s="7" t="s">
        <v>8</v>
      </c>
      <c r="J5" s="7" t="s">
        <v>9</v>
      </c>
      <c r="K5" s="7" t="s">
        <v>10</v>
      </c>
    </row>
    <row r="6" spans="1:11" x14ac:dyDescent="0.4">
      <c r="A6" s="1"/>
      <c r="B6" s="1"/>
      <c r="C6" s="1"/>
      <c r="D6" s="1"/>
      <c r="E6" s="1"/>
      <c r="F6" s="1"/>
      <c r="G6" s="33"/>
      <c r="H6" s="1"/>
      <c r="I6" s="1"/>
      <c r="J6" s="1"/>
      <c r="K6" s="1"/>
    </row>
    <row r="7" spans="1:11" x14ac:dyDescent="0.4">
      <c r="A7" s="1"/>
      <c r="B7" s="1" t="s">
        <v>14</v>
      </c>
      <c r="C7" s="1"/>
      <c r="D7" s="25">
        <v>3068.3</v>
      </c>
      <c r="E7" s="25">
        <v>3601.7</v>
      </c>
      <c r="F7" s="25">
        <v>4567</v>
      </c>
      <c r="G7" s="34">
        <f>Assumptions!G10</f>
        <v>4795.3500000000004</v>
      </c>
      <c r="H7" s="31">
        <f>Assumptions!H10</f>
        <v>4987.1640000000007</v>
      </c>
      <c r="I7" s="31">
        <f>Assumptions!I10</f>
        <v>5161.7147400000003</v>
      </c>
      <c r="J7" s="31">
        <f>Assumptions!J10</f>
        <v>5316.5661822000002</v>
      </c>
      <c r="K7" s="31">
        <f>Assumptions!K10</f>
        <v>5476.0631676660005</v>
      </c>
    </row>
    <row r="8" spans="1:11" x14ac:dyDescent="0.4">
      <c r="A8" s="1"/>
      <c r="B8" s="1" t="s">
        <v>47</v>
      </c>
      <c r="C8" s="1"/>
      <c r="D8" s="14">
        <v>-3093.2</v>
      </c>
      <c r="E8" s="14">
        <v>-3828.7</v>
      </c>
      <c r="F8" s="14">
        <v>-4441</v>
      </c>
      <c r="G8" s="35">
        <f>-G7*(Assumptions!G17+Assumptions!G18+Assumptions!G19)</f>
        <v>-4493.2429500000007</v>
      </c>
      <c r="H8" s="32">
        <f>-H7*(Assumptions!H17+Assumptions!H18+Assumptions!H19)</f>
        <v>-4513.383420000001</v>
      </c>
      <c r="I8" s="32">
        <f>-I7*(Assumptions!I17+Assumptions!I18+Assumptions!I19)</f>
        <v>-4583.6026891200008</v>
      </c>
      <c r="J8" s="32">
        <f>-J7*(Assumptions!J17+Assumptions!J18+Assumptions!J19)</f>
        <v>-4678.5782403360008</v>
      </c>
      <c r="K8" s="32">
        <f>-K7*(Assumptions!K17+Assumptions!K18+Assumptions!K19)</f>
        <v>-4769.6510190370864</v>
      </c>
    </row>
    <row r="9" spans="1:11" x14ac:dyDescent="0.4">
      <c r="A9" s="1"/>
      <c r="B9" s="1" t="s">
        <v>48</v>
      </c>
      <c r="C9" s="1"/>
      <c r="D9" s="14">
        <v>-112.6</v>
      </c>
      <c r="E9" s="14">
        <v>-125.3</v>
      </c>
      <c r="F9" s="14">
        <v>-112.2</v>
      </c>
      <c r="G9" s="35">
        <f>-G7*0.024</f>
        <v>-115.08840000000001</v>
      </c>
      <c r="H9" s="32">
        <f>-H7*0.023</f>
        <v>-114.70477200000002</v>
      </c>
      <c r="I9" s="32">
        <f>-I7*0.022</f>
        <v>-113.55772428</v>
      </c>
      <c r="J9" s="32">
        <f>-J7*0.021</f>
        <v>-111.64788982620001</v>
      </c>
      <c r="K9" s="32">
        <f>-K7*0.02</f>
        <v>-109.52126335332001</v>
      </c>
    </row>
    <row r="10" spans="1:11" x14ac:dyDescent="0.4">
      <c r="A10" s="1"/>
      <c r="B10" s="23" t="s">
        <v>49</v>
      </c>
      <c r="C10" s="23"/>
      <c r="D10" s="26">
        <f>D7+D8+D9</f>
        <v>-137.49999999999963</v>
      </c>
      <c r="E10" s="26">
        <f>E7+E8+E9</f>
        <v>-352.3</v>
      </c>
      <c r="F10" s="26">
        <f>F7+F8+F9</f>
        <v>13.799999999999997</v>
      </c>
      <c r="G10" s="36">
        <f>G7+G8+G9</f>
        <v>187.01864999999961</v>
      </c>
      <c r="H10" s="26">
        <f>H7+H8+H9</f>
        <v>359.0758079999996</v>
      </c>
      <c r="I10" s="26">
        <f>I7+I8+I9</f>
        <v>464.55432659999951</v>
      </c>
      <c r="J10" s="26">
        <f>J7+J8+J9</f>
        <v>526.3400520377993</v>
      </c>
      <c r="K10" s="26">
        <f>K7+K8+K9</f>
        <v>596.89088527559409</v>
      </c>
    </row>
    <row r="11" spans="1:11" x14ac:dyDescent="0.4">
      <c r="A11" s="1"/>
      <c r="B11" s="3" t="s">
        <v>50</v>
      </c>
      <c r="C11" s="3"/>
      <c r="D11" s="27">
        <f>D10/D7</f>
        <v>-4.4813088681028457E-2</v>
      </c>
      <c r="E11" s="27">
        <f>E10/E7</f>
        <v>-9.7814920731876628E-2</v>
      </c>
      <c r="F11" s="27">
        <f>F10/F7</f>
        <v>3.0216772498357779E-3</v>
      </c>
      <c r="G11" s="37">
        <f>G10/G7</f>
        <v>3.8999999999999917E-2</v>
      </c>
      <c r="H11" s="27">
        <f>H10/H7</f>
        <v>7.1999999999999911E-2</v>
      </c>
      <c r="I11" s="27">
        <f>I10/I7</f>
        <v>8.99999999999999E-2</v>
      </c>
      <c r="J11" s="27">
        <f>J10/J7</f>
        <v>9.8999999999999866E-2</v>
      </c>
      <c r="K11" s="27">
        <f>K10/K7</f>
        <v>0.109</v>
      </c>
    </row>
    <row r="12" spans="1:11" x14ac:dyDescent="0.4">
      <c r="A12" s="1"/>
      <c r="B12" s="1"/>
      <c r="C12" s="1"/>
      <c r="D12" s="9"/>
      <c r="E12" s="9"/>
      <c r="F12" s="9"/>
      <c r="G12" s="17"/>
      <c r="H12" s="9"/>
      <c r="I12" s="9"/>
      <c r="J12" s="9"/>
      <c r="K12" s="9"/>
    </row>
    <row r="13" spans="1:11" x14ac:dyDescent="0.4">
      <c r="A13" s="1"/>
      <c r="B13" s="1" t="s">
        <v>51</v>
      </c>
      <c r="C13" s="1"/>
      <c r="D13" s="14">
        <v>53.8</v>
      </c>
      <c r="E13" s="14">
        <v>139.1</v>
      </c>
      <c r="F13" s="14">
        <v>200.3</v>
      </c>
      <c r="G13" s="38">
        <f>Assumptions!F22*5000</f>
        <v>205</v>
      </c>
      <c r="H13" s="28">
        <f>Assumptions!G22*5300</f>
        <v>222.60000000000002</v>
      </c>
      <c r="I13" s="28">
        <f>Assumptions!H22*5500</f>
        <v>220</v>
      </c>
      <c r="J13" s="28">
        <f>Assumptions!I22*5600</f>
        <v>212.79999999999998</v>
      </c>
      <c r="K13" s="28">
        <f>Assumptions!J22*5700</f>
        <v>210.89999999999998</v>
      </c>
    </row>
    <row r="14" spans="1:11" x14ac:dyDescent="0.4">
      <c r="A14" s="1"/>
      <c r="B14" s="1" t="s">
        <v>52</v>
      </c>
      <c r="C14" s="1"/>
      <c r="D14" s="14">
        <v>-62.2</v>
      </c>
      <c r="E14" s="14">
        <v>-25.5</v>
      </c>
      <c r="F14" s="14">
        <v>89.2</v>
      </c>
      <c r="G14" s="22">
        <v>30</v>
      </c>
      <c r="H14" s="14">
        <v>25</v>
      </c>
      <c r="I14" s="14">
        <v>20</v>
      </c>
      <c r="J14" s="14">
        <v>18</v>
      </c>
      <c r="K14" s="14">
        <v>15</v>
      </c>
    </row>
    <row r="15" spans="1:11" x14ac:dyDescent="0.4">
      <c r="A15" s="1"/>
      <c r="B15" s="1" t="s">
        <v>53</v>
      </c>
      <c r="C15" s="1"/>
      <c r="D15" s="14">
        <v>-238.1</v>
      </c>
      <c r="E15" s="14">
        <v>124.4</v>
      </c>
      <c r="F15" s="14">
        <v>37.1</v>
      </c>
      <c r="G15" s="22">
        <v>20</v>
      </c>
      <c r="H15" s="14">
        <v>15</v>
      </c>
      <c r="I15" s="14">
        <v>15</v>
      </c>
      <c r="J15" s="14">
        <v>10</v>
      </c>
      <c r="K15" s="14">
        <v>10</v>
      </c>
    </row>
    <row r="16" spans="1:11" x14ac:dyDescent="0.4">
      <c r="A16" s="1"/>
      <c r="B16" s="1" t="s">
        <v>54</v>
      </c>
      <c r="C16" s="1"/>
      <c r="D16" s="14">
        <v>5.2</v>
      </c>
      <c r="E16" s="14">
        <v>4.3</v>
      </c>
      <c r="F16" s="14">
        <v>3.8</v>
      </c>
      <c r="G16" s="22">
        <v>4</v>
      </c>
      <c r="H16" s="14">
        <v>4</v>
      </c>
      <c r="I16" s="14">
        <v>4</v>
      </c>
      <c r="J16" s="14">
        <v>4</v>
      </c>
      <c r="K16" s="14">
        <v>4</v>
      </c>
    </row>
    <row r="17" spans="1:11" x14ac:dyDescent="0.4">
      <c r="A17" s="1"/>
      <c r="B17" s="1" t="s">
        <v>27</v>
      </c>
      <c r="C17" s="1"/>
      <c r="D17" s="15">
        <f>Assumptions!D24</f>
        <v>-51</v>
      </c>
      <c r="E17" s="15">
        <f>Assumptions!E24</f>
        <v>-59.5</v>
      </c>
      <c r="F17" s="15">
        <f>Assumptions!F24</f>
        <v>-118.1</v>
      </c>
      <c r="G17" s="35">
        <f>Assumptions!G24</f>
        <v>-80</v>
      </c>
      <c r="H17" s="32">
        <f>Assumptions!H24</f>
        <v>-40</v>
      </c>
      <c r="I17" s="32">
        <f>Assumptions!I24</f>
        <v>-20</v>
      </c>
      <c r="J17" s="32">
        <f>Assumptions!J24</f>
        <v>-15</v>
      </c>
      <c r="K17" s="32">
        <f>Assumptions!K24</f>
        <v>-10</v>
      </c>
    </row>
    <row r="18" spans="1:11" x14ac:dyDescent="0.4">
      <c r="A18" s="1"/>
      <c r="B18" s="1" t="s">
        <v>28</v>
      </c>
      <c r="C18" s="1"/>
      <c r="D18" s="15">
        <f>Assumptions!D25</f>
        <v>-13.8</v>
      </c>
      <c r="E18" s="15">
        <f>Assumptions!E25</f>
        <v>-14.5</v>
      </c>
      <c r="F18" s="15">
        <f>Assumptions!F25</f>
        <v>-15.4</v>
      </c>
      <c r="G18" s="35">
        <f>Assumptions!G25</f>
        <v>-15.5</v>
      </c>
      <c r="H18" s="32">
        <f>Assumptions!H25</f>
        <v>-15.5</v>
      </c>
      <c r="I18" s="32">
        <f>Assumptions!I25</f>
        <v>-15.5</v>
      </c>
      <c r="J18" s="32">
        <f>Assumptions!J25</f>
        <v>-15.5</v>
      </c>
      <c r="K18" s="32">
        <f>Assumptions!K25</f>
        <v>-15.5</v>
      </c>
    </row>
    <row r="19" spans="1:11" x14ac:dyDescent="0.4">
      <c r="A19" s="1"/>
      <c r="B19" s="1" t="s">
        <v>55</v>
      </c>
      <c r="C19" s="1"/>
      <c r="D19" s="14">
        <v>0</v>
      </c>
      <c r="E19" s="14">
        <v>443.9</v>
      </c>
      <c r="F19" s="14">
        <v>-4.7</v>
      </c>
      <c r="G19" s="22">
        <v>0</v>
      </c>
      <c r="H19" s="14">
        <v>0</v>
      </c>
      <c r="I19" s="14">
        <v>0</v>
      </c>
      <c r="J19" s="14">
        <v>0</v>
      </c>
      <c r="K19" s="14">
        <v>0</v>
      </c>
    </row>
    <row r="20" spans="1:11" x14ac:dyDescent="0.4">
      <c r="A20" s="1"/>
      <c r="B20" s="1"/>
      <c r="C20" s="1"/>
      <c r="D20" s="9"/>
      <c r="E20" s="9"/>
      <c r="F20" s="9"/>
      <c r="G20" s="17"/>
      <c r="H20" s="9"/>
      <c r="I20" s="9"/>
      <c r="J20" s="9"/>
      <c r="K20" s="9"/>
    </row>
    <row r="21" spans="1:11" x14ac:dyDescent="0.4">
      <c r="A21" s="1"/>
      <c r="B21" s="23" t="s">
        <v>56</v>
      </c>
      <c r="C21" s="23"/>
      <c r="D21" s="26">
        <f>SUM(D10,D13:D19)</f>
        <v>-443.59999999999968</v>
      </c>
      <c r="E21" s="26">
        <f>SUM(E10,E13:E19)</f>
        <v>259.89999999999998</v>
      </c>
      <c r="F21" s="26">
        <f>SUM(F10,F13:F19)</f>
        <v>206.00000000000006</v>
      </c>
      <c r="G21" s="36">
        <f>SUM(G10,G13:G19)</f>
        <v>350.51864999999964</v>
      </c>
      <c r="H21" s="26">
        <f>SUM(H10,H13:H19)</f>
        <v>570.17580799999962</v>
      </c>
      <c r="I21" s="26">
        <f>SUM(I10,I13:I19)</f>
        <v>688.05432659999951</v>
      </c>
      <c r="J21" s="26">
        <f>SUM(J10,J13:J19)</f>
        <v>740.64005203779925</v>
      </c>
      <c r="K21" s="26">
        <f>SUM(K10,K13:K19)</f>
        <v>811.29088527559406</v>
      </c>
    </row>
    <row r="22" spans="1:11" x14ac:dyDescent="0.4">
      <c r="A22" s="1"/>
      <c r="B22" s="1" t="s">
        <v>57</v>
      </c>
      <c r="C22" s="1"/>
      <c r="D22" s="28">
        <f>IF(D21&gt;0,-D21*Assumptions!D23,0)</f>
        <v>0</v>
      </c>
      <c r="E22" s="28">
        <f>IF(E21&gt;0,-E21*Assumptions!E23,0)</f>
        <v>-50.940399999999997</v>
      </c>
      <c r="F22" s="28">
        <f>-F21*Assumptions!F23</f>
        <v>-52.530000000000015</v>
      </c>
      <c r="G22" s="35">
        <f>-G21*Assumptions!G23</f>
        <v>-87.62966249999991</v>
      </c>
      <c r="H22" s="32">
        <f>-H21*Assumptions!H23</f>
        <v>-142.5439519999999</v>
      </c>
      <c r="I22" s="32">
        <f>-I21*Assumptions!I23</f>
        <v>-172.01358164999988</v>
      </c>
      <c r="J22" s="32">
        <f>-J21*Assumptions!J23</f>
        <v>-185.16001300944981</v>
      </c>
      <c r="K22" s="32">
        <f>-K21*Assumptions!K23</f>
        <v>-202.82272131889852</v>
      </c>
    </row>
    <row r="23" spans="1:11" x14ac:dyDescent="0.4">
      <c r="A23" s="1"/>
      <c r="B23" s="1"/>
      <c r="C23" s="1"/>
      <c r="D23" s="9"/>
      <c r="E23" s="9"/>
      <c r="F23" s="9"/>
      <c r="G23" s="17"/>
      <c r="H23" s="9"/>
      <c r="I23" s="9"/>
      <c r="J23" s="9"/>
      <c r="K23" s="9"/>
    </row>
    <row r="24" spans="1:11" x14ac:dyDescent="0.4">
      <c r="A24" s="1"/>
      <c r="B24" s="24" t="s">
        <v>58</v>
      </c>
      <c r="C24" s="24"/>
      <c r="D24" s="29">
        <f>D21+D22</f>
        <v>-443.59999999999968</v>
      </c>
      <c r="E24" s="29">
        <f>E21+E22</f>
        <v>208.95959999999997</v>
      </c>
      <c r="F24" s="29">
        <f>F21+F22</f>
        <v>153.47000000000003</v>
      </c>
      <c r="G24" s="39">
        <f>G21+G22</f>
        <v>262.88898749999976</v>
      </c>
      <c r="H24" s="29">
        <f>H21+H22</f>
        <v>427.63185599999974</v>
      </c>
      <c r="I24" s="29">
        <f>I21+I22</f>
        <v>516.04074494999963</v>
      </c>
      <c r="J24" s="29">
        <f>J21+J22</f>
        <v>555.48003902834944</v>
      </c>
      <c r="K24" s="29">
        <f>K21+K22</f>
        <v>608.46816395669555</v>
      </c>
    </row>
    <row r="25" spans="1:11" x14ac:dyDescent="0.4">
      <c r="A25" s="1"/>
      <c r="B25" s="1"/>
      <c r="C25" s="1"/>
      <c r="D25" s="9"/>
      <c r="E25" s="9"/>
      <c r="F25" s="9"/>
      <c r="G25" s="17"/>
      <c r="H25" s="9"/>
      <c r="I25" s="9"/>
      <c r="J25" s="9"/>
      <c r="K25" s="9"/>
    </row>
    <row r="26" spans="1:11" x14ac:dyDescent="0.4">
      <c r="A26" s="1"/>
      <c r="B26" s="1" t="s">
        <v>59</v>
      </c>
      <c r="C26" s="1"/>
      <c r="D26" s="14">
        <v>-25.2</v>
      </c>
      <c r="E26" s="14">
        <v>-25.2</v>
      </c>
      <c r="F26" s="14">
        <v>-25.2</v>
      </c>
      <c r="G26" s="22">
        <v>-25.2</v>
      </c>
      <c r="H26" s="14">
        <v>-25.2</v>
      </c>
      <c r="I26" s="14">
        <v>-25.2</v>
      </c>
      <c r="J26" s="14">
        <v>-25.2</v>
      </c>
      <c r="K26" s="14">
        <v>-25.2</v>
      </c>
    </row>
    <row r="27" spans="1:11" x14ac:dyDescent="0.4">
      <c r="A27" s="1"/>
      <c r="B27" s="23" t="s">
        <v>60</v>
      </c>
      <c r="C27" s="23"/>
      <c r="D27" s="26">
        <f>D24+D26</f>
        <v>-468.79999999999967</v>
      </c>
      <c r="E27" s="26">
        <f>E24+E26</f>
        <v>183.75959999999998</v>
      </c>
      <c r="F27" s="26">
        <f>F24+F26</f>
        <v>128.27000000000004</v>
      </c>
      <c r="G27" s="36">
        <f>G24+G26</f>
        <v>237.68898749999977</v>
      </c>
      <c r="H27" s="26">
        <f>H24+H26</f>
        <v>402.43185599999975</v>
      </c>
      <c r="I27" s="26">
        <f>I24+I26</f>
        <v>490.84074494999965</v>
      </c>
      <c r="J27" s="26">
        <f>J24+J26</f>
        <v>530.28003902834939</v>
      </c>
      <c r="K27" s="26">
        <f>K24+K26</f>
        <v>583.2681639566955</v>
      </c>
    </row>
    <row r="28" spans="1:11" x14ac:dyDescent="0.4">
      <c r="A28" s="1"/>
      <c r="B28" s="1"/>
      <c r="C28" s="1"/>
      <c r="D28" s="9"/>
      <c r="E28" s="9"/>
      <c r="F28" s="9"/>
      <c r="G28" s="17"/>
      <c r="H28" s="9"/>
      <c r="I28" s="9"/>
      <c r="J28" s="9"/>
      <c r="K28" s="9"/>
    </row>
    <row r="29" spans="1:11" x14ac:dyDescent="0.4">
      <c r="A29" s="1"/>
      <c r="B29" s="8" t="s">
        <v>61</v>
      </c>
      <c r="C29" s="8"/>
      <c r="D29" s="10"/>
      <c r="E29" s="10"/>
      <c r="F29" s="10"/>
      <c r="G29" s="18"/>
      <c r="H29" s="10"/>
      <c r="I29" s="10"/>
      <c r="J29" s="10"/>
      <c r="K29" s="10"/>
    </row>
    <row r="30" spans="1:11" x14ac:dyDescent="0.4">
      <c r="A30" s="1"/>
      <c r="B30" s="1" t="s">
        <v>62</v>
      </c>
      <c r="C30" s="1"/>
      <c r="D30" s="30">
        <f>D27/Assumptions!D36*100</f>
        <v>-35.748055513191979</v>
      </c>
      <c r="E30" s="30">
        <f>E27/Assumptions!E36*100</f>
        <v>14.012475217324994</v>
      </c>
      <c r="F30" s="30">
        <f>F27/Assumptions!F36*100</f>
        <v>9.7811499161201798</v>
      </c>
      <c r="G30" s="40">
        <f>G27/Assumptions!G36*100</f>
        <v>18.124827474454762</v>
      </c>
      <c r="H30" s="30">
        <f>H27/Assumptions!H36*100</f>
        <v>30.687193533628164</v>
      </c>
      <c r="I30" s="30">
        <f>I27/Assumptions!I36*100</f>
        <v>37.428758956077445</v>
      </c>
      <c r="J30" s="30">
        <f>J27/Assumptions!J36*100</f>
        <v>40.43617805614987</v>
      </c>
      <c r="K30" s="30">
        <f>K27/Assumptions!K36*100</f>
        <v>44.476754915105651</v>
      </c>
    </row>
    <row r="31" spans="1:11" x14ac:dyDescent="0.4">
      <c r="A31" s="1"/>
      <c r="B31" s="3" t="s">
        <v>15</v>
      </c>
      <c r="C31" s="3"/>
      <c r="D31" s="27"/>
      <c r="E31" s="27">
        <f>E7/D7-1</f>
        <v>0.1738421927451681</v>
      </c>
      <c r="F31" s="27">
        <f>F7/E7-1</f>
        <v>0.26801232751200832</v>
      </c>
      <c r="G31" s="37">
        <f>G7/F7-1</f>
        <v>5.0000000000000044E-2</v>
      </c>
      <c r="H31" s="27">
        <f>H7/G7-1</f>
        <v>4.0000000000000036E-2</v>
      </c>
      <c r="I31" s="27">
        <f>I7/H7-1</f>
        <v>3.499999999999992E-2</v>
      </c>
      <c r="J31" s="27">
        <f>J7/I7-1</f>
        <v>3.0000000000000027E-2</v>
      </c>
      <c r="K31" s="27">
        <f>K7/J7-1</f>
        <v>3.0000000000000027E-2</v>
      </c>
    </row>
    <row r="32" spans="1:11" x14ac:dyDescent="0.4">
      <c r="A32" s="1"/>
      <c r="B32" s="3" t="s">
        <v>63</v>
      </c>
      <c r="C32" s="3"/>
      <c r="D32" s="27">
        <f>IFERROR(D24/D7,0)</f>
        <v>-0.14457517191930375</v>
      </c>
      <c r="E32" s="27">
        <f>IFERROR(E24/E7,0)</f>
        <v>5.801693644667795E-2</v>
      </c>
      <c r="F32" s="27">
        <f>IFERROR(F24/F7,0)</f>
        <v>3.3604116487847606E-2</v>
      </c>
      <c r="G32" s="37">
        <f>IFERROR(G24/G7,0)</f>
        <v>5.4821647533548068E-2</v>
      </c>
      <c r="H32" s="27">
        <f>IFERROR(H24/H7,0)</f>
        <v>8.5746499613808508E-2</v>
      </c>
      <c r="I32" s="27">
        <f>IFERROR(I24/I7,0)</f>
        <v>9.9974673329196725E-2</v>
      </c>
      <c r="J32" s="27">
        <f>IFERROR(J24/J7,0)</f>
        <v>0.10448097888597924</v>
      </c>
      <c r="K32" s="27">
        <f>IFERROR(K24/K7,0)</f>
        <v>0.11111416090841697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9951-80D1-474B-A633-79E412EDDDF7}">
  <dimension ref="A1:K37"/>
  <sheetViews>
    <sheetView showGridLines="0" tabSelected="1" workbookViewId="0"/>
  </sheetViews>
  <sheetFormatPr defaultRowHeight="14.6" x14ac:dyDescent="0.4"/>
  <cols>
    <col min="1" max="1" width="2.15234375" customWidth="1"/>
    <col min="2" max="2" width="44.84375" customWidth="1"/>
    <col min="3" max="3" width="2.69140625" customWidth="1"/>
    <col min="4" max="11" width="13.4609375" customWidth="1"/>
  </cols>
  <sheetData>
    <row r="1" spans="1:1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5" customHeight="1" x14ac:dyDescent="0.4">
      <c r="A2" s="1"/>
      <c r="B2" s="2" t="s">
        <v>64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4">
      <c r="A3" s="1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</row>
    <row r="4" spans="1:1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4">
      <c r="A5" s="1"/>
      <c r="B5" s="5" t="s">
        <v>65</v>
      </c>
      <c r="C5" s="5"/>
      <c r="D5" s="6" t="s">
        <v>3</v>
      </c>
      <c r="E5" s="6" t="s">
        <v>4</v>
      </c>
      <c r="F5" s="6" t="s">
        <v>5</v>
      </c>
      <c r="G5" s="16" t="s">
        <v>6</v>
      </c>
      <c r="H5" s="7" t="s">
        <v>7</v>
      </c>
      <c r="I5" s="7" t="s">
        <v>8</v>
      </c>
      <c r="J5" s="7" t="s">
        <v>9</v>
      </c>
      <c r="K5" s="7" t="s">
        <v>10</v>
      </c>
    </row>
    <row r="6" spans="1:11" x14ac:dyDescent="0.4">
      <c r="A6" s="1"/>
      <c r="B6" s="1"/>
      <c r="C6" s="1"/>
      <c r="D6" s="1"/>
      <c r="E6" s="1"/>
      <c r="F6" s="1"/>
      <c r="G6" s="33"/>
      <c r="H6" s="1"/>
      <c r="I6" s="1"/>
      <c r="J6" s="1"/>
      <c r="K6" s="1"/>
    </row>
    <row r="7" spans="1:11" x14ac:dyDescent="0.4">
      <c r="A7" s="1"/>
      <c r="B7" s="8" t="s">
        <v>66</v>
      </c>
      <c r="C7" s="8"/>
      <c r="D7" s="10"/>
      <c r="E7" s="10"/>
      <c r="F7" s="10"/>
      <c r="G7" s="18"/>
      <c r="H7" s="10"/>
      <c r="I7" s="10"/>
      <c r="J7" s="10"/>
      <c r="K7" s="10"/>
    </row>
    <row r="8" spans="1:11" x14ac:dyDescent="0.4">
      <c r="A8" s="1"/>
      <c r="B8" s="1" t="s">
        <v>67</v>
      </c>
      <c r="C8" s="1"/>
      <c r="D8" s="31">
        <f>Assumptions!D30</f>
        <v>776.2</v>
      </c>
      <c r="E8" s="31">
        <f>Assumptions!E30</f>
        <v>775.8</v>
      </c>
      <c r="F8" s="31">
        <f>Assumptions!F30</f>
        <v>776.1</v>
      </c>
      <c r="G8" s="34">
        <f>Assumptions!G30</f>
        <v>776</v>
      </c>
      <c r="H8" s="31">
        <f>Assumptions!H30</f>
        <v>776</v>
      </c>
      <c r="I8" s="31">
        <f>Assumptions!I30</f>
        <v>776</v>
      </c>
      <c r="J8" s="31">
        <f>Assumptions!J30</f>
        <v>776</v>
      </c>
      <c r="K8" s="31">
        <f>Assumptions!K30</f>
        <v>776</v>
      </c>
    </row>
    <row r="9" spans="1:11" x14ac:dyDescent="0.4">
      <c r="A9" s="1"/>
      <c r="B9" s="1" t="s">
        <v>68</v>
      </c>
      <c r="C9" s="1"/>
      <c r="D9" s="32">
        <f>Assumptions!D31</f>
        <v>229.1</v>
      </c>
      <c r="E9" s="32">
        <f>Assumptions!E31</f>
        <v>230.6</v>
      </c>
      <c r="F9" s="32">
        <f>Assumptions!F31</f>
        <v>214.8</v>
      </c>
      <c r="G9" s="35">
        <f>Assumptions!G31</f>
        <v>210</v>
      </c>
      <c r="H9" s="32">
        <f>Assumptions!H31</f>
        <v>205</v>
      </c>
      <c r="I9" s="32">
        <f>Assumptions!I31</f>
        <v>200</v>
      </c>
      <c r="J9" s="32">
        <f>Assumptions!J31</f>
        <v>198</v>
      </c>
      <c r="K9" s="32">
        <f>Assumptions!K31</f>
        <v>195</v>
      </c>
    </row>
    <row r="10" spans="1:11" x14ac:dyDescent="0.4">
      <c r="A10" s="1"/>
      <c r="B10" s="1" t="s">
        <v>69</v>
      </c>
      <c r="C10" s="1"/>
      <c r="D10" s="14">
        <v>45.2</v>
      </c>
      <c r="E10" s="14">
        <v>42.8</v>
      </c>
      <c r="F10" s="14">
        <v>38.5</v>
      </c>
      <c r="G10" s="22">
        <v>37</v>
      </c>
      <c r="H10" s="14">
        <v>36</v>
      </c>
      <c r="I10" s="14">
        <v>35</v>
      </c>
      <c r="J10" s="14">
        <v>34</v>
      </c>
      <c r="K10" s="14">
        <v>33</v>
      </c>
    </row>
    <row r="11" spans="1:11" x14ac:dyDescent="0.4">
      <c r="A11" s="1"/>
      <c r="B11" s="1" t="s">
        <v>70</v>
      </c>
      <c r="C11" s="1"/>
      <c r="D11" s="14">
        <v>116.4</v>
      </c>
      <c r="E11" s="14">
        <v>106.1</v>
      </c>
      <c r="F11" s="14">
        <v>102.9</v>
      </c>
      <c r="G11" s="22">
        <v>100</v>
      </c>
      <c r="H11" s="14">
        <v>98</v>
      </c>
      <c r="I11" s="14">
        <v>96</v>
      </c>
      <c r="J11" s="14">
        <v>94</v>
      </c>
      <c r="K11" s="14">
        <v>92</v>
      </c>
    </row>
    <row r="12" spans="1:11" x14ac:dyDescent="0.4">
      <c r="A12" s="1"/>
      <c r="B12" s="1" t="s">
        <v>71</v>
      </c>
      <c r="C12" s="1"/>
      <c r="D12" s="15">
        <v>3352.3</v>
      </c>
      <c r="E12" s="15">
        <v>3033.6</v>
      </c>
      <c r="F12" s="15">
        <v>3463.5</v>
      </c>
      <c r="G12" s="35">
        <f>Assumptions!G32*Assumptions!G29</f>
        <v>3636.6907500000007</v>
      </c>
      <c r="H12" s="32">
        <f>Assumptions!H32*Assumptions!H29</f>
        <v>3782.1583800000008</v>
      </c>
      <c r="I12" s="32">
        <f>Assumptions!I32*Assumptions!I29</f>
        <v>3914.5339233000009</v>
      </c>
      <c r="J12" s="32">
        <f>Assumptions!J32*Assumptions!J29</f>
        <v>4031.9699409990008</v>
      </c>
      <c r="K12" s="32">
        <f>Assumptions!K32*Assumptions!K29</f>
        <v>4152.9290392289713</v>
      </c>
    </row>
    <row r="13" spans="1:11" x14ac:dyDescent="0.4">
      <c r="A13" s="1"/>
      <c r="B13" s="1" t="s">
        <v>72</v>
      </c>
      <c r="C13" s="1"/>
      <c r="D13" s="15">
        <v>623.79999999999995</v>
      </c>
      <c r="E13" s="15">
        <v>550.4</v>
      </c>
      <c r="F13" s="15">
        <v>555.70000000000005</v>
      </c>
      <c r="G13" s="38">
        <f>F13*1.02</f>
        <v>566.81400000000008</v>
      </c>
      <c r="H13" s="28">
        <f>G13*1.02</f>
        <v>578.15028000000007</v>
      </c>
      <c r="I13" s="28">
        <f>H13*1.02</f>
        <v>589.71328560000006</v>
      </c>
      <c r="J13" s="28">
        <f>I13*1.02</f>
        <v>601.50755131200003</v>
      </c>
      <c r="K13" s="28">
        <f>J13*1.02</f>
        <v>613.53770233824002</v>
      </c>
    </row>
    <row r="14" spans="1:11" x14ac:dyDescent="0.4">
      <c r="A14" s="1"/>
      <c r="B14" s="1" t="s">
        <v>73</v>
      </c>
      <c r="C14" s="1"/>
      <c r="D14" s="14">
        <v>82.9</v>
      </c>
      <c r="E14" s="14">
        <v>50.2</v>
      </c>
      <c r="F14" s="14">
        <v>17.100000000000001</v>
      </c>
      <c r="G14" s="22">
        <v>18</v>
      </c>
      <c r="H14" s="14">
        <v>19</v>
      </c>
      <c r="I14" s="14">
        <v>20</v>
      </c>
      <c r="J14" s="14">
        <v>20</v>
      </c>
      <c r="K14" s="14">
        <v>20</v>
      </c>
    </row>
    <row r="15" spans="1:11" x14ac:dyDescent="0.4">
      <c r="A15" s="1"/>
      <c r="B15" s="1" t="s">
        <v>74</v>
      </c>
      <c r="C15" s="1"/>
      <c r="D15" s="14">
        <v>82.2</v>
      </c>
      <c r="E15" s="14">
        <v>62.2</v>
      </c>
      <c r="F15" s="14">
        <v>55.2</v>
      </c>
      <c r="G15" s="22">
        <v>56</v>
      </c>
      <c r="H15" s="14">
        <v>57</v>
      </c>
      <c r="I15" s="14">
        <v>58</v>
      </c>
      <c r="J15" s="14">
        <v>59</v>
      </c>
      <c r="K15" s="14">
        <v>60</v>
      </c>
    </row>
    <row r="16" spans="1:11" x14ac:dyDescent="0.4">
      <c r="A16" s="1"/>
      <c r="B16" s="1" t="s">
        <v>75</v>
      </c>
      <c r="C16" s="1"/>
      <c r="D16" s="14">
        <v>14.9</v>
      </c>
      <c r="E16" s="14">
        <v>13.9</v>
      </c>
      <c r="F16" s="14">
        <v>12.2</v>
      </c>
      <c r="G16" s="22">
        <v>12</v>
      </c>
      <c r="H16" s="14">
        <v>12</v>
      </c>
      <c r="I16" s="14">
        <v>12</v>
      </c>
      <c r="J16" s="14">
        <v>12</v>
      </c>
      <c r="K16" s="14">
        <v>12</v>
      </c>
    </row>
    <row r="17" spans="1:11" x14ac:dyDescent="0.4">
      <c r="A17" s="1"/>
      <c r="B17" s="1" t="s">
        <v>76</v>
      </c>
      <c r="C17" s="1"/>
      <c r="D17" s="14">
        <v>938.4</v>
      </c>
      <c r="E17" s="14">
        <v>1689.8</v>
      </c>
      <c r="F17" s="14">
        <v>1089.2</v>
      </c>
      <c r="G17" s="38">
        <f>G27+G33-SUM(G8:G16)</f>
        <v>3957.2158449999997</v>
      </c>
      <c r="H17" s="28">
        <f>H27+H33-SUM(H8:H16)</f>
        <v>4261.9512773999995</v>
      </c>
      <c r="I17" s="28">
        <f>I27+I33-SUM(I8:I16)</f>
        <v>4590.61183248</v>
      </c>
      <c r="J17" s="28">
        <f>J27+J33-SUM(J8:J16)</f>
        <v>4921.0935968603399</v>
      </c>
      <c r="K17" s="28">
        <f>K27+K33-SUM(K8:K16)</f>
        <v>5276.9172463322075</v>
      </c>
    </row>
    <row r="18" spans="1:11" x14ac:dyDescent="0.4">
      <c r="A18" s="1"/>
      <c r="B18" s="23" t="s">
        <v>77</v>
      </c>
      <c r="C18" s="23"/>
      <c r="D18" s="26">
        <f>SUM(D8:D17)</f>
        <v>6261.4</v>
      </c>
      <c r="E18" s="26">
        <f>SUM(E8:E17)</f>
        <v>6555.3999999999987</v>
      </c>
      <c r="F18" s="26">
        <f>SUM(F8:F17)</f>
        <v>6325.2</v>
      </c>
      <c r="G18" s="36">
        <f>SUM(G8:G17)</f>
        <v>9369.7205950000007</v>
      </c>
      <c r="H18" s="26">
        <f>SUM(H8:H17)</f>
        <v>9825.2599374000001</v>
      </c>
      <c r="I18" s="26">
        <f>SUM(I8:I17)</f>
        <v>10291.859041380001</v>
      </c>
      <c r="J18" s="26">
        <f>SUM(J8:J17)</f>
        <v>10747.571089171341</v>
      </c>
      <c r="K18" s="26">
        <f>SUM(K8:K17)</f>
        <v>11231.383987899419</v>
      </c>
    </row>
    <row r="19" spans="1:11" x14ac:dyDescent="0.4">
      <c r="A19" s="1"/>
      <c r="B19" s="1"/>
      <c r="C19" s="1"/>
      <c r="D19" s="9"/>
      <c r="E19" s="9"/>
      <c r="F19" s="9"/>
      <c r="G19" s="17"/>
      <c r="H19" s="9"/>
      <c r="I19" s="9"/>
      <c r="J19" s="9"/>
      <c r="K19" s="9"/>
    </row>
    <row r="20" spans="1:11" x14ac:dyDescent="0.4">
      <c r="A20" s="1"/>
      <c r="B20" s="8" t="s">
        <v>78</v>
      </c>
      <c r="C20" s="8"/>
      <c r="D20" s="10"/>
      <c r="E20" s="10"/>
      <c r="F20" s="10"/>
      <c r="G20" s="18"/>
      <c r="H20" s="10"/>
      <c r="I20" s="10"/>
      <c r="J20" s="10"/>
      <c r="K20" s="10"/>
    </row>
    <row r="21" spans="1:11" x14ac:dyDescent="0.4">
      <c r="A21" s="1"/>
      <c r="B21" s="1" t="s">
        <v>34</v>
      </c>
      <c r="C21" s="1"/>
      <c r="D21" s="31">
        <f>Assumptions!D32</f>
        <v>6095</v>
      </c>
      <c r="E21" s="31">
        <f>Assumptions!E32</f>
        <v>5834.2</v>
      </c>
      <c r="F21" s="31">
        <f>Assumptions!F32</f>
        <v>6297.3</v>
      </c>
      <c r="G21" s="34">
        <f>Assumptions!G32</f>
        <v>6612.1650000000009</v>
      </c>
      <c r="H21" s="31">
        <f>Assumptions!H32</f>
        <v>6876.6516000000011</v>
      </c>
      <c r="I21" s="31">
        <f>Assumptions!I32</f>
        <v>7117.3344060000009</v>
      </c>
      <c r="J21" s="31">
        <f>Assumptions!J32</f>
        <v>7330.8544381800011</v>
      </c>
      <c r="K21" s="31">
        <f>Assumptions!K32</f>
        <v>7550.780071325401</v>
      </c>
    </row>
    <row r="22" spans="1:11" x14ac:dyDescent="0.4">
      <c r="A22" s="1"/>
      <c r="B22" s="1" t="s">
        <v>79</v>
      </c>
      <c r="C22" s="1"/>
      <c r="D22" s="14">
        <v>50.9</v>
      </c>
      <c r="E22" s="14">
        <v>48.2</v>
      </c>
      <c r="F22" s="14">
        <v>42.2</v>
      </c>
      <c r="G22" s="22">
        <v>40</v>
      </c>
      <c r="H22" s="14">
        <v>38</v>
      </c>
      <c r="I22" s="14">
        <v>36</v>
      </c>
      <c r="J22" s="14">
        <v>34</v>
      </c>
      <c r="K22" s="14">
        <v>32</v>
      </c>
    </row>
    <row r="23" spans="1:11" x14ac:dyDescent="0.4">
      <c r="A23" s="1"/>
      <c r="B23" s="1" t="s">
        <v>80</v>
      </c>
      <c r="C23" s="1"/>
      <c r="D23" s="14">
        <v>53.2</v>
      </c>
      <c r="E23" s="14">
        <v>30.8</v>
      </c>
      <c r="F23" s="14">
        <v>15.6</v>
      </c>
      <c r="G23" s="22">
        <v>16</v>
      </c>
      <c r="H23" s="14">
        <v>16</v>
      </c>
      <c r="I23" s="14">
        <v>16</v>
      </c>
      <c r="J23" s="14">
        <v>16</v>
      </c>
      <c r="K23" s="14">
        <v>16</v>
      </c>
    </row>
    <row r="24" spans="1:11" x14ac:dyDescent="0.4">
      <c r="A24" s="1"/>
      <c r="B24" s="1" t="s">
        <v>81</v>
      </c>
      <c r="C24" s="1"/>
      <c r="D24" s="14">
        <v>188.1</v>
      </c>
      <c r="E24" s="14">
        <v>163.6</v>
      </c>
      <c r="F24" s="14">
        <v>178.9</v>
      </c>
      <c r="G24" s="22">
        <v>180</v>
      </c>
      <c r="H24" s="14">
        <v>185</v>
      </c>
      <c r="I24" s="14">
        <v>190</v>
      </c>
      <c r="J24" s="14">
        <v>195</v>
      </c>
      <c r="K24" s="14">
        <v>200</v>
      </c>
    </row>
    <row r="25" spans="1:11" x14ac:dyDescent="0.4">
      <c r="A25" s="1"/>
      <c r="B25" s="1" t="s">
        <v>82</v>
      </c>
      <c r="C25" s="1"/>
      <c r="D25" s="14">
        <v>13.1</v>
      </c>
      <c r="E25" s="14">
        <v>21.3</v>
      </c>
      <c r="F25" s="14">
        <v>1.5</v>
      </c>
      <c r="G25" s="22">
        <v>5</v>
      </c>
      <c r="H25" s="14">
        <v>8</v>
      </c>
      <c r="I25" s="14">
        <v>10</v>
      </c>
      <c r="J25" s="14">
        <v>12</v>
      </c>
      <c r="K25" s="14">
        <v>14</v>
      </c>
    </row>
    <row r="26" spans="1:11" x14ac:dyDescent="0.4">
      <c r="A26" s="1"/>
      <c r="B26" s="1" t="s">
        <v>83</v>
      </c>
      <c r="C26" s="1"/>
      <c r="D26" s="32">
        <f>Assumptions!D34</f>
        <v>259.5</v>
      </c>
      <c r="E26" s="32">
        <f>Assumptions!E34</f>
        <v>259.5</v>
      </c>
      <c r="F26" s="32">
        <f>Assumptions!F34</f>
        <v>259.7</v>
      </c>
      <c r="G26" s="35">
        <f>Assumptions!G34</f>
        <v>260</v>
      </c>
      <c r="H26" s="32">
        <f>Assumptions!H34</f>
        <v>260</v>
      </c>
      <c r="I26" s="32">
        <f>Assumptions!I34</f>
        <v>260</v>
      </c>
      <c r="J26" s="32">
        <f>Assumptions!J34</f>
        <v>260</v>
      </c>
      <c r="K26" s="32">
        <f>Assumptions!K34</f>
        <v>260</v>
      </c>
    </row>
    <row r="27" spans="1:11" x14ac:dyDescent="0.4">
      <c r="A27" s="1"/>
      <c r="B27" s="23" t="s">
        <v>84</v>
      </c>
      <c r="C27" s="23"/>
      <c r="D27" s="26">
        <f>SUM(D21:D26)</f>
        <v>6659.8</v>
      </c>
      <c r="E27" s="26">
        <f>SUM(E21:E26)</f>
        <v>6357.6</v>
      </c>
      <c r="F27" s="26">
        <f>SUM(F21:F26)</f>
        <v>6795.2</v>
      </c>
      <c r="G27" s="36">
        <f>SUM(G21:G26)</f>
        <v>7113.1650000000009</v>
      </c>
      <c r="H27" s="26">
        <f>SUM(H21:H26)</f>
        <v>7383.6516000000011</v>
      </c>
      <c r="I27" s="26">
        <f>SUM(I21:I26)</f>
        <v>7629.3344060000009</v>
      </c>
      <c r="J27" s="26">
        <f>SUM(J21:J26)</f>
        <v>7847.8544381800011</v>
      </c>
      <c r="K27" s="26">
        <f>SUM(K21:K26)</f>
        <v>8072.780071325401</v>
      </c>
    </row>
    <row r="28" spans="1:11" x14ac:dyDescent="0.4">
      <c r="A28" s="1"/>
      <c r="B28" s="1"/>
      <c r="C28" s="1"/>
      <c r="D28" s="9"/>
      <c r="E28" s="9"/>
      <c r="F28" s="9"/>
      <c r="G28" s="17"/>
      <c r="H28" s="9"/>
      <c r="I28" s="9"/>
      <c r="J28" s="9"/>
      <c r="K28" s="9"/>
    </row>
    <row r="29" spans="1:11" x14ac:dyDescent="0.4">
      <c r="A29" s="1"/>
      <c r="B29" s="8" t="s">
        <v>85</v>
      </c>
      <c r="C29" s="8"/>
      <c r="D29" s="10"/>
      <c r="E29" s="10"/>
      <c r="F29" s="10"/>
      <c r="G29" s="18"/>
      <c r="H29" s="10"/>
      <c r="I29" s="10"/>
      <c r="J29" s="10"/>
      <c r="K29" s="10"/>
    </row>
    <row r="30" spans="1:11" x14ac:dyDescent="0.4">
      <c r="A30" s="1"/>
      <c r="B30" s="1" t="s">
        <v>86</v>
      </c>
      <c r="C30" s="1"/>
      <c r="D30" s="25">
        <v>143.1</v>
      </c>
      <c r="E30" s="25">
        <v>143.1</v>
      </c>
      <c r="F30" s="25">
        <v>143.1</v>
      </c>
      <c r="G30" s="43">
        <v>143.1</v>
      </c>
      <c r="H30" s="25">
        <v>143.1</v>
      </c>
      <c r="I30" s="25">
        <v>143.1</v>
      </c>
      <c r="J30" s="25">
        <v>143.1</v>
      </c>
      <c r="K30" s="25">
        <v>143.1</v>
      </c>
    </row>
    <row r="31" spans="1:11" x14ac:dyDescent="0.4">
      <c r="A31" s="1"/>
      <c r="B31" s="1" t="s">
        <v>37</v>
      </c>
      <c r="C31" s="1"/>
      <c r="D31" s="32">
        <f>Assumptions!D35</f>
        <v>346.5</v>
      </c>
      <c r="E31" s="32">
        <f>Assumptions!E35</f>
        <v>346.5</v>
      </c>
      <c r="F31" s="32">
        <f>Assumptions!F35</f>
        <v>346.5</v>
      </c>
      <c r="G31" s="35">
        <f>Assumptions!G35</f>
        <v>346.5</v>
      </c>
      <c r="H31" s="32">
        <f>Assumptions!H35</f>
        <v>346.5</v>
      </c>
      <c r="I31" s="32">
        <f>Assumptions!I35</f>
        <v>346.5</v>
      </c>
      <c r="J31" s="32">
        <f>Assumptions!J35</f>
        <v>346.5</v>
      </c>
      <c r="K31" s="32">
        <f>Assumptions!K35</f>
        <v>346.5</v>
      </c>
    </row>
    <row r="32" spans="1:11" x14ac:dyDescent="0.4">
      <c r="A32" s="1"/>
      <c r="B32" s="1" t="s">
        <v>87</v>
      </c>
      <c r="C32" s="1"/>
      <c r="D32" s="14">
        <v>1498.7</v>
      </c>
      <c r="E32" s="14">
        <v>1571.9</v>
      </c>
      <c r="F32" s="14">
        <v>1648.3</v>
      </c>
      <c r="G32" s="35">
        <f>F32+'Income Statement'!G24-G30*0+'Income Statement'!G24*Assumptions!G26*(-1)+Assumptions!G43</f>
        <v>1766.9555949999999</v>
      </c>
      <c r="H32" s="32">
        <f>G32+'Income Statement'!H24-H30*0+'Income Statement'!H24*Assumptions!H26*(-1)+Assumptions!H43</f>
        <v>1952.0083373999996</v>
      </c>
      <c r="I32" s="32">
        <f>H32+'Income Statement'!I24-I30*0+'Income Statement'!I24*Assumptions!I26*(-1)+Assumptions!I43</f>
        <v>2172.9246353799999</v>
      </c>
      <c r="J32" s="32">
        <f>I32+'Income Statement'!J24-J30*0+'Income Statement'!J24*Assumptions!J26*(-1)+Assumptions!J43</f>
        <v>2410.1166509913396</v>
      </c>
      <c r="K32" s="32">
        <f>J32+'Income Statement'!K24-K30*0+'Income Statement'!K24*Assumptions!K26*(-1)+Assumptions!K43</f>
        <v>2669.0039165740181</v>
      </c>
    </row>
    <row r="33" spans="1:11" x14ac:dyDescent="0.4">
      <c r="A33" s="1"/>
      <c r="B33" s="23" t="s">
        <v>88</v>
      </c>
      <c r="C33" s="23"/>
      <c r="D33" s="26">
        <f>SUM(D30:D32)</f>
        <v>1988.3000000000002</v>
      </c>
      <c r="E33" s="26">
        <f>SUM(E30:E32)</f>
        <v>2061.5</v>
      </c>
      <c r="F33" s="26">
        <f>SUM(F30:F32)</f>
        <v>2137.9</v>
      </c>
      <c r="G33" s="36">
        <f>SUM(G30:G32)</f>
        <v>2256.5555949999998</v>
      </c>
      <c r="H33" s="26">
        <f>SUM(H30:H32)</f>
        <v>2441.6083373999995</v>
      </c>
      <c r="I33" s="26">
        <f>SUM(I30:I32)</f>
        <v>2662.5246353799998</v>
      </c>
      <c r="J33" s="26">
        <f>SUM(J30:J32)</f>
        <v>2899.7166509913395</v>
      </c>
      <c r="K33" s="26">
        <f>SUM(K30:K32)</f>
        <v>3158.6039165740181</v>
      </c>
    </row>
    <row r="34" spans="1:11" x14ac:dyDescent="0.4">
      <c r="A34" s="1"/>
      <c r="B34" s="1"/>
      <c r="C34" s="1"/>
      <c r="D34" s="9"/>
      <c r="E34" s="9"/>
      <c r="F34" s="9"/>
      <c r="G34" s="17"/>
      <c r="H34" s="9"/>
      <c r="I34" s="9"/>
      <c r="J34" s="9"/>
      <c r="K34" s="9"/>
    </row>
    <row r="35" spans="1:11" x14ac:dyDescent="0.4">
      <c r="A35" s="1"/>
      <c r="B35" s="24" t="s">
        <v>89</v>
      </c>
      <c r="C35" s="24"/>
      <c r="D35" s="29">
        <f>D27+D33</f>
        <v>8648.1</v>
      </c>
      <c r="E35" s="29">
        <f>E27+E33</f>
        <v>8419.1</v>
      </c>
      <c r="F35" s="29">
        <f>F27+F33</f>
        <v>8933.1</v>
      </c>
      <c r="G35" s="39">
        <f>G27+G33</f>
        <v>9369.7205950000007</v>
      </c>
      <c r="H35" s="29">
        <f>H27+H33</f>
        <v>9825.2599374000001</v>
      </c>
      <c r="I35" s="29">
        <f>I27+I33</f>
        <v>10291.859041380001</v>
      </c>
      <c r="J35" s="29">
        <f>J27+J33</f>
        <v>10747.571089171341</v>
      </c>
      <c r="K35" s="29">
        <f>K27+K33</f>
        <v>11231.383987899419</v>
      </c>
    </row>
    <row r="36" spans="1:11" x14ac:dyDescent="0.4">
      <c r="A36" s="1"/>
      <c r="B36" s="1"/>
      <c r="C36" s="1"/>
      <c r="D36" s="9"/>
      <c r="E36" s="9"/>
      <c r="F36" s="9"/>
      <c r="G36" s="17"/>
      <c r="H36" s="9"/>
      <c r="I36" s="9"/>
      <c r="J36" s="9"/>
      <c r="K36" s="9"/>
    </row>
    <row r="37" spans="1:11" x14ac:dyDescent="0.4">
      <c r="A37" s="1"/>
      <c r="B37" s="41" t="s">
        <v>90</v>
      </c>
      <c r="C37" s="41"/>
      <c r="D37" s="42">
        <f>D18-D35</f>
        <v>-2386.7000000000007</v>
      </c>
      <c r="E37" s="42">
        <f>E18-E35</f>
        <v>-1863.7000000000016</v>
      </c>
      <c r="F37" s="42">
        <f>F18-F35</f>
        <v>-2607.9000000000005</v>
      </c>
      <c r="G37" s="44">
        <f>G18-G35</f>
        <v>0</v>
      </c>
      <c r="H37" s="42">
        <f>H18-H35</f>
        <v>0</v>
      </c>
      <c r="I37" s="42">
        <f>I18-I35</f>
        <v>0</v>
      </c>
      <c r="J37" s="42">
        <f>J18-J35</f>
        <v>0</v>
      </c>
      <c r="K37" s="42">
        <f>K18-K35</f>
        <v>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DAE17-5B38-41EF-A382-39538116F000}">
  <dimension ref="A1:K36"/>
  <sheetViews>
    <sheetView showGridLines="0" workbookViewId="0"/>
  </sheetViews>
  <sheetFormatPr defaultRowHeight="14.6" x14ac:dyDescent="0.4"/>
  <cols>
    <col min="1" max="1" width="2.15234375" customWidth="1"/>
    <col min="2" max="2" width="44.84375" customWidth="1"/>
    <col min="3" max="3" width="2.69140625" customWidth="1"/>
    <col min="4" max="11" width="13.4609375" customWidth="1"/>
  </cols>
  <sheetData>
    <row r="1" spans="1:1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5" customHeight="1" x14ac:dyDescent="0.4">
      <c r="A2" s="1"/>
      <c r="B2" s="2" t="s">
        <v>91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4">
      <c r="A3" s="1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</row>
    <row r="4" spans="1:1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4">
      <c r="A5" s="1"/>
      <c r="B5" s="5" t="s">
        <v>92</v>
      </c>
      <c r="C5" s="5"/>
      <c r="D5" s="6" t="s">
        <v>3</v>
      </c>
      <c r="E5" s="6" t="s">
        <v>4</v>
      </c>
      <c r="F5" s="6" t="s">
        <v>5</v>
      </c>
      <c r="G5" s="16" t="s">
        <v>6</v>
      </c>
      <c r="H5" s="7" t="s">
        <v>7</v>
      </c>
      <c r="I5" s="7" t="s">
        <v>8</v>
      </c>
      <c r="J5" s="7" t="s">
        <v>9</v>
      </c>
      <c r="K5" s="7" t="s">
        <v>10</v>
      </c>
    </row>
    <row r="6" spans="1:11" x14ac:dyDescent="0.4">
      <c r="A6" s="1"/>
      <c r="B6" s="1"/>
      <c r="C6" s="1"/>
      <c r="D6" s="1"/>
      <c r="E6" s="1"/>
      <c r="F6" s="1"/>
      <c r="G6" s="33"/>
      <c r="H6" s="1"/>
      <c r="I6" s="1"/>
      <c r="J6" s="1"/>
      <c r="K6" s="1"/>
    </row>
    <row r="7" spans="1:11" x14ac:dyDescent="0.4">
      <c r="A7" s="1"/>
      <c r="B7" s="8" t="s">
        <v>93</v>
      </c>
      <c r="C7" s="8"/>
      <c r="D7" s="10"/>
      <c r="E7" s="10"/>
      <c r="F7" s="10"/>
      <c r="G7" s="18"/>
      <c r="H7" s="10"/>
      <c r="I7" s="10"/>
      <c r="J7" s="10"/>
      <c r="K7" s="10"/>
    </row>
    <row r="8" spans="1:11" x14ac:dyDescent="0.4">
      <c r="A8" s="1"/>
      <c r="B8" s="1" t="s">
        <v>56</v>
      </c>
      <c r="C8" s="1"/>
      <c r="D8" s="31">
        <f>'Income Statement'!D21</f>
        <v>-443.59999999999968</v>
      </c>
      <c r="E8" s="31">
        <f>'Income Statement'!E21</f>
        <v>259.89999999999998</v>
      </c>
      <c r="F8" s="31">
        <f>'Income Statement'!F21</f>
        <v>206.00000000000006</v>
      </c>
      <c r="G8" s="34">
        <f>'Income Statement'!G21</f>
        <v>350.51864999999964</v>
      </c>
      <c r="H8" s="31">
        <f>'Income Statement'!H21</f>
        <v>570.17580799999962</v>
      </c>
      <c r="I8" s="31">
        <f>'Income Statement'!I21</f>
        <v>688.05432659999951</v>
      </c>
      <c r="J8" s="31">
        <f>'Income Statement'!J21</f>
        <v>740.64005203779925</v>
      </c>
      <c r="K8" s="31">
        <f>'Income Statement'!K21</f>
        <v>811.29088527559406</v>
      </c>
    </row>
    <row r="9" spans="1:11" x14ac:dyDescent="0.4">
      <c r="A9" s="1"/>
      <c r="B9" s="1" t="s">
        <v>94</v>
      </c>
      <c r="C9" s="1"/>
      <c r="D9" s="32">
        <f>Assumptions!D40</f>
        <v>110</v>
      </c>
      <c r="E9" s="32">
        <f>Assumptions!E40</f>
        <v>122.9</v>
      </c>
      <c r="F9" s="32">
        <f>Assumptions!F40</f>
        <v>143.6</v>
      </c>
      <c r="G9" s="35">
        <f>Assumptions!G40</f>
        <v>140</v>
      </c>
      <c r="H9" s="32">
        <f>Assumptions!H40</f>
        <v>135</v>
      </c>
      <c r="I9" s="32">
        <f>Assumptions!I40</f>
        <v>130</v>
      </c>
      <c r="J9" s="32">
        <f>Assumptions!J40</f>
        <v>128</v>
      </c>
      <c r="K9" s="32">
        <f>Assumptions!K40</f>
        <v>125</v>
      </c>
    </row>
    <row r="10" spans="1:11" x14ac:dyDescent="0.4">
      <c r="A10" s="1"/>
      <c r="B10" s="1" t="s">
        <v>95</v>
      </c>
      <c r="C10" s="1"/>
      <c r="D10" s="14">
        <v>238.1</v>
      </c>
      <c r="E10" s="14">
        <v>-124.4</v>
      </c>
      <c r="F10" s="14">
        <v>-37.1</v>
      </c>
      <c r="G10" s="22">
        <v>-20</v>
      </c>
      <c r="H10" s="14">
        <v>-15</v>
      </c>
      <c r="I10" s="14">
        <v>-15</v>
      </c>
      <c r="J10" s="14">
        <v>-10</v>
      </c>
      <c r="K10" s="14">
        <v>-10</v>
      </c>
    </row>
    <row r="11" spans="1:11" x14ac:dyDescent="0.4">
      <c r="A11" s="1"/>
      <c r="B11" s="1" t="s">
        <v>96</v>
      </c>
      <c r="C11" s="1"/>
      <c r="D11" s="14">
        <v>62.2</v>
      </c>
      <c r="E11" s="14">
        <v>25.5</v>
      </c>
      <c r="F11" s="14">
        <v>-89.2</v>
      </c>
      <c r="G11" s="22">
        <v>-30</v>
      </c>
      <c r="H11" s="14">
        <v>-25</v>
      </c>
      <c r="I11" s="14">
        <v>-20</v>
      </c>
      <c r="J11" s="14">
        <v>-18</v>
      </c>
      <c r="K11" s="14">
        <v>-15</v>
      </c>
    </row>
    <row r="12" spans="1:11" x14ac:dyDescent="0.4">
      <c r="A12" s="1"/>
      <c r="B12" s="1" t="s">
        <v>97</v>
      </c>
      <c r="C12" s="1"/>
      <c r="D12" s="14">
        <v>0</v>
      </c>
      <c r="E12" s="14">
        <v>-443.9</v>
      </c>
      <c r="F12" s="14">
        <v>4.7</v>
      </c>
      <c r="G12" s="22">
        <v>0</v>
      </c>
      <c r="H12" s="14">
        <v>0</v>
      </c>
      <c r="I12" s="14">
        <v>0</v>
      </c>
      <c r="J12" s="14">
        <v>0</v>
      </c>
      <c r="K12" s="14">
        <v>0</v>
      </c>
    </row>
    <row r="13" spans="1:11" x14ac:dyDescent="0.4">
      <c r="A13" s="1"/>
      <c r="B13" s="1" t="s">
        <v>98</v>
      </c>
      <c r="C13" s="1"/>
      <c r="D13" s="32">
        <f>Assumptions!D43</f>
        <v>12</v>
      </c>
      <c r="E13" s="32">
        <f>Assumptions!E43</f>
        <v>12.5</v>
      </c>
      <c r="F13" s="32">
        <f>Assumptions!F43</f>
        <v>13</v>
      </c>
      <c r="G13" s="35">
        <f>Assumptions!G43</f>
        <v>13.5</v>
      </c>
      <c r="H13" s="32">
        <f>Assumptions!H43</f>
        <v>14</v>
      </c>
      <c r="I13" s="32">
        <f>Assumptions!I43</f>
        <v>14.5</v>
      </c>
      <c r="J13" s="32">
        <f>Assumptions!J43</f>
        <v>15</v>
      </c>
      <c r="K13" s="32">
        <f>Assumptions!K43</f>
        <v>15.5</v>
      </c>
    </row>
    <row r="14" spans="1:11" x14ac:dyDescent="0.4">
      <c r="A14" s="1"/>
      <c r="B14" s="1" t="s">
        <v>99</v>
      </c>
      <c r="C14" s="1"/>
      <c r="D14" s="14">
        <v>-600</v>
      </c>
      <c r="E14" s="14">
        <v>-260.8</v>
      </c>
      <c r="F14" s="14">
        <v>463.1</v>
      </c>
      <c r="G14" s="35">
        <f>'Balance Sheet'!G21-'Balance Sheet'!F21</f>
        <v>314.86500000000069</v>
      </c>
      <c r="H14" s="32">
        <f>'Balance Sheet'!H21-'Balance Sheet'!G21</f>
        <v>264.48660000000018</v>
      </c>
      <c r="I14" s="32">
        <f>'Balance Sheet'!I21-'Balance Sheet'!H21</f>
        <v>240.6828059999998</v>
      </c>
      <c r="J14" s="32">
        <f>'Balance Sheet'!J21-'Balance Sheet'!I21</f>
        <v>213.52003218000027</v>
      </c>
      <c r="K14" s="32">
        <f>'Balance Sheet'!K21-'Balance Sheet'!J21</f>
        <v>219.92563314539984</v>
      </c>
    </row>
    <row r="15" spans="1:11" x14ac:dyDescent="0.4">
      <c r="A15" s="1"/>
      <c r="B15" s="1" t="s">
        <v>100</v>
      </c>
      <c r="C15" s="1"/>
      <c r="D15" s="14">
        <v>150</v>
      </c>
      <c r="E15" s="14">
        <v>73.400000000000006</v>
      </c>
      <c r="F15" s="14">
        <v>-5.3</v>
      </c>
      <c r="G15" s="35">
        <f>-('Balance Sheet'!G13-'Balance Sheet'!F13)</f>
        <v>-11.114000000000033</v>
      </c>
      <c r="H15" s="32">
        <f>-('Balance Sheet'!H13-'Balance Sheet'!G13)</f>
        <v>-11.336279999999988</v>
      </c>
      <c r="I15" s="32">
        <f>-('Balance Sheet'!I13-'Balance Sheet'!H13)</f>
        <v>-11.563005599999997</v>
      </c>
      <c r="J15" s="32">
        <f>-('Balance Sheet'!J13-'Balance Sheet'!I13)</f>
        <v>-11.794265711999969</v>
      </c>
      <c r="K15" s="32">
        <f>-('Balance Sheet'!K13-'Balance Sheet'!J13)</f>
        <v>-12.030151026239992</v>
      </c>
    </row>
    <row r="16" spans="1:11" x14ac:dyDescent="0.4">
      <c r="A16" s="1"/>
      <c r="B16" s="1" t="s">
        <v>101</v>
      </c>
      <c r="C16" s="1"/>
      <c r="D16" s="14">
        <v>350</v>
      </c>
      <c r="E16" s="14">
        <v>318.7</v>
      </c>
      <c r="F16" s="14">
        <v>-429.9</v>
      </c>
      <c r="G16" s="35">
        <f>-('Balance Sheet'!G12-'Balance Sheet'!F12)</f>
        <v>-173.19075000000066</v>
      </c>
      <c r="H16" s="32">
        <f>-('Balance Sheet'!H12-'Balance Sheet'!G12)</f>
        <v>-145.4676300000001</v>
      </c>
      <c r="I16" s="32">
        <f>-('Balance Sheet'!I12-'Balance Sheet'!H12)</f>
        <v>-132.37554330000012</v>
      </c>
      <c r="J16" s="32">
        <f>-('Balance Sheet'!J12-'Balance Sheet'!I12)</f>
        <v>-117.43601769899988</v>
      </c>
      <c r="K16" s="32">
        <f>-('Balance Sheet'!K12-'Balance Sheet'!J12)</f>
        <v>-120.95909822997055</v>
      </c>
    </row>
    <row r="17" spans="1:11" x14ac:dyDescent="0.4">
      <c r="A17" s="1"/>
      <c r="B17" s="1" t="s">
        <v>102</v>
      </c>
      <c r="C17" s="1"/>
      <c r="D17" s="14">
        <v>-50</v>
      </c>
      <c r="E17" s="14">
        <v>-70</v>
      </c>
      <c r="F17" s="14">
        <v>20</v>
      </c>
      <c r="G17" s="35">
        <f>'Balance Sheet'!G24-'Balance Sheet'!F24+'Balance Sheet'!G23-'Balance Sheet'!F23-('Balance Sheet'!G15-'Balance Sheet'!F15)</f>
        <v>0.69999999999999751</v>
      </c>
      <c r="H17" s="32">
        <f>'Balance Sheet'!H24-'Balance Sheet'!H24+0</f>
        <v>0</v>
      </c>
      <c r="I17" s="32">
        <f>'Balance Sheet'!I24-'Balance Sheet'!H24+'Balance Sheet'!I23-'Balance Sheet'!H23-('Balance Sheet'!I15-'Balance Sheet'!H15)</f>
        <v>4</v>
      </c>
      <c r="J17" s="32">
        <f>'Balance Sheet'!J24-'Balance Sheet'!I24+'Balance Sheet'!J23-'Balance Sheet'!I23-('Balance Sheet'!J15-'Balance Sheet'!I15)</f>
        <v>4</v>
      </c>
      <c r="K17" s="32">
        <f>'Balance Sheet'!K24-'Balance Sheet'!J24+'Balance Sheet'!K23-'Balance Sheet'!J23-('Balance Sheet'!K15-'Balance Sheet'!J15)</f>
        <v>4</v>
      </c>
    </row>
    <row r="18" spans="1:11" x14ac:dyDescent="0.4">
      <c r="A18" s="1"/>
      <c r="B18" s="1" t="s">
        <v>103</v>
      </c>
      <c r="C18" s="1"/>
      <c r="D18" s="14">
        <v>0</v>
      </c>
      <c r="E18" s="14">
        <v>-21</v>
      </c>
      <c r="F18" s="14">
        <v>-55.8</v>
      </c>
      <c r="G18" s="35">
        <f>'Income Statement'!G22</f>
        <v>-87.62966249999991</v>
      </c>
      <c r="H18" s="32">
        <f>'Income Statement'!H22</f>
        <v>-142.5439519999999</v>
      </c>
      <c r="I18" s="32">
        <f>'Income Statement'!I22</f>
        <v>-172.01358164999988</v>
      </c>
      <c r="J18" s="32">
        <f>'Income Statement'!J22</f>
        <v>-185.16001300944981</v>
      </c>
      <c r="K18" s="32">
        <f>'Income Statement'!K22</f>
        <v>-202.82272131889852</v>
      </c>
    </row>
    <row r="19" spans="1:11" x14ac:dyDescent="0.4">
      <c r="A19" s="1"/>
      <c r="B19" s="23" t="s">
        <v>104</v>
      </c>
      <c r="C19" s="23"/>
      <c r="D19" s="26">
        <f>SUM(D8:D18)</f>
        <v>-171.29999999999973</v>
      </c>
      <c r="E19" s="26">
        <f>SUM(E8:E18)</f>
        <v>-107.19999999999999</v>
      </c>
      <c r="F19" s="26">
        <f>SUM(F8:F18)</f>
        <v>233.10000000000008</v>
      </c>
      <c r="G19" s="36">
        <f>SUM(G8:G18)</f>
        <v>497.6492374999998</v>
      </c>
      <c r="H19" s="26">
        <f>SUM(H8:H18)</f>
        <v>644.31454599999984</v>
      </c>
      <c r="I19" s="26">
        <f>SUM(I8:I18)</f>
        <v>726.28500204999932</v>
      </c>
      <c r="J19" s="26">
        <f>SUM(J8:J18)</f>
        <v>758.76978779734986</v>
      </c>
      <c r="K19" s="26">
        <f>SUM(K8:K18)</f>
        <v>814.90454784588485</v>
      </c>
    </row>
    <row r="20" spans="1:11" x14ac:dyDescent="0.4">
      <c r="A20" s="1"/>
      <c r="B20" s="1"/>
      <c r="C20" s="1"/>
      <c r="D20" s="9"/>
      <c r="E20" s="9"/>
      <c r="F20" s="9"/>
      <c r="G20" s="17"/>
      <c r="H20" s="9"/>
      <c r="I20" s="9"/>
      <c r="J20" s="9"/>
      <c r="K20" s="9"/>
    </row>
    <row r="21" spans="1:11" x14ac:dyDescent="0.4">
      <c r="A21" s="1"/>
      <c r="B21" s="8" t="s">
        <v>105</v>
      </c>
      <c r="C21" s="8"/>
      <c r="D21" s="10"/>
      <c r="E21" s="10"/>
      <c r="F21" s="10"/>
      <c r="G21" s="18"/>
      <c r="H21" s="10"/>
      <c r="I21" s="10"/>
      <c r="J21" s="10"/>
      <c r="K21" s="10"/>
    </row>
    <row r="22" spans="1:11" x14ac:dyDescent="0.4">
      <c r="A22" s="1"/>
      <c r="B22" s="1" t="s">
        <v>106</v>
      </c>
      <c r="C22" s="1"/>
      <c r="D22" s="15">
        <f>Assumptions!D39</f>
        <v>-65</v>
      </c>
      <c r="E22" s="15">
        <f>Assumptions!E39</f>
        <v>-77</v>
      </c>
      <c r="F22" s="15">
        <f>Assumptions!F39</f>
        <v>-85</v>
      </c>
      <c r="G22" s="35">
        <f>Assumptions!G39</f>
        <v>-80</v>
      </c>
      <c r="H22" s="32">
        <f>Assumptions!H39</f>
        <v>-75</v>
      </c>
      <c r="I22" s="32">
        <f>Assumptions!I39</f>
        <v>-70</v>
      </c>
      <c r="J22" s="32">
        <f>Assumptions!J39</f>
        <v>-65</v>
      </c>
      <c r="K22" s="32">
        <f>Assumptions!K39</f>
        <v>-60</v>
      </c>
    </row>
    <row r="23" spans="1:11" x14ac:dyDescent="0.4">
      <c r="A23" s="1"/>
      <c r="B23" s="1" t="s">
        <v>107</v>
      </c>
      <c r="C23" s="1"/>
      <c r="D23" s="14">
        <v>0</v>
      </c>
      <c r="E23" s="14">
        <v>900</v>
      </c>
      <c r="F23" s="14">
        <v>5</v>
      </c>
      <c r="G23" s="22">
        <v>0</v>
      </c>
      <c r="H23" s="14">
        <v>0</v>
      </c>
      <c r="I23" s="14">
        <v>0</v>
      </c>
      <c r="J23" s="14">
        <v>0</v>
      </c>
      <c r="K23" s="14">
        <v>0</v>
      </c>
    </row>
    <row r="24" spans="1:11" x14ac:dyDescent="0.4">
      <c r="A24" s="1"/>
      <c r="B24" s="23" t="s">
        <v>108</v>
      </c>
      <c r="C24" s="23"/>
      <c r="D24" s="26">
        <f>SUM(D22:D23)</f>
        <v>-65</v>
      </c>
      <c r="E24" s="26">
        <f>SUM(E22:E23)</f>
        <v>823</v>
      </c>
      <c r="F24" s="26">
        <f>SUM(F22:F23)</f>
        <v>-80</v>
      </c>
      <c r="G24" s="36">
        <f>SUM(G22:G23)</f>
        <v>-80</v>
      </c>
      <c r="H24" s="26">
        <f>SUM(H22:H23)</f>
        <v>-75</v>
      </c>
      <c r="I24" s="26">
        <f>SUM(I22:I23)</f>
        <v>-70</v>
      </c>
      <c r="J24" s="26">
        <f>SUM(J22:J23)</f>
        <v>-65</v>
      </c>
      <c r="K24" s="26">
        <f>SUM(K22:K23)</f>
        <v>-60</v>
      </c>
    </row>
    <row r="25" spans="1:11" x14ac:dyDescent="0.4">
      <c r="A25" s="1"/>
      <c r="B25" s="1"/>
      <c r="C25" s="1"/>
      <c r="D25" s="9"/>
      <c r="E25" s="9"/>
      <c r="F25" s="9"/>
      <c r="G25" s="17"/>
      <c r="H25" s="9"/>
      <c r="I25" s="9"/>
      <c r="J25" s="9"/>
      <c r="K25" s="9"/>
    </row>
    <row r="26" spans="1:11" x14ac:dyDescent="0.4">
      <c r="A26" s="1"/>
      <c r="B26" s="8" t="s">
        <v>109</v>
      </c>
      <c r="C26" s="8"/>
      <c r="D26" s="10"/>
      <c r="E26" s="10"/>
      <c r="F26" s="10"/>
      <c r="G26" s="18"/>
      <c r="H26" s="10"/>
      <c r="I26" s="10"/>
      <c r="J26" s="10"/>
      <c r="K26" s="10"/>
    </row>
    <row r="27" spans="1:11" x14ac:dyDescent="0.4">
      <c r="A27" s="1"/>
      <c r="B27" s="1" t="s">
        <v>110</v>
      </c>
      <c r="C27" s="1"/>
      <c r="D27" s="14">
        <v>-235.6</v>
      </c>
      <c r="E27" s="14">
        <v>-16.600000000000001</v>
      </c>
      <c r="F27" s="14">
        <v>-94.8</v>
      </c>
      <c r="G27" s="35">
        <f>'Income Statement'!G24*Assumptions!G26*(-1)</f>
        <v>-157.73339249999984</v>
      </c>
      <c r="H27" s="32">
        <f>'Income Statement'!H24*Assumptions!H26*(-1)</f>
        <v>-256.57911359999986</v>
      </c>
      <c r="I27" s="32">
        <f>'Income Statement'!I24*Assumptions!I26*(-1)</f>
        <v>-309.62444696999978</v>
      </c>
      <c r="J27" s="32">
        <f>'Income Statement'!J24*Assumptions!J26*(-1)</f>
        <v>-333.28802341700964</v>
      </c>
      <c r="K27" s="32">
        <f>'Income Statement'!K24*Assumptions!K26*(-1)</f>
        <v>-365.08089837401729</v>
      </c>
    </row>
    <row r="28" spans="1:11" x14ac:dyDescent="0.4">
      <c r="A28" s="1"/>
      <c r="B28" s="1" t="s">
        <v>111</v>
      </c>
      <c r="C28" s="1"/>
      <c r="D28" s="14">
        <v>-25.2</v>
      </c>
      <c r="E28" s="14">
        <v>-25.2</v>
      </c>
      <c r="F28" s="14">
        <v>-25.2</v>
      </c>
      <c r="G28" s="22">
        <v>-25.2</v>
      </c>
      <c r="H28" s="14">
        <v>-25.2</v>
      </c>
      <c r="I28" s="14">
        <v>-25.2</v>
      </c>
      <c r="J28" s="14">
        <v>-25.2</v>
      </c>
      <c r="K28" s="14">
        <v>-25.2</v>
      </c>
    </row>
    <row r="29" spans="1:11" x14ac:dyDescent="0.4">
      <c r="A29" s="1"/>
      <c r="B29" s="1" t="s">
        <v>112</v>
      </c>
      <c r="C29" s="1"/>
      <c r="D29" s="14">
        <f>Assumptions!D25</f>
        <v>-13.8</v>
      </c>
      <c r="E29" s="14">
        <f>Assumptions!E25</f>
        <v>-14.5</v>
      </c>
      <c r="F29" s="14">
        <f>Assumptions!F25</f>
        <v>-15.4</v>
      </c>
      <c r="G29" s="35">
        <f>Assumptions!G25</f>
        <v>-15.5</v>
      </c>
      <c r="H29" s="32">
        <f>Assumptions!H25</f>
        <v>-15.5</v>
      </c>
      <c r="I29" s="32">
        <f>Assumptions!I25</f>
        <v>-15.5</v>
      </c>
      <c r="J29" s="32">
        <f>Assumptions!J25</f>
        <v>-15.5</v>
      </c>
      <c r="K29" s="32">
        <f>Assumptions!K25</f>
        <v>-15.5</v>
      </c>
    </row>
    <row r="30" spans="1:11" x14ac:dyDescent="0.4">
      <c r="A30" s="1"/>
      <c r="B30" s="1" t="s">
        <v>43</v>
      </c>
      <c r="C30" s="1"/>
      <c r="D30" s="14">
        <f>Assumptions!D42</f>
        <v>-10</v>
      </c>
      <c r="E30" s="14">
        <f>Assumptions!E42</f>
        <v>-10.8</v>
      </c>
      <c r="F30" s="14">
        <f>Assumptions!F42</f>
        <v>-12.5</v>
      </c>
      <c r="G30" s="35">
        <f>Assumptions!G42</f>
        <v>-12</v>
      </c>
      <c r="H30" s="32">
        <f>Assumptions!H42</f>
        <v>-12</v>
      </c>
      <c r="I30" s="32">
        <f>Assumptions!I42</f>
        <v>-12</v>
      </c>
      <c r="J30" s="32">
        <f>Assumptions!J42</f>
        <v>-12</v>
      </c>
      <c r="K30" s="32">
        <f>Assumptions!K42</f>
        <v>-12</v>
      </c>
    </row>
    <row r="31" spans="1:11" x14ac:dyDescent="0.4">
      <c r="A31" s="1"/>
      <c r="B31" s="1" t="s">
        <v>42</v>
      </c>
      <c r="C31" s="1"/>
      <c r="D31" s="14">
        <f>Assumptions!D41</f>
        <v>-16</v>
      </c>
      <c r="E31" s="14">
        <f>Assumptions!E41</f>
        <v>-10.199999999999999</v>
      </c>
      <c r="F31" s="14">
        <f>Assumptions!F41</f>
        <v>-7.2</v>
      </c>
      <c r="G31" s="35">
        <f>Assumptions!G41</f>
        <v>-8</v>
      </c>
      <c r="H31" s="32">
        <f>Assumptions!H41</f>
        <v>-8</v>
      </c>
      <c r="I31" s="32">
        <f>Assumptions!I41</f>
        <v>-8</v>
      </c>
      <c r="J31" s="32">
        <f>Assumptions!J41</f>
        <v>-8</v>
      </c>
      <c r="K31" s="32">
        <f>Assumptions!K41</f>
        <v>-8</v>
      </c>
    </row>
    <row r="32" spans="1:11" x14ac:dyDescent="0.4">
      <c r="A32" s="1"/>
      <c r="B32" s="23" t="s">
        <v>113</v>
      </c>
      <c r="C32" s="23"/>
      <c r="D32" s="26">
        <f>SUM(D27:D31)</f>
        <v>-300.60000000000002</v>
      </c>
      <c r="E32" s="26">
        <f>SUM(E27:E31)</f>
        <v>-77.3</v>
      </c>
      <c r="F32" s="26">
        <f>SUM(F27:F31)</f>
        <v>-155.1</v>
      </c>
      <c r="G32" s="36">
        <f>SUM(G27:G31)</f>
        <v>-218.43339249999983</v>
      </c>
      <c r="H32" s="26">
        <f>SUM(H27:H31)</f>
        <v>-317.27911359999985</v>
      </c>
      <c r="I32" s="26">
        <f>SUM(I27:I31)</f>
        <v>-370.32444696999977</v>
      </c>
      <c r="J32" s="26">
        <f>SUM(J27:J31)</f>
        <v>-393.98802341700963</v>
      </c>
      <c r="K32" s="26">
        <f>SUM(K27:K31)</f>
        <v>-425.78089837401728</v>
      </c>
    </row>
    <row r="33" spans="1:11" x14ac:dyDescent="0.4">
      <c r="A33" s="1"/>
      <c r="B33" s="1"/>
      <c r="C33" s="1"/>
      <c r="D33" s="9"/>
      <c r="E33" s="9"/>
      <c r="F33" s="9"/>
      <c r="G33" s="17"/>
      <c r="H33" s="9"/>
      <c r="I33" s="9"/>
      <c r="J33" s="9"/>
      <c r="K33" s="9"/>
    </row>
    <row r="34" spans="1:11" x14ac:dyDescent="0.4">
      <c r="A34" s="1"/>
      <c r="B34" s="23" t="s">
        <v>114</v>
      </c>
      <c r="C34" s="23"/>
      <c r="D34" s="26">
        <f>D19+D24+D32</f>
        <v>-536.89999999999975</v>
      </c>
      <c r="E34" s="26">
        <f>E19+E24+E32</f>
        <v>638.5</v>
      </c>
      <c r="F34" s="26">
        <f>F19+F24+F32</f>
        <v>-1.9999999999999147</v>
      </c>
      <c r="G34" s="36">
        <f>G19+G24+G32</f>
        <v>199.21584499999997</v>
      </c>
      <c r="H34" s="26">
        <f>H19+H24+H32</f>
        <v>252.03543239999999</v>
      </c>
      <c r="I34" s="26">
        <f>I19+I24+I32</f>
        <v>285.96055507999955</v>
      </c>
      <c r="J34" s="26">
        <f>J19+J24+J32</f>
        <v>299.78176438034023</v>
      </c>
      <c r="K34" s="26">
        <f>K19+K24+K32</f>
        <v>329.12364947186757</v>
      </c>
    </row>
    <row r="35" spans="1:11" x14ac:dyDescent="0.4">
      <c r="A35" s="1"/>
      <c r="B35" s="1" t="s">
        <v>115</v>
      </c>
      <c r="C35" s="1"/>
      <c r="D35" s="14">
        <v>1200</v>
      </c>
      <c r="E35" s="14">
        <f>'Balance Sheet'!D17</f>
        <v>938.4</v>
      </c>
      <c r="F35" s="14">
        <f>'Balance Sheet'!E17</f>
        <v>1689.8</v>
      </c>
      <c r="G35" s="35">
        <f>'Balance Sheet'!F17</f>
        <v>1089.2</v>
      </c>
      <c r="H35" s="32">
        <f>G36</f>
        <v>1288.415845</v>
      </c>
      <c r="I35" s="32">
        <f>H36</f>
        <v>1540.4512774</v>
      </c>
      <c r="J35" s="32">
        <f>I36</f>
        <v>1826.4118324799995</v>
      </c>
      <c r="K35" s="32">
        <f>J36</f>
        <v>2126.1935968603398</v>
      </c>
    </row>
    <row r="36" spans="1:11" x14ac:dyDescent="0.4">
      <c r="A36" s="1"/>
      <c r="B36" s="24" t="s">
        <v>116</v>
      </c>
      <c r="C36" s="24"/>
      <c r="D36" s="29">
        <f>D35+D34</f>
        <v>663.10000000000025</v>
      </c>
      <c r="E36" s="29">
        <f>E35+E34</f>
        <v>1576.9</v>
      </c>
      <c r="F36" s="29">
        <f>F35+F34</f>
        <v>1687.8</v>
      </c>
      <c r="G36" s="39">
        <f>G35+G34</f>
        <v>1288.415845</v>
      </c>
      <c r="H36" s="29">
        <f>H35+H34</f>
        <v>1540.4512774</v>
      </c>
      <c r="I36" s="29">
        <f>I35+I34</f>
        <v>1826.4118324799995</v>
      </c>
      <c r="J36" s="29">
        <f>J35+J34</f>
        <v>2126.1935968603398</v>
      </c>
      <c r="K36" s="29">
        <f>K35+K34</f>
        <v>2455.3172463322071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7bb7a061-b855-42ef-b5fe-ec99cf5ad9b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B82445F3183744950B3A747D40421F" ma:contentTypeVersion="10" ma:contentTypeDescription="Create a new document." ma:contentTypeScope="" ma:versionID="a27aee410fc8db0a505bd2cbfd4f7bdd">
  <xsd:schema xmlns:xsd="http://www.w3.org/2001/XMLSchema" xmlns:xs="http://www.w3.org/2001/XMLSchema" xmlns:p="http://schemas.microsoft.com/office/2006/metadata/properties" xmlns:ns2="7bb7a061-b855-42ef-b5fe-ec99cf5ad9b1" xmlns:ns3="6ea4884f-dd23-4a9e-9674-e0962577458b" targetNamespace="http://schemas.microsoft.com/office/2006/metadata/properties" ma:root="true" ma:fieldsID="df9cf7141c15cdbe82585b221937917a" ns2:_="" ns3:_="">
    <xsd:import namespace="7bb7a061-b855-42ef-b5fe-ec99cf5ad9b1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7a061-b855-42ef-b5fe-ec99cf5ad9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  <ds:schemaRef ds:uri="7bb7a061-b855-42ef-b5fe-ec99cf5ad9b1"/>
  </ds:schemaRefs>
</ds:datastoreItem>
</file>

<file path=customXml/itemProps3.xml><?xml version="1.0" encoding="utf-8"?>
<ds:datastoreItem xmlns:ds="http://schemas.openxmlformats.org/officeDocument/2006/customXml" ds:itemID="{5EBFE13D-8704-492A-8AD6-8DE2F0206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7a061-b855-42ef-b5fe-ec99cf5ad9b1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Assumptions</vt:lpstr>
      <vt:lpstr>Income Statement</vt:lpstr>
      <vt:lpstr>Balance Sheet</vt:lpstr>
      <vt:lpstr>Cash Flow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Matchett</dc:creator>
  <cp:keywords/>
  <dc:description/>
  <cp:lastModifiedBy>Alastair Matchett</cp:lastModifiedBy>
  <cp:revision/>
  <cp:lastPrinted>2025-03-11T14:44:05Z</cp:lastPrinted>
  <dcterms:created xsi:type="dcterms:W3CDTF">2016-02-03T14:06:14Z</dcterms:created>
  <dcterms:modified xsi:type="dcterms:W3CDTF">2026-03-12T17:30:13Z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0x0101000AB82445F3183744950B3A747D40421F</vt:lpwstr>
  </property>
  <property fmtid="{D5CDD505-2E9C-101B-9397-08002B2CF9AE}" pid="3" name="MediaServiceImageTags">
    <vt:lpwstr/>
  </property>
</Properties>
</file>