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drawings/drawing3.xml" ContentType="application/vnd.openxmlformats-officedocument.drawing+xml"/>
  <Override PartName="/xl/comments11.xml" ContentType="application/vnd.openxmlformats-officedocument.spreadsheetml.comments+xml"/>
  <Override PartName="/xl/charts/chart1.xml" ContentType="application/vnd.openxmlformats-officedocument.drawingml.chart+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wsporg-my.sharepoint.com/personal/oliver_sealey_fe_training/Documents/Documents/courses 2026/4 live M&amp;A/"/>
    </mc:Choice>
  </mc:AlternateContent>
  <xr:revisionPtr revIDLastSave="31" documentId="8_{1C1D0F66-4D45-4A3D-BE42-7ACBB1577CE5}" xr6:coauthVersionLast="47" xr6:coauthVersionMax="47" xr10:uidLastSave="{F239E628-4DC3-4FA3-9819-B603EE4EF9F0}"/>
  <bookViews>
    <workbookView xWindow="25695" yWindow="0" windowWidth="26010" windowHeight="20985" firstSheet="11" activeTab="13" xr2:uid="{302222BB-A674-40D9-8D21-214E47FDB568}"/>
  </bookViews>
  <sheets>
    <sheet name="Welcome" sheetId="2" r:id="rId1"/>
    <sheet name="Info" sheetId="3" r:id="rId2"/>
    <sheet name="Accounting" sheetId="4" r:id="rId3"/>
    <sheet name="Model" sheetId="12" r:id="rId4"/>
    <sheet name="Trading_comps_scratch" sheetId="24" r:id="rId5"/>
    <sheet name="1" sheetId="25" r:id="rId6"/>
    <sheet name="2" sheetId="5" r:id="rId7"/>
    <sheet name="Trading_comps" sheetId="10" r:id="rId8"/>
    <sheet name="DCF" sheetId="13" r:id="rId9"/>
    <sheet name="WACC" sheetId="14" r:id="rId10"/>
    <sheet name="Transaction_comps" sheetId="15" r:id="rId11"/>
    <sheet name="Synergies" sheetId="16" r:id="rId12"/>
    <sheet name="Valuation_summary" sheetId="17" r:id="rId13"/>
    <sheet name="M&amp;A" sheetId="18" r:id="rId14"/>
    <sheet name="LBO" sheetId="20" r:id="rId15"/>
    <sheet name="Scratchpad" sheetId="21" r:id="rId16"/>
    <sheet name="Factset codes" sheetId="22" state="hidden" r:id="rId17"/>
  </sheets>
  <definedNames>
    <definedName name="_xlnm._FilterDatabase" localSheetId="10" hidden="1">Transaction_comps!$A$6:$Q$6</definedName>
    <definedName name="ANALYSIS_DATE">Trading_comps!$D$4</definedName>
    <definedName name="BETA" localSheetId="5">'1'!$C$20</definedName>
    <definedName name="BETA" localSheetId="6">'2'!$C$20</definedName>
    <definedName name="CASH_AND_ST_INVESTMENTS" localSheetId="5">'1'!$H$8</definedName>
    <definedName name="CASH_AND_ST_INVESTMENTS" localSheetId="6">'2'!$H$8</definedName>
    <definedName name="Circswitch">Info!$N$11</definedName>
    <definedName name="COMP_CALENDARIZE_PERCENTAGES" localSheetId="5">'1'!$I$73:$K$73</definedName>
    <definedName name="COMP_CALENDARIZE_PERCENTAGES" localSheetId="6">'2'!$I$75:$K$75</definedName>
    <definedName name="COMP_CALENDARIZE_PERCENTAGES" localSheetId="16">'Factset codes'!$R$64:$V$64</definedName>
    <definedName name="COMP_EQ_VALUE" localSheetId="5">'1'!$H$6</definedName>
    <definedName name="COMP_EQ_VALUE" localSheetId="6">'2'!$H$6</definedName>
    <definedName name="COMP_EQ_VALUE" localSheetId="16">'Factset codes'!$R$10</definedName>
    <definedName name="COMP_EV" localSheetId="5">'1'!$H$10</definedName>
    <definedName name="COMP_EV" localSheetId="6">'2'!$H$10</definedName>
    <definedName name="COMP_EV" localSheetId="16">'Factset codes'!$L$10</definedName>
    <definedName name="COMP_FX" localSheetId="5">'1'!$C$15</definedName>
    <definedName name="COMP_FX" localSheetId="6">'2'!$C$15</definedName>
    <definedName name="COMP_MTR" localSheetId="5">'1'!$C$10</definedName>
    <definedName name="COMP_MTR" localSheetId="6">'2'!$C$10</definedName>
    <definedName name="Comp_MTR" localSheetId="16">'Factset codes'!$D$19</definedName>
    <definedName name="COMP_SHAREPRICE" localSheetId="5">'1'!$C$16</definedName>
    <definedName name="COMP_SHAREPRICE" localSheetId="6">'2'!$C$16</definedName>
    <definedName name="COMP_SHAREPRICE" localSheetId="16">'Factset codes'!$D$13</definedName>
    <definedName name="COMP_SHAREPRICE2">#REF!</definedName>
    <definedName name="COMPANY_NAME" localSheetId="5">'1'!$A$1</definedName>
    <definedName name="COMPANY_NAME" localSheetId="6">'2'!$A$1</definedName>
    <definedName name="CREDIT_RATING" localSheetId="5">'1'!$C$19</definedName>
    <definedName name="CREDIT_RATING" localSheetId="6">'2'!$C$19</definedName>
    <definedName name="DSO" localSheetId="5">'1'!$D$33</definedName>
    <definedName name="DSO" localSheetId="6">'2'!$D$33</definedName>
    <definedName name="EBIT_CY1" localSheetId="5">'1'!#REF!</definedName>
    <definedName name="EBIT_CY1" localSheetId="6">'2'!#REF!</definedName>
    <definedName name="EBIT_CY2" localSheetId="5">'1'!#REF!</definedName>
    <definedName name="EBIT_CY2" localSheetId="6">'2'!#REF!</definedName>
    <definedName name="EBIT_CY3" localSheetId="5">'1'!#REF!</definedName>
    <definedName name="EBIT_CY3" localSheetId="6">'2'!#REF!</definedName>
    <definedName name="EBIT_CY4" localSheetId="5">'1'!#REF!</definedName>
    <definedName name="EBIT_CY4" localSheetId="6">'2'!#REF!</definedName>
    <definedName name="EBIT_LTM" localSheetId="5">'1'!#REF!</definedName>
    <definedName name="EBIT_LTM" localSheetId="6">'2'!#REF!</definedName>
    <definedName name="EBIT_LTM" localSheetId="16">'Factset codes'!$J$14</definedName>
    <definedName name="EBITDA_CY1" localSheetId="5">'1'!$H$15</definedName>
    <definedName name="EBITDA_CY1" localSheetId="6">'2'!$H$15</definedName>
    <definedName name="EBITDA_CY2" localSheetId="5">'1'!$I$15</definedName>
    <definedName name="EBITDA_CY2" localSheetId="6">'2'!$I$15</definedName>
    <definedName name="EBITDA_CY3" localSheetId="5">'1'!$J$15</definedName>
    <definedName name="EBITDA_CY3" localSheetId="6">'2'!$J$15</definedName>
    <definedName name="EBITDA_CY4" localSheetId="5">'1'!$K$15</definedName>
    <definedName name="EBITDA_CY4" localSheetId="6">'2'!$K$15</definedName>
    <definedName name="EBITDA_LTM" localSheetId="5">'1'!$G$15</definedName>
    <definedName name="EBITDA_LTM" localSheetId="6">'2'!$G$15</definedName>
    <definedName name="EBITDA_LTM" localSheetId="16">'Factset codes'!$J$13</definedName>
    <definedName name="EBITDAR_CY1" localSheetId="5">'1'!$I$63</definedName>
    <definedName name="EBITDAR_CY1" localSheetId="6">'2'!$I$65</definedName>
    <definedName name="EBITDAR_CY2" localSheetId="5">'1'!$J$63</definedName>
    <definedName name="EBITDAR_CY2" localSheetId="6">'2'!$J$65</definedName>
    <definedName name="EBITDAR_CY3" localSheetId="5">'1'!$K$63</definedName>
    <definedName name="EBITDAR_CY3" localSheetId="6">'2'!$K$65</definedName>
    <definedName name="EBITDAR_LTM" localSheetId="5">'1'!$G$63</definedName>
    <definedName name="EBITDAR_LTM" localSheetId="6">'2'!$G$65</definedName>
    <definedName name="EBITR_CY1" localSheetId="5">'1'!#REF!</definedName>
    <definedName name="EBITR_CY1" localSheetId="6">'2'!#REF!</definedName>
    <definedName name="EBITR_CY2" localSheetId="5">'1'!#REF!</definedName>
    <definedName name="EBITR_CY2" localSheetId="6">'2'!#REF!</definedName>
    <definedName name="EBITR_CY3" localSheetId="5">'1'!#REF!</definedName>
    <definedName name="EBITR_CY3" localSheetId="6">'2'!#REF!</definedName>
    <definedName name="EBITR_LTM" localSheetId="5">'1'!#REF!</definedName>
    <definedName name="EBITR_LTM" localSheetId="6">'2'!#REF!</definedName>
    <definedName name="EPS_5YR_GROWTH" localSheetId="5">'1'!$C$21</definedName>
    <definedName name="EPS_5YR_GROWTH" localSheetId="6">'2'!$C$21</definedName>
    <definedName name="EPS_CY1" localSheetId="5">'1'!$H$16</definedName>
    <definedName name="EPS_CY1" localSheetId="6">'2'!$H$16</definedName>
    <definedName name="EPS_CY2" localSheetId="5">'1'!$I$16</definedName>
    <definedName name="EPS_CY2" localSheetId="6">'2'!$I$16</definedName>
    <definedName name="EPS_CY3" localSheetId="5">'1'!$J$16</definedName>
    <definedName name="EPS_CY3" localSheetId="6">'2'!$J$16</definedName>
    <definedName name="EPS_CY4" localSheetId="5">'1'!$K$16</definedName>
    <definedName name="EPS_CY4" localSheetId="6">'2'!$K$16</definedName>
    <definedName name="EV_EBIT_CY1" localSheetId="5">'1'!#REF!</definedName>
    <definedName name="EV_EBIT_CY1" localSheetId="6">'2'!#REF!</definedName>
    <definedName name="EV_EBIT_CY1" localSheetId="16">'Factset codes'!$L$21</definedName>
    <definedName name="EV_EBIT_CY2" localSheetId="5">'1'!#REF!</definedName>
    <definedName name="EV_EBIT_CY2" localSheetId="6">'2'!#REF!</definedName>
    <definedName name="EV_EBIT_CY2" localSheetId="16">'Factset codes'!$N$21</definedName>
    <definedName name="EV_EBIT_CY3" localSheetId="5">'1'!#REF!</definedName>
    <definedName name="EV_EBIT_CY3" localSheetId="6">'2'!#REF!</definedName>
    <definedName name="EV_EBIT_CY3" localSheetId="16">'Factset codes'!$P$21</definedName>
    <definedName name="EV_EBIT_CY4" localSheetId="5">'1'!#REF!</definedName>
    <definedName name="EV_EBIT_CY4" localSheetId="6">'2'!#REF!</definedName>
    <definedName name="EV_EBIT_CY4" localSheetId="16">'Factset codes'!$R$21</definedName>
    <definedName name="EV_EBIT_LTM" localSheetId="5">'1'!#REF!</definedName>
    <definedName name="EV_EBIT_LTM" localSheetId="6">'2'!#REF!</definedName>
    <definedName name="EV_EBIT_LTM" localSheetId="16">'Factset codes'!$J$21</definedName>
    <definedName name="EV_EBITDA_CY1" localSheetId="5">'1'!$H$21</definedName>
    <definedName name="EV_EBITDA_CY1" localSheetId="6">'2'!$H$21</definedName>
    <definedName name="EV_EBITDA_CY1" localSheetId="16">'Factset codes'!$L$20</definedName>
    <definedName name="EV_EBITDA_CY2" localSheetId="5">'1'!$I$21</definedName>
    <definedName name="EV_EBITDA_CY2" localSheetId="6">'2'!$I$21</definedName>
    <definedName name="EV_EBITDA_CY2" localSheetId="16">'Factset codes'!$N$20</definedName>
    <definedName name="EV_EBITDA_CY3" localSheetId="5">'1'!$J$21</definedName>
    <definedName name="EV_EBITDA_CY3" localSheetId="6">'2'!$J$21</definedName>
    <definedName name="EV_EBITDA_CY3" localSheetId="16">'Factset codes'!$P$20</definedName>
    <definedName name="EV_EBITDA_CY4" localSheetId="5">'1'!$K$21</definedName>
    <definedName name="EV_EBITDA_CY4" localSheetId="6">'2'!$K$21</definedName>
    <definedName name="EV_EBITDA_CY4" localSheetId="16">'Factset codes'!$R$20</definedName>
    <definedName name="EV_EBITDA_LMT" localSheetId="5">'1'!$G$21</definedName>
    <definedName name="EV_EBITDA_LMT" localSheetId="6">'2'!$G$21</definedName>
    <definedName name="EV_EBITDA_LMT" localSheetId="16">'Factset codes'!$J$20</definedName>
    <definedName name="EV_REVENUE_CY1" localSheetId="5">'1'!$H$20</definedName>
    <definedName name="EV_REVENUE_CY1" localSheetId="6">'2'!$H$20</definedName>
    <definedName name="EV_REVENUE_CY1" localSheetId="16">'Factset codes'!$L$19</definedName>
    <definedName name="EV_REVENUE_CY2" localSheetId="5">'1'!$I$20</definedName>
    <definedName name="EV_REVENUE_CY2" localSheetId="6">'2'!$I$20</definedName>
    <definedName name="EV_REVENUE_CY2" localSheetId="16">'Factset codes'!$N$19</definedName>
    <definedName name="EV_REVENUE_CY3" localSheetId="5">'1'!$J$20</definedName>
    <definedName name="EV_REVENUE_CY3" localSheetId="6">'2'!$J$20</definedName>
    <definedName name="EV_REVENUE_CY3" localSheetId="16">'Factset codes'!$P$19</definedName>
    <definedName name="EV_REVENUE_CY4" localSheetId="5">'1'!$K$20</definedName>
    <definedName name="EV_REVENUE_CY4" localSheetId="6">'2'!$K$20</definedName>
    <definedName name="EV_REVENUE_CY4" localSheetId="16">'Factset codes'!$R$19</definedName>
    <definedName name="EV_REVENUE_LTM" localSheetId="5">'1'!$G$20</definedName>
    <definedName name="EV_REVENUE_LTM" localSheetId="6">'2'!$G$20</definedName>
    <definedName name="EV_REVENUE_LTM" localSheetId="16">'Factset codes'!$J$19</definedName>
    <definedName name="EVR" localSheetId="5">'1'!$G$66</definedName>
    <definedName name="EVR" localSheetId="6">'2'!$G$68</definedName>
    <definedName name="FCF_LTM" localSheetId="5">'1'!$G$16</definedName>
    <definedName name="FCF_LTM" localSheetId="6">'2'!$G$16</definedName>
    <definedName name="FCF_LTM" localSheetId="16">'Factset codes'!$J$15</definedName>
    <definedName name="GROSS_DEBT_LTM_EBITDA" localSheetId="5">'1'!$G$24</definedName>
    <definedName name="GROSS_DEBT_LTM_EBITDA" localSheetId="6">'2'!$G$24</definedName>
    <definedName name="GROSS_DEBT_LTM_EBITDA" localSheetId="16">#REF!</definedName>
    <definedName name="ltg">DCF!$E$31</definedName>
    <definedName name="MAIN_CURRENCY">Trading_comps!$D$3</definedName>
    <definedName name="OTHER_ADJUSTMENTS" localSheetId="5">'1'!$H$9</definedName>
    <definedName name="OTHER_ADJUSTMENTS" localSheetId="6">'2'!$H$9</definedName>
    <definedName name="P_BV" localSheetId="5">'1'!$G$23</definedName>
    <definedName name="P_BV" localSheetId="6">'2'!$G$23</definedName>
    <definedName name="P_BV" localSheetId="16">#REF!</definedName>
    <definedName name="PE_CY1" localSheetId="5">'1'!$H$22</definedName>
    <definedName name="PE_CY1" localSheetId="6">'2'!$H$22</definedName>
    <definedName name="PE_CY1" localSheetId="16">'Factset codes'!$L$22</definedName>
    <definedName name="PE_CY2" localSheetId="5">'1'!$I$22</definedName>
    <definedName name="PE_CY2" localSheetId="6">'2'!$I$22</definedName>
    <definedName name="PE_CY2" localSheetId="16">'Factset codes'!$N$22</definedName>
    <definedName name="PE_CY3" localSheetId="5">'1'!$J$22</definedName>
    <definedName name="PE_CY3" localSheetId="6">'2'!$J$22</definedName>
    <definedName name="PE_CY3" localSheetId="16">'Factset codes'!$P$22</definedName>
    <definedName name="PE_CY4" localSheetId="5">'1'!$K$22</definedName>
    <definedName name="PE_CY4" localSheetId="6">'2'!$K$22</definedName>
    <definedName name="PE_CY4" localSheetId="16">'Factset codes'!$R$22</definedName>
    <definedName name="_xlnm.Print_Area" localSheetId="5">'1'!$A$1:$X$77</definedName>
    <definedName name="_xlnm.Print_Area" localSheetId="6">'2'!$A$1:$X$79</definedName>
    <definedName name="_xlnm.Print_Area" localSheetId="2">Accounting!$A$1:$U$146</definedName>
    <definedName name="_xlnm.Print_Area" localSheetId="8">DCF!$A$1:$R$93</definedName>
    <definedName name="_xlnm.Print_Area" localSheetId="1">Info!$A$1:$R$30</definedName>
    <definedName name="_xlnm.Print_Area" localSheetId="14">LBO!$A$1:$N$132</definedName>
    <definedName name="_xlnm.Print_Area" localSheetId="13">'M&amp;A'!$A$1:$U$196</definedName>
    <definedName name="_xlnm.Print_Area" localSheetId="3">Model!$A$1:$P$142</definedName>
    <definedName name="_xlnm.Print_Area" localSheetId="15">Scratchpad!$A$1:$P$42</definedName>
    <definedName name="_xlnm.Print_Area" localSheetId="11">Synergies!$A$1:$P$39</definedName>
    <definedName name="_xlnm.Print_Area" localSheetId="7">Trading_comps!$A$1:$AO$56</definedName>
    <definedName name="_xlnm.Print_Area" localSheetId="4">Trading_comps_scratch!$A$1:$Q$123</definedName>
    <definedName name="_xlnm.Print_Area" localSheetId="10">Transaction_comps!$A$1:$R$49</definedName>
    <definedName name="_xlnm.Print_Area" localSheetId="12">Valuation_summary!$A$1:$K$74</definedName>
    <definedName name="_xlnm.Print_Area" localSheetId="9">WACC!$A$1:$O$38</definedName>
    <definedName name="_xlnm.Print_Area" localSheetId="0">Welcome!$A$1:$P$9</definedName>
    <definedName name="ROIC" localSheetId="5">'1'!$C$23</definedName>
    <definedName name="ROIC" localSheetId="6">'2'!$C$23</definedName>
    <definedName name="SALES_CY1" localSheetId="5">'1'!$H$14</definedName>
    <definedName name="SALES_CY1" localSheetId="6">'2'!$H$14</definedName>
    <definedName name="SALES_CY2" localSheetId="5">'1'!$I$14</definedName>
    <definedName name="SALES_CY2" localSheetId="6">'2'!$I$14</definedName>
    <definedName name="SALES_CY3" localSheetId="5">'1'!$J$14</definedName>
    <definedName name="SALES_CY3" localSheetId="6">'2'!$J$14</definedName>
    <definedName name="SALES_CY4" localSheetId="5">'1'!$K$14</definedName>
    <definedName name="SALES_CY4" localSheetId="6">'2'!$K$14</definedName>
    <definedName name="SALES_LTM" localSheetId="5">'1'!$G$14</definedName>
    <definedName name="SALES_LTM" localSheetId="6">'2'!$G$14</definedName>
    <definedName name="SALES_LTM" localSheetId="16">'Factset codes'!$J$12</definedName>
    <definedName name="SHAREPRICE_HIGH" localSheetId="5">'1'!$C$18</definedName>
    <definedName name="SHAREPRICE_HIGH" localSheetId="6">'2'!$C$18</definedName>
    <definedName name="SHAREPRICE_LOW" localSheetId="5">'1'!$C$17</definedName>
    <definedName name="SHAREPRICE_LOW" localSheetId="6">'2'!$C$17</definedName>
    <definedName name="TICKER" localSheetId="5">'1'!$C$5</definedName>
    <definedName name="TICKER" localSheetId="6">'2'!$C$5</definedName>
    <definedName name="TOTAL_DEBT" localSheetId="5">'1'!$H$7</definedName>
    <definedName name="TOTAL_DEBT" localSheetId="6">'2'!$H$7</definedName>
    <definedName name="WACC">DCF!$E$32</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 i="12" l="1"/>
  <c r="K13" i="12" s="1"/>
  <c r="L13" i="12" s="1"/>
  <c r="M13" i="12" s="1"/>
  <c r="N13" i="12" s="1"/>
  <c r="I13" i="12"/>
  <c r="B57" i="17"/>
  <c r="O36" i="15" l="1" a="1"/>
  <c r="O36" i="15" s="1"/>
  <c r="N36" i="15" a="1"/>
  <c r="N36" i="15" s="1"/>
  <c r="M36" i="15" a="1"/>
  <c r="M36" i="15" s="1"/>
  <c r="L36" i="15" a="1"/>
  <c r="L36" i="15" s="1"/>
  <c r="K36" i="15" a="1"/>
  <c r="K36" i="15" s="1"/>
  <c r="I36" i="15" a="1"/>
  <c r="I36" i="15" s="1"/>
  <c r="H36" i="15" a="1"/>
  <c r="H36" i="15" s="1"/>
  <c r="G36" i="15" a="1"/>
  <c r="G36" i="15" s="1"/>
  <c r="F36" i="15" a="1"/>
  <c r="F36" i="15" s="1"/>
  <c r="E36" i="15" a="1"/>
  <c r="E36" i="15" s="1"/>
  <c r="D36" i="15" a="1"/>
  <c r="D36" i="15" s="1"/>
  <c r="C36" i="15" a="1"/>
  <c r="C36" i="15" s="1"/>
  <c r="C33" i="15" a="1"/>
  <c r="C33" i="15" s="1"/>
  <c r="D33" i="15" a="1"/>
  <c r="D33" i="15" s="1"/>
  <c r="E33" i="15" a="1"/>
  <c r="E33" i="15" s="1"/>
  <c r="F33" i="15" a="1"/>
  <c r="F33" i="15" s="1"/>
  <c r="G33" i="15" a="1"/>
  <c r="G33" i="15" s="1"/>
  <c r="H33" i="15" a="1"/>
  <c r="H33" i="15" s="1"/>
  <c r="I33" i="15" a="1"/>
  <c r="I33" i="15" s="1"/>
  <c r="L33" i="15" a="1"/>
  <c r="L33" i="15" s="1"/>
  <c r="M33" i="15" a="1"/>
  <c r="M33" i="15" s="1"/>
  <c r="N33" i="15" a="1"/>
  <c r="N33" i="15" s="1"/>
  <c r="O33" i="15" a="1"/>
  <c r="O33" i="15" s="1"/>
  <c r="C34" i="15" a="1"/>
  <c r="C34" i="15" s="1"/>
  <c r="D34" i="15" a="1"/>
  <c r="D34" i="15" s="1"/>
  <c r="E34" i="15" a="1"/>
  <c r="E34" i="15" s="1"/>
  <c r="F34" i="15" a="1"/>
  <c r="F34" i="15" s="1"/>
  <c r="G34" i="15" a="1"/>
  <c r="G34" i="15" s="1"/>
  <c r="H34" i="15" a="1"/>
  <c r="H34" i="15" s="1"/>
  <c r="M34" i="15" a="1"/>
  <c r="M34" i="15" s="1"/>
  <c r="N34" i="15" a="1"/>
  <c r="N34" i="15" s="1"/>
  <c r="O34" i="15" a="1"/>
  <c r="O34" i="15" s="1"/>
  <c r="C35" i="15" a="1"/>
  <c r="C35" i="15" s="1"/>
  <c r="D35" i="15" a="1"/>
  <c r="D35" i="15" s="1"/>
  <c r="E35" i="15" a="1"/>
  <c r="E35" i="15" s="1"/>
  <c r="F35" i="15" a="1"/>
  <c r="F35" i="15" s="1"/>
  <c r="G35" i="15" a="1"/>
  <c r="G35" i="15" s="1"/>
  <c r="H35" i="15" a="1"/>
  <c r="H35" i="15" s="1"/>
  <c r="M35" i="15" a="1"/>
  <c r="M35" i="15" s="1"/>
  <c r="N35" i="15" a="1"/>
  <c r="N35" i="15" s="1"/>
  <c r="O35" i="15" a="1"/>
  <c r="O35" i="15" s="1"/>
  <c r="O37" i="15" a="1"/>
  <c r="O37" i="15" s="1"/>
  <c r="N37" i="15" a="1"/>
  <c r="N37" i="15" s="1"/>
  <c r="M37" i="15" a="1"/>
  <c r="M37" i="15" s="1"/>
  <c r="G37" i="15" a="1"/>
  <c r="G37" i="15" s="1"/>
  <c r="F37" i="15" a="1"/>
  <c r="F37" i="15" s="1"/>
  <c r="E37" i="15" a="1"/>
  <c r="E37" i="15" s="1"/>
  <c r="D37" i="15" a="1"/>
  <c r="D37" i="15" s="1"/>
  <c r="C37" i="15" a="1"/>
  <c r="C37" i="15" s="1"/>
  <c r="E132" i="12"/>
  <c r="J132" i="20"/>
  <c r="J131" i="20" s="1"/>
  <c r="J130" i="20" s="1"/>
  <c r="J129" i="20" s="1"/>
  <c r="J128" i="20" s="1"/>
  <c r="J127" i="20" s="1"/>
  <c r="J126" i="20" s="1"/>
  <c r="J125" i="20" s="1"/>
  <c r="J124" i="20" s="1"/>
  <c r="J123" i="20" s="1"/>
  <c r="J122" i="20" s="1"/>
  <c r="J121" i="20" s="1"/>
  <c r="J120" i="20" s="1"/>
  <c r="J119" i="20" s="1"/>
  <c r="J118" i="20" s="1"/>
  <c r="J117" i="20" s="1"/>
  <c r="J116" i="20" s="1"/>
  <c r="J115" i="20" s="1"/>
  <c r="J114" i="20" s="1"/>
  <c r="J113" i="20" s="1"/>
  <c r="E114" i="20"/>
  <c r="E115" i="20" s="1"/>
  <c r="E116" i="20" s="1"/>
  <c r="E117" i="20" s="1"/>
  <c r="E118" i="20" s="1"/>
  <c r="E119" i="20" s="1"/>
  <c r="E120" i="20" s="1"/>
  <c r="E121" i="20" s="1"/>
  <c r="E122" i="20" s="1"/>
  <c r="E123" i="20" s="1"/>
  <c r="E124" i="20" s="1"/>
  <c r="E125" i="20" s="1"/>
  <c r="E126" i="20" s="1"/>
  <c r="E127" i="20" s="1"/>
  <c r="E128" i="20" s="1"/>
  <c r="E129" i="20" s="1"/>
  <c r="E130" i="20" s="1"/>
  <c r="E131" i="20" s="1"/>
  <c r="E132" i="20" s="1"/>
  <c r="E133" i="20" s="1"/>
  <c r="B30" i="15" l="1"/>
  <c r="C28" i="15" a="1"/>
  <c r="C28" i="15" s="1"/>
  <c r="F21" i="12"/>
  <c r="E147" i="18"/>
  <c r="F147" i="18"/>
  <c r="D147" i="18"/>
  <c r="H126" i="18"/>
  <c r="I126" i="18" s="1"/>
  <c r="F126" i="18"/>
  <c r="E126" i="18" s="1"/>
  <c r="D130" i="18"/>
  <c r="C48" i="18"/>
  <c r="C47" i="18"/>
  <c r="D48" i="18"/>
  <c r="E48" i="18"/>
  <c r="F48" i="18"/>
  <c r="D47" i="18"/>
  <c r="E47" i="18"/>
  <c r="F47" i="18"/>
  <c r="C42" i="18"/>
  <c r="C41" i="18"/>
  <c r="F2" i="18"/>
  <c r="C9" i="18"/>
  <c r="F101" i="18" l="1"/>
  <c r="E101" i="18"/>
  <c r="D101" i="18"/>
  <c r="E28" i="15" a="1"/>
  <c r="E28" i="15" s="1"/>
  <c r="F28" i="15" a="1"/>
  <c r="F28" i="15" s="1"/>
  <c r="N28" i="15" a="1"/>
  <c r="N28" i="15" s="1"/>
  <c r="D28" i="15" a="1"/>
  <c r="D28" i="15" s="1"/>
  <c r="M28" i="15" a="1"/>
  <c r="M28" i="15" s="1"/>
  <c r="O28" i="15" a="1"/>
  <c r="O28" i="15" s="1"/>
  <c r="C8" i="18"/>
  <c r="C10" i="17"/>
  <c r="N20" i="15"/>
  <c r="L24" i="15"/>
  <c r="L23" i="15"/>
  <c r="J23" i="15"/>
  <c r="K23" i="15"/>
  <c r="J24" i="15"/>
  <c r="K24" i="15"/>
  <c r="K22" i="15"/>
  <c r="J22" i="15"/>
  <c r="I10" i="14"/>
  <c r="H10" i="14"/>
  <c r="G10" i="14"/>
  <c r="F10" i="14"/>
  <c r="E10" i="14"/>
  <c r="D10" i="14"/>
  <c r="C10" i="14"/>
  <c r="I9" i="14"/>
  <c r="H9" i="14"/>
  <c r="G9" i="14"/>
  <c r="F9" i="14"/>
  <c r="E9" i="14"/>
  <c r="D9" i="14"/>
  <c r="C9" i="14"/>
  <c r="F20" i="10"/>
  <c r="I8" i="14"/>
  <c r="I7" i="14"/>
  <c r="H7" i="14"/>
  <c r="G7" i="14"/>
  <c r="F7" i="14"/>
  <c r="E7" i="14"/>
  <c r="D7" i="14"/>
  <c r="C7" i="14"/>
  <c r="AC20" i="10"/>
  <c r="U20" i="10"/>
  <c r="U27" i="10" s="1"/>
  <c r="V20" i="10"/>
  <c r="V27" i="10" s="1"/>
  <c r="W20" i="10"/>
  <c r="AJ14" i="10"/>
  <c r="AG14" i="10" s="1"/>
  <c r="Y11" i="10"/>
  <c r="Z11" i="10"/>
  <c r="AA11" i="10"/>
  <c r="Y12" i="10"/>
  <c r="Z12" i="10"/>
  <c r="AA12" i="10"/>
  <c r="Y13" i="10"/>
  <c r="Z13" i="10"/>
  <c r="AA13" i="10"/>
  <c r="Y14" i="10"/>
  <c r="Z14" i="10"/>
  <c r="AA14" i="10"/>
  <c r="Y15" i="10"/>
  <c r="Z15" i="10"/>
  <c r="AA15" i="10"/>
  <c r="Y16" i="10"/>
  <c r="Z16" i="10"/>
  <c r="AA16" i="10"/>
  <c r="Y17" i="10"/>
  <c r="Z17" i="10"/>
  <c r="AA17" i="10"/>
  <c r="Y18" i="10"/>
  <c r="Z18" i="10"/>
  <c r="AA18" i="10"/>
  <c r="Y19" i="10"/>
  <c r="Z19" i="10"/>
  <c r="AA19" i="10"/>
  <c r="Y20" i="10"/>
  <c r="Z20" i="10"/>
  <c r="AA20" i="10"/>
  <c r="Y21" i="10"/>
  <c r="Z21" i="10"/>
  <c r="AA21" i="10"/>
  <c r="AJ11" i="10"/>
  <c r="AD30" i="10"/>
  <c r="AD29" i="10"/>
  <c r="AD28" i="10"/>
  <c r="AD27" i="10"/>
  <c r="W27" i="10"/>
  <c r="K30" i="10"/>
  <c r="J30" i="10"/>
  <c r="K29" i="10"/>
  <c r="J29" i="10"/>
  <c r="K28" i="10"/>
  <c r="J28" i="10"/>
  <c r="K27" i="10"/>
  <c r="J27" i="10"/>
  <c r="C30" i="10"/>
  <c r="C29" i="10"/>
  <c r="C28" i="10"/>
  <c r="C27" i="10"/>
  <c r="AG12" i="10"/>
  <c r="AG13" i="10"/>
  <c r="AG15" i="10"/>
  <c r="AG16" i="10"/>
  <c r="AG17" i="10"/>
  <c r="AG18" i="10"/>
  <c r="AG19" i="10"/>
  <c r="AG20" i="10"/>
  <c r="AG21" i="10"/>
  <c r="AG11" i="10"/>
  <c r="AJ9" i="10"/>
  <c r="L10" i="14" l="1"/>
  <c r="M10" i="14" s="1"/>
  <c r="L9" i="14"/>
  <c r="M9" i="14" s="1"/>
  <c r="K10" i="14"/>
  <c r="K9" i="14"/>
  <c r="F8" i="14"/>
  <c r="K7" i="14"/>
  <c r="L7" i="14"/>
  <c r="M7" i="14" s="1"/>
  <c r="AE11" i="10"/>
  <c r="AE12" i="10"/>
  <c r="AE13" i="10"/>
  <c r="AE14" i="10"/>
  <c r="AE28" i="10" s="1"/>
  <c r="AE15" i="10"/>
  <c r="AE29" i="10" s="1"/>
  <c r="AE16" i="10"/>
  <c r="AE30" i="10" s="1"/>
  <c r="AE17" i="10"/>
  <c r="AE18" i="10"/>
  <c r="AE19" i="10"/>
  <c r="AE20" i="10"/>
  <c r="AE27" i="10" s="1"/>
  <c r="AE21" i="10"/>
  <c r="W19" i="10"/>
  <c r="V19" i="10"/>
  <c r="U19" i="10"/>
  <c r="AC19" i="10"/>
  <c r="F19" i="10"/>
  <c r="C52" i="5"/>
  <c r="C44" i="5"/>
  <c r="C42" i="5"/>
  <c r="N33" i="5"/>
  <c r="N32" i="5"/>
  <c r="N29" i="5"/>
  <c r="N28" i="5"/>
  <c r="J31" i="5"/>
  <c r="J30" i="5"/>
  <c r="J29" i="5"/>
  <c r="G31" i="5"/>
  <c r="C89" i="24"/>
  <c r="D30" i="5"/>
  <c r="L60" i="25"/>
  <c r="L59" i="25"/>
  <c r="C51" i="24"/>
  <c r="C117" i="24"/>
  <c r="C118" i="24"/>
  <c r="N31" i="25"/>
  <c r="N30" i="25"/>
  <c r="N29" i="25"/>
  <c r="N28" i="25"/>
  <c r="D30" i="25"/>
  <c r="E119" i="24"/>
  <c r="D119" i="24"/>
  <c r="C115" i="24"/>
  <c r="C103" i="24"/>
  <c r="C90" i="24"/>
  <c r="C94" i="24"/>
  <c r="C93" i="24"/>
  <c r="C92" i="24"/>
  <c r="C85" i="24"/>
  <c r="C84" i="24"/>
  <c r="C82" i="24"/>
  <c r="C78" i="24"/>
  <c r="C77" i="24"/>
  <c r="C67" i="24"/>
  <c r="D67" i="24"/>
  <c r="E67" i="24"/>
  <c r="C50" i="24"/>
  <c r="D50" i="24"/>
  <c r="C36" i="24"/>
  <c r="C32" i="24"/>
  <c r="C31" i="24"/>
  <c r="C30" i="24"/>
  <c r="C26" i="24"/>
  <c r="C25" i="24"/>
  <c r="C10" i="24"/>
  <c r="D4" i="10"/>
  <c r="E4" i="13"/>
  <c r="L17" i="12"/>
  <c r="H8" i="12"/>
  <c r="I8" i="12" s="1"/>
  <c r="J8" i="12" s="1"/>
  <c r="K8" i="12" s="1"/>
  <c r="L8" i="12" s="1"/>
  <c r="M8" i="12" s="1"/>
  <c r="N8" i="12" s="1"/>
  <c r="C66" i="12"/>
  <c r="D67" i="12"/>
  <c r="C67" i="12"/>
  <c r="D66" i="12"/>
  <c r="G27" i="12"/>
  <c r="H27" i="12" s="1"/>
  <c r="I27" i="12" s="1"/>
  <c r="J27" i="12" s="1"/>
  <c r="K27" i="12" s="1"/>
  <c r="L27" i="12" s="1"/>
  <c r="M27" i="12" s="1"/>
  <c r="N27" i="12" s="1"/>
  <c r="F27" i="12"/>
  <c r="F26" i="12"/>
  <c r="G26" i="12" s="1"/>
  <c r="H26" i="12" s="1"/>
  <c r="I26" i="12" s="1"/>
  <c r="J26" i="12" s="1"/>
  <c r="K26" i="12" s="1"/>
  <c r="L26" i="12" s="1"/>
  <c r="M26" i="12" s="1"/>
  <c r="N26" i="12" s="1"/>
  <c r="F25" i="12"/>
  <c r="G25" i="12" s="1"/>
  <c r="H25" i="12" s="1"/>
  <c r="I25" i="12" s="1"/>
  <c r="J25" i="12" s="1"/>
  <c r="K25" i="12" s="1"/>
  <c r="L25" i="12" s="1"/>
  <c r="M25" i="12" s="1"/>
  <c r="N25" i="12" s="1"/>
  <c r="D83" i="12"/>
  <c r="C83" i="12"/>
  <c r="D89" i="12"/>
  <c r="C89" i="12"/>
  <c r="D80" i="12"/>
  <c r="C80" i="12"/>
  <c r="D78" i="12"/>
  <c r="C78" i="12"/>
  <c r="D64" i="12"/>
  <c r="C64" i="12"/>
  <c r="C45" i="12"/>
  <c r="D45" i="12"/>
  <c r="K36" i="4"/>
  <c r="N43" i="4"/>
  <c r="M43" i="4"/>
  <c r="N78" i="4"/>
  <c r="M78" i="4"/>
  <c r="N15" i="4"/>
  <c r="M15" i="4"/>
  <c r="K124" i="4"/>
  <c r="K78" i="4"/>
  <c r="J78" i="4"/>
  <c r="K77" i="4"/>
  <c r="J77" i="4"/>
  <c r="K59" i="4"/>
  <c r="J59" i="4"/>
  <c r="K23" i="4"/>
  <c r="K31" i="4"/>
  <c r="J31" i="4"/>
  <c r="K32" i="4"/>
  <c r="K28" i="4"/>
  <c r="J28" i="4"/>
  <c r="K27" i="4"/>
  <c r="J32" i="4"/>
  <c r="J23" i="4"/>
  <c r="J19" i="4"/>
  <c r="J29" i="4"/>
  <c r="H127" i="4"/>
  <c r="G127" i="4"/>
  <c r="H66" i="4"/>
  <c r="G66" i="4"/>
  <c r="H78" i="4"/>
  <c r="G78" i="4"/>
  <c r="H24" i="4"/>
  <c r="G24" i="4"/>
  <c r="H23" i="4"/>
  <c r="G23" i="4"/>
  <c r="H31" i="4"/>
  <c r="G31" i="4"/>
  <c r="H18" i="4"/>
  <c r="G18" i="4"/>
  <c r="H14" i="4"/>
  <c r="G14" i="4"/>
  <c r="E133" i="4"/>
  <c r="E66" i="4"/>
  <c r="D66" i="4"/>
  <c r="E32" i="4"/>
  <c r="D32" i="4"/>
  <c r="E29" i="4"/>
  <c r="D29" i="4"/>
  <c r="E25" i="4"/>
  <c r="E23" i="4"/>
  <c r="D23" i="4"/>
  <c r="N2" i="4"/>
  <c r="K2" i="4"/>
  <c r="H2" i="4"/>
  <c r="E2" i="4"/>
  <c r="N9" i="4"/>
  <c r="K9" i="4"/>
  <c r="H9" i="4"/>
  <c r="E9" i="4"/>
  <c r="Q9" i="10"/>
  <c r="C119" i="24" l="1"/>
  <c r="F119" i="24" s="1"/>
  <c r="F67" i="24"/>
  <c r="D2" i="16"/>
  <c r="E2" i="16"/>
  <c r="F2" i="16"/>
  <c r="G2" i="16"/>
  <c r="H2" i="16"/>
  <c r="I2" i="16"/>
  <c r="C2" i="16"/>
  <c r="I44" i="20"/>
  <c r="J44" i="20" l="1"/>
  <c r="D49" i="18"/>
  <c r="E49" i="18"/>
  <c r="F49" i="18"/>
  <c r="K8" i="10"/>
  <c r="J8" i="10"/>
  <c r="AD24" i="10"/>
  <c r="AD23" i="10"/>
  <c r="AE24" i="10"/>
  <c r="AE23" i="10"/>
  <c r="AC24" i="10"/>
  <c r="AC23" i="10"/>
  <c r="Z23" i="10"/>
  <c r="V23" i="10"/>
  <c r="J23" i="10"/>
  <c r="U18" i="10"/>
  <c r="V18" i="10"/>
  <c r="W18" i="10"/>
  <c r="K44" i="20" l="1"/>
  <c r="C34" i="10"/>
  <c r="U11" i="10"/>
  <c r="V11" i="10"/>
  <c r="W11" i="10"/>
  <c r="U12" i="10"/>
  <c r="V12" i="10"/>
  <c r="W12" i="10"/>
  <c r="U13" i="10"/>
  <c r="V13" i="10"/>
  <c r="W13" i="10"/>
  <c r="U14" i="10"/>
  <c r="U28" i="10" s="1"/>
  <c r="V14" i="10"/>
  <c r="V28" i="10" s="1"/>
  <c r="W14" i="10"/>
  <c r="W28" i="10" s="1"/>
  <c r="U15" i="10"/>
  <c r="U29" i="10" s="1"/>
  <c r="V15" i="10"/>
  <c r="V29" i="10" s="1"/>
  <c r="W15" i="10"/>
  <c r="W29" i="10" s="1"/>
  <c r="U16" i="10"/>
  <c r="U30" i="10" s="1"/>
  <c r="V16" i="10"/>
  <c r="V30" i="10" s="1"/>
  <c r="W16" i="10"/>
  <c r="W30" i="10" s="1"/>
  <c r="U17" i="10"/>
  <c r="V17" i="10"/>
  <c r="W17" i="10"/>
  <c r="U21" i="10"/>
  <c r="V21" i="10"/>
  <c r="W21" i="10"/>
  <c r="K24" i="10"/>
  <c r="J24" i="10"/>
  <c r="F55" i="5"/>
  <c r="F53" i="25"/>
  <c r="D51" i="5"/>
  <c r="D55" i="5" s="1"/>
  <c r="E51" i="5"/>
  <c r="E55" i="5" s="1"/>
  <c r="C51" i="5"/>
  <c r="L44" i="20" l="1"/>
  <c r="C8" i="25"/>
  <c r="C7" i="25"/>
  <c r="A1" i="25"/>
  <c r="D106" i="24"/>
  <c r="D108" i="24" s="1"/>
  <c r="D53" i="24"/>
  <c r="D51" i="24"/>
  <c r="C92" i="12"/>
  <c r="C88" i="12"/>
  <c r="C85" i="12"/>
  <c r="C84" i="12"/>
  <c r="E79" i="12"/>
  <c r="C75" i="12"/>
  <c r="C74" i="12"/>
  <c r="C73" i="12"/>
  <c r="C69" i="12"/>
  <c r="C61" i="12"/>
  <c r="D111" i="4"/>
  <c r="D110" i="4"/>
  <c r="D106" i="4"/>
  <c r="E96" i="4"/>
  <c r="D90" i="4"/>
  <c r="D86" i="4"/>
  <c r="D72" i="4"/>
  <c r="D63" i="4"/>
  <c r="D41" i="4"/>
  <c r="C14" i="12" s="1"/>
  <c r="D25" i="4"/>
  <c r="D20" i="4"/>
  <c r="D108" i="4" s="1"/>
  <c r="D16" i="4"/>
  <c r="C32" i="12" s="1"/>
  <c r="D8" i="4"/>
  <c r="A7" i="2"/>
  <c r="F2" i="13"/>
  <c r="G2" i="13"/>
  <c r="H2" i="13"/>
  <c r="I2" i="13"/>
  <c r="J2" i="13"/>
  <c r="K2" i="13"/>
  <c r="L2" i="13"/>
  <c r="M2" i="13"/>
  <c r="N2" i="13"/>
  <c r="D2" i="13"/>
  <c r="E3" i="13"/>
  <c r="M44" i="20" l="1"/>
  <c r="D54" i="24"/>
  <c r="D107" i="4"/>
  <c r="D3" i="13"/>
  <c r="B56" i="13"/>
  <c r="D74" i="4"/>
  <c r="D109" i="4" s="1"/>
  <c r="D91" i="4"/>
  <c r="D118" i="4" s="1"/>
  <c r="D112" i="4"/>
  <c r="C57" i="12"/>
  <c r="D117" i="4"/>
  <c r="F3" i="13"/>
  <c r="B57" i="13" s="1"/>
  <c r="D102" i="4"/>
  <c r="D119" i="4"/>
  <c r="D30" i="4"/>
  <c r="D116" i="4"/>
  <c r="D98" i="4"/>
  <c r="D44" i="4"/>
  <c r="D45" i="4" s="1"/>
  <c r="D133" i="4" l="1"/>
  <c r="D136" i="4" s="1"/>
  <c r="D48" i="4"/>
  <c r="D49" i="4" s="1"/>
  <c r="D50" i="4" s="1"/>
  <c r="D101" i="4" s="1"/>
  <c r="D113" i="4"/>
  <c r="D99" i="4"/>
  <c r="D33" i="4"/>
  <c r="AC21" i="10" l="1"/>
  <c r="D131" i="4"/>
  <c r="D100" i="4"/>
  <c r="D120" i="4"/>
  <c r="A1" i="20"/>
  <c r="AC12" i="10" l="1"/>
  <c r="AC13" i="10"/>
  <c r="AC16" i="10"/>
  <c r="AC30" i="10" s="1"/>
  <c r="AC17" i="10"/>
  <c r="AC11" i="10"/>
  <c r="AC18" i="10"/>
  <c r="AC27" i="10" s="1"/>
  <c r="D132" i="4"/>
  <c r="D134" i="4"/>
  <c r="B158" i="18"/>
  <c r="B159" i="18" s="1"/>
  <c r="B160" i="18" s="1"/>
  <c r="AC14" i="10" l="1"/>
  <c r="AC28" i="10" s="1"/>
  <c r="AC15" i="10"/>
  <c r="AC29" i="10" s="1"/>
  <c r="B161" i="18"/>
  <c r="B162" i="18" s="1"/>
  <c r="B163" i="18" s="1"/>
  <c r="B164" i="18" s="1"/>
  <c r="B165" i="18" s="1"/>
  <c r="B166" i="18" s="1"/>
  <c r="B167" i="18" s="1"/>
  <c r="B168" i="18" s="1"/>
  <c r="B169" i="18" s="1"/>
  <c r="B170" i="18" s="1"/>
  <c r="D132" i="18"/>
  <c r="D129" i="18"/>
  <c r="D128" i="18" l="1"/>
  <c r="D133" i="18"/>
  <c r="H15" i="15"/>
  <c r="I11" i="15"/>
  <c r="I34" i="15" s="1" a="1"/>
  <c r="I34" i="15" s="1"/>
  <c r="K15" i="15" l="1"/>
  <c r="K37" i="15" s="1" a="1"/>
  <c r="K37" i="15" s="1"/>
  <c r="H37" i="15" a="1"/>
  <c r="H37" i="15" s="1"/>
  <c r="D127" i="18"/>
  <c r="A1" i="14"/>
  <c r="K95" i="13"/>
  <c r="I95" i="13"/>
  <c r="H95" i="13" s="1"/>
  <c r="B17" i="13"/>
  <c r="A1" i="13"/>
  <c r="F18" i="10"/>
  <c r="E62" i="5"/>
  <c r="D62" i="5"/>
  <c r="H51" i="5"/>
  <c r="F51" i="5"/>
  <c r="G51" i="5" s="1"/>
  <c r="F51" i="25"/>
  <c r="D51" i="25"/>
  <c r="P33" i="25"/>
  <c r="D53" i="25" l="1"/>
  <c r="C81" i="24"/>
  <c r="D40" i="12" l="1"/>
  <c r="E37" i="12" s="1"/>
  <c r="D74" i="12"/>
  <c r="D48" i="12" l="1"/>
  <c r="D61" i="12"/>
  <c r="D33" i="12" l="1"/>
  <c r="D9" i="12"/>
  <c r="E9" i="12" s="1"/>
  <c r="D7" i="12"/>
  <c r="E61" i="12"/>
  <c r="E21" i="13" s="1"/>
  <c r="D19" i="12"/>
  <c r="D17" i="12"/>
  <c r="E17" i="12" s="1"/>
  <c r="C51" i="12"/>
  <c r="C17" i="12"/>
  <c r="B12" i="12"/>
  <c r="C9" i="12"/>
  <c r="A1" i="12"/>
  <c r="N111" i="4"/>
  <c r="M111" i="4"/>
  <c r="K111" i="4"/>
  <c r="J111" i="4"/>
  <c r="E111" i="4"/>
  <c r="N110" i="4"/>
  <c r="M110" i="4"/>
  <c r="K110" i="4"/>
  <c r="J110" i="4"/>
  <c r="H110" i="4"/>
  <c r="G110" i="4"/>
  <c r="E110" i="4"/>
  <c r="N106" i="4"/>
  <c r="M106" i="4"/>
  <c r="K106" i="4"/>
  <c r="J106" i="4"/>
  <c r="H106" i="4"/>
  <c r="G106" i="4"/>
  <c r="E106" i="4"/>
  <c r="N96" i="4"/>
  <c r="K96" i="4"/>
  <c r="H96" i="4"/>
  <c r="G111" i="4"/>
  <c r="N63" i="4"/>
  <c r="M63" i="4"/>
  <c r="H63" i="4"/>
  <c r="G63" i="4"/>
  <c r="E63" i="4"/>
  <c r="K63" i="4"/>
  <c r="J63" i="4"/>
  <c r="N30" i="4"/>
  <c r="H30" i="4"/>
  <c r="G30" i="4"/>
  <c r="N23" i="4"/>
  <c r="M23" i="4"/>
  <c r="K22" i="4"/>
  <c r="J22" i="4"/>
  <c r="H22" i="4"/>
  <c r="G22" i="4"/>
  <c r="E16" i="4"/>
  <c r="E97" i="4" s="1"/>
  <c r="K15" i="4"/>
  <c r="J15" i="4"/>
  <c r="H16" i="4"/>
  <c r="E106" i="24"/>
  <c r="G64" i="25"/>
  <c r="K104" i="13"/>
  <c r="J104" i="13"/>
  <c r="I104" i="13"/>
  <c r="H104" i="13"/>
  <c r="L95" i="13"/>
  <c r="L104" i="13" s="1"/>
  <c r="H99" i="4" l="1"/>
  <c r="C12" i="12"/>
  <c r="C56" i="12"/>
  <c r="C63" i="12" s="1"/>
  <c r="D12" i="12"/>
  <c r="D37" i="4"/>
  <c r="D121" i="4" s="1"/>
  <c r="G99" i="4"/>
  <c r="N99" i="4"/>
  <c r="A32" i="15"/>
  <c r="A1" i="16"/>
  <c r="F64" i="12"/>
  <c r="G64" i="12"/>
  <c r="H64" i="12"/>
  <c r="I64" i="12"/>
  <c r="J64" i="12"/>
  <c r="K64" i="12"/>
  <c r="L64" i="12"/>
  <c r="M64" i="12"/>
  <c r="N64" i="12"/>
  <c r="E64" i="12"/>
  <c r="D46" i="17" l="1"/>
  <c r="D47" i="17" s="1"/>
  <c r="C46" i="17"/>
  <c r="C47" i="17" s="1"/>
  <c r="C124" i="12"/>
  <c r="C8" i="12"/>
  <c r="P34" i="5" l="1"/>
  <c r="N30" i="5"/>
  <c r="E59" i="25"/>
  <c r="E51" i="25"/>
  <c r="E53" i="24"/>
  <c r="C53" i="24"/>
  <c r="C51" i="25"/>
  <c r="G51" i="25" l="1"/>
  <c r="E53" i="25"/>
  <c r="D59" i="25"/>
  <c r="D60" i="25" s="1"/>
  <c r="G52" i="25"/>
  <c r="C53" i="25"/>
  <c r="H53" i="25" l="1"/>
  <c r="E60" i="25"/>
  <c r="C60" i="25"/>
  <c r="G53" i="25"/>
  <c r="G15" i="25" s="1"/>
  <c r="O38" i="15" l="1" a="1"/>
  <c r="O38" i="15" s="1"/>
  <c r="N38" i="15" a="1"/>
  <c r="N38" i="15" s="1"/>
  <c r="M38" i="15" a="1"/>
  <c r="M38" i="15" s="1"/>
  <c r="H38" i="15" a="1"/>
  <c r="H38" i="15" s="1"/>
  <c r="G38" i="15" a="1"/>
  <c r="G38" i="15" s="1"/>
  <c r="F38" i="15" a="1"/>
  <c r="F38" i="15" s="1"/>
  <c r="E38" i="15" a="1"/>
  <c r="E38" i="15" s="1"/>
  <c r="D38" i="15" a="1"/>
  <c r="D38" i="15" s="1"/>
  <c r="C38" i="15" a="1"/>
  <c r="C38" i="15" s="1"/>
  <c r="O32" i="15" a="1"/>
  <c r="O32" i="15" s="1"/>
  <c r="N32" i="15" a="1"/>
  <c r="N32" i="15" s="1"/>
  <c r="M32" i="15" a="1"/>
  <c r="M32" i="15" s="1"/>
  <c r="H32" i="15" a="1"/>
  <c r="H32" i="15" s="1"/>
  <c r="G32" i="15" a="1"/>
  <c r="G32" i="15" s="1"/>
  <c r="F32" i="15" a="1"/>
  <c r="F32" i="15" s="1"/>
  <c r="E32" i="15" a="1"/>
  <c r="E32" i="15" s="1"/>
  <c r="D32" i="15" a="1"/>
  <c r="D32" i="15" s="1"/>
  <c r="C32" i="15" a="1"/>
  <c r="C32" i="15" s="1"/>
  <c r="N7" i="15"/>
  <c r="K7" i="15"/>
  <c r="J7" i="15"/>
  <c r="C86" i="24" l="1"/>
  <c r="C87" i="24" s="1"/>
  <c r="C106" i="24"/>
  <c r="F106" i="24" s="1"/>
  <c r="J17" i="15"/>
  <c r="J14" i="15"/>
  <c r="J13" i="15"/>
  <c r="J8" i="15"/>
  <c r="J36" i="15" s="1" a="1"/>
  <c r="J36" i="15" s="1"/>
  <c r="J19" i="12"/>
  <c r="L19" i="12" s="1"/>
  <c r="M19" i="12" s="1"/>
  <c r="N19" i="12" s="1"/>
  <c r="D69" i="12"/>
  <c r="D73" i="12"/>
  <c r="D92" i="12"/>
  <c r="D22" i="12"/>
  <c r="D88" i="12"/>
  <c r="D85" i="12"/>
  <c r="D84" i="12"/>
  <c r="C86" i="12"/>
  <c r="D75" i="12"/>
  <c r="C139" i="12"/>
  <c r="C107" i="24"/>
  <c r="G16" i="4"/>
  <c r="H111" i="4"/>
  <c r="K127" i="4"/>
  <c r="J127" i="4"/>
  <c r="N32" i="4"/>
  <c r="K25" i="4"/>
  <c r="J25" i="4"/>
  <c r="J30" i="4" s="1"/>
  <c r="E20" i="4"/>
  <c r="K30" i="4" l="1"/>
  <c r="K99" i="4" s="1"/>
  <c r="C55" i="5"/>
  <c r="H52" i="5"/>
  <c r="G52" i="5"/>
  <c r="D57" i="12"/>
  <c r="D11" i="12" s="1"/>
  <c r="E39" i="12" s="1"/>
  <c r="E30" i="4"/>
  <c r="E99" i="4" s="1"/>
  <c r="M32" i="4"/>
  <c r="M30" i="4"/>
  <c r="M99" i="4" s="1"/>
  <c r="E88" i="12"/>
  <c r="E109" i="12" s="1"/>
  <c r="D24" i="12"/>
  <c r="D137" i="12"/>
  <c r="D18" i="12"/>
  <c r="E18" i="12" s="1"/>
  <c r="D49" i="12"/>
  <c r="D46" i="12"/>
  <c r="E43" i="12" s="1"/>
  <c r="D130" i="12"/>
  <c r="D133" i="12" s="1"/>
  <c r="D34" i="12"/>
  <c r="E31" i="12" s="1"/>
  <c r="D51" i="12"/>
  <c r="D114" i="12"/>
  <c r="E112" i="12" s="1"/>
  <c r="D76" i="12"/>
  <c r="D81" i="12" s="1"/>
  <c r="D50" i="12"/>
  <c r="D86" i="12"/>
  <c r="D90" i="12" s="1"/>
  <c r="D93" i="12" s="1"/>
  <c r="D20" i="12"/>
  <c r="E20" i="12" s="1"/>
  <c r="D129" i="12" a="1"/>
  <c r="D129" i="12" s="1"/>
  <c r="C30" i="15" a="1"/>
  <c r="C30" i="15" s="1"/>
  <c r="I30" i="15" a="1"/>
  <c r="I30" i="15" s="1"/>
  <c r="L30" i="15" a="1"/>
  <c r="L30" i="15" s="1"/>
  <c r="H30" i="15" a="1"/>
  <c r="H30" i="15" s="1"/>
  <c r="O30" i="15" a="1"/>
  <c r="O30" i="15" s="1"/>
  <c r="G30" i="15" a="1"/>
  <c r="G30" i="15" s="1"/>
  <c r="N30" i="15" a="1"/>
  <c r="N30" i="15" s="1"/>
  <c r="F30" i="15" a="1"/>
  <c r="F30" i="15" s="1"/>
  <c r="M30" i="15" a="1"/>
  <c r="M30" i="15" s="1"/>
  <c r="E30" i="15" a="1"/>
  <c r="E30" i="15" s="1"/>
  <c r="D30" i="15" a="1"/>
  <c r="D30" i="15" s="1"/>
  <c r="E108" i="4"/>
  <c r="E107" i="4"/>
  <c r="E98" i="4"/>
  <c r="C76" i="12"/>
  <c r="C49" i="12"/>
  <c r="C18" i="12"/>
  <c r="J99" i="4"/>
  <c r="D56" i="12"/>
  <c r="D63" i="12" s="1"/>
  <c r="C33" i="12"/>
  <c r="D32" i="12"/>
  <c r="N90" i="4"/>
  <c r="M90" i="4"/>
  <c r="K90" i="4"/>
  <c r="J90" i="4"/>
  <c r="H90" i="4"/>
  <c r="G90" i="4"/>
  <c r="E90" i="4"/>
  <c r="C62" i="5" l="1"/>
  <c r="G55" i="5"/>
  <c r="G15" i="5" s="1"/>
  <c r="H55" i="5"/>
  <c r="E57" i="12"/>
  <c r="E99" i="12"/>
  <c r="D58" i="12"/>
  <c r="D52" i="12"/>
  <c r="D128" i="12" s="1"/>
  <c r="E118" i="12"/>
  <c r="D10" i="12"/>
  <c r="D122" i="12"/>
  <c r="D140" i="12"/>
  <c r="D138" i="12"/>
  <c r="D95" i="12"/>
  <c r="D8" i="12"/>
  <c r="D139" i="12"/>
  <c r="D124" i="12"/>
  <c r="D64" i="18"/>
  <c r="E64" i="18"/>
  <c r="F64" i="18"/>
  <c r="D113" i="18" l="1"/>
  <c r="N44" i="4" l="1"/>
  <c r="N45" i="4" s="1"/>
  <c r="M44" i="4"/>
  <c r="M45" i="4" s="1"/>
  <c r="H44" i="4"/>
  <c r="H45" i="4" s="1"/>
  <c r="G44" i="4"/>
  <c r="K44" i="4"/>
  <c r="K48" i="4" s="1"/>
  <c r="J44" i="4"/>
  <c r="J48" i="4" s="1"/>
  <c r="K45" i="4" l="1"/>
  <c r="G45" i="4"/>
  <c r="J45" i="4"/>
  <c r="M112" i="4" l="1"/>
  <c r="N112" i="4"/>
  <c r="N97" i="4"/>
  <c r="K97" i="4" l="1"/>
  <c r="N41" i="4" l="1"/>
  <c r="N48" i="4" s="1"/>
  <c r="N37" i="4"/>
  <c r="M37" i="4"/>
  <c r="F21" i="10" l="1"/>
  <c r="F17" i="10"/>
  <c r="F16" i="10"/>
  <c r="F15" i="10"/>
  <c r="F14" i="10"/>
  <c r="F13" i="10"/>
  <c r="F11" i="10"/>
  <c r="F12" i="10"/>
  <c r="W32" i="10" l="1"/>
  <c r="W31" i="10"/>
  <c r="V32" i="10"/>
  <c r="V31" i="10"/>
  <c r="P32" i="5"/>
  <c r="P30" i="5"/>
  <c r="P29" i="5"/>
  <c r="P31" i="5"/>
  <c r="P33" i="5"/>
  <c r="P35" i="5"/>
  <c r="P28" i="5"/>
  <c r="H72" i="4" l="1"/>
  <c r="G63" i="5"/>
  <c r="G66" i="5" s="1"/>
  <c r="H86" i="4"/>
  <c r="H41" i="4"/>
  <c r="H37" i="4"/>
  <c r="J16" i="15"/>
  <c r="K16" i="15"/>
  <c r="K20" i="15"/>
  <c r="K30" i="15" s="1" a="1"/>
  <c r="K30" i="15" s="1"/>
  <c r="J20" i="15"/>
  <c r="J30" i="15" s="1" a="1"/>
  <c r="J30" i="15" s="1"/>
  <c r="H48" i="4" l="1"/>
  <c r="C10" i="5"/>
  <c r="K32" i="15" a="1"/>
  <c r="K32" i="15" s="1"/>
  <c r="H112" i="4"/>
  <c r="H116" i="4"/>
  <c r="H117" i="4"/>
  <c r="H33" i="4"/>
  <c r="H131" i="4" s="1"/>
  <c r="H91" i="4"/>
  <c r="I60" i="17"/>
  <c r="I61" i="17" s="1"/>
  <c r="H100" i="4" l="1"/>
  <c r="H132" i="4"/>
  <c r="H119" i="4"/>
  <c r="H102" i="4"/>
  <c r="H113" i="4" s="1"/>
  <c r="H133" i="4"/>
  <c r="H118" i="4"/>
  <c r="H120" i="4"/>
  <c r="H121" i="4"/>
  <c r="H134" i="4" l="1"/>
  <c r="N86" i="4"/>
  <c r="N72" i="4"/>
  <c r="N20" i="4"/>
  <c r="M20" i="4"/>
  <c r="K86" i="4"/>
  <c r="K72" i="4"/>
  <c r="K41" i="4"/>
  <c r="K37" i="4"/>
  <c r="K20" i="4"/>
  <c r="E86" i="4"/>
  <c r="C20" i="12"/>
  <c r="C48" i="12"/>
  <c r="C22" i="12"/>
  <c r="C19" i="12"/>
  <c r="C10" i="12"/>
  <c r="E44" i="4"/>
  <c r="H97" i="4"/>
  <c r="M86" i="4"/>
  <c r="M72" i="4"/>
  <c r="M41" i="4"/>
  <c r="M48" i="4" s="1"/>
  <c r="J86" i="4"/>
  <c r="J72" i="4"/>
  <c r="J41" i="4"/>
  <c r="J37" i="4"/>
  <c r="J112" i="4"/>
  <c r="J20" i="4"/>
  <c r="G86" i="4"/>
  <c r="G72" i="4"/>
  <c r="G41" i="4"/>
  <c r="G48" i="4" s="1"/>
  <c r="G37" i="4"/>
  <c r="G20" i="4"/>
  <c r="N107" i="4" l="1"/>
  <c r="N98" i="4"/>
  <c r="N108" i="4"/>
  <c r="M108" i="4"/>
  <c r="M107" i="4"/>
  <c r="M98" i="4"/>
  <c r="K108" i="4"/>
  <c r="K107" i="4"/>
  <c r="K98" i="4"/>
  <c r="E45" i="4"/>
  <c r="J107" i="4"/>
  <c r="J98" i="4"/>
  <c r="J108" i="4"/>
  <c r="G108" i="4"/>
  <c r="G107" i="4"/>
  <c r="G98" i="4"/>
  <c r="C50" i="12"/>
  <c r="C52" i="12" s="1"/>
  <c r="C128" i="12" s="1"/>
  <c r="G116" i="4"/>
  <c r="G117" i="4"/>
  <c r="N33" i="4"/>
  <c r="M116" i="4"/>
  <c r="M117" i="4"/>
  <c r="G33" i="4"/>
  <c r="G131" i="4" s="1"/>
  <c r="M33" i="4"/>
  <c r="K33" i="4"/>
  <c r="J116" i="4"/>
  <c r="J117" i="4"/>
  <c r="N116" i="4"/>
  <c r="N117" i="4"/>
  <c r="K116" i="4"/>
  <c r="K117" i="4"/>
  <c r="G112" i="4"/>
  <c r="N91" i="4"/>
  <c r="K91" i="4"/>
  <c r="E91" i="4"/>
  <c r="J91" i="4"/>
  <c r="M91" i="4"/>
  <c r="G91" i="4"/>
  <c r="J33" i="4"/>
  <c r="M131" i="4" l="1"/>
  <c r="M132" i="4" s="1"/>
  <c r="M100" i="4"/>
  <c r="N131" i="4"/>
  <c r="N132" i="4" s="1"/>
  <c r="N100" i="4"/>
  <c r="J131" i="4"/>
  <c r="J132" i="4" s="1"/>
  <c r="J100" i="4"/>
  <c r="K131" i="4"/>
  <c r="K132" i="4" s="1"/>
  <c r="K100" i="4"/>
  <c r="G132" i="4"/>
  <c r="G100" i="4"/>
  <c r="J121" i="4"/>
  <c r="G121" i="4"/>
  <c r="G120" i="4"/>
  <c r="G119" i="4"/>
  <c r="G102" i="4"/>
  <c r="G113" i="4" s="1"/>
  <c r="G118" i="4"/>
  <c r="K120" i="4"/>
  <c r="K102" i="4"/>
  <c r="K113" i="4" s="1"/>
  <c r="K119" i="4"/>
  <c r="K118" i="4"/>
  <c r="M121" i="4"/>
  <c r="K121" i="4"/>
  <c r="M120" i="4"/>
  <c r="M119" i="4"/>
  <c r="M118" i="4"/>
  <c r="M102" i="4"/>
  <c r="M113" i="4" s="1"/>
  <c r="N120" i="4"/>
  <c r="N118" i="4"/>
  <c r="N119" i="4"/>
  <c r="N102" i="4"/>
  <c r="N113" i="4" s="1"/>
  <c r="N121" i="4"/>
  <c r="J120" i="4"/>
  <c r="J118" i="4"/>
  <c r="J102" i="4"/>
  <c r="J113" i="4" s="1"/>
  <c r="J119" i="4"/>
  <c r="K112" i="4"/>
  <c r="J77" i="13" l="1"/>
  <c r="E51" i="24"/>
  <c r="E54" i="24" s="1"/>
  <c r="C54" i="24" l="1"/>
  <c r="F51" i="24"/>
  <c r="AF9" i="10"/>
  <c r="F54" i="24" l="1"/>
  <c r="B10" i="10"/>
  <c r="N19" i="15"/>
  <c r="I12" i="15"/>
  <c r="I35" i="15" s="1" a="1"/>
  <c r="I35" i="15" s="1"/>
  <c r="D30" i="17"/>
  <c r="C30" i="17"/>
  <c r="AF10" i="10"/>
  <c r="Q10" i="10"/>
  <c r="F31" i="15" l="1" a="1"/>
  <c r="F31" i="15" s="1"/>
  <c r="D31" i="15" a="1"/>
  <c r="D31" i="15" s="1"/>
  <c r="O31" i="15" a="1"/>
  <c r="O31" i="15" s="1"/>
  <c r="E31" i="15" a="1"/>
  <c r="E31" i="15" s="1"/>
  <c r="N31" i="15" a="1"/>
  <c r="N31" i="15" s="1"/>
  <c r="M31" i="15" a="1"/>
  <c r="M31" i="15" s="1"/>
  <c r="C31" i="15" a="1"/>
  <c r="C31" i="15" s="1"/>
  <c r="G31" i="15" a="1"/>
  <c r="G31" i="15" s="1"/>
  <c r="I31" i="15" a="1"/>
  <c r="I31" i="15" s="1"/>
  <c r="H31" i="15" a="1"/>
  <c r="H31" i="15" s="1"/>
  <c r="E11" i="16"/>
  <c r="E10" i="16"/>
  <c r="B11" i="10"/>
  <c r="B12" i="10" s="1"/>
  <c r="B13" i="10" s="1"/>
  <c r="L12" i="15"/>
  <c r="L35" i="15" s="1" a="1"/>
  <c r="L35" i="15" s="1"/>
  <c r="D10" i="10"/>
  <c r="B15" i="10" l="1"/>
  <c r="B16" i="10" s="1"/>
  <c r="B17" i="10" s="1"/>
  <c r="E12" i="16"/>
  <c r="C130" i="12"/>
  <c r="D131" i="12" l="1"/>
  <c r="D63" i="18"/>
  <c r="D102" i="18" s="1"/>
  <c r="E63" i="18"/>
  <c r="E102" i="18" s="1"/>
  <c r="F63" i="18"/>
  <c r="F102" i="18" s="1"/>
  <c r="C133" i="12"/>
  <c r="D134" i="12" s="1"/>
  <c r="G133" i="4" l="1"/>
  <c r="G134" i="4" l="1"/>
  <c r="G136" i="4"/>
  <c r="E191" i="18" l="1"/>
  <c r="F191" i="18" s="1"/>
  <c r="D18" i="18"/>
  <c r="D19" i="18"/>
  <c r="D20" i="18"/>
  <c r="D21" i="18"/>
  <c r="B19" i="18"/>
  <c r="B20" i="18"/>
  <c r="B21" i="18"/>
  <c r="B18" i="18"/>
  <c r="C19" i="18"/>
  <c r="C20" i="18"/>
  <c r="C21" i="18"/>
  <c r="C18" i="18"/>
  <c r="C15" i="18"/>
  <c r="C36" i="18"/>
  <c r="E21" i="18" l="1"/>
  <c r="E20" i="18"/>
  <c r="E19" i="18"/>
  <c r="E18" i="18"/>
  <c r="K21" i="15" l="1"/>
  <c r="K10" i="15"/>
  <c r="K12" i="15"/>
  <c r="K35" i="15" s="1" a="1"/>
  <c r="K35" i="15" s="1"/>
  <c r="K18" i="15"/>
  <c r="K9" i="15"/>
  <c r="K11" i="15"/>
  <c r="K19" i="15"/>
  <c r="J21" i="15"/>
  <c r="J10" i="15"/>
  <c r="J33" i="15" s="1" a="1"/>
  <c r="J33" i="15" s="1"/>
  <c r="J12" i="15"/>
  <c r="J35" i="15" s="1" a="1"/>
  <c r="J35" i="15" s="1"/>
  <c r="J18" i="15"/>
  <c r="J9" i="15"/>
  <c r="J19" i="15"/>
  <c r="K38" i="15" l="1" a="1"/>
  <c r="K38" i="15" s="1"/>
  <c r="K33" i="15" a="1"/>
  <c r="K33" i="15" s="1"/>
  <c r="K31" i="15" a="1"/>
  <c r="K31" i="15" s="1"/>
  <c r="K34" i="15" a="1"/>
  <c r="K34" i="15" s="1"/>
  <c r="L11" i="15"/>
  <c r="J11" i="15"/>
  <c r="J31" i="15" l="1" a="1"/>
  <c r="J31" i="15" s="1"/>
  <c r="J34" i="15" a="1"/>
  <c r="J34" i="15" s="1"/>
  <c r="L31" i="15" a="1"/>
  <c r="L31" i="15" s="1"/>
  <c r="L34" i="15" a="1"/>
  <c r="L34" i="15" s="1"/>
  <c r="H9" i="25"/>
  <c r="C137" i="12" l="1"/>
  <c r="C138" i="12" s="1"/>
  <c r="C129" i="12" a="1"/>
  <c r="C129" i="12" s="1"/>
  <c r="C11" i="18"/>
  <c r="C131" i="18" l="1"/>
  <c r="C130" i="18"/>
  <c r="C129" i="18"/>
  <c r="C132" i="18"/>
  <c r="C128" i="18"/>
  <c r="C133" i="18"/>
  <c r="C127" i="18"/>
  <c r="C160" i="18"/>
  <c r="C170" i="18"/>
  <c r="C14" i="18"/>
  <c r="C159" i="18"/>
  <c r="C158" i="18"/>
  <c r="C157" i="18"/>
  <c r="C140" i="12"/>
  <c r="F20" i="18" l="1"/>
  <c r="F18" i="18"/>
  <c r="F19" i="18"/>
  <c r="F21" i="18"/>
  <c r="F22" i="18" l="1"/>
  <c r="C24" i="18" s="1"/>
  <c r="F106" i="18" l="1"/>
  <c r="E106" i="18"/>
  <c r="D106" i="18"/>
  <c r="D158" i="18"/>
  <c r="E158" i="18" s="1"/>
  <c r="D166" i="18"/>
  <c r="D159" i="18"/>
  <c r="E159" i="18" s="1"/>
  <c r="D167" i="18"/>
  <c r="D160" i="18"/>
  <c r="E160" i="18" s="1"/>
  <c r="D168" i="18"/>
  <c r="D164" i="18"/>
  <c r="D161" i="18"/>
  <c r="D169" i="18"/>
  <c r="D162" i="18"/>
  <c r="D170" i="18"/>
  <c r="E170" i="18" s="1"/>
  <c r="D163" i="18"/>
  <c r="D157" i="18"/>
  <c r="E157" i="18" s="1"/>
  <c r="D165" i="18"/>
  <c r="C25" i="18"/>
  <c r="C94" i="18" l="1"/>
  <c r="J8" i="4"/>
  <c r="C182" i="18" l="1"/>
  <c r="D141" i="18"/>
  <c r="M8" i="4"/>
  <c r="G8" i="4"/>
  <c r="H7" i="25" l="1"/>
  <c r="G24" i="25" s="1"/>
  <c r="C10" i="10"/>
  <c r="C8" i="14" l="1"/>
  <c r="C29" i="24" l="1"/>
  <c r="C33" i="24" l="1"/>
  <c r="C34" i="24" s="1"/>
  <c r="C98" i="24"/>
  <c r="F121" i="24" l="1"/>
  <c r="O8" i="10"/>
  <c r="N8" i="10"/>
  <c r="L75" i="25"/>
  <c r="K75" i="25"/>
  <c r="J75" i="25"/>
  <c r="I75" i="25"/>
  <c r="G72" i="25"/>
  <c r="B66" i="25"/>
  <c r="B64" i="25"/>
  <c r="B63" i="25"/>
  <c r="H59" i="25"/>
  <c r="G59" i="25"/>
  <c r="E58" i="25"/>
  <c r="D58" i="25"/>
  <c r="L57" i="25"/>
  <c r="K57" i="25"/>
  <c r="J57" i="25"/>
  <c r="I57" i="25"/>
  <c r="H57" i="25"/>
  <c r="G57" i="25"/>
  <c r="F57" i="25"/>
  <c r="E57" i="25"/>
  <c r="D57" i="25"/>
  <c r="C57" i="25"/>
  <c r="H42" i="25"/>
  <c r="C41" i="25"/>
  <c r="J37" i="25"/>
  <c r="G37" i="25"/>
  <c r="P35" i="25"/>
  <c r="P34" i="25"/>
  <c r="P32" i="25"/>
  <c r="P31" i="25"/>
  <c r="P30" i="25"/>
  <c r="P29" i="25"/>
  <c r="P28" i="25"/>
  <c r="G19" i="25"/>
  <c r="E13" i="25"/>
  <c r="C13" i="25"/>
  <c r="C9" i="25"/>
  <c r="H8" i="25"/>
  <c r="H13" i="25"/>
  <c r="H19" i="25" s="1"/>
  <c r="E5" i="25"/>
  <c r="AH10" i="10"/>
  <c r="AK10" i="10"/>
  <c r="E10" i="10"/>
  <c r="H8" i="14" l="1"/>
  <c r="D8" i="14"/>
  <c r="C58" i="25"/>
  <c r="I58" i="25" s="1"/>
  <c r="J58" i="25" s="1"/>
  <c r="K58" i="25" s="1"/>
  <c r="L58" i="25" s="1"/>
  <c r="G41" i="25"/>
  <c r="D29" i="25"/>
  <c r="W36" i="10"/>
  <c r="V8" i="10"/>
  <c r="R8" i="10"/>
  <c r="W8" i="10"/>
  <c r="S8" i="10"/>
  <c r="E51" i="13"/>
  <c r="H51" i="13" s="1"/>
  <c r="C27" i="18"/>
  <c r="C6" i="17"/>
  <c r="E52" i="13"/>
  <c r="H52" i="13" s="1"/>
  <c r="C26" i="18"/>
  <c r="V36" i="10"/>
  <c r="C5" i="17"/>
  <c r="I41" i="25"/>
  <c r="J41" i="25" s="1"/>
  <c r="K41" i="25" s="1"/>
  <c r="L41" i="25" s="1"/>
  <c r="H41" i="25"/>
  <c r="D36" i="25"/>
  <c r="D37" i="25" s="1"/>
  <c r="P36" i="25"/>
  <c r="D32" i="25" s="1"/>
  <c r="D33" i="25" s="1"/>
  <c r="F10" i="10"/>
  <c r="I13" i="25"/>
  <c r="I19" i="25" s="1"/>
  <c r="J13" i="25"/>
  <c r="J19" i="25" s="1"/>
  <c r="I59" i="25"/>
  <c r="H75" i="25"/>
  <c r="G58" i="25"/>
  <c r="K13" i="25"/>
  <c r="K19" i="25" s="1"/>
  <c r="G42" i="25"/>
  <c r="G73" i="25"/>
  <c r="E45" i="18" l="1"/>
  <c r="D51" i="18"/>
  <c r="H58" i="25"/>
  <c r="D34" i="25"/>
  <c r="H6" i="25" s="1"/>
  <c r="AA36" i="10"/>
  <c r="Z36" i="10"/>
  <c r="H94" i="18"/>
  <c r="D143" i="18"/>
  <c r="C29" i="18"/>
  <c r="C95" i="18" s="1"/>
  <c r="C97" i="18" s="1"/>
  <c r="I73" i="25"/>
  <c r="K73" i="25"/>
  <c r="I60" i="25"/>
  <c r="G14" i="25"/>
  <c r="D41" i="15" s="1"/>
  <c r="C22" i="25"/>
  <c r="C7" i="17"/>
  <c r="G60" i="25"/>
  <c r="H60" i="25"/>
  <c r="J59" i="25"/>
  <c r="AG9" i="10"/>
  <c r="F45" i="18" l="1"/>
  <c r="E51" i="18"/>
  <c r="E9" i="16"/>
  <c r="C11" i="17"/>
  <c r="F160" i="18"/>
  <c r="F170" i="18"/>
  <c r="D31" i="17"/>
  <c r="C31" i="17"/>
  <c r="J60" i="25"/>
  <c r="G63" i="25"/>
  <c r="C12" i="17"/>
  <c r="D42" i="15"/>
  <c r="K59" i="25"/>
  <c r="J73" i="25"/>
  <c r="I74" i="25" s="1"/>
  <c r="F51" i="18" l="1"/>
  <c r="K60" i="25"/>
  <c r="H15" i="25"/>
  <c r="H16" i="25"/>
  <c r="H22" i="25" s="1"/>
  <c r="J74" i="25"/>
  <c r="K74" i="25"/>
  <c r="I63" i="25"/>
  <c r="H14" i="25"/>
  <c r="L74" i="25"/>
  <c r="L63" i="25" s="1"/>
  <c r="L67" i="25" s="1"/>
  <c r="R9" i="10"/>
  <c r="I16" i="25" l="1"/>
  <c r="I22" i="25" s="1"/>
  <c r="I15" i="25"/>
  <c r="J16" i="25"/>
  <c r="J22" i="25" s="1"/>
  <c r="J15" i="25"/>
  <c r="K16" i="25"/>
  <c r="K22" i="25" s="1"/>
  <c r="K15" i="25"/>
  <c r="V34" i="10"/>
  <c r="Z34" i="10"/>
  <c r="J63" i="25"/>
  <c r="K63" i="25"/>
  <c r="J14" i="25"/>
  <c r="I14" i="25"/>
  <c r="K14" i="25"/>
  <c r="S9" i="10"/>
  <c r="W34" i="10" l="1"/>
  <c r="D11" i="17"/>
  <c r="AA34" i="10"/>
  <c r="D12" i="17"/>
  <c r="E37" i="4" l="1"/>
  <c r="E33" i="4" l="1"/>
  <c r="E131" i="4" l="1"/>
  <c r="E132" i="4" s="1"/>
  <c r="E100" i="4"/>
  <c r="E72" i="4"/>
  <c r="E121" i="4" l="1"/>
  <c r="E41" i="4"/>
  <c r="D14" i="12" s="1"/>
  <c r="C10" i="25" l="1"/>
  <c r="E48" i="4"/>
  <c r="E102" i="4"/>
  <c r="E113" i="4" s="1"/>
  <c r="E112" i="4"/>
  <c r="E116" i="4"/>
  <c r="E117" i="4"/>
  <c r="E118" i="4"/>
  <c r="E119" i="4"/>
  <c r="E120" i="4"/>
  <c r="D19" i="14" l="1"/>
  <c r="C12" i="18"/>
  <c r="D107" i="18" s="1"/>
  <c r="E14" i="12"/>
  <c r="E6" i="16"/>
  <c r="C23" i="25"/>
  <c r="H44" i="22"/>
  <c r="F44" i="22"/>
  <c r="D44" i="22"/>
  <c r="R43" i="22"/>
  <c r="P43" i="22"/>
  <c r="N43" i="22"/>
  <c r="L43" i="22"/>
  <c r="L40" i="22"/>
  <c r="N40" i="22" s="1"/>
  <c r="P40" i="22" s="1"/>
  <c r="R40" i="22" s="1"/>
  <c r="F40" i="22"/>
  <c r="D40" i="22"/>
  <c r="B13" i="22"/>
  <c r="M2" i="20"/>
  <c r="L2" i="20"/>
  <c r="K2" i="20"/>
  <c r="J2" i="20"/>
  <c r="I2" i="20"/>
  <c r="H2" i="20"/>
  <c r="G2" i="20"/>
  <c r="F2" i="20"/>
  <c r="D2" i="20"/>
  <c r="C2" i="20"/>
  <c r="B37" i="18"/>
  <c r="A1" i="18"/>
  <c r="B53" i="17"/>
  <c r="B52" i="17"/>
  <c r="G28" i="16"/>
  <c r="H28" i="16" s="1"/>
  <c r="D25" i="14"/>
  <c r="J113" i="13"/>
  <c r="J86" i="13"/>
  <c r="L113" i="13"/>
  <c r="I113" i="13"/>
  <c r="K68" i="13"/>
  <c r="L68" i="13" s="1"/>
  <c r="I68" i="13"/>
  <c r="H68" i="13" s="1"/>
  <c r="G41" i="13"/>
  <c r="H41" i="13" s="1"/>
  <c r="I41" i="13" s="1"/>
  <c r="J41" i="13" s="1"/>
  <c r="K41" i="13" s="1"/>
  <c r="L41" i="13" s="1"/>
  <c r="M41" i="13" s="1"/>
  <c r="N41" i="13" s="1"/>
  <c r="D3" i="12"/>
  <c r="D3" i="16" s="1"/>
  <c r="Y24" i="10"/>
  <c r="U24" i="10"/>
  <c r="W24" i="10"/>
  <c r="V24" i="10"/>
  <c r="AA8" i="10"/>
  <c r="L77" i="5"/>
  <c r="K77" i="5"/>
  <c r="J77" i="5"/>
  <c r="I77" i="5"/>
  <c r="G74" i="5"/>
  <c r="B68" i="5"/>
  <c r="B66" i="5"/>
  <c r="B65" i="5"/>
  <c r="H61" i="5"/>
  <c r="G61" i="5"/>
  <c r="E60" i="5"/>
  <c r="D60" i="5"/>
  <c r="L59" i="5"/>
  <c r="K59" i="5"/>
  <c r="J59" i="5"/>
  <c r="I59" i="5"/>
  <c r="H59" i="5"/>
  <c r="G59" i="5"/>
  <c r="F59" i="5"/>
  <c r="E59" i="5"/>
  <c r="D59" i="5"/>
  <c r="C59" i="5"/>
  <c r="H42" i="5"/>
  <c r="I54" i="5" s="1"/>
  <c r="C41" i="5"/>
  <c r="H41" i="5" s="1"/>
  <c r="J37" i="5"/>
  <c r="G37" i="5"/>
  <c r="G19" i="5"/>
  <c r="E13" i="5"/>
  <c r="C13" i="5"/>
  <c r="G60" i="5" s="1"/>
  <c r="H9" i="5"/>
  <c r="C9" i="5"/>
  <c r="H8" i="5"/>
  <c r="C8" i="5"/>
  <c r="K13" i="5" s="1"/>
  <c r="K19" i="5" s="1"/>
  <c r="H7" i="5"/>
  <c r="C7" i="5"/>
  <c r="E5" i="5"/>
  <c r="A1" i="4"/>
  <c r="A1" i="3"/>
  <c r="AJ10" i="10"/>
  <c r="D9" i="10"/>
  <c r="G24" i="5" l="1"/>
  <c r="I55" i="5"/>
  <c r="J54" i="5"/>
  <c r="D26" i="14"/>
  <c r="F107" i="18"/>
  <c r="E107" i="18"/>
  <c r="E3" i="12"/>
  <c r="C3" i="12"/>
  <c r="F109" i="18"/>
  <c r="D109" i="18"/>
  <c r="E109" i="18"/>
  <c r="D110" i="18"/>
  <c r="E110" i="18"/>
  <c r="F110" i="18"/>
  <c r="C54" i="17"/>
  <c r="F54" i="17"/>
  <c r="I77" i="13"/>
  <c r="H77" i="13" s="1"/>
  <c r="K77" i="13"/>
  <c r="L77" i="13" s="1"/>
  <c r="K113" i="13"/>
  <c r="C60" i="5"/>
  <c r="I60" i="5" s="1"/>
  <c r="J60" i="5" s="1"/>
  <c r="K60" i="5" s="1"/>
  <c r="L60" i="5" s="1"/>
  <c r="K86" i="13"/>
  <c r="L86" i="13" s="1"/>
  <c r="I86" i="13"/>
  <c r="H86" i="13" s="1"/>
  <c r="H113" i="13"/>
  <c r="I61" i="5"/>
  <c r="H77" i="5"/>
  <c r="D36" i="5"/>
  <c r="D37" i="5" s="1"/>
  <c r="C23" i="5" s="1"/>
  <c r="G41" i="5"/>
  <c r="I41" i="5"/>
  <c r="J41" i="5" s="1"/>
  <c r="K41" i="5" s="1"/>
  <c r="L41" i="5" s="1"/>
  <c r="H13" i="5"/>
  <c r="H19" i="5" s="1"/>
  <c r="J13" i="5"/>
  <c r="J19" i="5" s="1"/>
  <c r="Z8" i="10"/>
  <c r="Z24" i="10" s="1"/>
  <c r="C9" i="10"/>
  <c r="D23" i="17" l="1"/>
  <c r="C23" i="17"/>
  <c r="D17" i="17"/>
  <c r="C17" i="17"/>
  <c r="C25" i="10"/>
  <c r="K54" i="5"/>
  <c r="K55" i="5" s="1"/>
  <c r="J55" i="5"/>
  <c r="C3" i="20"/>
  <c r="C3" i="16"/>
  <c r="F3" i="12"/>
  <c r="F3" i="16" s="1"/>
  <c r="E3" i="16"/>
  <c r="I62" i="5"/>
  <c r="D54" i="17"/>
  <c r="B5" i="15"/>
  <c r="G42" i="5"/>
  <c r="C33" i="17"/>
  <c r="D33" i="17" s="1"/>
  <c r="E15" i="16"/>
  <c r="J61" i="5"/>
  <c r="H60" i="5"/>
  <c r="AA24" i="10"/>
  <c r="I13" i="5"/>
  <c r="I19" i="5" s="1"/>
  <c r="G75" i="5"/>
  <c r="D3" i="20"/>
  <c r="E9" i="10"/>
  <c r="D10" i="17" l="1"/>
  <c r="G3" i="12"/>
  <c r="G14" i="5"/>
  <c r="C22" i="5"/>
  <c r="I75" i="5"/>
  <c r="K75" i="5"/>
  <c r="H20" i="16"/>
  <c r="G20" i="16"/>
  <c r="F20" i="16"/>
  <c r="J62" i="5"/>
  <c r="F9" i="10"/>
  <c r="AK9" i="10"/>
  <c r="AD9" i="10"/>
  <c r="M9" i="10"/>
  <c r="AI9" i="10"/>
  <c r="M10" i="10"/>
  <c r="AD25" i="10" l="1"/>
  <c r="H3" i="12"/>
  <c r="G3" i="16"/>
  <c r="H5" i="15"/>
  <c r="H25" i="15" s="1"/>
  <c r="H28" i="15" s="1" a="1"/>
  <c r="H28" i="15" s="1"/>
  <c r="F157" i="18"/>
  <c r="F158" i="18"/>
  <c r="F159" i="18"/>
  <c r="K61" i="5"/>
  <c r="B55" i="17"/>
  <c r="H62" i="5"/>
  <c r="E113" i="18"/>
  <c r="F113" i="18"/>
  <c r="E134" i="4"/>
  <c r="J133" i="4"/>
  <c r="J136" i="4" s="1"/>
  <c r="K133" i="4"/>
  <c r="N133" i="4"/>
  <c r="N134" i="4" s="1"/>
  <c r="M133" i="4"/>
  <c r="E148" i="18"/>
  <c r="E188" i="18"/>
  <c r="E3" i="20"/>
  <c r="AH9" i="10"/>
  <c r="I3" i="12" l="1"/>
  <c r="H3" i="16"/>
  <c r="K62" i="5"/>
  <c r="D188" i="18"/>
  <c r="D148" i="18"/>
  <c r="F188" i="18"/>
  <c r="F148" i="18"/>
  <c r="J75" i="5"/>
  <c r="K76" i="5" s="1"/>
  <c r="J134" i="4"/>
  <c r="M136" i="4"/>
  <c r="M134" i="4"/>
  <c r="K134" i="4"/>
  <c r="F3" i="20"/>
  <c r="J3" i="12" l="1"/>
  <c r="K3" i="12" s="1"/>
  <c r="L3" i="12" s="1"/>
  <c r="M3" i="12" s="1"/>
  <c r="N3" i="12" s="1"/>
  <c r="I3" i="16"/>
  <c r="J16" i="5"/>
  <c r="J15" i="5"/>
  <c r="J5" i="15"/>
  <c r="I5" i="15"/>
  <c r="I25" i="15" s="1"/>
  <c r="G159" i="18"/>
  <c r="H159" i="18" s="1"/>
  <c r="G168" i="18"/>
  <c r="G164" i="18"/>
  <c r="G161" i="18"/>
  <c r="G162" i="18"/>
  <c r="G157" i="18"/>
  <c r="H157" i="18" s="1"/>
  <c r="G160" i="18"/>
  <c r="H160" i="18" s="1"/>
  <c r="G169" i="18"/>
  <c r="G166" i="18"/>
  <c r="G167" i="18"/>
  <c r="G165" i="18"/>
  <c r="G170" i="18"/>
  <c r="H170" i="18" s="1"/>
  <c r="G158" i="18"/>
  <c r="H158" i="18" s="1"/>
  <c r="G163" i="18"/>
  <c r="J76" i="5"/>
  <c r="L76" i="5"/>
  <c r="I76" i="5"/>
  <c r="F100" i="18"/>
  <c r="J14" i="5"/>
  <c r="K65" i="5"/>
  <c r="G3" i="20"/>
  <c r="G3" i="13"/>
  <c r="B58" i="13" s="1"/>
  <c r="J25" i="15" l="1"/>
  <c r="J28" i="15" s="1" a="1"/>
  <c r="J28" i="15" s="1"/>
  <c r="I28" i="15" a="1"/>
  <c r="I28" i="15" s="1"/>
  <c r="H16" i="5"/>
  <c r="H15" i="5"/>
  <c r="K16" i="5"/>
  <c r="K22" i="5" s="1"/>
  <c r="K15" i="5"/>
  <c r="F75" i="13"/>
  <c r="F102" i="13"/>
  <c r="I16" i="5"/>
  <c r="I15" i="5"/>
  <c r="I14" i="5"/>
  <c r="K14" i="5"/>
  <c r="J65" i="5"/>
  <c r="I65" i="5"/>
  <c r="H14" i="5"/>
  <c r="R10" i="10"/>
  <c r="S10" i="10"/>
  <c r="J22" i="5" l="1"/>
  <c r="E100" i="18"/>
  <c r="H22" i="5"/>
  <c r="I22" i="5"/>
  <c r="F103" i="18"/>
  <c r="D100" i="18"/>
  <c r="H3" i="20"/>
  <c r="H3" i="13"/>
  <c r="O10" i="10"/>
  <c r="O9" i="10"/>
  <c r="N9" i="10"/>
  <c r="N10" i="10"/>
  <c r="AE10" i="10" l="1"/>
  <c r="AE9" i="10"/>
  <c r="AE25" i="10" s="1"/>
  <c r="AC10" i="10"/>
  <c r="AC9" i="10"/>
  <c r="AC25" i="10" s="1"/>
  <c r="J10" i="10"/>
  <c r="K10" i="10"/>
  <c r="K9" i="10"/>
  <c r="J9" i="10"/>
  <c r="K25" i="10" l="1"/>
  <c r="J25" i="10"/>
  <c r="E103" i="18"/>
  <c r="D103" i="18"/>
  <c r="E117" i="18"/>
  <c r="E105" i="18"/>
  <c r="D117" i="18"/>
  <c r="D105" i="18"/>
  <c r="F117" i="18"/>
  <c r="F105" i="18"/>
  <c r="I3" i="20"/>
  <c r="I3" i="13"/>
  <c r="J3" i="13" s="1"/>
  <c r="K3" i="13" s="1"/>
  <c r="L3" i="13" s="1"/>
  <c r="M3" i="13" s="1"/>
  <c r="N3" i="13" s="1"/>
  <c r="J3" i="20" l="1"/>
  <c r="K3" i="20" l="1"/>
  <c r="L3" i="20" l="1"/>
  <c r="M3" i="20" l="1"/>
  <c r="C183" i="18" l="1"/>
  <c r="D142" i="18"/>
  <c r="H96" i="18"/>
  <c r="D43" i="15"/>
  <c r="I15" i="15" s="1"/>
  <c r="I38" i="15" l="1" a="1"/>
  <c r="I38" i="15" s="1"/>
  <c r="I37" i="15" a="1"/>
  <c r="I37" i="15" s="1"/>
  <c r="H97" i="18"/>
  <c r="H95" i="18" s="1"/>
  <c r="D108" i="18"/>
  <c r="L15" i="15"/>
  <c r="J15" i="15"/>
  <c r="I32" i="15" a="1"/>
  <c r="I32" i="15" s="1"/>
  <c r="D144" i="18"/>
  <c r="L38" i="15" l="1" a="1"/>
  <c r="L38" i="15" s="1"/>
  <c r="L37" i="15" a="1"/>
  <c r="L37" i="15" s="1"/>
  <c r="J38" i="15" a="1"/>
  <c r="J38" i="15" s="1"/>
  <c r="J37" i="15" a="1"/>
  <c r="J37" i="15" s="1"/>
  <c r="F108" i="18"/>
  <c r="E108" i="18"/>
  <c r="J32" i="15" a="1"/>
  <c r="J32" i="15" s="1"/>
  <c r="L32" i="15" a="1"/>
  <c r="L32" i="15" s="1"/>
  <c r="C40" i="17" l="1"/>
  <c r="D40" i="17"/>
  <c r="F114" i="18"/>
  <c r="F115" i="18" s="1"/>
  <c r="E114" i="18"/>
  <c r="E115" i="18" s="1"/>
  <c r="D114" i="18"/>
  <c r="D45" i="15"/>
  <c r="D46" i="15" s="1"/>
  <c r="D115" i="18" l="1"/>
  <c r="D47" i="15"/>
  <c r="D48" i="15" s="1"/>
  <c r="D49" i="15" s="1"/>
  <c r="D41" i="17"/>
  <c r="D42" i="17" s="1"/>
  <c r="C41" i="17"/>
  <c r="C42" i="17" s="1"/>
  <c r="C56" i="17" l="1"/>
  <c r="F56" i="17"/>
  <c r="D56" i="17" l="1"/>
  <c r="P36" i="5"/>
  <c r="D32" i="5" s="1"/>
  <c r="D33" i="5" s="1"/>
  <c r="D34" i="5" s="1"/>
  <c r="G62" i="5" l="1"/>
  <c r="AG10" i="10"/>
  <c r="G8" i="14" l="1"/>
  <c r="G65" i="5"/>
  <c r="AD10" i="10"/>
  <c r="D18" i="17" l="1"/>
  <c r="D19" i="17" s="1"/>
  <c r="C18" i="17"/>
  <c r="C19" i="17" s="1"/>
  <c r="F52" i="17" l="1"/>
  <c r="C52" i="17"/>
  <c r="D52" i="17" l="1"/>
  <c r="H20" i="4" l="1"/>
  <c r="H108" i="4" l="1"/>
  <c r="H107" i="4"/>
  <c r="H98" i="4"/>
  <c r="D111" i="18"/>
  <c r="E111" i="18"/>
  <c r="F111" i="18"/>
  <c r="H10" i="25" l="1"/>
  <c r="G20" i="25" s="1"/>
  <c r="G23" i="25"/>
  <c r="H6" i="5"/>
  <c r="H10" i="5" s="1"/>
  <c r="G23" i="5"/>
  <c r="E49" i="4"/>
  <c r="E50" i="4" s="1"/>
  <c r="G49" i="4"/>
  <c r="G50" i="4" s="1"/>
  <c r="G101" i="4" s="1"/>
  <c r="H49" i="4"/>
  <c r="H50" i="4" s="1"/>
  <c r="H137" i="4" s="1"/>
  <c r="H138" i="4" s="1"/>
  <c r="J49" i="4"/>
  <c r="J50" i="4" s="1"/>
  <c r="J101" i="4" s="1"/>
  <c r="K49" i="4"/>
  <c r="K50" i="4" s="1"/>
  <c r="M49" i="4"/>
  <c r="M50" i="4" s="1"/>
  <c r="M101" i="4" s="1"/>
  <c r="N49" i="4"/>
  <c r="N50" i="4" s="1"/>
  <c r="E74" i="4"/>
  <c r="E109" i="4" s="1"/>
  <c r="G74" i="4"/>
  <c r="G109" i="4" s="1"/>
  <c r="H74" i="4"/>
  <c r="H109" i="4" s="1"/>
  <c r="J74" i="4"/>
  <c r="J109" i="4" s="1"/>
  <c r="K74" i="4"/>
  <c r="K109" i="4" s="1"/>
  <c r="M74" i="4"/>
  <c r="M109" i="4" s="1"/>
  <c r="N74" i="4"/>
  <c r="N109" i="4" s="1"/>
  <c r="I20" i="25" l="1"/>
  <c r="K20" i="25"/>
  <c r="K21" i="5"/>
  <c r="G21" i="5"/>
  <c r="J21" i="5"/>
  <c r="I21" i="5"/>
  <c r="H21" i="5"/>
  <c r="I20" i="5"/>
  <c r="J20" i="5"/>
  <c r="G68" i="5"/>
  <c r="K20" i="5"/>
  <c r="G20" i="5"/>
  <c r="H20" i="5"/>
  <c r="K137" i="4"/>
  <c r="K138" i="4" s="1"/>
  <c r="K101" i="4"/>
  <c r="K103" i="4" s="1"/>
  <c r="G66" i="25"/>
  <c r="K67" i="25" s="1"/>
  <c r="J20" i="25"/>
  <c r="N137" i="4"/>
  <c r="N138" i="4" s="1"/>
  <c r="N101" i="4"/>
  <c r="N103" i="4" s="1"/>
  <c r="H101" i="4"/>
  <c r="H103" i="4" s="1"/>
  <c r="H20" i="25"/>
  <c r="E137" i="4"/>
  <c r="E138" i="4" s="1"/>
  <c r="E101" i="4"/>
  <c r="E103" i="4" s="1"/>
  <c r="K21" i="25"/>
  <c r="G21" i="25"/>
  <c r="H21" i="25"/>
  <c r="J21" i="25"/>
  <c r="I21" i="25"/>
  <c r="J67" i="25" l="1"/>
  <c r="G67" i="25"/>
  <c r="I67" i="25"/>
  <c r="G69" i="5"/>
  <c r="I69" i="5"/>
  <c r="J69" i="5"/>
  <c r="D118" i="18" l="1"/>
  <c r="D120" i="18" s="1"/>
  <c r="E118" i="18"/>
  <c r="E120" i="18" s="1"/>
  <c r="F118" i="18"/>
  <c r="F120" i="18" s="1"/>
  <c r="C161" i="18"/>
  <c r="E161" i="18" s="1"/>
  <c r="F161" i="18" s="1"/>
  <c r="H161" i="18" s="1"/>
  <c r="C162" i="18"/>
  <c r="E162" i="18" s="1"/>
  <c r="F162" i="18" s="1"/>
  <c r="H162" i="18" s="1"/>
  <c r="C163" i="18"/>
  <c r="E163" i="18" s="1"/>
  <c r="F163" i="18" s="1"/>
  <c r="H163" i="18" s="1"/>
  <c r="C164" i="18"/>
  <c r="E164" i="18" s="1"/>
  <c r="F164" i="18" s="1"/>
  <c r="H164" i="18" s="1"/>
  <c r="C165" i="18"/>
  <c r="E165" i="18" s="1"/>
  <c r="F165" i="18" s="1"/>
  <c r="H165" i="18" s="1"/>
  <c r="C166" i="18"/>
  <c r="E166" i="18" s="1"/>
  <c r="F166" i="18" s="1"/>
  <c r="H166" i="18" s="1"/>
  <c r="C167" i="18"/>
  <c r="E167" i="18" s="1"/>
  <c r="F167" i="18" s="1"/>
  <c r="H167" i="18" s="1"/>
  <c r="C168" i="18"/>
  <c r="E168" i="18" s="1"/>
  <c r="F168" i="18" s="1"/>
  <c r="H168" i="18" s="1"/>
  <c r="C169" i="18"/>
  <c r="E169" i="18" s="1"/>
  <c r="F169" i="18" s="1"/>
  <c r="H169" i="18" s="1"/>
  <c r="C81" i="12"/>
  <c r="C90" i="12"/>
  <c r="C93" i="12" s="1"/>
  <c r="F22" i="16"/>
  <c r="F23" i="16" s="1"/>
  <c r="G22" i="16"/>
  <c r="G23" i="16" s="1"/>
  <c r="H22" i="16"/>
  <c r="H23" i="16" s="1"/>
  <c r="H9" i="10"/>
  <c r="G9" i="10"/>
  <c r="AA27" i="10" l="1"/>
  <c r="Z28" i="10"/>
  <c r="Y30" i="10"/>
  <c r="Z29" i="10"/>
  <c r="AA9" i="10"/>
  <c r="AA25" i="10" s="1"/>
  <c r="Z9" i="10"/>
  <c r="Z25" i="10" s="1"/>
  <c r="Y9" i="10"/>
  <c r="Y25" i="10" s="1"/>
  <c r="Y27" i="10"/>
  <c r="AA29" i="10"/>
  <c r="Z27" i="10"/>
  <c r="Z30" i="10"/>
  <c r="Y28" i="10"/>
  <c r="AA30" i="10"/>
  <c r="AA28" i="10"/>
  <c r="Y29" i="10"/>
  <c r="C95" i="12"/>
  <c r="F119" i="18"/>
  <c r="D126" i="18" s="1"/>
  <c r="E119" i="18"/>
  <c r="D119" i="18"/>
  <c r="U9" i="10"/>
  <c r="U25" i="10" s="1"/>
  <c r="V9" i="10"/>
  <c r="V25" i="10" s="1"/>
  <c r="W9" i="10"/>
  <c r="W25" i="10" s="1"/>
  <c r="C184" i="18"/>
  <c r="C185" i="18" s="1"/>
  <c r="G10" i="10"/>
  <c r="H10" i="10"/>
  <c r="E8" i="14" l="1"/>
  <c r="Y10" i="10"/>
  <c r="Z10" i="10"/>
  <c r="AA10" i="10"/>
  <c r="Z32" i="10"/>
  <c r="Z31" i="10"/>
  <c r="AA32" i="10"/>
  <c r="D24" i="17"/>
  <c r="D25" i="17" s="1"/>
  <c r="F53" i="17" s="1"/>
  <c r="C24" i="17"/>
  <c r="C25" i="17" s="1"/>
  <c r="C53" i="17" s="1"/>
  <c r="U10" i="10"/>
  <c r="V10" i="10"/>
  <c r="W10" i="10"/>
  <c r="D53" i="17" l="1"/>
  <c r="AA31" i="10"/>
  <c r="K8" i="14"/>
  <c r="K12" i="14" s="1"/>
  <c r="L8" i="14"/>
  <c r="V35" i="10"/>
  <c r="V37" i="10" s="1"/>
  <c r="V38" i="10" s="1"/>
  <c r="W35" i="10"/>
  <c r="Z35" i="10"/>
  <c r="Z37" i="10" s="1"/>
  <c r="Z38" i="10" s="1"/>
  <c r="AA35" i="10"/>
  <c r="C42" i="24"/>
  <c r="F69" i="24" s="1"/>
  <c r="C108" i="24"/>
  <c r="E108" i="24"/>
  <c r="G5" i="15"/>
  <c r="G25" i="15" s="1"/>
  <c r="G28" i="15" s="1" a="1"/>
  <c r="G28" i="15" s="1"/>
  <c r="C57" i="17"/>
  <c r="F57" i="17"/>
  <c r="K25" i="15" l="1"/>
  <c r="K28" i="15" s="1" a="1"/>
  <c r="K28" i="15" s="1"/>
  <c r="L25" i="15"/>
  <c r="L28" i="15" s="1" a="1"/>
  <c r="L28" i="15" s="1"/>
  <c r="F56" i="24"/>
  <c r="F108" i="24"/>
  <c r="F110" i="24" s="1"/>
  <c r="D57" i="17"/>
  <c r="W37" i="10"/>
  <c r="AA37" i="10"/>
  <c r="M8" i="14"/>
  <c r="M12" i="14" s="1"/>
  <c r="D18" i="14" s="1"/>
  <c r="L12" i="14"/>
  <c r="D22" i="14"/>
  <c r="D27" i="14"/>
  <c r="D20" i="14" l="1"/>
  <c r="D21" i="14" s="1"/>
  <c r="D29" i="14" s="1"/>
  <c r="W38" i="10"/>
  <c r="AA38" i="10"/>
  <c r="E16" i="16" l="1"/>
  <c r="E17" i="16" s="1"/>
  <c r="E32" i="13"/>
  <c r="E64" i="13"/>
  <c r="G71" i="13" l="1"/>
  <c r="G72" i="13" s="1"/>
  <c r="G73" i="13" s="1"/>
  <c r="N42" i="13"/>
  <c r="F42" i="13"/>
  <c r="G42" i="13"/>
  <c r="H42" i="13"/>
  <c r="I42" i="13"/>
  <c r="J42" i="13"/>
  <c r="L42" i="13"/>
  <c r="M42" i="13"/>
  <c r="K42" i="13"/>
  <c r="E7" i="16"/>
  <c r="E24" i="16" s="1"/>
  <c r="D152" i="18"/>
  <c r="C187" i="18"/>
  <c r="F189" i="18" s="1"/>
  <c r="G107" i="13" l="1"/>
  <c r="G108" i="13" s="1"/>
  <c r="G109" i="13" s="1"/>
  <c r="G89" i="13"/>
  <c r="G90" i="13" s="1"/>
  <c r="G91" i="13" s="1"/>
  <c r="G70" i="13"/>
  <c r="G69" i="13" s="1"/>
  <c r="C29" i="17" s="1"/>
  <c r="G80" i="13"/>
  <c r="G79" i="13" s="1"/>
  <c r="G78" i="13" s="1"/>
  <c r="G116" i="13"/>
  <c r="G115" i="13" s="1"/>
  <c r="G114" i="13" s="1"/>
  <c r="G98" i="13"/>
  <c r="G97" i="13" s="1"/>
  <c r="G96" i="13" s="1"/>
  <c r="E192" i="18"/>
  <c r="E193" i="18" s="1"/>
  <c r="D192" i="18"/>
  <c r="D193" i="18" s="1"/>
  <c r="F192" i="18"/>
  <c r="D29" i="17"/>
  <c r="G29" i="16"/>
  <c r="G30" i="16" s="1"/>
  <c r="H29" i="16"/>
  <c r="H30" i="16" s="1"/>
  <c r="F29" i="16"/>
  <c r="F30" i="16" s="1"/>
  <c r="H26" i="16"/>
  <c r="B54" i="17" l="1"/>
  <c r="G88" i="13"/>
  <c r="G87" i="13" s="1"/>
  <c r="G106" i="13"/>
  <c r="G105" i="13" s="1"/>
  <c r="G81" i="13"/>
  <c r="G82" i="13" s="1"/>
  <c r="G117" i="13"/>
  <c r="G118" i="13" s="1"/>
  <c r="G99" i="13"/>
  <c r="G100" i="13" s="1"/>
  <c r="F193" i="18"/>
  <c r="C194" i="18" s="1"/>
  <c r="C196" i="18" s="1"/>
  <c r="E32" i="16"/>
  <c r="E31" i="16"/>
  <c r="H61" i="17" l="1"/>
  <c r="H66" i="17"/>
  <c r="E33" i="16"/>
  <c r="E36" i="16" l="1"/>
  <c r="C34" i="17" l="1"/>
  <c r="C35" i="17" s="1"/>
  <c r="C36" i="17" s="1"/>
  <c r="C55" i="17" s="1"/>
  <c r="D34" i="17"/>
  <c r="D35" i="17" s="1"/>
  <c r="D36" i="17" s="1"/>
  <c r="F55" i="17" s="1"/>
  <c r="F9" i="12"/>
  <c r="G9" i="12" s="1"/>
  <c r="H9" i="12" s="1"/>
  <c r="I9" i="12" s="1"/>
  <c r="J9" i="12" s="1"/>
  <c r="K9" i="12" s="1"/>
  <c r="L9" i="12" s="1"/>
  <c r="M9" i="12" s="1"/>
  <c r="N9" i="12" s="1"/>
  <c r="F11" i="12"/>
  <c r="G11" i="12" s="1"/>
  <c r="F14" i="12"/>
  <c r="G14" i="12" s="1"/>
  <c r="H14" i="12" s="1"/>
  <c r="I14" i="12" s="1"/>
  <c r="J14" i="12" s="1"/>
  <c r="K14" i="12" s="1"/>
  <c r="L14" i="12" s="1"/>
  <c r="M14" i="12" s="1"/>
  <c r="N14" i="12" s="1"/>
  <c r="F17" i="12"/>
  <c r="G17" i="12" s="1"/>
  <c r="H17" i="12" s="1"/>
  <c r="I17" i="12" s="1"/>
  <c r="J17" i="12" s="1"/>
  <c r="K17" i="12" s="1"/>
  <c r="M17" i="12" s="1"/>
  <c r="N17" i="12" s="1"/>
  <c r="F18" i="12"/>
  <c r="G18" i="12" s="1"/>
  <c r="H18" i="12" s="1"/>
  <c r="I18" i="12" s="1"/>
  <c r="J18" i="12" s="1"/>
  <c r="K18" i="12" s="1"/>
  <c r="L18" i="12" s="1"/>
  <c r="M18" i="12" s="1"/>
  <c r="N18" i="12" s="1"/>
  <c r="H20" i="12"/>
  <c r="I20" i="12" s="1"/>
  <c r="J20" i="12" s="1"/>
  <c r="L20" i="12" s="1"/>
  <c r="M20" i="12" s="1"/>
  <c r="N20" i="12" s="1"/>
  <c r="F22" i="12"/>
  <c r="G22" i="12" s="1"/>
  <c r="H22" i="12" s="1"/>
  <c r="I22" i="12" s="1"/>
  <c r="J22" i="12" s="1"/>
  <c r="L22" i="12" s="1"/>
  <c r="M22" i="12" s="1"/>
  <c r="N22" i="12" s="1"/>
  <c r="E32" i="12"/>
  <c r="E122" i="12" s="1"/>
  <c r="E33" i="12"/>
  <c r="E38" i="12"/>
  <c r="E54" i="12"/>
  <c r="D55" i="17" l="1"/>
  <c r="H11" i="12"/>
  <c r="I11" i="12" s="1"/>
  <c r="E40" i="12"/>
  <c r="F37" i="12" s="1"/>
  <c r="F39" i="12" s="1"/>
  <c r="E34" i="12"/>
  <c r="E55" i="12"/>
  <c r="F57" i="12" l="1"/>
  <c r="F99" i="12"/>
  <c r="E56" i="12"/>
  <c r="F31" i="12"/>
  <c r="J11" i="12"/>
  <c r="E63" i="12" l="1"/>
  <c r="E9" i="13"/>
  <c r="K11" i="12"/>
  <c r="L11" i="12" l="1"/>
  <c r="M11" i="12" l="1"/>
  <c r="F61" i="12"/>
  <c r="F21" i="13" s="1"/>
  <c r="F38" i="12" l="1"/>
  <c r="F40" i="12" s="1"/>
  <c r="G37" i="12" s="1"/>
  <c r="G39" i="12" s="1"/>
  <c r="F32" i="12"/>
  <c r="F33" i="12"/>
  <c r="F54" i="12"/>
  <c r="F55" i="12"/>
  <c r="N11" i="12"/>
  <c r="G61" i="12"/>
  <c r="G21" i="13" s="1"/>
  <c r="G57" i="12" l="1"/>
  <c r="G99" i="12"/>
  <c r="F34" i="12"/>
  <c r="G54" i="12"/>
  <c r="G38" i="12"/>
  <c r="G32" i="12"/>
  <c r="G33" i="12"/>
  <c r="G55" i="12"/>
  <c r="H61" i="12"/>
  <c r="H21" i="13" s="1"/>
  <c r="E74" i="12"/>
  <c r="E48" i="12" s="1"/>
  <c r="F74" i="12"/>
  <c r="F48" i="12" s="1"/>
  <c r="G74" i="12"/>
  <c r="G48" i="12" s="1"/>
  <c r="E75" i="12"/>
  <c r="E49" i="12" s="1"/>
  <c r="F75" i="12"/>
  <c r="F49" i="12" s="1"/>
  <c r="G75" i="12"/>
  <c r="G49" i="12" s="1"/>
  <c r="E78" i="12"/>
  <c r="F78" i="12"/>
  <c r="F79" i="12"/>
  <c r="G79" i="12" s="1"/>
  <c r="H79" i="12" s="1"/>
  <c r="I79" i="12" s="1"/>
  <c r="J79" i="12" s="1"/>
  <c r="K79" i="12" s="1"/>
  <c r="L79" i="12" s="1"/>
  <c r="M79" i="12" s="1"/>
  <c r="N79" i="12" s="1"/>
  <c r="E80" i="12"/>
  <c r="E101" i="12" s="1"/>
  <c r="F80" i="12"/>
  <c r="G80" i="12"/>
  <c r="G40" i="12" l="1"/>
  <c r="H37" i="12" s="1"/>
  <c r="H39" i="12" s="1"/>
  <c r="H74" i="12"/>
  <c r="H48" i="12" s="1"/>
  <c r="H54" i="12"/>
  <c r="H38" i="12"/>
  <c r="H105" i="12" s="1"/>
  <c r="H17" i="13" s="1"/>
  <c r="H32" i="12"/>
  <c r="H122" i="12" s="1"/>
  <c r="H33" i="12"/>
  <c r="H55" i="12"/>
  <c r="I61" i="12"/>
  <c r="I21" i="13" s="1"/>
  <c r="H75" i="12"/>
  <c r="H49" i="12" s="1"/>
  <c r="H80" i="12"/>
  <c r="H101" i="12" s="1"/>
  <c r="H15" i="13" s="1"/>
  <c r="G31" i="12"/>
  <c r="G34" i="12" s="1"/>
  <c r="G56" i="12" s="1"/>
  <c r="F56" i="12"/>
  <c r="E85" i="12"/>
  <c r="E51" i="12" s="1"/>
  <c r="F85" i="12"/>
  <c r="F51" i="12" s="1"/>
  <c r="F88" i="12"/>
  <c r="G88" i="12" s="1"/>
  <c r="E89" i="12"/>
  <c r="E102" i="12" s="1"/>
  <c r="F89" i="12"/>
  <c r="G89" i="12"/>
  <c r="H89" i="12"/>
  <c r="F13" i="13"/>
  <c r="G13" i="13"/>
  <c r="F101" i="12"/>
  <c r="F15" i="13" s="1"/>
  <c r="G101" i="12"/>
  <c r="G15" i="13" s="1"/>
  <c r="E105" i="12"/>
  <c r="E106" i="12" s="1"/>
  <c r="F105" i="12"/>
  <c r="F17" i="13" s="1"/>
  <c r="G105" i="12"/>
  <c r="G17" i="13" s="1"/>
  <c r="F122" i="12"/>
  <c r="G122" i="12"/>
  <c r="F102" i="12" l="1"/>
  <c r="F16" i="13" s="1"/>
  <c r="G78" i="12"/>
  <c r="H102" i="12"/>
  <c r="H16" i="13" s="1"/>
  <c r="F63" i="12"/>
  <c r="F9" i="13"/>
  <c r="G63" i="12"/>
  <c r="G9" i="13"/>
  <c r="G102" i="12"/>
  <c r="G16" i="13" s="1"/>
  <c r="H57" i="12"/>
  <c r="H99" i="12"/>
  <c r="G106" i="12"/>
  <c r="G85" i="12"/>
  <c r="G51" i="12" s="1"/>
  <c r="F118" i="12"/>
  <c r="F109" i="12"/>
  <c r="I89" i="12"/>
  <c r="I102" i="12" s="1"/>
  <c r="I16" i="13" s="1"/>
  <c r="F106" i="12"/>
  <c r="H88" i="12"/>
  <c r="H118" i="12" s="1"/>
  <c r="G118" i="12"/>
  <c r="G109" i="12"/>
  <c r="I54" i="12"/>
  <c r="I38" i="12"/>
  <c r="I105" i="12" s="1"/>
  <c r="I17" i="13" s="1"/>
  <c r="I32" i="12"/>
  <c r="I122" i="12" s="1"/>
  <c r="I33" i="12"/>
  <c r="I55" i="12"/>
  <c r="J61" i="12"/>
  <c r="J21" i="13" s="1"/>
  <c r="I74" i="12"/>
  <c r="I48" i="12" s="1"/>
  <c r="I80" i="12"/>
  <c r="I75" i="12"/>
  <c r="I49" i="12" s="1"/>
  <c r="H31" i="12"/>
  <c r="H34" i="12" s="1"/>
  <c r="H106" i="12"/>
  <c r="E124" i="12"/>
  <c r="F124" i="12"/>
  <c r="G124" i="12"/>
  <c r="H124" i="12"/>
  <c r="D149" i="18" l="1"/>
  <c r="D151" i="18" s="1"/>
  <c r="H109" i="12"/>
  <c r="H40" i="12"/>
  <c r="I37" i="12" s="1"/>
  <c r="I39" i="12" s="1"/>
  <c r="I88" i="12"/>
  <c r="J88" i="12" s="1"/>
  <c r="I124" i="12"/>
  <c r="I106" i="12"/>
  <c r="I101" i="12"/>
  <c r="I15" i="13" s="1"/>
  <c r="I31" i="12"/>
  <c r="I34" i="12" s="1"/>
  <c r="H85" i="12"/>
  <c r="H51" i="12" s="1"/>
  <c r="H13" i="13"/>
  <c r="J54" i="12"/>
  <c r="J38" i="12"/>
  <c r="J105" i="12" s="1"/>
  <c r="J17" i="13" s="1"/>
  <c r="J32" i="12"/>
  <c r="J122" i="12" s="1"/>
  <c r="J33" i="12"/>
  <c r="J55" i="12"/>
  <c r="K61" i="12"/>
  <c r="K21" i="13" s="1"/>
  <c r="J74" i="12"/>
  <c r="J48" i="12" s="1"/>
  <c r="J80" i="12"/>
  <c r="J75" i="12"/>
  <c r="J49" i="12" s="1"/>
  <c r="J89" i="12"/>
  <c r="J102" i="12" s="1"/>
  <c r="J16" i="13" s="1"/>
  <c r="H56" i="12"/>
  <c r="E129" i="12" a="1"/>
  <c r="E129" i="12" s="1"/>
  <c r="F129" i="12" a="1"/>
  <c r="F129" i="12" s="1"/>
  <c r="G129" i="12" a="1"/>
  <c r="G129" i="12" s="1"/>
  <c r="I109" i="12" l="1"/>
  <c r="H78" i="12"/>
  <c r="H129" i="12" s="1" a="1"/>
  <c r="H129" i="12" s="1"/>
  <c r="H63" i="12"/>
  <c r="H9" i="13"/>
  <c r="I99" i="12"/>
  <c r="I57" i="12"/>
  <c r="I118" i="12"/>
  <c r="J106" i="12"/>
  <c r="J31" i="12"/>
  <c r="J34" i="12" s="1"/>
  <c r="I85" i="12"/>
  <c r="I51" i="12" s="1"/>
  <c r="J124" i="12"/>
  <c r="J109" i="12"/>
  <c r="K88" i="12"/>
  <c r="K33" i="12"/>
  <c r="K32" i="12"/>
  <c r="K122" i="12" s="1"/>
  <c r="K54" i="12"/>
  <c r="K38" i="12"/>
  <c r="K105" i="12" s="1"/>
  <c r="K17" i="13" s="1"/>
  <c r="K55" i="12"/>
  <c r="L61" i="12"/>
  <c r="L21" i="13" s="1"/>
  <c r="K74" i="12"/>
  <c r="K48" i="12" s="1"/>
  <c r="K80" i="12"/>
  <c r="K75" i="12"/>
  <c r="K49" i="12" s="1"/>
  <c r="K89" i="12"/>
  <c r="K102" i="12" s="1"/>
  <c r="K16" i="13" s="1"/>
  <c r="J101" i="12"/>
  <c r="J15" i="13" s="1"/>
  <c r="J118" i="12"/>
  <c r="I56" i="12"/>
  <c r="E149" i="18" l="1"/>
  <c r="E151" i="18" s="1"/>
  <c r="I63" i="12"/>
  <c r="I9" i="13"/>
  <c r="F149" i="18" s="1"/>
  <c r="F151" i="18" s="1"/>
  <c r="K31" i="12"/>
  <c r="K34" i="12" s="1"/>
  <c r="K56" i="12" s="1"/>
  <c r="J85" i="12"/>
  <c r="J51" i="12" s="1"/>
  <c r="I13" i="13"/>
  <c r="K101" i="12"/>
  <c r="K15" i="13" s="1"/>
  <c r="I40" i="12"/>
  <c r="L38" i="12"/>
  <c r="L105" i="12" s="1"/>
  <c r="L17" i="13" s="1"/>
  <c r="L33" i="12"/>
  <c r="L54" i="12"/>
  <c r="L32" i="12"/>
  <c r="L122" i="12" s="1"/>
  <c r="L55" i="12"/>
  <c r="M61" i="12"/>
  <c r="M21" i="13" s="1"/>
  <c r="L75" i="12"/>
  <c r="L49" i="12" s="1"/>
  <c r="L74" i="12"/>
  <c r="L48" i="12" s="1"/>
  <c r="L80" i="12"/>
  <c r="L101" i="12" s="1"/>
  <c r="L15" i="13" s="1"/>
  <c r="L89" i="12"/>
  <c r="L102" i="12" s="1"/>
  <c r="L16" i="13" s="1"/>
  <c r="K109" i="12"/>
  <c r="L88" i="12"/>
  <c r="K106" i="12"/>
  <c r="K118" i="12"/>
  <c r="K124" i="12"/>
  <c r="J56" i="12"/>
  <c r="K63" i="12" l="1"/>
  <c r="K9" i="13"/>
  <c r="J63" i="12"/>
  <c r="J9" i="13"/>
  <c r="L124" i="12"/>
  <c r="M32" i="12"/>
  <c r="M122" i="12" s="1"/>
  <c r="M33" i="12"/>
  <c r="M54" i="12"/>
  <c r="M38" i="12"/>
  <c r="M105" i="12" s="1"/>
  <c r="M17" i="13" s="1"/>
  <c r="M55" i="12"/>
  <c r="N61" i="12"/>
  <c r="N21" i="13" s="1"/>
  <c r="M75" i="12"/>
  <c r="M49" i="12" s="1"/>
  <c r="M80" i="12"/>
  <c r="M101" i="12" s="1"/>
  <c r="M15" i="13" s="1"/>
  <c r="M74" i="12"/>
  <c r="M48" i="12" s="1"/>
  <c r="M89" i="12"/>
  <c r="M102" i="12" s="1"/>
  <c r="M16" i="13" s="1"/>
  <c r="M88" i="12"/>
  <c r="M118" i="12" s="1"/>
  <c r="L109" i="12"/>
  <c r="J37" i="12"/>
  <c r="J39" i="12" s="1"/>
  <c r="I78" i="12"/>
  <c r="L118" i="12"/>
  <c r="L31" i="12"/>
  <c r="L34" i="12" s="1"/>
  <c r="L56" i="12" s="1"/>
  <c r="K85" i="12"/>
  <c r="K51" i="12" s="1"/>
  <c r="L106" i="12"/>
  <c r="J57" i="12" l="1"/>
  <c r="J99" i="12"/>
  <c r="L63" i="12"/>
  <c r="L9" i="13"/>
  <c r="I129" i="12" a="1"/>
  <c r="I129" i="12" s="1"/>
  <c r="M109" i="12"/>
  <c r="N88" i="12"/>
  <c r="N109" i="12" s="1"/>
  <c r="N38" i="12"/>
  <c r="N105" i="12" s="1"/>
  <c r="N17" i="13" s="1"/>
  <c r="N32" i="12"/>
  <c r="N122" i="12" s="1"/>
  <c r="N33" i="12"/>
  <c r="N54" i="12"/>
  <c r="N55" i="12"/>
  <c r="N74" i="12"/>
  <c r="N48" i="12" s="1"/>
  <c r="N80" i="12"/>
  <c r="N101" i="12" s="1"/>
  <c r="N15" i="13" s="1"/>
  <c r="N75" i="12"/>
  <c r="N49" i="12" s="1"/>
  <c r="N89" i="12"/>
  <c r="N102" i="12" s="1"/>
  <c r="N16" i="13" s="1"/>
  <c r="M106" i="12"/>
  <c r="M31" i="12"/>
  <c r="M34" i="12" s="1"/>
  <c r="L85" i="12"/>
  <c r="L51" i="12" s="1"/>
  <c r="M124" i="12"/>
  <c r="N118" i="12" l="1"/>
  <c r="N124" i="12"/>
  <c r="J13" i="13"/>
  <c r="J40" i="12"/>
  <c r="N106" i="12"/>
  <c r="N31" i="12"/>
  <c r="N34" i="12" s="1"/>
  <c r="N85" i="12" s="1"/>
  <c r="N51" i="12" s="1"/>
  <c r="M85" i="12"/>
  <c r="M51" i="12" s="1"/>
  <c r="M56" i="12"/>
  <c r="M63" i="12" l="1"/>
  <c r="M9" i="13"/>
  <c r="K37" i="12"/>
  <c r="K39" i="12" s="1"/>
  <c r="J78" i="12"/>
  <c r="K57" i="12" l="1"/>
  <c r="K99" i="12"/>
  <c r="N56" i="12"/>
  <c r="J129" i="12" a="1"/>
  <c r="J129" i="12" s="1"/>
  <c r="N63" i="12" l="1"/>
  <c r="N9" i="13"/>
  <c r="K13" i="13"/>
  <c r="K40" i="12"/>
  <c r="L37" i="12" l="1"/>
  <c r="L39" i="12" s="1"/>
  <c r="K78" i="12"/>
  <c r="L57" i="12" l="1"/>
  <c r="L99" i="12"/>
  <c r="K129" i="12" a="1"/>
  <c r="K129" i="12" s="1"/>
  <c r="L40" i="12" l="1"/>
  <c r="M37" i="12" s="1"/>
  <c r="M39" i="12" s="1"/>
  <c r="L13" i="13"/>
  <c r="M99" i="12" l="1"/>
  <c r="M57" i="12"/>
  <c r="L78" i="12"/>
  <c r="L129" i="12" a="1"/>
  <c r="L129" i="12" s="1"/>
  <c r="M13" i="13" l="1"/>
  <c r="M40" i="12"/>
  <c r="N37" i="12" l="1"/>
  <c r="N39" i="12" s="1"/>
  <c r="M78" i="12"/>
  <c r="N99" i="12" l="1"/>
  <c r="N57" i="12"/>
  <c r="M129" i="12" a="1"/>
  <c r="M129" i="12" s="1"/>
  <c r="N13" i="13" l="1"/>
  <c r="N40" i="12"/>
  <c r="N78" i="12" s="1"/>
  <c r="N129" i="12" l="1" a="1"/>
  <c r="N129" i="12" s="1"/>
  <c r="C58" i="12"/>
  <c r="C62" i="12" l="1"/>
  <c r="C21" i="12" s="1"/>
  <c r="C65" i="12"/>
  <c r="C68" i="12" s="1"/>
  <c r="C13" i="12" s="1"/>
  <c r="C123" i="12"/>
  <c r="C70" i="12" l="1"/>
  <c r="C15" i="12" s="1"/>
  <c r="E58" i="12"/>
  <c r="E8" i="13" s="1"/>
  <c r="F58" i="12"/>
  <c r="F8" i="13" s="1"/>
  <c r="G58" i="12"/>
  <c r="G8" i="13" s="1"/>
  <c r="H58" i="12"/>
  <c r="H8" i="13" s="1"/>
  <c r="I58" i="12"/>
  <c r="I8" i="13" s="1"/>
  <c r="J58" i="12"/>
  <c r="J8" i="13" s="1"/>
  <c r="K58" i="12"/>
  <c r="K8" i="13" s="1"/>
  <c r="L58" i="12"/>
  <c r="L8" i="13" s="1"/>
  <c r="M58" i="12"/>
  <c r="N58" i="12"/>
  <c r="N8" i="13" s="1"/>
  <c r="M8" i="13" l="1"/>
  <c r="N37" i="13"/>
  <c r="C125" i="12"/>
  <c r="E65" i="12"/>
  <c r="F65" i="12"/>
  <c r="G65" i="12"/>
  <c r="H65" i="12"/>
  <c r="I65" i="12"/>
  <c r="J65" i="12"/>
  <c r="K65" i="12"/>
  <c r="L65" i="12"/>
  <c r="M65" i="12"/>
  <c r="N65" i="12"/>
  <c r="H48" i="13" l="1"/>
  <c r="D62" i="12"/>
  <c r="D21" i="12" s="1"/>
  <c r="E21" i="12" s="1"/>
  <c r="H21" i="12" s="1"/>
  <c r="I21" i="12" s="1"/>
  <c r="J21" i="12" s="1"/>
  <c r="K21" i="12" s="1"/>
  <c r="L21" i="12" s="1"/>
  <c r="M21" i="12" s="1"/>
  <c r="N21" i="12" s="1"/>
  <c r="D65" i="12"/>
  <c r="D68" i="12" s="1"/>
  <c r="D13" i="12" s="1"/>
  <c r="J62" i="12"/>
  <c r="I62" i="12"/>
  <c r="F62" i="12"/>
  <c r="H62" i="12"/>
  <c r="N62" i="12"/>
  <c r="M62" i="12"/>
  <c r="E62" i="12"/>
  <c r="K62" i="12"/>
  <c r="G62" i="12"/>
  <c r="L62" i="12"/>
  <c r="E84" i="12" l="1"/>
  <c r="E50" i="12" s="1"/>
  <c r="E52" i="12" s="1"/>
  <c r="E100" i="12" s="1"/>
  <c r="J84" i="12"/>
  <c r="J50" i="12" s="1"/>
  <c r="J52" i="12" s="1"/>
  <c r="F84" i="12"/>
  <c r="F50" i="12" s="1"/>
  <c r="F52" i="12" s="1"/>
  <c r="L84" i="12"/>
  <c r="L50" i="12" s="1"/>
  <c r="L52" i="12" s="1"/>
  <c r="K84" i="12"/>
  <c r="K50" i="12" s="1"/>
  <c r="K52" i="12" s="1"/>
  <c r="N84" i="12"/>
  <c r="M84" i="12"/>
  <c r="M50" i="12" s="1"/>
  <c r="M52" i="12" s="1"/>
  <c r="I84" i="12"/>
  <c r="I50" i="12" s="1"/>
  <c r="I52" i="12" s="1"/>
  <c r="J100" i="12" s="1"/>
  <c r="G84" i="12"/>
  <c r="G50" i="12" s="1"/>
  <c r="G52" i="12" s="1"/>
  <c r="H84" i="12"/>
  <c r="H50" i="12" s="1"/>
  <c r="H52" i="12" s="1"/>
  <c r="D70" i="12"/>
  <c r="D15" i="12" s="1"/>
  <c r="E10" i="13"/>
  <c r="E12" i="13" s="1"/>
  <c r="D123" i="12"/>
  <c r="E123" i="12"/>
  <c r="F123" i="12"/>
  <c r="G123" i="12"/>
  <c r="H123" i="12"/>
  <c r="I123" i="12"/>
  <c r="J123" i="12"/>
  <c r="K123" i="12"/>
  <c r="L123" i="12"/>
  <c r="M123" i="12"/>
  <c r="N123" i="12"/>
  <c r="K100" i="12" l="1"/>
  <c r="L100" i="12"/>
  <c r="L14" i="13" s="1"/>
  <c r="G100" i="12"/>
  <c r="F100" i="12"/>
  <c r="F14" i="13" s="1"/>
  <c r="M100" i="12"/>
  <c r="M14" i="13" s="1"/>
  <c r="I100" i="12"/>
  <c r="I14" i="13" s="1"/>
  <c r="N50" i="12"/>
  <c r="N52" i="12" s="1"/>
  <c r="N100" i="12" s="1"/>
  <c r="N14" i="13" s="1"/>
  <c r="H100" i="12"/>
  <c r="H14" i="13" s="1"/>
  <c r="K14" i="13"/>
  <c r="J14" i="13"/>
  <c r="G14" i="13"/>
  <c r="F10" i="13"/>
  <c r="F12" i="13" s="1"/>
  <c r="D125" i="12"/>
  <c r="E128" i="12"/>
  <c r="F128" i="12"/>
  <c r="G128" i="12"/>
  <c r="H128" i="12"/>
  <c r="I128" i="12"/>
  <c r="J128" i="12"/>
  <c r="K128" i="12"/>
  <c r="L128" i="12"/>
  <c r="M128" i="12"/>
  <c r="D132" i="12"/>
  <c r="N128" i="12" l="1"/>
  <c r="G10" i="13"/>
  <c r="G12" i="13" s="1"/>
  <c r="F18" i="13"/>
  <c r="F22" i="13" l="1"/>
  <c r="F43" i="13"/>
  <c r="H10" i="13"/>
  <c r="H12" i="13" s="1"/>
  <c r="G18" i="13"/>
  <c r="G22" i="13" l="1"/>
  <c r="G23" i="13"/>
  <c r="G43" i="13"/>
  <c r="I10" i="13"/>
  <c r="I12" i="13" s="1"/>
  <c r="H18" i="13"/>
  <c r="J10" i="13" l="1"/>
  <c r="J12" i="13" s="1"/>
  <c r="I18" i="13"/>
  <c r="H22" i="13"/>
  <c r="H23" i="13"/>
  <c r="H43" i="13"/>
  <c r="I22" i="13" l="1"/>
  <c r="I23" i="13"/>
  <c r="I43" i="13"/>
  <c r="K10" i="13"/>
  <c r="K12" i="13" s="1"/>
  <c r="J18" i="13"/>
  <c r="L10" i="13" l="1"/>
  <c r="L12" i="13" s="1"/>
  <c r="K18" i="13"/>
  <c r="J22" i="13"/>
  <c r="J23" i="13"/>
  <c r="J43" i="13"/>
  <c r="K22" i="13" l="1"/>
  <c r="K23" i="13"/>
  <c r="K43" i="13"/>
  <c r="M10" i="13"/>
  <c r="M12" i="13" s="1"/>
  <c r="L18" i="13"/>
  <c r="N10" i="13" l="1"/>
  <c r="M18" i="13"/>
  <c r="L22" i="13"/>
  <c r="L23" i="13"/>
  <c r="L43" i="13"/>
  <c r="M22" i="13" l="1"/>
  <c r="M23" i="13"/>
  <c r="M43" i="13"/>
  <c r="N12" i="13"/>
  <c r="N18" i="13" l="1"/>
  <c r="N22" i="13" l="1"/>
  <c r="N23" i="13"/>
  <c r="N33" i="13"/>
  <c r="N38" i="13"/>
  <c r="N43" i="13"/>
  <c r="E44" i="13" l="1"/>
  <c r="G113" i="13"/>
  <c r="N34" i="13"/>
  <c r="E48" i="13"/>
  <c r="G86" i="13" l="1"/>
  <c r="E47" i="13"/>
  <c r="E49" i="13" s="1"/>
  <c r="E58" i="13" s="1"/>
  <c r="H47" i="13"/>
  <c r="H49" i="13" s="1"/>
  <c r="H58" i="13" s="1"/>
  <c r="H56" i="13" l="1"/>
  <c r="G104" i="13" s="1"/>
  <c r="H57" i="13"/>
  <c r="E56" i="13"/>
  <c r="G77" i="13" s="1"/>
  <c r="E57" i="13"/>
  <c r="G95" i="13"/>
  <c r="H53" i="13"/>
  <c r="H54" i="13" s="1"/>
  <c r="G68" i="13"/>
  <c r="E53" i="13"/>
  <c r="E54" i="13" s="1"/>
  <c r="H90" i="12" l="1"/>
  <c r="H86" i="12"/>
  <c r="F139" i="12"/>
  <c r="F67" i="12"/>
  <c r="F117" i="12"/>
  <c r="I26" i="13"/>
  <c r="N81" i="12"/>
  <c r="N76" i="12"/>
  <c r="N73" i="12"/>
  <c r="K90" i="12"/>
  <c r="K86" i="12"/>
  <c r="M134" i="12"/>
  <c r="M133" i="12"/>
  <c r="J90" i="12"/>
  <c r="J86" i="12"/>
  <c r="N113" i="12"/>
  <c r="N103" i="12"/>
  <c r="N98" i="12"/>
  <c r="E90" i="12"/>
  <c r="E86" i="12"/>
  <c r="H25" i="13"/>
  <c r="H27" i="13"/>
  <c r="H28" i="13"/>
  <c r="K95" i="12"/>
  <c r="K93" i="12"/>
  <c r="G134" i="12"/>
  <c r="G133" i="12"/>
  <c r="I98" i="12"/>
  <c r="I103" i="12"/>
  <c r="I113" i="12"/>
  <c r="E95" i="12"/>
  <c r="E93" i="12"/>
  <c r="F110" i="12"/>
  <c r="F108" i="12"/>
  <c r="F45" i="12"/>
  <c r="F44" i="12"/>
  <c r="I95" i="12"/>
  <c r="I93" i="12"/>
  <c r="M117" i="12"/>
  <c r="M67" i="12"/>
  <c r="M139" i="12"/>
  <c r="F95" i="12"/>
  <c r="F93" i="12"/>
  <c r="K113" i="12"/>
  <c r="K103" i="12"/>
  <c r="K98" i="12"/>
  <c r="L113" i="12"/>
  <c r="L103" i="12"/>
  <c r="L98" i="12"/>
  <c r="L28" i="13"/>
  <c r="L27" i="13"/>
  <c r="G132" i="12"/>
  <c r="F131" i="12"/>
  <c r="J140" i="12"/>
  <c r="J137" i="12"/>
  <c r="J138" i="12"/>
  <c r="H81" i="12"/>
  <c r="H76" i="12"/>
  <c r="N44" i="12"/>
  <c r="N45" i="12"/>
  <c r="N108" i="12"/>
  <c r="N110" i="12"/>
  <c r="N86" i="12"/>
  <c r="N90" i="12"/>
  <c r="G90" i="12"/>
  <c r="G86" i="12"/>
  <c r="I90" i="12"/>
  <c r="I86" i="12"/>
  <c r="H44" i="12"/>
  <c r="H45" i="12"/>
  <c r="H108" i="12"/>
  <c r="H110" i="12"/>
  <c r="I117" i="12"/>
  <c r="I67" i="12"/>
  <c r="I139" i="12"/>
  <c r="F130" i="12"/>
  <c r="F133" i="12"/>
  <c r="F134" i="12"/>
  <c r="G98" i="12"/>
  <c r="G103" i="12"/>
  <c r="G113" i="12"/>
  <c r="J28" i="13"/>
  <c r="J27" i="13"/>
  <c r="E140" i="12"/>
  <c r="E137" i="12"/>
  <c r="E138" i="12"/>
  <c r="H26" i="13"/>
  <c r="L95" i="12"/>
  <c r="L93" i="12"/>
  <c r="L25" i="13"/>
  <c r="M26" i="13"/>
  <c r="L132" i="12"/>
  <c r="K131" i="12"/>
  <c r="H132" i="12"/>
  <c r="G130" i="12"/>
  <c r="G131" i="12"/>
  <c r="L138" i="12"/>
  <c r="L137" i="12"/>
  <c r="L140" i="12"/>
  <c r="L76" i="12"/>
  <c r="L81" i="12"/>
  <c r="N134" i="12"/>
  <c r="N133" i="12"/>
  <c r="G125" i="12"/>
  <c r="K28" i="13"/>
  <c r="K27" i="13"/>
  <c r="N95" i="12"/>
  <c r="N93" i="12"/>
  <c r="M125" i="12"/>
  <c r="K81" i="12"/>
  <c r="K76" i="12"/>
  <c r="E83" i="12"/>
  <c r="E117" i="12"/>
  <c r="E67" i="12"/>
  <c r="E139" i="12"/>
  <c r="E125" i="12"/>
  <c r="F28" i="13"/>
  <c r="F27" i="13"/>
  <c r="K130" i="12"/>
  <c r="K133" i="12"/>
  <c r="K134" i="12"/>
  <c r="N130" i="12"/>
  <c r="N131" i="12"/>
  <c r="F90" i="12"/>
  <c r="F86" i="12"/>
  <c r="F76" i="12"/>
  <c r="F81" i="12"/>
  <c r="F125" i="12"/>
  <c r="J125" i="12"/>
  <c r="H113" i="12"/>
  <c r="H103" i="12"/>
  <c r="H98" i="12"/>
  <c r="K138" i="12"/>
  <c r="K137" i="12"/>
  <c r="K140" i="12"/>
  <c r="E81" i="12"/>
  <c r="E76" i="12"/>
  <c r="N26" i="13"/>
  <c r="H139" i="12"/>
  <c r="H67" i="12"/>
  <c r="H117" i="12"/>
  <c r="K139" i="12"/>
  <c r="K67" i="12"/>
  <c r="J83" i="12"/>
  <c r="K117" i="12"/>
  <c r="I132" i="12"/>
  <c r="H131" i="12"/>
  <c r="E110" i="12"/>
  <c r="E45" i="12"/>
  <c r="E108" i="12"/>
  <c r="F92" i="12"/>
  <c r="F25" i="13"/>
  <c r="G26" i="13"/>
  <c r="M90" i="12"/>
  <c r="M86" i="12"/>
  <c r="M25" i="13"/>
  <c r="M27" i="13"/>
  <c r="M28" i="13"/>
  <c r="L139" i="12"/>
  <c r="L67" i="12"/>
  <c r="K83" i="12"/>
  <c r="L117" i="12"/>
  <c r="L134" i="12"/>
  <c r="L133" i="12"/>
  <c r="I81" i="12"/>
  <c r="I76" i="12"/>
  <c r="K92" i="12"/>
  <c r="K25" i="13"/>
  <c r="L26" i="13"/>
  <c r="M98" i="12"/>
  <c r="M103" i="12"/>
  <c r="M113" i="12"/>
  <c r="E134" i="12"/>
  <c r="E133" i="12"/>
  <c r="J134" i="12"/>
  <c r="J133" i="12"/>
  <c r="K132" i="12"/>
  <c r="J130" i="12"/>
  <c r="J131" i="12"/>
  <c r="H140" i="12"/>
  <c r="H83" i="12"/>
  <c r="H137" i="12"/>
  <c r="H138" i="12"/>
  <c r="M138" i="12"/>
  <c r="M137" i="12"/>
  <c r="M140" i="12"/>
  <c r="L90" i="12"/>
  <c r="L83" i="12"/>
  <c r="L86" i="12"/>
  <c r="I140" i="12"/>
  <c r="I137" i="12"/>
  <c r="I138" i="12"/>
  <c r="J26" i="13"/>
  <c r="H130" i="12"/>
  <c r="H133" i="12"/>
  <c r="H134" i="12"/>
  <c r="F140" i="12"/>
  <c r="F137" i="12"/>
  <c r="F138" i="12"/>
  <c r="N138" i="12"/>
  <c r="N112" i="12"/>
  <c r="N114" i="12"/>
  <c r="N83" i="12"/>
  <c r="N137" i="12"/>
  <c r="N140" i="12"/>
  <c r="F83" i="12"/>
  <c r="G117" i="12"/>
  <c r="G67" i="12"/>
  <c r="G139" i="12"/>
  <c r="M132" i="12"/>
  <c r="L92" i="12"/>
  <c r="L130" i="12"/>
  <c r="L131" i="12"/>
  <c r="F73" i="12"/>
  <c r="G119" i="12"/>
  <c r="G66" i="12"/>
  <c r="G68" i="12"/>
  <c r="G69" i="12"/>
  <c r="G70" i="12"/>
  <c r="G44" i="12"/>
  <c r="G45" i="12"/>
  <c r="G108" i="12"/>
  <c r="G110" i="12"/>
  <c r="M83" i="12"/>
  <c r="N117" i="12"/>
  <c r="N67" i="12"/>
  <c r="N139" i="12"/>
  <c r="M93" i="12"/>
  <c r="M95" i="12"/>
  <c r="M76" i="12"/>
  <c r="M81" i="12"/>
  <c r="L44" i="12"/>
  <c r="L45" i="12"/>
  <c r="L108" i="12"/>
  <c r="L110" i="12"/>
  <c r="L73" i="12"/>
  <c r="M119" i="12"/>
  <c r="M66" i="12"/>
  <c r="M68" i="12"/>
  <c r="M69" i="12"/>
  <c r="M70" i="12"/>
  <c r="M44" i="12"/>
  <c r="M45" i="12"/>
  <c r="M108" i="12"/>
  <c r="M110" i="12"/>
  <c r="J98" i="12"/>
  <c r="J103" i="12"/>
  <c r="J113" i="12"/>
  <c r="H92" i="12"/>
  <c r="H93" i="12"/>
  <c r="H95" i="12"/>
  <c r="G25" i="13"/>
  <c r="G27" i="13"/>
  <c r="G28" i="13"/>
  <c r="K44" i="12"/>
  <c r="K45" i="12"/>
  <c r="K108" i="12"/>
  <c r="K110" i="12"/>
  <c r="F132" i="12"/>
  <c r="E130" i="12"/>
  <c r="E131" i="12"/>
  <c r="J132" i="12"/>
  <c r="I131" i="12"/>
  <c r="E27" i="13"/>
  <c r="E92" i="12"/>
  <c r="E25" i="13"/>
  <c r="F26" i="13"/>
  <c r="I44" i="12"/>
  <c r="I45" i="12"/>
  <c r="I108" i="12"/>
  <c r="I110" i="12"/>
  <c r="I130" i="12"/>
  <c r="I133" i="12"/>
  <c r="I134" i="12"/>
  <c r="I92" i="12"/>
  <c r="I25" i="13"/>
  <c r="I27" i="13"/>
  <c r="I28" i="13"/>
  <c r="K119" i="12"/>
  <c r="K66" i="12"/>
  <c r="K68" i="12"/>
  <c r="K69" i="12"/>
  <c r="K70" i="12"/>
  <c r="K125" i="12"/>
  <c r="G92" i="12"/>
  <c r="G93" i="12"/>
  <c r="G95" i="12"/>
  <c r="G76" i="12"/>
  <c r="G81" i="12"/>
  <c r="K73" i="12"/>
  <c r="L119" i="12"/>
  <c r="L66" i="12"/>
  <c r="L68" i="12"/>
  <c r="L69" i="12"/>
  <c r="L70" i="12"/>
  <c r="L125" i="12"/>
  <c r="F119" i="12"/>
  <c r="F66" i="12"/>
  <c r="F68" i="12"/>
  <c r="F69" i="12"/>
  <c r="F70" i="12"/>
  <c r="F98" i="12"/>
  <c r="F103" i="12"/>
  <c r="F113" i="12"/>
  <c r="K112" i="12"/>
  <c r="K114" i="12"/>
  <c r="L112" i="12"/>
  <c r="L114" i="12"/>
  <c r="M112" i="12"/>
  <c r="M114" i="12"/>
  <c r="M73" i="12"/>
  <c r="N119" i="12"/>
  <c r="N66" i="12"/>
  <c r="N68" i="12"/>
  <c r="N69" i="12"/>
  <c r="N70" i="12"/>
  <c r="N125" i="12"/>
  <c r="I83" i="12"/>
  <c r="J117" i="12"/>
  <c r="J67" i="12"/>
  <c r="J139" i="12"/>
  <c r="J112" i="12"/>
  <c r="J114" i="12"/>
  <c r="J73" i="12"/>
  <c r="J76" i="12"/>
  <c r="J81" i="12"/>
  <c r="G138" i="12"/>
  <c r="G83" i="12"/>
  <c r="G137" i="12"/>
  <c r="G140" i="12"/>
  <c r="J93" i="12"/>
  <c r="J95" i="12"/>
  <c r="H73" i="12"/>
  <c r="I119" i="12"/>
  <c r="I66" i="12"/>
  <c r="I68" i="12"/>
  <c r="I69" i="12"/>
  <c r="I70" i="12"/>
  <c r="I125" i="12"/>
  <c r="N132" i="12"/>
  <c r="M92" i="12"/>
  <c r="M130" i="12"/>
  <c r="M131" i="12"/>
  <c r="G73" i="12"/>
  <c r="H119" i="12"/>
  <c r="H66" i="12"/>
  <c r="H68" i="12"/>
  <c r="H69" i="12"/>
  <c r="H70" i="12"/>
  <c r="H125" i="12"/>
  <c r="J92" i="12"/>
  <c r="J25" i="13"/>
  <c r="K26" i="13"/>
  <c r="F112" i="12"/>
  <c r="F114" i="12"/>
  <c r="G112" i="12"/>
  <c r="G114" i="12"/>
  <c r="H112" i="12"/>
  <c r="H114" i="12"/>
  <c r="I112" i="12"/>
  <c r="I114" i="12"/>
  <c r="I73" i="12"/>
  <c r="J119" i="12"/>
  <c r="J66" i="12"/>
  <c r="J68" i="12"/>
  <c r="J69" i="12"/>
  <c r="J70" i="12"/>
  <c r="J44" i="12"/>
  <c r="J45" i="12"/>
  <c r="J108" i="12"/>
  <c r="J110" i="12"/>
  <c r="E98" i="12"/>
  <c r="E103" i="12"/>
  <c r="E113" i="12"/>
  <c r="E114" i="12"/>
  <c r="E73" i="12"/>
  <c r="E119" i="12"/>
  <c r="E66" i="12"/>
  <c r="E68" i="12"/>
  <c r="E69" i="12"/>
  <c r="E70" i="12"/>
  <c r="E44" i="12"/>
  <c r="E46" i="12"/>
  <c r="F43" i="12"/>
  <c r="F46" i="12"/>
  <c r="G43" i="12"/>
  <c r="G46" i="12"/>
  <c r="H43" i="12"/>
  <c r="H46" i="12"/>
  <c r="I43" i="12"/>
  <c r="I46" i="12"/>
  <c r="J43" i="12"/>
  <c r="J46" i="12"/>
  <c r="K43" i="12"/>
  <c r="K46" i="12"/>
  <c r="L43" i="12"/>
  <c r="L46" i="12"/>
  <c r="M43" i="12"/>
  <c r="M46" i="12"/>
  <c r="N43" i="12"/>
  <c r="N46" i="12"/>
  <c r="N92" i="12"/>
  <c r="N25" i="13"/>
  <c r="N27" i="13"/>
  <c r="N2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N6" authorId="0" shapeId="0" xr:uid="{040DFC74-2589-48A8-91C8-7847660975B1}">
      <text>
        <r>
          <rPr>
            <b/>
            <sz val="9"/>
            <color indexed="81"/>
            <rFont val="Tahoma"/>
            <family val="2"/>
          </rPr>
          <t>Financial Edge:</t>
        </r>
        <r>
          <rPr>
            <sz val="9"/>
            <color indexed="81"/>
            <rFont val="Tahoma"/>
            <family val="2"/>
          </rPr>
          <t xml:space="preserve">
last year end, driving the model date row</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Debs Taylor</author>
    <author>Financial Edge</author>
  </authors>
  <commentList>
    <comment ref="M7" authorId="0" shapeId="0" xr:uid="{B37440FD-FC9F-4563-9F20-365E712293CA}">
      <text>
        <r>
          <rPr>
            <b/>
            <sz val="9"/>
            <color indexed="81"/>
            <rFont val="Tahoma"/>
            <family val="2"/>
          </rPr>
          <t>Financial Edge:</t>
        </r>
        <r>
          <rPr>
            <sz val="9"/>
            <color indexed="81"/>
            <rFont val="Tahoma"/>
            <family val="2"/>
          </rPr>
          <t xml:space="preserve">
Press release for acquisition</t>
        </r>
      </text>
    </comment>
    <comment ref="I11" authorId="1" shapeId="0" xr:uid="{2FB7B588-7F3F-4658-B3A6-EC41E3CFD2A5}">
      <text>
        <r>
          <rPr>
            <b/>
            <sz val="9"/>
            <color indexed="81"/>
            <rFont val="Tahoma"/>
            <family val="2"/>
          </rPr>
          <t>Financial Edge:</t>
        </r>
        <r>
          <rPr>
            <sz val="9"/>
            <color indexed="81"/>
            <rFont val="Tahoma"/>
            <family val="2"/>
          </rPr>
          <t xml:space="preserve">
Source: Embracer website
9 months EBIT to 31st Sept 2021, 417 SEK. 
Grossed up to 12 months
2021 exchange rate 8.5 SEK to 1 USD </t>
        </r>
      </text>
    </comment>
    <comment ref="G12" authorId="0" shapeId="0" xr:uid="{05983DBA-894A-4261-8839-B4D7BCF99524}">
      <text>
        <r>
          <rPr>
            <b/>
            <sz val="9"/>
            <color indexed="81"/>
            <rFont val="Tahoma"/>
            <family val="2"/>
          </rPr>
          <t>Financial Edge:</t>
        </r>
        <r>
          <rPr>
            <sz val="9"/>
            <color indexed="81"/>
            <rFont val="Tahoma"/>
            <family val="2"/>
          </rPr>
          <t xml:space="preserve">
Press release for acquisition</t>
        </r>
      </text>
    </comment>
    <comment ref="I12" authorId="0" shapeId="0" xr:uid="{276AD2B9-F86F-4725-B241-34C951FD4D3C}">
      <text>
        <r>
          <rPr>
            <b/>
            <sz val="9"/>
            <color indexed="81"/>
            <rFont val="Tahoma"/>
            <family val="2"/>
          </rPr>
          <t>Financial Edge:</t>
        </r>
        <r>
          <rPr>
            <sz val="9"/>
            <color indexed="81"/>
            <rFont val="Tahoma"/>
            <family val="2"/>
          </rPr>
          <t xml:space="preserve">
Press release for acquisition</t>
        </r>
      </text>
    </comment>
    <comment ref="H15" authorId="0" shapeId="0" xr:uid="{E4474125-EB69-4EF5-B413-1DC009805B8D}">
      <text>
        <r>
          <rPr>
            <b/>
            <sz val="9"/>
            <color indexed="81"/>
            <rFont val="Tahoma"/>
            <family val="2"/>
          </rPr>
          <t>Financial Edge:</t>
        </r>
        <r>
          <rPr>
            <sz val="9"/>
            <color indexed="81"/>
            <rFont val="Tahoma"/>
            <family val="2"/>
          </rPr>
          <t xml:space="preserve">
Companies House to April 22</t>
        </r>
      </text>
    </comment>
    <comment ref="M19" authorId="0" shapeId="0" xr:uid="{69FC3C90-A9C6-4A57-A47F-6389CA100473}">
      <text>
        <r>
          <rPr>
            <b/>
            <sz val="9"/>
            <color indexed="81"/>
            <rFont val="Tahoma"/>
            <family val="2"/>
          </rPr>
          <t>Financial Edge:</t>
        </r>
        <r>
          <rPr>
            <sz val="9"/>
            <color indexed="81"/>
            <rFont val="Tahoma"/>
            <family val="2"/>
          </rPr>
          <t xml:space="preserve">
Press release for acquisition</t>
        </r>
      </text>
    </comment>
    <comment ref="M20" authorId="1" shapeId="0" xr:uid="{25779C05-0736-4F38-9C02-EBB098403012}">
      <text>
        <r>
          <rPr>
            <b/>
            <sz val="9"/>
            <color indexed="81"/>
            <rFont val="Tahoma"/>
            <family val="2"/>
          </rPr>
          <t>Financial Edge:</t>
        </r>
        <r>
          <rPr>
            <sz val="9"/>
            <color indexed="81"/>
            <rFont val="Tahoma"/>
            <family val="2"/>
          </rPr>
          <t xml:space="preserve">
Financial press estimates</t>
        </r>
      </text>
    </comment>
    <comment ref="B43" authorId="1" shapeId="0" xr:uid="{7B4935B9-2E27-433B-8639-A011F4FFF4C5}">
      <text>
        <r>
          <rPr>
            <b/>
            <sz val="9"/>
            <color indexed="81"/>
            <rFont val="Tahoma"/>
            <family val="2"/>
          </rPr>
          <t>Financial Edge:</t>
        </r>
        <r>
          <rPr>
            <sz val="9"/>
            <color indexed="81"/>
            <rFont val="Tahoma"/>
            <family val="2"/>
          </rPr>
          <t xml:space="preserve">
This can be helpful to back out an EV/EBITDA if that information is missing from the data set but an EV/revenue is given. In this data set that's not necessary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E51" authorId="0" shapeId="0" xr:uid="{843C2FE9-D764-48AF-BDB2-01DFE5182AA0}">
      <text>
        <r>
          <rPr>
            <b/>
            <sz val="9"/>
            <color indexed="81"/>
            <rFont val="Tahoma"/>
            <family val="2"/>
          </rPr>
          <t>Financial Edge:</t>
        </r>
        <r>
          <rPr>
            <sz val="9"/>
            <color indexed="81"/>
            <rFont val="Tahoma"/>
            <family val="2"/>
          </rPr>
          <t xml:space="preserve">
to allow a neat label on the right of the difference bar</t>
        </r>
      </text>
    </comment>
    <comment ref="H58" authorId="0" shapeId="0" xr:uid="{57D71BF5-DAC7-4D49-ADEA-16B745D792C6}">
      <text>
        <r>
          <rPr>
            <b/>
            <sz val="9"/>
            <color indexed="81"/>
            <rFont val="Tahoma"/>
            <family val="2"/>
          </rPr>
          <t>Financial Edge:</t>
        </r>
        <r>
          <rPr>
            <sz val="9"/>
            <color indexed="81"/>
            <rFont val="Tahoma"/>
            <family val="2"/>
          </rPr>
          <t xml:space="preserve">
5 March 2006. Affected by PIF bid for ~210$</t>
        </r>
      </text>
    </comment>
    <comment ref="H63" authorId="0" shapeId="0" xr:uid="{FACB8D7F-9908-4BD1-86F4-89F885443073}">
      <text>
        <r>
          <rPr>
            <b/>
            <sz val="9"/>
            <color indexed="81"/>
            <rFont val="Tahoma"/>
            <family val="2"/>
          </rPr>
          <t>Financial Edge:</t>
        </r>
        <r>
          <rPr>
            <sz val="9"/>
            <color indexed="81"/>
            <rFont val="Tahoma"/>
            <family val="2"/>
          </rPr>
          <t xml:space="preserve">
September 2025 pre PIF bid</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59" authorId="0" shapeId="0" xr:uid="{9B2DBD36-CE48-4E2C-A481-9E0A042CDF4D}">
      <text>
        <r>
          <rPr>
            <b/>
            <sz val="9"/>
            <color indexed="81"/>
            <rFont val="Tahoma"/>
            <family val="2"/>
          </rPr>
          <t>Financial Edge:</t>
        </r>
        <r>
          <rPr>
            <sz val="9"/>
            <color indexed="81"/>
            <rFont val="Tahoma"/>
            <family val="2"/>
          </rPr>
          <t xml:space="preserve">
Owed to PIF/PE if EA reverses course, would need to be priced into to other bidders' plans</t>
        </r>
      </text>
    </comment>
    <comment ref="C81" authorId="0" shapeId="0" xr:uid="{29C05840-363B-457B-9391-A94AC51208AC}">
      <text>
        <r>
          <rPr>
            <b/>
            <sz val="9"/>
            <color indexed="81"/>
            <rFont val="Tahoma"/>
            <family val="2"/>
          </rPr>
          <t>Financial Edge:</t>
        </r>
        <r>
          <rPr>
            <sz val="9"/>
            <color indexed="81"/>
            <rFont val="Tahoma"/>
            <family val="2"/>
          </rPr>
          <t xml:space="preserve">
Assume ratings agencies will allow an A rated co like  Sony to go up to 2.5x proforma if it can demonstrate deleveraging post-deal</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E2" authorId="0" shapeId="0" xr:uid="{EFC1545A-DC0D-4FAE-8E3A-058C4A3323E5}">
      <text>
        <r>
          <rPr>
            <b/>
            <sz val="9"/>
            <color indexed="81"/>
            <rFont val="Tahoma"/>
            <family val="2"/>
          </rPr>
          <t>Financial Edge:</t>
        </r>
        <r>
          <rPr>
            <sz val="9"/>
            <color indexed="81"/>
            <rFont val="Tahoma"/>
            <family val="2"/>
          </rPr>
          <t xml:space="preserve">
Historical from the point of view of this exercise</t>
        </r>
      </text>
    </comment>
    <comment ref="E11" authorId="0" shapeId="0" xr:uid="{71051D11-EB89-45E5-8338-FFAAE471FDA1}">
      <text>
        <r>
          <rPr>
            <b/>
            <sz val="9"/>
            <color indexed="81"/>
            <rFont val="Tahoma"/>
            <family val="2"/>
          </rPr>
          <t>Financial Edge:</t>
        </r>
        <r>
          <rPr>
            <sz val="9"/>
            <color indexed="81"/>
            <rFont val="Tahoma"/>
            <family val="2"/>
          </rPr>
          <t xml:space="preserve">
Unaffected share price pre-PIF bid</t>
        </r>
      </text>
    </comment>
    <comment ref="E23" authorId="0" shapeId="0" xr:uid="{D30165CB-67B6-4FFD-968A-15A5E8E1FA19}">
      <text>
        <r>
          <rPr>
            <b/>
            <sz val="9"/>
            <color indexed="81"/>
            <rFont val="Tahoma"/>
            <family val="2"/>
          </rPr>
          <t>Financial Edge:</t>
        </r>
        <r>
          <rPr>
            <sz val="9"/>
            <color indexed="81"/>
            <rFont val="Tahoma"/>
            <family val="2"/>
          </rPr>
          <t xml:space="preserve">
US B 10 year credit spread
Source: Felix/US/Discount Rate</t>
        </r>
      </text>
    </comment>
    <comment ref="B98" authorId="0" shapeId="0" xr:uid="{A780AD76-FE38-4FF1-8EE6-35706BE5C058}">
      <text>
        <r>
          <rPr>
            <b/>
            <sz val="9"/>
            <color indexed="81"/>
            <rFont val="Tahoma"/>
            <family val="2"/>
          </rPr>
          <t>Financial Edge:</t>
        </r>
        <r>
          <rPr>
            <sz val="9"/>
            <color indexed="81"/>
            <rFont val="Tahoma"/>
            <family val="2"/>
          </rPr>
          <t xml:space="preserve">
50% paydown minimum required within 7 years for credit committee to approve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Financial Edge</author>
    <author>Oliver Sealey</author>
  </authors>
  <commentList>
    <comment ref="B15" authorId="0" shapeId="0" xr:uid="{10D55791-D373-41B4-A3C2-48D4F25308B1}">
      <text>
        <r>
          <rPr>
            <b/>
            <sz val="9"/>
            <color indexed="81"/>
            <rFont val="Tahoma"/>
            <family val="2"/>
          </rPr>
          <t>Financial Edge:</t>
        </r>
        <r>
          <rPr>
            <sz val="9"/>
            <color indexed="81"/>
            <rFont val="Tahoma"/>
            <family val="2"/>
          </rPr>
          <t xml:space="preserve">
This won't awlays match the balance sheet change as the balance sheet puts deferred revenue in a number of places, sometimes non current, and not just "deferred revenue"</t>
        </r>
      </text>
    </comment>
    <comment ref="D19" authorId="1" shapeId="0" xr:uid="{5E5179F0-3727-4085-84CC-732423C6D1F4}">
      <text>
        <r>
          <rPr>
            <b/>
            <sz val="9"/>
            <color indexed="81"/>
            <rFont val="Tahoma"/>
            <family val="2"/>
          </rPr>
          <t>Financial edge:</t>
        </r>
        <r>
          <rPr>
            <sz val="9"/>
            <color indexed="81"/>
            <rFont val="Tahoma"/>
            <family val="2"/>
          </rPr>
          <t xml:space="preserve">
Acqu intangible impairment in cost of revenue</t>
        </r>
      </text>
    </comment>
    <comment ref="J19" authorId="0" shapeId="0" xr:uid="{2F3901A5-0CFE-4B67-A2B0-73EA55F3A311}">
      <text>
        <r>
          <rPr>
            <b/>
            <sz val="9"/>
            <color indexed="81"/>
            <rFont val="Tahoma"/>
            <family val="2"/>
          </rPr>
          <t>Financial Edge:</t>
        </r>
        <r>
          <rPr>
            <sz val="9"/>
            <color indexed="81"/>
            <rFont val="Tahoma"/>
            <family val="2"/>
          </rPr>
          <t xml:space="preserve">
This is an impairment of intangibles. The PR has a confusing 10 income, which an acquisition related expense income and can be found on the link on cell k28</t>
        </r>
      </text>
    </comment>
    <comment ref="K19" authorId="0" shapeId="0" xr:uid="{5916211B-3724-47ED-BC89-CAC8B06F609D}">
      <text>
        <r>
          <rPr>
            <b/>
            <sz val="9"/>
            <color indexed="81"/>
            <rFont val="Tahoma"/>
            <family val="2"/>
          </rPr>
          <t>Financial Edge:</t>
        </r>
        <r>
          <rPr>
            <sz val="9"/>
            <color indexed="81"/>
            <rFont val="Tahoma"/>
            <family val="2"/>
          </rPr>
          <t xml:space="preserve">
impairment of developed game tech intangibles</t>
        </r>
      </text>
    </comment>
    <comment ref="B22" authorId="0" shapeId="0" xr:uid="{E5AC8623-30A7-4698-9C8B-D4661F5524A3}">
      <text>
        <r>
          <rPr>
            <b/>
            <sz val="9"/>
            <color indexed="81"/>
            <rFont val="Tahoma"/>
            <family val="2"/>
          </rPr>
          <t>Financial Edge:</t>
        </r>
        <r>
          <rPr>
            <sz val="9"/>
            <color indexed="81"/>
            <rFont val="Tahoma"/>
            <family val="2"/>
          </rPr>
          <t xml:space="preserve">
Companies in the gaming industry report adusted EBIT that has often (but not always) been adjusted for change in deferred revenue, share based compensation, and other items, making it closer to cash. It could be called "Cash EBIT". Companies mention it as covenant adjusted as well. An example of the logic of this is that net bookings are more important than revenue for the health of a gaming company.
It's important to note there's no standard approach between companies
Given the adjusting items in co PR EBIT(DA) such as SBC are not necessarily non-recurring we'd normally not recommend adjusting for them when cleaning EBIT. We've shown an alternate cleaning on lower rows.
Company PR EBIT is presented here to explore the idea of EBIT(DA) in different contexts, and that adjustments would need checking for high accuracy analysis. Cash EBIT also becomes an important concept in multiples-based valuation methods seen on later tabs. This is because data providers aren't always super clear about what EBIT(DA) actually is, so it's easy to create mismatches between multiple and driver.</t>
        </r>
      </text>
    </comment>
    <comment ref="G22" authorId="0" shapeId="0" xr:uid="{B57405E8-4B69-4FDE-9B90-703024025C36}">
      <text>
        <r>
          <rPr>
            <b/>
            <sz val="9"/>
            <color indexed="81"/>
            <rFont val="Tahoma"/>
            <family val="2"/>
          </rPr>
          <t>Financial Edge:</t>
        </r>
        <r>
          <rPr>
            <sz val="9"/>
            <color indexed="81"/>
            <rFont val="Tahoma"/>
            <family val="2"/>
          </rPr>
          <t xml:space="preserve">
Roblox don't present EBIT in their PR</t>
        </r>
      </text>
    </comment>
    <comment ref="B23" authorId="0" shapeId="0" xr:uid="{B1FDA8B3-A507-4CD4-BC67-BF64F494B2B5}">
      <text>
        <r>
          <rPr>
            <b/>
            <sz val="9"/>
            <color indexed="81"/>
            <rFont val="Tahoma"/>
            <family val="2"/>
          </rPr>
          <t>Financial Edge:</t>
        </r>
        <r>
          <rPr>
            <sz val="9"/>
            <color indexed="81"/>
            <rFont val="Tahoma"/>
            <family val="2"/>
          </rPr>
          <t xml:space="preserve">
These include a number of one offs which are reflected below in rows 26-30, but also share based comp, change in deferred revenue, and non-impairment amortization of intangibles, which aren't adjusted for below to get to EBIT</t>
        </r>
      </text>
    </comment>
    <comment ref="G25" authorId="0" shapeId="0" xr:uid="{EA9A7B94-FC5F-4976-B677-A94E7CB5EA74}">
      <text>
        <r>
          <rPr>
            <b/>
            <sz val="9"/>
            <color indexed="81"/>
            <rFont val="Tahoma"/>
            <family val="2"/>
          </rPr>
          <t>Financial Edge:</t>
        </r>
        <r>
          <rPr>
            <sz val="9"/>
            <color indexed="81"/>
            <rFont val="Tahoma"/>
            <family val="2"/>
          </rPr>
          <t xml:space="preserve">
accelerated depn</t>
        </r>
      </text>
    </comment>
    <comment ref="D26" authorId="0" shapeId="0" xr:uid="{B26FC900-2742-4CA5-A1FA-E7838A8CCF04}">
      <text>
        <r>
          <rPr>
            <b/>
            <sz val="9"/>
            <color indexed="81"/>
            <rFont val="Tahoma"/>
            <family val="2"/>
          </rPr>
          <t>Financial Edge:</t>
        </r>
        <r>
          <rPr>
            <sz val="9"/>
            <color indexed="81"/>
            <rFont val="Tahoma"/>
            <family val="2"/>
          </rPr>
          <t xml:space="preserve">
Acqu intangible impairments in operating expenses</t>
        </r>
      </text>
    </comment>
    <comment ref="J26" authorId="0" shapeId="0" xr:uid="{5BEB9E76-D084-401E-9447-2585C4C27DDF}">
      <text>
        <r>
          <rPr>
            <b/>
            <sz val="9"/>
            <color indexed="81"/>
            <rFont val="Tahoma"/>
            <family val="2"/>
          </rPr>
          <t>Financial Edge:</t>
        </r>
        <r>
          <rPr>
            <sz val="9"/>
            <color indexed="81"/>
            <rFont val="Tahoma"/>
            <family val="2"/>
          </rPr>
          <t xml:space="preserve">
Impairment of goodwill</t>
        </r>
      </text>
    </comment>
    <comment ref="K26" authorId="0" shapeId="0" xr:uid="{CD77911A-6D59-4CCB-9E1F-C7787E7E0F42}">
      <text>
        <r>
          <rPr>
            <b/>
            <sz val="9"/>
            <color indexed="81"/>
            <rFont val="Tahoma"/>
            <family val="2"/>
          </rPr>
          <t>Financial Edge:</t>
        </r>
        <r>
          <rPr>
            <sz val="9"/>
            <color indexed="81"/>
            <rFont val="Tahoma"/>
            <family val="2"/>
          </rPr>
          <t xml:space="preserve">
impairment of gw in opex</t>
        </r>
      </text>
    </comment>
    <comment ref="N26" authorId="0" shapeId="0" xr:uid="{E3C0D429-8511-4E91-BFB3-22430799EE8F}">
      <text>
        <r>
          <rPr>
            <b/>
            <sz val="9"/>
            <color indexed="81"/>
            <rFont val="Tahoma"/>
            <family val="2"/>
          </rPr>
          <t>Financial Edge:</t>
        </r>
        <r>
          <rPr>
            <sz val="9"/>
            <color indexed="81"/>
            <rFont val="Tahoma"/>
            <family val="2"/>
          </rPr>
          <t xml:space="preserve">
goodwill impairment</t>
        </r>
      </text>
    </comment>
    <comment ref="D27" authorId="0" shapeId="0" xr:uid="{717CABC8-004F-4772-BA34-A26C050F5B8E}">
      <text>
        <r>
          <rPr>
            <b/>
            <sz val="9"/>
            <color indexed="81"/>
            <rFont val="Tahoma"/>
            <family val="2"/>
          </rPr>
          <t>Financial Edge:</t>
        </r>
        <r>
          <rPr>
            <sz val="9"/>
            <color indexed="81"/>
            <rFont val="Tahoma"/>
            <family val="2"/>
          </rPr>
          <t xml:space="preserve">
Royalty impairment in restructuring</t>
        </r>
      </text>
    </comment>
    <comment ref="J27" authorId="0" shapeId="0" xr:uid="{FD0130BC-E89B-4324-82B0-084DDED3A55D}">
      <text>
        <r>
          <rPr>
            <b/>
            <sz val="9"/>
            <color indexed="81"/>
            <rFont val="Tahoma"/>
            <family val="2"/>
          </rPr>
          <t>Financial Edge:</t>
        </r>
        <r>
          <rPr>
            <sz val="9"/>
            <color indexed="81"/>
            <rFont val="Tahoma"/>
            <family val="2"/>
          </rPr>
          <t xml:space="preserve">
Impairment of intangibles contained in reorganization plan. Cancellation of planned titles</t>
        </r>
      </text>
    </comment>
    <comment ref="K27" authorId="0" shapeId="0" xr:uid="{CFD1FDC5-F525-460E-878D-C6B6D92DFCDE}">
      <text>
        <r>
          <rPr>
            <b/>
            <sz val="9"/>
            <color indexed="81"/>
            <rFont val="Tahoma"/>
            <family val="2"/>
          </rPr>
          <t>Financial Edge:</t>
        </r>
        <r>
          <rPr>
            <sz val="9"/>
            <color indexed="81"/>
            <rFont val="Tahoma"/>
            <family val="2"/>
          </rPr>
          <t xml:space="preserve">
Impairments of titles and ROU assets in bus reorg plan
</t>
        </r>
      </text>
    </comment>
    <comment ref="M27" authorId="0" shapeId="0" xr:uid="{C4749A44-C147-464D-B771-B7FE85E79232}">
      <text>
        <r>
          <rPr>
            <b/>
            <sz val="9"/>
            <color indexed="81"/>
            <rFont val="Tahoma"/>
            <family val="2"/>
          </rPr>
          <t>Financial Edge:</t>
        </r>
        <r>
          <rPr>
            <sz val="9"/>
            <color indexed="81"/>
            <rFont val="Tahoma"/>
            <family val="2"/>
          </rPr>
          <t xml:space="preserve">
Intangible impairment</t>
        </r>
      </text>
    </comment>
    <comment ref="D28" authorId="0" shapeId="0" xr:uid="{F10FED40-E4D3-4238-B5AA-B8616C48FB47}">
      <text>
        <r>
          <rPr>
            <b/>
            <sz val="9"/>
            <color indexed="81"/>
            <rFont val="Tahoma"/>
            <family val="2"/>
          </rPr>
          <t>Financial Edge:</t>
        </r>
        <r>
          <rPr>
            <sz val="9"/>
            <color indexed="81"/>
            <rFont val="Tahoma"/>
            <family val="2"/>
          </rPr>
          <t xml:space="preserve">
Lease impairments in restructuring office space reduction</t>
        </r>
      </text>
    </comment>
    <comment ref="J28" authorId="0" shapeId="0" xr:uid="{5FFC7BFB-44FA-43C4-A6F6-ABC3653A9D8F}">
      <text>
        <r>
          <rPr>
            <b/>
            <sz val="9"/>
            <color indexed="81"/>
            <rFont val="Tahoma"/>
            <family val="2"/>
          </rPr>
          <t>Financial Edge:</t>
        </r>
        <r>
          <rPr>
            <sz val="9"/>
            <color indexed="81"/>
            <rFont val="Tahoma"/>
            <family val="2"/>
          </rPr>
          <t xml:space="preserve">
Business reorganization less impairment above</t>
        </r>
      </text>
    </comment>
    <comment ref="K28" authorId="0" shapeId="0" xr:uid="{722A6144-EDE4-4C50-AB96-11F47B508770}">
      <text>
        <r>
          <rPr>
            <b/>
            <sz val="9"/>
            <color indexed="81"/>
            <rFont val="Tahoma"/>
            <family val="2"/>
          </rPr>
          <t>Financial Edge:</t>
        </r>
        <r>
          <rPr>
            <sz val="9"/>
            <color indexed="81"/>
            <rFont val="Tahoma"/>
            <family val="2"/>
          </rPr>
          <t xml:space="preserve">
Business reorganization less impairment above</t>
        </r>
      </text>
    </comment>
    <comment ref="M28" authorId="0" shapeId="0" xr:uid="{1B11BB53-DC63-44A6-9B81-139A489AE792}">
      <text>
        <r>
          <rPr>
            <b/>
            <sz val="9"/>
            <color indexed="81"/>
            <rFont val="Tahoma"/>
            <family val="2"/>
          </rPr>
          <t>Financial Edge:</t>
        </r>
        <r>
          <rPr>
            <sz val="9"/>
            <color indexed="81"/>
            <rFont val="Tahoma"/>
            <family val="2"/>
          </rPr>
          <t xml:space="preserve">
restructuring</t>
        </r>
      </text>
    </comment>
    <comment ref="N28" authorId="0" shapeId="0" xr:uid="{825D25C9-0844-49E3-A0ED-A8CFABB45980}">
      <text>
        <r>
          <rPr>
            <b/>
            <sz val="9"/>
            <color indexed="81"/>
            <rFont val="Tahoma"/>
            <family val="2"/>
          </rPr>
          <t>Financial Edge:</t>
        </r>
        <r>
          <rPr>
            <sz val="9"/>
            <color indexed="81"/>
            <rFont val="Tahoma"/>
            <family val="2"/>
          </rPr>
          <t xml:space="preserve">
restructuring</t>
        </r>
      </text>
    </comment>
    <comment ref="D29" authorId="0" shapeId="0" xr:uid="{6C8E1184-9A4F-4F7E-BEA9-F4BDCD4C90C9}">
      <text>
        <r>
          <rPr>
            <b/>
            <sz val="9"/>
            <color indexed="81"/>
            <rFont val="Tahoma"/>
            <family val="2"/>
          </rPr>
          <t>Financial Edge:</t>
        </r>
        <r>
          <rPr>
            <sz val="9"/>
            <color indexed="81"/>
            <rFont val="Tahoma"/>
            <family val="2"/>
          </rPr>
          <t xml:space="preserve">
Restructuring excluding impairments. Should equal the remaining restructuring</t>
        </r>
      </text>
    </comment>
    <comment ref="J29" authorId="0" shapeId="0" xr:uid="{D57E1BB9-935C-4C5E-A953-5A652F2EE123}">
      <text>
        <r>
          <rPr>
            <b/>
            <sz val="9"/>
            <color indexed="81"/>
            <rFont val="Tahoma"/>
            <family val="2"/>
          </rPr>
          <t>Financial Edge:</t>
        </r>
        <r>
          <rPr>
            <sz val="9"/>
            <color indexed="81"/>
            <rFont val="Tahoma"/>
            <family val="2"/>
          </rPr>
          <t xml:space="preserve">
There are a number of impacts of acqu related expenses shown in the linked rec</t>
        </r>
      </text>
    </comment>
    <comment ref="K29" authorId="0" shapeId="0" xr:uid="{FBB4BF7D-5A93-4C19-81E5-6F2F3F2F541F}">
      <text>
        <r>
          <rPr>
            <b/>
            <sz val="9"/>
            <color indexed="81"/>
            <rFont val="Tahoma"/>
            <family val="2"/>
          </rPr>
          <t>Financial Edge:</t>
        </r>
        <r>
          <rPr>
            <sz val="9"/>
            <color indexed="81"/>
            <rFont val="Tahoma"/>
            <family val="2"/>
          </rPr>
          <t xml:space="preserve">
acqu related branding impairment within D&amp;A</t>
        </r>
      </text>
    </comment>
    <comment ref="B31" authorId="0" shapeId="0" xr:uid="{21C89FD0-C28C-4EED-9BBD-55B4B0A75373}">
      <text>
        <r>
          <rPr>
            <b/>
            <sz val="9"/>
            <color indexed="81"/>
            <rFont val="Tahoma"/>
            <family val="2"/>
          </rPr>
          <t>Financial Edge:</t>
        </r>
        <r>
          <rPr>
            <sz val="9"/>
            <color indexed="81"/>
            <rFont val="Tahoma"/>
            <family val="2"/>
          </rPr>
          <t xml:space="preserve">
These may include impairments, so need cleaning (below)</t>
        </r>
      </text>
    </comment>
    <comment ref="J31" authorId="0" shapeId="0" xr:uid="{08C23DDF-4C21-4711-9ACE-22A17D2AFC38}">
      <text>
        <r>
          <rPr>
            <b/>
            <sz val="9"/>
            <color indexed="81"/>
            <rFont val="Tahoma"/>
            <family val="2"/>
          </rPr>
          <t>Financial Edge:</t>
        </r>
        <r>
          <rPr>
            <sz val="9"/>
            <color indexed="81"/>
            <rFont val="Tahoma"/>
            <family val="2"/>
          </rPr>
          <t xml:space="preserve">
This is inclusive of impairments to everything except goodwill</t>
        </r>
      </text>
    </comment>
    <comment ref="G32" authorId="0" shapeId="0" xr:uid="{2279B2B4-B0C9-4D1F-9567-0793F91776C9}">
      <text>
        <r>
          <rPr>
            <b/>
            <sz val="9"/>
            <color indexed="81"/>
            <rFont val="Tahoma"/>
            <family val="2"/>
          </rPr>
          <t>Financial Edge:</t>
        </r>
        <r>
          <rPr>
            <sz val="9"/>
            <color indexed="81"/>
            <rFont val="Tahoma"/>
            <family val="2"/>
          </rPr>
          <t xml:space="preserve">
Impairment is recorded outside D&amp;A so no adjustment is needed here</t>
        </r>
      </text>
    </comment>
    <comment ref="J36" authorId="0" shapeId="0" xr:uid="{6BD7D373-1E08-4D1B-99C9-84BDA0DCDE7B}">
      <text>
        <r>
          <rPr>
            <b/>
            <sz val="9"/>
            <color indexed="81"/>
            <rFont val="Tahoma"/>
            <family val="2"/>
          </rPr>
          <t>Financial Edge:</t>
        </r>
        <r>
          <rPr>
            <sz val="9"/>
            <color indexed="81"/>
            <rFont val="Tahoma"/>
            <family val="2"/>
          </rPr>
          <t xml:space="preserve">
Financing items related to acquisitions</t>
        </r>
      </text>
    </comment>
    <comment ref="K36" authorId="0" shapeId="0" xr:uid="{E2C90039-DEAA-4BE0-9E04-808A36121617}">
      <text>
        <r>
          <rPr>
            <b/>
            <sz val="9"/>
            <color indexed="81"/>
            <rFont val="Tahoma"/>
            <family val="2"/>
          </rPr>
          <t>Financial Edge:</t>
        </r>
        <r>
          <rPr>
            <sz val="9"/>
            <color indexed="81"/>
            <rFont val="Tahoma"/>
            <family val="2"/>
          </rPr>
          <t xml:space="preserve">
Financing items related to acquisitions</t>
        </r>
      </text>
    </comment>
    <comment ref="B57" authorId="0" shapeId="0" xr:uid="{0714987E-91B1-47F0-82B8-BBB562D23AC4}">
      <text>
        <r>
          <rPr>
            <b/>
            <sz val="9"/>
            <color indexed="81"/>
            <rFont val="Tahoma"/>
            <family val="2"/>
          </rPr>
          <t>Financial Edge:</t>
        </r>
        <r>
          <rPr>
            <sz val="9"/>
            <color indexed="81"/>
            <rFont val="Tahoma"/>
            <family val="2"/>
          </rPr>
          <t xml:space="preserve">
Similar to prepaid expenses</t>
        </r>
      </text>
    </comment>
    <comment ref="J62" authorId="0" shapeId="0" xr:uid="{5761E44A-F6F0-4241-BB44-14439A8BFDF3}">
      <text>
        <r>
          <rPr>
            <b/>
            <sz val="9"/>
            <color indexed="81"/>
            <rFont val="Tahoma"/>
            <family val="2"/>
          </rPr>
          <t>Financial Edge:</t>
        </r>
        <r>
          <rPr>
            <sz val="9"/>
            <color indexed="81"/>
            <rFont val="Tahoma"/>
            <family val="2"/>
          </rPr>
          <t xml:space="preserve">
Restricted cash is being held to pay royalties, so operating. </t>
        </r>
      </text>
    </comment>
    <comment ref="H66" authorId="0" shapeId="0" xr:uid="{CA62702E-82CE-425A-9F36-159AD7959EAE}">
      <text>
        <r>
          <rPr>
            <b/>
            <sz val="9"/>
            <color indexed="81"/>
            <rFont val="Tahoma"/>
            <family val="2"/>
          </rPr>
          <t>Financial Edge:</t>
        </r>
        <r>
          <rPr>
            <sz val="9"/>
            <color indexed="81"/>
            <rFont val="Tahoma"/>
            <family val="2"/>
          </rPr>
          <t xml:space="preserve">
Remove short term debt</t>
        </r>
      </text>
    </comment>
    <comment ref="B67" authorId="0" shapeId="0" xr:uid="{5C52F39A-1DF3-45BB-81CB-2CBFA676DBB8}">
      <text>
        <r>
          <rPr>
            <b/>
            <sz val="9"/>
            <color indexed="81"/>
            <rFont val="Tahoma"/>
            <family val="2"/>
          </rPr>
          <t>Financial Edge:</t>
        </r>
        <r>
          <rPr>
            <sz val="9"/>
            <color indexed="81"/>
            <rFont val="Tahoma"/>
            <family val="2"/>
          </rPr>
          <t xml:space="preserve">
Incentive scheme for suppliers to create content. Ability for developers to earn and remove virtual currency from Roblox</t>
        </r>
      </text>
    </comment>
    <comment ref="B76" authorId="0" shapeId="0" xr:uid="{09136722-41EA-4BF5-BBCA-191023577CEC}">
      <text>
        <r>
          <rPr>
            <b/>
            <sz val="9"/>
            <color indexed="81"/>
            <rFont val="Tahoma"/>
            <family val="2"/>
          </rPr>
          <t>Financial Edge:</t>
        </r>
        <r>
          <rPr>
            <sz val="9"/>
            <color indexed="81"/>
            <rFont val="Tahoma"/>
            <family val="2"/>
          </rPr>
          <t xml:space="preserve">
Ignore operating leases</t>
        </r>
      </text>
    </comment>
    <comment ref="J77" authorId="0" shapeId="0" xr:uid="{9B38F58C-94A1-4DC6-8E71-12FFB7C0DB9F}">
      <text>
        <r>
          <rPr>
            <b/>
            <sz val="9"/>
            <color indexed="81"/>
            <rFont val="Tahoma"/>
            <family val="2"/>
          </rPr>
          <t>Financial Edge:</t>
        </r>
        <r>
          <rPr>
            <sz val="9"/>
            <color indexed="81"/>
            <rFont val="Tahoma"/>
            <family val="2"/>
          </rPr>
          <t xml:space="preserve">
incl software development costs and licenses</t>
        </r>
      </text>
    </comment>
    <comment ref="B78" authorId="0" shapeId="0" xr:uid="{45C0A36C-9371-4E06-BF25-07B110EFB7F3}">
      <text>
        <r>
          <rPr>
            <b/>
            <sz val="9"/>
            <color indexed="81"/>
            <rFont val="Tahoma"/>
            <family val="2"/>
          </rPr>
          <t>Financial Edge:</t>
        </r>
        <r>
          <rPr>
            <sz val="9"/>
            <color indexed="81"/>
            <rFont val="Tahoma"/>
            <family val="2"/>
          </rPr>
          <t xml:space="preserve">
Investment in intangibles added to investment in PP&amp;E where applicable</t>
        </r>
      </text>
    </comment>
    <comment ref="J78" authorId="0" shapeId="0" xr:uid="{8BF3A1AD-2FC1-45C9-9169-B93FDB39319E}">
      <text>
        <r>
          <rPr>
            <b/>
            <sz val="9"/>
            <color indexed="81"/>
            <rFont val="Tahoma"/>
            <family val="2"/>
          </rPr>
          <t>Financial Edge:</t>
        </r>
        <r>
          <rPr>
            <sz val="9"/>
            <color indexed="81"/>
            <rFont val="Tahoma"/>
            <family val="2"/>
          </rPr>
          <t xml:space="preserve">
includes operating cashflow 'software dev costs' which builds intangibles</t>
        </r>
      </text>
    </comment>
    <comment ref="K80" authorId="0" shapeId="0" xr:uid="{88731787-D380-48F7-8A0E-0B7B7419957C}">
      <text>
        <r>
          <rPr>
            <b/>
            <sz val="9"/>
            <color indexed="81"/>
            <rFont val="Tahoma"/>
            <family val="2"/>
          </rPr>
          <t>Financial Edge:</t>
        </r>
        <r>
          <rPr>
            <sz val="9"/>
            <color indexed="81"/>
            <rFont val="Tahoma"/>
            <family val="2"/>
          </rPr>
          <t xml:space="preserve">
contains current portion of lt debt</t>
        </r>
      </text>
    </comment>
    <comment ref="K124" authorId="0" shapeId="0" xr:uid="{1450BCF6-7A5A-499C-A7A2-DAF5660EEACA}">
      <text>
        <r>
          <rPr>
            <b/>
            <sz val="9"/>
            <color indexed="81"/>
            <rFont val="Tahoma"/>
            <family val="2"/>
          </rPr>
          <t>Financial Edge:</t>
        </r>
        <r>
          <rPr>
            <sz val="9"/>
            <color indexed="81"/>
            <rFont val="Tahoma"/>
            <family val="2"/>
          </rPr>
          <t xml:space="preserve">
removed the 3.9 impairment mentioned under the linked table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I7" authorId="0" shapeId="0" xr:uid="{D001580D-6864-4AE0-B6EB-A0071EC13474}">
      <text>
        <r>
          <rPr>
            <b/>
            <sz val="9"/>
            <color indexed="81"/>
            <rFont val="Tahoma"/>
            <family val="2"/>
          </rPr>
          <t>Financial Edge:</t>
        </r>
        <r>
          <rPr>
            <sz val="9"/>
            <color indexed="81"/>
            <rFont val="Tahoma"/>
            <family val="2"/>
          </rPr>
          <t xml:space="preserve">
Source: Factset until this year</t>
        </r>
      </text>
    </comment>
    <comment ref="B8" authorId="0" shapeId="0" xr:uid="{8D9EA8E6-91E2-4DF6-84CC-9756F69BE857}">
      <text>
        <r>
          <rPr>
            <b/>
            <sz val="9"/>
            <color indexed="81"/>
            <rFont val="Tahoma"/>
            <family val="2"/>
          </rPr>
          <t>Financial Edge:</t>
        </r>
        <r>
          <rPr>
            <sz val="9"/>
            <color indexed="81"/>
            <rFont val="Tahoma"/>
            <family val="2"/>
          </rPr>
          <t xml:space="preserve">
Factset consensus EBIT margin is in line with co PR methods. Ie it assumes an add back of SBC</t>
        </r>
      </text>
    </comment>
    <comment ref="G8" authorId="0" shapeId="0" xr:uid="{02220601-2BD8-47A8-A01D-40C32BC342F4}">
      <text>
        <r>
          <rPr>
            <b/>
            <sz val="9"/>
            <color indexed="81"/>
            <rFont val="Tahoma"/>
            <family val="2"/>
          </rPr>
          <t>Financial Edge:</t>
        </r>
        <r>
          <rPr>
            <sz val="9"/>
            <color indexed="81"/>
            <rFont val="Tahoma"/>
            <family val="2"/>
          </rPr>
          <t xml:space="preserve">
Source: Factset until this year</t>
        </r>
      </text>
    </comment>
    <comment ref="G10" authorId="0" shapeId="0" xr:uid="{F671181B-D6B0-4E6F-B1A7-0AB6560274FE}">
      <text>
        <r>
          <rPr>
            <b/>
            <sz val="9"/>
            <color indexed="81"/>
            <rFont val="Tahoma"/>
            <family val="2"/>
          </rPr>
          <t>Financial Edge:</t>
        </r>
        <r>
          <rPr>
            <sz val="9"/>
            <color indexed="81"/>
            <rFont val="Tahoma"/>
            <family val="2"/>
          </rPr>
          <t xml:space="preserve">
Source: Factset until this year</t>
        </r>
      </text>
    </comment>
    <comment ref="H13" authorId="0" shapeId="0" xr:uid="{76CF3298-645B-4FD4-8A82-821771F1C08E}">
      <text>
        <r>
          <rPr>
            <b/>
            <sz val="9"/>
            <color indexed="81"/>
            <rFont val="Tahoma"/>
            <family val="2"/>
          </rPr>
          <t>Financial Edge:</t>
        </r>
        <r>
          <rPr>
            <sz val="9"/>
            <color indexed="81"/>
            <rFont val="Tahoma"/>
            <family val="2"/>
          </rPr>
          <t xml:space="preserve">
source: Factset until this year</t>
        </r>
      </text>
    </comment>
    <comment ref="G19" authorId="0" shapeId="0" xr:uid="{35C52D69-8949-4FBA-AAA5-09189DB71703}">
      <text>
        <r>
          <rPr>
            <b/>
            <sz val="9"/>
            <color indexed="81"/>
            <rFont val="Tahoma"/>
            <family val="2"/>
          </rPr>
          <t>Financial Edge:</t>
        </r>
        <r>
          <rPr>
            <sz val="9"/>
            <color indexed="81"/>
            <rFont val="Tahoma"/>
            <family val="2"/>
          </rPr>
          <t xml:space="preserve">
Source: Factset until this year</t>
        </r>
      </text>
    </comment>
    <comment ref="D24" authorId="0" shapeId="0" xr:uid="{0E946D53-D1C8-4F7D-9BA9-BE46E2336E05}">
      <text>
        <r>
          <rPr>
            <b/>
            <sz val="9"/>
            <color indexed="81"/>
            <rFont val="Tahoma"/>
            <family val="2"/>
          </rPr>
          <t>Financial Edge:</t>
        </r>
        <r>
          <rPr>
            <sz val="9"/>
            <color indexed="81"/>
            <rFont val="Tahoma"/>
            <family val="2"/>
          </rPr>
          <t xml:space="preserve">
OID amortizing. This isn't a cashflow so won't continue in forecast</t>
        </r>
      </text>
    </comment>
    <comment ref="B45" authorId="0" shapeId="0" xr:uid="{7B92045A-B56C-4D69-85EF-13953AA438B4}">
      <text>
        <r>
          <rPr>
            <b/>
            <sz val="9"/>
            <color indexed="81"/>
            <rFont val="Tahoma"/>
            <family val="2"/>
          </rPr>
          <t>Financial Edge:</t>
        </r>
        <r>
          <rPr>
            <sz val="9"/>
            <color indexed="81"/>
            <rFont val="Tahoma"/>
            <family val="2"/>
          </rPr>
          <t xml:space="preserve">
Cashflow statement dividend and repurchase</t>
        </r>
      </text>
    </comment>
    <comment ref="B54" authorId="0" shapeId="0" xr:uid="{B3B96309-A868-468F-B40E-4BDF9646775B}">
      <text>
        <r>
          <rPr>
            <b/>
            <sz val="9"/>
            <color indexed="81"/>
            <rFont val="Tahoma"/>
            <family val="2"/>
          </rPr>
          <t>Financial Edge:</t>
        </r>
        <r>
          <rPr>
            <sz val="9"/>
            <color indexed="81"/>
            <rFont val="Tahoma"/>
            <family val="2"/>
          </rPr>
          <t xml:space="preserve">
Company PR style EBIT. This is the best represented metric in consensus estimates via the ebit margin. 
Ie consensus predicts CY1 EBIT margin, with the definition of EBIT being in line with co PR defnition: Adding back SBC.
Our model is based around consensus. This means when we're using the EBIT margin in CY1+ we're predicting 'cleaned' EBIT having added back SBC. To get back to the FE definition of EBIT we have to predict and deduct the SBC expense.</t>
        </r>
      </text>
    </comment>
    <comment ref="B57" authorId="0" shapeId="0" xr:uid="{461CAE30-A09B-40E5-9634-B1D805526245}">
      <text>
        <r>
          <rPr>
            <b/>
            <sz val="9"/>
            <color indexed="81"/>
            <rFont val="Tahoma"/>
            <family val="2"/>
          </rPr>
          <t>Financial Edge:</t>
        </r>
        <r>
          <rPr>
            <sz val="9"/>
            <color indexed="81"/>
            <rFont val="Tahoma"/>
            <family val="2"/>
          </rPr>
          <t xml:space="preserve">
Reported D&amp;A has impairments and other non-recurring items in it. This figure is cleaned. See the accounting tab for details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B31" authorId="0" shapeId="0" xr:uid="{0A23D2D5-77D5-43BA-8B13-AF87FE9747FE}">
      <text>
        <r>
          <rPr>
            <b/>
            <sz val="9"/>
            <color indexed="81"/>
            <rFont val="Tahoma"/>
            <family val="2"/>
          </rPr>
          <t>Financial Edge:</t>
        </r>
        <r>
          <rPr>
            <sz val="9"/>
            <color indexed="81"/>
            <rFont val="Tahoma"/>
            <family val="2"/>
          </rPr>
          <t xml:space="preserve">
No indication given in the 10Q whether the performance targets attached to these PSUs were met or not. Assumed to be met.
</t>
        </r>
      </text>
    </comment>
    <comment ref="B32" authorId="0" shapeId="0" xr:uid="{B2F313EB-01D0-4BF4-81BA-FE79DF1A5993}">
      <text>
        <r>
          <rPr>
            <b/>
            <sz val="9"/>
            <color indexed="81"/>
            <rFont val="Tahoma"/>
            <family val="2"/>
          </rPr>
          <t>Financial Edge:</t>
        </r>
        <r>
          <rPr>
            <sz val="9"/>
            <color indexed="81"/>
            <rFont val="Tahoma"/>
            <family val="2"/>
          </rPr>
          <t xml:space="preserve">
No indication given in the 10Q whether the performance targets attached to these PSUs were met or not. Assumed to be met.</t>
        </r>
      </text>
    </comment>
    <comment ref="C49" authorId="0" shapeId="0" xr:uid="{C17970B5-917F-496B-B7F0-B68BC65A027F}">
      <text>
        <r>
          <rPr>
            <b/>
            <sz val="9"/>
            <color indexed="81"/>
            <rFont val="Tahoma"/>
            <family val="2"/>
          </rPr>
          <t>Financial Edge:</t>
        </r>
        <r>
          <rPr>
            <sz val="9"/>
            <color indexed="81"/>
            <rFont val="Tahoma"/>
            <family val="2"/>
          </rPr>
          <t xml:space="preserve">
Lease impairments in restructuring office space reduction</t>
        </r>
      </text>
    </comment>
    <comment ref="C50" authorId="0" shapeId="0" xr:uid="{D2BAD7E4-47E5-4B45-9F3E-9886A8F9325F}">
      <text>
        <r>
          <rPr>
            <b/>
            <sz val="9"/>
            <color indexed="81"/>
            <rFont val="Tahoma"/>
            <family val="2"/>
          </rPr>
          <t>Financial Edge:</t>
        </r>
        <r>
          <rPr>
            <sz val="9"/>
            <color indexed="81"/>
            <rFont val="Tahoma"/>
            <family val="2"/>
          </rPr>
          <t xml:space="preserve">
Restructuring excluding impairments. Should equal the remaining restructuring</t>
        </r>
      </text>
    </comment>
    <comment ref="B53" authorId="0" shapeId="0" xr:uid="{A9FF075D-2D38-48B6-A72C-9C2EFF656EC5}">
      <text>
        <r>
          <rPr>
            <b/>
            <sz val="9"/>
            <color indexed="81"/>
            <rFont val="Tahoma"/>
            <family val="2"/>
          </rPr>
          <t>Financial Edge:</t>
        </r>
        <r>
          <rPr>
            <sz val="9"/>
            <color indexed="81"/>
            <rFont val="Tahoma"/>
            <family val="2"/>
          </rPr>
          <t xml:space="preserve">
The reported D&amp;A figure includes impairments. Impairments have already been added back to EBIT, so D&amp;A needs cleaning</t>
        </r>
      </text>
    </comment>
    <comment ref="B83" authorId="0" shapeId="0" xr:uid="{A5715431-B218-42CD-9339-E6E1CD5CA51E}">
      <text>
        <r>
          <rPr>
            <b/>
            <sz val="9"/>
            <color indexed="81"/>
            <rFont val="Tahoma"/>
            <family val="2"/>
          </rPr>
          <t>Financial Edge:</t>
        </r>
        <r>
          <rPr>
            <sz val="9"/>
            <color indexed="81"/>
            <rFont val="Tahoma"/>
            <family val="2"/>
          </rPr>
          <t xml:space="preserve">
These require a share price of 165-375, which given the current 52 week high seems unllikely. The numbers that may vest (165 range are also very small)</t>
        </r>
      </text>
    </comment>
    <comment ref="B84" authorId="0" shapeId="0" xr:uid="{E1B543F4-2990-44EA-882A-8ED700D0BEBE}">
      <text>
        <r>
          <rPr>
            <b/>
            <sz val="9"/>
            <color indexed="81"/>
            <rFont val="Tahoma"/>
            <family val="2"/>
          </rPr>
          <t>Financial Edge:</t>
        </r>
        <r>
          <rPr>
            <sz val="9"/>
            <color indexed="81"/>
            <rFont val="Tahoma"/>
            <family val="2"/>
          </rPr>
          <t xml:space="preserve">
New package based on bookings/EBITDA rather than share price. Based on actual performance if the CEO stays he will earn this many shares</t>
        </r>
      </text>
    </comment>
    <comment ref="B96" authorId="0" shapeId="0" xr:uid="{F0259301-2395-4422-B5D6-741B0EEBF8A0}">
      <text>
        <r>
          <rPr>
            <b/>
            <sz val="9"/>
            <color indexed="81"/>
            <rFont val="Tahoma"/>
            <family val="2"/>
          </rPr>
          <t>Financial Edge:</t>
        </r>
        <r>
          <rPr>
            <sz val="9"/>
            <color indexed="81"/>
            <rFont val="Tahoma"/>
            <family val="2"/>
          </rPr>
          <t xml:space="preserve">
The negative NCI is ignored. It wouldn't be possible to get money from the NCI stakeholders. If you left the NCI here as a negative then it would be acting as if cash would flow from the NCI to the company/main shareholders.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5" authorId="0" shapeId="0" xr:uid="{F72A3299-6B85-4A00-A3E9-D4017C632C65}">
      <text>
        <r>
          <rPr>
            <b/>
            <sz val="9"/>
            <color indexed="81"/>
            <rFont val="Tahoma"/>
            <family val="2"/>
          </rPr>
          <t>Financial Edge:</t>
        </r>
        <r>
          <rPr>
            <sz val="9"/>
            <color indexed="81"/>
            <rFont val="Tahoma"/>
            <family val="2"/>
          </rPr>
          <t xml:space="preserve">
Source: Factset unless stated otherwise</t>
        </r>
      </text>
    </comment>
    <comment ref="C20" authorId="0" shapeId="0" xr:uid="{2FE5EF30-C8C9-4771-9988-A1297B59A29E}">
      <text>
        <r>
          <rPr>
            <b/>
            <sz val="9"/>
            <color indexed="81"/>
            <rFont val="Tahoma"/>
            <family val="2"/>
          </rPr>
          <t>Financial Edge:</t>
        </r>
        <r>
          <rPr>
            <sz val="9"/>
            <color indexed="81"/>
            <rFont val="Tahoma"/>
            <family val="2"/>
          </rPr>
          <t xml:space="preserve">
felix</t>
        </r>
      </text>
    </comment>
    <comment ref="C21" authorId="0" shapeId="0" xr:uid="{9A0440F5-0307-4C79-BCBB-026DDC736463}">
      <text>
        <r>
          <rPr>
            <b/>
            <sz val="9"/>
            <color indexed="81"/>
            <rFont val="Tahoma"/>
            <family val="2"/>
          </rPr>
          <t>Financial Edge:</t>
        </r>
        <r>
          <rPr>
            <sz val="9"/>
            <color indexed="81"/>
            <rFont val="Tahoma"/>
            <family val="2"/>
          </rPr>
          <t xml:space="preserve">
Estimates of LTG are not being performed due to takeover</t>
        </r>
      </text>
    </comment>
    <comment ref="M30" authorId="0" shapeId="0" xr:uid="{CF9F492B-0EEE-4954-B06B-7A3CF6FAE212}">
      <text>
        <r>
          <rPr>
            <b/>
            <sz val="9"/>
            <color indexed="81"/>
            <rFont val="Tahoma"/>
            <family val="2"/>
          </rPr>
          <t>Financial Edge:</t>
        </r>
        <r>
          <rPr>
            <sz val="9"/>
            <color indexed="81"/>
            <rFont val="Tahoma"/>
            <family val="2"/>
          </rPr>
          <t xml:space="preserve">
No indication given in the 10Q whether the performance targets attached to these PSUs were met or not. Assumed to be met for simplicity</t>
        </r>
      </text>
    </comment>
    <comment ref="M31" authorId="0" shapeId="0" xr:uid="{D0294DFE-4641-4450-ABAD-A13128BC628C}">
      <text>
        <r>
          <rPr>
            <b/>
            <sz val="9"/>
            <color indexed="81"/>
            <rFont val="Tahoma"/>
            <family val="2"/>
          </rPr>
          <t>Financial Edge:</t>
        </r>
        <r>
          <rPr>
            <sz val="9"/>
            <color indexed="81"/>
            <rFont val="Tahoma"/>
            <family val="2"/>
          </rPr>
          <t xml:space="preserve">
No indication given in the 10Q whether the performance targets attached to these PSUs were met or not. Assumed to be met for simplicity</t>
        </r>
      </text>
    </comment>
    <comment ref="C45" authorId="0" shapeId="0" xr:uid="{3513FC13-96C7-4CA7-88A8-C670D1A09D29}">
      <text>
        <r>
          <rPr>
            <b/>
            <sz val="9"/>
            <color indexed="81"/>
            <rFont val="Tahoma"/>
            <family val="2"/>
          </rPr>
          <t>Financial Edge:</t>
        </r>
        <r>
          <rPr>
            <sz val="9"/>
            <color indexed="81"/>
            <rFont val="Tahoma"/>
            <family val="2"/>
          </rPr>
          <t xml:space="preserve">
Lease impairments in restructuring office space reduction</t>
        </r>
      </text>
    </comment>
    <comment ref="C48" authorId="0" shapeId="0" xr:uid="{A507BC40-EA1B-42AF-AF28-F4427BFD911F}">
      <text>
        <r>
          <rPr>
            <b/>
            <sz val="9"/>
            <color indexed="81"/>
            <rFont val="Tahoma"/>
            <family val="2"/>
          </rPr>
          <t>Financial Edge:</t>
        </r>
        <r>
          <rPr>
            <sz val="9"/>
            <color indexed="81"/>
            <rFont val="Tahoma"/>
            <family val="2"/>
          </rPr>
          <t xml:space="preserve">
Restructuring excluding impairments. Should equal the remaining restructuring</t>
        </r>
      </text>
    </comment>
    <comment ref="I53" authorId="0" shapeId="0" xr:uid="{8943CBE9-69D7-4A98-9369-82041D27E2A4}">
      <text>
        <r>
          <rPr>
            <b/>
            <sz val="9"/>
            <color indexed="81"/>
            <rFont val="Tahoma"/>
            <family val="2"/>
          </rPr>
          <t>Financial Edge:</t>
        </r>
        <r>
          <rPr>
            <sz val="9"/>
            <color indexed="81"/>
            <rFont val="Tahoma"/>
            <family val="2"/>
          </rPr>
          <t xml:space="preserve">
Source Factset gaap EBITDA</t>
        </r>
      </text>
    </comment>
    <comment ref="D59" authorId="0" shapeId="0" xr:uid="{4609CEB0-E45E-4701-960D-9FA3441D329F}">
      <text>
        <r>
          <rPr>
            <b/>
            <sz val="9"/>
            <color indexed="81"/>
            <rFont val="Tahoma"/>
            <family val="2"/>
          </rPr>
          <t>Financial Edge:</t>
        </r>
        <r>
          <rPr>
            <sz val="9"/>
            <color indexed="81"/>
            <rFont val="Tahoma"/>
            <family val="2"/>
          </rPr>
          <t xml:space="preserve">
Assumed to vary with revenue as 10Q contains no lease expenses</t>
        </r>
      </text>
    </comment>
    <comment ref="I59" authorId="0" shapeId="0" xr:uid="{4BED80D7-6996-4EA2-9FC2-38A094F2F58F}">
      <text>
        <r>
          <rPr>
            <b/>
            <sz val="9"/>
            <color indexed="81"/>
            <rFont val="Tahoma"/>
            <family val="2"/>
          </rPr>
          <t>Financial Edge:</t>
        </r>
        <r>
          <rPr>
            <sz val="9"/>
            <color indexed="81"/>
            <rFont val="Tahoma"/>
            <family val="2"/>
          </rPr>
          <t xml:space="preserve">
Operating lease rental expense assumed to grow in line with revenue</t>
        </r>
      </text>
    </comment>
    <comment ref="J59" authorId="0" shapeId="0" xr:uid="{EF1CB469-D614-4E68-AF1E-E1119C6435FC}">
      <text>
        <r>
          <rPr>
            <b/>
            <sz val="9"/>
            <color indexed="81"/>
            <rFont val="Tahoma"/>
            <family val="2"/>
          </rPr>
          <t>Financial Edge:</t>
        </r>
        <r>
          <rPr>
            <sz val="9"/>
            <color indexed="81"/>
            <rFont val="Tahoma"/>
            <family val="2"/>
          </rPr>
          <t xml:space="preserve">
Operating lease rental expense assumed to grow in line with revenue</t>
        </r>
      </text>
    </comment>
    <comment ref="K59" authorId="0" shapeId="0" xr:uid="{695531EA-E13B-44AE-B639-2EF4362D338A}">
      <text>
        <r>
          <rPr>
            <b/>
            <sz val="9"/>
            <color indexed="81"/>
            <rFont val="Tahoma"/>
            <family val="2"/>
          </rPr>
          <t>Financial Edge:</t>
        </r>
        <r>
          <rPr>
            <sz val="9"/>
            <color indexed="81"/>
            <rFont val="Tahoma"/>
            <family val="2"/>
          </rPr>
          <t xml:space="preserve">
Operating lease rental expense assumed to grow in line with revenue</t>
        </r>
      </text>
    </comment>
    <comment ref="L59" authorId="0" shapeId="0" xr:uid="{33A92083-14DF-4FD5-9C9E-D0D0897C322F}">
      <text>
        <r>
          <rPr>
            <b/>
            <sz val="9"/>
            <color indexed="81"/>
            <rFont val="Tahoma"/>
            <family val="2"/>
          </rPr>
          <t>Financial Edge:</t>
        </r>
        <r>
          <rPr>
            <sz val="9"/>
            <color indexed="81"/>
            <rFont val="Tahoma"/>
            <family val="2"/>
          </rPr>
          <t xml:space="preserve">
Operating lease rental expense assumed to grow in line with revenue</t>
        </r>
      </text>
    </comment>
    <comment ref="G61" authorId="0" shapeId="0" xr:uid="{EEC5CF41-A56E-49CF-BCD1-113932A75428}">
      <text>
        <r>
          <rPr>
            <b/>
            <sz val="9"/>
            <color indexed="81"/>
            <rFont val="Tahoma"/>
            <family val="2"/>
          </rPr>
          <t>Financial Edge:</t>
        </r>
        <r>
          <rPr>
            <sz val="9"/>
            <color indexed="81"/>
            <rFont val="Tahoma"/>
            <family val="2"/>
          </rPr>
          <t xml:space="preserve">
Not given in Q so K figure used</t>
        </r>
      </text>
    </comment>
    <comment ref="K67" authorId="0" shapeId="0" xr:uid="{8AD7AFCD-DE10-410E-AC20-400DA596A7AD}">
      <text>
        <r>
          <rPr>
            <b/>
            <sz val="9"/>
            <color indexed="81"/>
            <rFont val="Tahoma"/>
            <family val="2"/>
          </rPr>
          <t>Financial Edge:</t>
        </r>
        <r>
          <rPr>
            <sz val="9"/>
            <color indexed="81"/>
            <rFont val="Tahoma"/>
            <family val="2"/>
          </rPr>
          <t xml:space="preserve">
Because we don't have a 2028 lease expense, we can't calenderaise this year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C5" authorId="0" shapeId="0" xr:uid="{41A3548A-811A-4ABD-B04C-66B900351E84}">
      <text>
        <r>
          <rPr>
            <b/>
            <sz val="9"/>
            <color indexed="81"/>
            <rFont val="Tahoma"/>
            <family val="2"/>
          </rPr>
          <t>Financial Edge:</t>
        </r>
        <r>
          <rPr>
            <sz val="9"/>
            <color indexed="81"/>
            <rFont val="Tahoma"/>
            <family val="2"/>
          </rPr>
          <t xml:space="preserve">
Source: Factset unless stated otherwise</t>
        </r>
      </text>
    </comment>
    <comment ref="C20" authorId="0" shapeId="0" xr:uid="{BB7C124D-8FDA-4262-9277-719247019CF0}">
      <text>
        <r>
          <rPr>
            <b/>
            <sz val="9"/>
            <color indexed="81"/>
            <rFont val="Tahoma"/>
            <family val="2"/>
          </rPr>
          <t>Financial Edge:</t>
        </r>
        <r>
          <rPr>
            <sz val="9"/>
            <color indexed="81"/>
            <rFont val="Tahoma"/>
            <family val="2"/>
          </rPr>
          <t xml:space="preserve">
felix</t>
        </r>
      </text>
    </comment>
    <comment ref="C21" authorId="0" shapeId="0" xr:uid="{129DDFE4-EFD1-4304-AF7C-164A2A64FC17}">
      <text>
        <r>
          <rPr>
            <b/>
            <sz val="9"/>
            <color indexed="81"/>
            <rFont val="Tahoma"/>
            <family val="2"/>
          </rPr>
          <t>Financial Edge:</t>
        </r>
        <r>
          <rPr>
            <sz val="9"/>
            <color indexed="81"/>
            <rFont val="Tahoma"/>
            <family val="2"/>
          </rPr>
          <t xml:space="preserve">
Source Factset estimates</t>
        </r>
      </text>
    </comment>
    <comment ref="M31" authorId="0" shapeId="0" xr:uid="{83709B19-D594-4A67-93F0-5402226C2731}">
      <text>
        <r>
          <rPr>
            <b/>
            <sz val="9"/>
            <color indexed="81"/>
            <rFont val="Tahoma"/>
            <family val="2"/>
          </rPr>
          <t>Financial Edge:</t>
        </r>
        <r>
          <rPr>
            <sz val="9"/>
            <color indexed="81"/>
            <rFont val="Tahoma"/>
            <family val="2"/>
          </rPr>
          <t xml:space="preserve">
These require a share price of 165-375, which given the current 52 week high seems unllikely. The numbers that may vest (165 range are also very small)</t>
        </r>
      </text>
    </comment>
    <comment ref="M32" authorId="0" shapeId="0" xr:uid="{0E62FC1D-B912-48CC-9ED6-7B96E93F8F18}">
      <text>
        <r>
          <rPr>
            <b/>
            <sz val="9"/>
            <color indexed="81"/>
            <rFont val="Tahoma"/>
            <family val="2"/>
          </rPr>
          <t>Financial Edge:</t>
        </r>
        <r>
          <rPr>
            <sz val="9"/>
            <color indexed="81"/>
            <rFont val="Tahoma"/>
            <family val="2"/>
          </rPr>
          <t xml:space="preserve">
New package based on bookings/EBITDA rather than share price. Based on actual performance if the CEO stays he will earn this many shares</t>
        </r>
      </text>
    </comment>
    <comment ref="E33" authorId="0" shapeId="0" xr:uid="{B16F2FB1-9D66-41CD-AE17-150832EC3F52}">
      <text>
        <r>
          <rPr>
            <b/>
            <sz val="9"/>
            <color indexed="81"/>
            <rFont val="Tahoma"/>
            <family val="2"/>
          </rPr>
          <t>Financial Edge:</t>
        </r>
        <r>
          <rPr>
            <sz val="9"/>
            <color indexed="81"/>
            <rFont val="Tahoma"/>
            <family val="2"/>
          </rPr>
          <t xml:space="preserve">
The negative NCI is ignored. It wouldn't be possible to get money from the NCI stakeholders. If you left the NCI here as a negative then it would be acting as if cash would flow from the NCI to the company/main shareholders.</t>
        </r>
      </text>
    </comment>
    <comment ref="I42" authorId="0" shapeId="0" xr:uid="{6B5EB061-0927-464D-A76D-BE2DB0D5874C}">
      <text>
        <r>
          <rPr>
            <b/>
            <sz val="9"/>
            <color indexed="81"/>
            <rFont val="Tahoma"/>
            <family val="2"/>
          </rPr>
          <t>Financial Edge:</t>
        </r>
        <r>
          <rPr>
            <sz val="9"/>
            <color indexed="81"/>
            <rFont val="Tahoma"/>
            <family val="2"/>
          </rPr>
          <t xml:space="preserve">
Source: Factset GAAP sales</t>
        </r>
      </text>
    </comment>
    <comment ref="I53" authorId="0" shapeId="0" xr:uid="{EBEB88A4-D27A-4C0C-AECA-06D57533B6EF}">
      <text>
        <r>
          <rPr>
            <b/>
            <sz val="9"/>
            <color indexed="81"/>
            <rFont val="Tahoma"/>
            <family val="2"/>
          </rPr>
          <t>Financial Edge:</t>
        </r>
        <r>
          <rPr>
            <sz val="9"/>
            <color indexed="81"/>
            <rFont val="Tahoma"/>
            <family val="2"/>
          </rPr>
          <t xml:space="preserve">
Source: Factset GAAP EBITDA (still adjusts for SBC)</t>
        </r>
      </text>
    </comment>
    <comment ref="I54" authorId="0" shapeId="0" xr:uid="{A0244390-F70A-4098-8E5E-5B11C50EBBB7}">
      <text>
        <r>
          <rPr>
            <b/>
            <sz val="9"/>
            <color indexed="81"/>
            <rFont val="Tahoma"/>
            <family val="2"/>
          </rPr>
          <t>Financial Edge:</t>
        </r>
        <r>
          <rPr>
            <sz val="9"/>
            <color indexed="81"/>
            <rFont val="Tahoma"/>
            <family val="2"/>
          </rPr>
          <t xml:space="preserve">
Predicted to move with revenue</t>
        </r>
      </text>
    </comment>
    <comment ref="I61" authorId="0" shapeId="0" xr:uid="{60D598F8-5742-4EB5-9D2C-0134B71F0D08}">
      <text>
        <r>
          <rPr>
            <b/>
            <sz val="9"/>
            <color indexed="81"/>
            <rFont val="Tahoma"/>
            <family val="2"/>
          </rPr>
          <t>Financial Edge:</t>
        </r>
        <r>
          <rPr>
            <sz val="9"/>
            <color indexed="81"/>
            <rFont val="Tahoma"/>
            <family val="2"/>
          </rPr>
          <t xml:space="preserve">
Operating lease rental expense assumed to grow in line with revenue</t>
        </r>
      </text>
    </comment>
    <comment ref="J61" authorId="0" shapeId="0" xr:uid="{FBA461BA-7B2D-44AF-A83F-339F41DE8B55}">
      <text>
        <r>
          <rPr>
            <b/>
            <sz val="9"/>
            <color indexed="81"/>
            <rFont val="Tahoma"/>
            <family val="2"/>
          </rPr>
          <t>Financial Edge:</t>
        </r>
        <r>
          <rPr>
            <sz val="9"/>
            <color indexed="81"/>
            <rFont val="Tahoma"/>
            <family val="2"/>
          </rPr>
          <t xml:space="preserve">
Operating lease rental expense assumed to grow in line with revenue</t>
        </r>
      </text>
    </comment>
    <comment ref="K61" authorId="0" shapeId="0" xr:uid="{2895E4BA-586E-4703-A356-1EE1F4BFDA63}">
      <text>
        <r>
          <rPr>
            <b/>
            <sz val="9"/>
            <color indexed="81"/>
            <rFont val="Tahoma"/>
            <family val="2"/>
          </rPr>
          <t>Financial Edge:</t>
        </r>
        <r>
          <rPr>
            <sz val="9"/>
            <color indexed="81"/>
            <rFont val="Tahoma"/>
            <family val="2"/>
          </rPr>
          <t xml:space="preserve">
Operating lease rental expense assumed to grow in line with revenue</t>
        </r>
      </text>
    </comment>
    <comment ref="K69" authorId="0" shapeId="0" xr:uid="{CE7B4CBB-F29C-4AAE-9656-D25B1EC36CA0}">
      <text>
        <r>
          <rPr>
            <b/>
            <sz val="9"/>
            <color indexed="81"/>
            <rFont val="Tahoma"/>
            <family val="2"/>
          </rPr>
          <t>Financial Edge:</t>
        </r>
        <r>
          <rPr>
            <sz val="9"/>
            <color indexed="81"/>
            <rFont val="Tahoma"/>
            <family val="2"/>
          </rPr>
          <t xml:space="preserve">
As we don't have 2027 lease numbers we can't calculate this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D5" authorId="0" shapeId="0" xr:uid="{36A9CDFF-2DA0-4FC0-A54B-5AD764D4175F}">
      <text>
        <r>
          <rPr>
            <b/>
            <sz val="9"/>
            <color indexed="81"/>
            <rFont val="Tahoma"/>
            <family val="2"/>
          </rPr>
          <t>Financial Edge:</t>
        </r>
        <r>
          <rPr>
            <sz val="9"/>
            <color indexed="81"/>
            <rFont val="Tahoma"/>
            <family val="2"/>
          </rPr>
          <t xml:space="preserve">
Calendarise to December to allow alignment with Factset calendarised estimates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E2" authorId="0" shapeId="0" xr:uid="{83CA3764-A8B2-4D61-BE85-06863355DFA5}">
      <text>
        <r>
          <rPr>
            <b/>
            <sz val="9"/>
            <color indexed="81"/>
            <rFont val="Tahoma"/>
            <family val="2"/>
          </rPr>
          <t>Financial Edge:</t>
        </r>
        <r>
          <rPr>
            <sz val="9"/>
            <color indexed="81"/>
            <rFont val="Tahoma"/>
            <family val="2"/>
          </rPr>
          <t xml:space="preserve">
Historical from the point of view of this valuation</t>
        </r>
      </text>
    </comment>
    <comment ref="B32" authorId="0" shapeId="0" xr:uid="{9F3E2A87-664B-49E7-85A9-00625877B10F}">
      <text>
        <r>
          <rPr>
            <b/>
            <sz val="9"/>
            <color indexed="81"/>
            <rFont val="Tahoma"/>
            <family val="2"/>
          </rPr>
          <t>Financial Edge:</t>
        </r>
        <r>
          <rPr>
            <sz val="9"/>
            <color indexed="81"/>
            <rFont val="Tahoma"/>
            <family val="2"/>
          </rPr>
          <t xml:space="preserve">
This pulls from the WACC tab. The data table can't change variables on another tab so we need the WACC that controls the model to be on this tab</t>
        </r>
      </text>
    </comment>
    <comment ref="B64" authorId="0" shapeId="0" xr:uid="{7202338A-0F2D-4C71-9F31-854A1502C4B5}">
      <text>
        <r>
          <rPr>
            <b/>
            <sz val="9"/>
            <color indexed="81"/>
            <rFont val="Tahoma"/>
            <family val="2"/>
          </rPr>
          <t>Financial Edge:</t>
        </r>
        <r>
          <rPr>
            <sz val="9"/>
            <color indexed="81"/>
            <rFont val="Tahoma"/>
            <family val="2"/>
          </rPr>
          <t xml:space="preserve">
This is a 'dummy' WACC. When the data table makes its what-if changes it should change cell F32 on this page. This influences the model, but won't change cell f64. F64 can be safely used to drive the data table variable axis this way.</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Financial Edge</author>
  </authors>
  <commentList>
    <comment ref="D16" authorId="0" shapeId="0" xr:uid="{BE336EC3-B24D-451F-9BCA-76B462A471DD}">
      <text>
        <r>
          <rPr>
            <b/>
            <sz val="9"/>
            <color indexed="81"/>
            <rFont val="Tahoma"/>
            <family val="2"/>
          </rPr>
          <t>Financial Edge:</t>
        </r>
        <r>
          <rPr>
            <sz val="9"/>
            <color indexed="81"/>
            <rFont val="Tahoma"/>
            <family val="2"/>
          </rPr>
          <t xml:space="preserve">
US 10 year government bond yield.
Source: Felix
</t>
        </r>
      </text>
    </comment>
    <comment ref="D17" authorId="0" shapeId="0" xr:uid="{3E58342B-9E04-4B54-9709-7CA339AF8ABD}">
      <text>
        <r>
          <rPr>
            <b/>
            <sz val="9"/>
            <color indexed="81"/>
            <rFont val="Tahoma"/>
            <family val="2"/>
          </rPr>
          <t>Financial Edge:</t>
        </r>
        <r>
          <rPr>
            <sz val="9"/>
            <color indexed="81"/>
            <rFont val="Tahoma"/>
            <family val="2"/>
          </rPr>
          <t xml:space="preserve">
Survey
Source: Felix/US/Discount Rate</t>
        </r>
      </text>
    </comment>
    <comment ref="D24" authorId="0" shapeId="0" xr:uid="{D652298B-FA2C-4C00-80D2-8916CFAA9A2A}">
      <text>
        <r>
          <rPr>
            <b/>
            <sz val="9"/>
            <color indexed="81"/>
            <rFont val="Tahoma"/>
            <family val="2"/>
          </rPr>
          <t>Financial Edge:</t>
        </r>
        <r>
          <rPr>
            <sz val="9"/>
            <color indexed="81"/>
            <rFont val="Tahoma"/>
            <family val="2"/>
          </rPr>
          <t xml:space="preserve">
Electronic Arts is Baa1/BBB+ rated.
10 year credit spread.
Source: Felix/US/Discount Rate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<sst xmlns="http://schemas.openxmlformats.org/spreadsheetml/2006/main" count="1494" uniqueCount="866">
  <si>
    <t>Case Study - Electronic Arts</t>
  </si>
  <si>
    <t>This document is for training purposes only. Financial Edge accepts no responsibility or liability for any other purpose or usage.</t>
  </si>
  <si>
    <t>www.fe.training</t>
  </si>
  <si>
    <t>Workout Information</t>
  </si>
  <si>
    <t>Features</t>
  </si>
  <si>
    <t>Model Details</t>
  </si>
  <si>
    <t>◦</t>
  </si>
  <si>
    <t>Financial statement analysis</t>
  </si>
  <si>
    <t>Company name</t>
  </si>
  <si>
    <t>Electronic Arts</t>
  </si>
  <si>
    <t>Modeling</t>
  </si>
  <si>
    <t>Last year end</t>
  </si>
  <si>
    <t>Analysis date</t>
  </si>
  <si>
    <t>Valuation</t>
  </si>
  <si>
    <t>Currency</t>
  </si>
  <si>
    <t>as noted</t>
  </si>
  <si>
    <t>M&amp;A</t>
  </si>
  <si>
    <t>Units</t>
  </si>
  <si>
    <t>Millions</t>
  </si>
  <si>
    <t>LBO</t>
  </si>
  <si>
    <t>Analyst Name</t>
  </si>
  <si>
    <t>Firstname Lastname</t>
  </si>
  <si>
    <t>Circular Switch</t>
  </si>
  <si>
    <t>Tab Structure</t>
  </si>
  <si>
    <t>Formatting</t>
  </si>
  <si>
    <t>Input</t>
  </si>
  <si>
    <t>Hard coded</t>
  </si>
  <si>
    <t>Formulas</t>
  </si>
  <si>
    <t>DCF</t>
  </si>
  <si>
    <t>Roblox</t>
  </si>
  <si>
    <t>Take-Two</t>
  </si>
  <si>
    <t>Ubisoft</t>
  </si>
  <si>
    <t>Activity</t>
  </si>
  <si>
    <t>Using the space at the bottom, calculate the profitability, asset efficiency and leverage ratios for all companies.</t>
  </si>
  <si>
    <t xml:space="preserve">Review the year-on-year change in Company 3's gross margin, EBIT margin and net debt/EBITDA. </t>
  </si>
  <si>
    <t>Use the management discussion and analysis (MD&amp;A) section of the financial report to find key reasons for any changes.</t>
  </si>
  <si>
    <t>$</t>
  </si>
  <si>
    <t>€</t>
  </si>
  <si>
    <t>All figures in millions, except EPS</t>
  </si>
  <si>
    <t>Selected income statement items</t>
  </si>
  <si>
    <t>Reported revenue</t>
  </si>
  <si>
    <t>Change in deferred revenue</t>
  </si>
  <si>
    <t>Net bookings</t>
  </si>
  <si>
    <t>Reported gross profit</t>
  </si>
  <si>
    <t>Adjustments</t>
  </si>
  <si>
    <t>Adjusted gross profit</t>
  </si>
  <si>
    <t>Adjusted EBIT in PR</t>
  </si>
  <si>
    <t>PR adjustments</t>
  </si>
  <si>
    <t>Reported operating profit</t>
  </si>
  <si>
    <t>EBIT</t>
  </si>
  <si>
    <t>Reported depreciation and amortization</t>
  </si>
  <si>
    <t>Further adjustments</t>
  </si>
  <si>
    <t>EBITDA</t>
  </si>
  <si>
    <t>Reported interest expense</t>
  </si>
  <si>
    <t>Adjusted interest expense</t>
  </si>
  <si>
    <t>Statutory tax rate</t>
  </si>
  <si>
    <t>Other statutory tax rates</t>
  </si>
  <si>
    <t>Marginal tax rate (MTR)</t>
  </si>
  <si>
    <t>Reported profit before tax</t>
  </si>
  <si>
    <t>Adjusted profit before tax</t>
  </si>
  <si>
    <t>Reported tax expense/(income)</t>
  </si>
  <si>
    <t>Adjusted tax expense</t>
  </si>
  <si>
    <t xml:space="preserve">Normalized effective tax rate (ETR) </t>
  </si>
  <si>
    <t>Reported diluted EPS</t>
  </si>
  <si>
    <t>Selected balance sheet items</t>
  </si>
  <si>
    <t>Accounts receivable</t>
  </si>
  <si>
    <t>Prepaid expenses</t>
  </si>
  <si>
    <t>Deferred costs</t>
  </si>
  <si>
    <t>Inventories</t>
  </si>
  <si>
    <t>Other current assets</t>
  </si>
  <si>
    <t>Other receivables</t>
  </si>
  <si>
    <t>Tax assets</t>
  </si>
  <si>
    <t>Restricted cash</t>
  </si>
  <si>
    <t>Operating current assets</t>
  </si>
  <si>
    <t>Accounts payable</t>
  </si>
  <si>
    <t>Accrued expenses</t>
  </si>
  <si>
    <t>Developer exchange liabilities</t>
  </si>
  <si>
    <t>Deferred revenue</t>
  </si>
  <si>
    <t>Other liabilities</t>
  </si>
  <si>
    <t>Tax liabilities</t>
  </si>
  <si>
    <t>Other</t>
  </si>
  <si>
    <t>Operating current liabilities</t>
  </si>
  <si>
    <t>Operating working capital</t>
  </si>
  <si>
    <t>Net PP&amp;E</t>
  </si>
  <si>
    <t>Net amortizing intangibles</t>
  </si>
  <si>
    <t>Capital expenditure (PP&amp;E and intangibles)</t>
  </si>
  <si>
    <t>Short term debt</t>
  </si>
  <si>
    <t>Current maturities of long term debt</t>
  </si>
  <si>
    <t>Long term debt</t>
  </si>
  <si>
    <t>Finance lease liability</t>
  </si>
  <si>
    <t>Finance lease liability - non current</t>
  </si>
  <si>
    <t>Structured payables</t>
  </si>
  <si>
    <t>Total debt</t>
  </si>
  <si>
    <t>Cash and cash equivalents</t>
  </si>
  <si>
    <t>Short term investments / marketable securities</t>
  </si>
  <si>
    <t>Total cash and financial assets</t>
  </si>
  <si>
    <t>Net debt</t>
  </si>
  <si>
    <t xml:space="preserve">Shareholders' equity </t>
  </si>
  <si>
    <t>Profitability ratios</t>
  </si>
  <si>
    <t>Revenue growth</t>
  </si>
  <si>
    <t>Net bookings growth</t>
  </si>
  <si>
    <t>Gross margin</t>
  </si>
  <si>
    <t>EBIT margin</t>
  </si>
  <si>
    <t>EBITDA margin</t>
  </si>
  <si>
    <t>Net operational profit after tax (NOPAT)</t>
  </si>
  <si>
    <t>Invested capital</t>
  </si>
  <si>
    <t>Return on opening invested capital</t>
  </si>
  <si>
    <t>Asset efficiency</t>
  </si>
  <si>
    <t>Receivable days</t>
  </si>
  <si>
    <t>Inventory days</t>
  </si>
  <si>
    <t>Payable days</t>
  </si>
  <si>
    <t>OWC % revenue</t>
  </si>
  <si>
    <t>PP&amp;E and intangibles % revenue</t>
  </si>
  <si>
    <t>Capex % revenue</t>
  </si>
  <si>
    <t>Capex/(depreciation &amp; amortization)</t>
  </si>
  <si>
    <t>Revenue/invested capital</t>
  </si>
  <si>
    <t>Leverage</t>
  </si>
  <si>
    <t>Debt/equity</t>
  </si>
  <si>
    <t>Debt/debt plus equity</t>
  </si>
  <si>
    <t>Net debt/equity</t>
  </si>
  <si>
    <t>Net debt/net debt plus equity</t>
  </si>
  <si>
    <t>Net debt/EBITDA</t>
  </si>
  <si>
    <t>EBITDA/interest expense</t>
  </si>
  <si>
    <t>Lease adjustments to US company figures for comparability with IFRS</t>
  </si>
  <si>
    <t>Lease rental expense</t>
  </si>
  <si>
    <t>Current lease liabilities</t>
  </si>
  <si>
    <t>Non current lease liabilities</t>
  </si>
  <si>
    <t>Lease liabilities</t>
  </si>
  <si>
    <t>Lease interest % lease rental expense</t>
  </si>
  <si>
    <t>Lease adjusted ratios</t>
  </si>
  <si>
    <t>EBITDAR</t>
  </si>
  <si>
    <t>EBITDAR margin</t>
  </si>
  <si>
    <t>Lease adjusted net debt</t>
  </si>
  <si>
    <t>Lease adjusted net debt/EBITDAR</t>
  </si>
  <si>
    <t>Lease adjusted invested capital</t>
  </si>
  <si>
    <t>Lease adjusted net operational profit after tax (NOPAT)</t>
  </si>
  <si>
    <t>Lease adjusted return on invested capital</t>
  </si>
  <si>
    <t>End</t>
  </si>
  <si>
    <t>Actual</t>
  </si>
  <si>
    <t>Projected</t>
  </si>
  <si>
    <t>All numbers in USDm unless otherwise stated</t>
  </si>
  <si>
    <t>Assumptions</t>
  </si>
  <si>
    <t>Factset estimate EBIT margin</t>
  </si>
  <si>
    <t>Share based compensation % revenue</t>
  </si>
  <si>
    <t>Net bookings % revenue</t>
  </si>
  <si>
    <t>Depr and amort % beginning net PP&amp;E</t>
  </si>
  <si>
    <t>Effective tax rate</t>
  </si>
  <si>
    <t>Marginal tax rate</t>
  </si>
  <si>
    <t>Shareholder payout ratio % net income</t>
  </si>
  <si>
    <t>Accounts receivable days</t>
  </si>
  <si>
    <t>Other current assets % revenue</t>
  </si>
  <si>
    <t>Capital expenditure % of revenue</t>
  </si>
  <si>
    <t>Other non current assets % of revenue</t>
  </si>
  <si>
    <t>Acc payable and accr expenses % opex</t>
  </si>
  <si>
    <t>Other long term liabilities % revenue</t>
  </si>
  <si>
    <t>Long term debt issuance (repayment)</t>
  </si>
  <si>
    <t>Interest rate on revolver</t>
  </si>
  <si>
    <t>Interest rate on long term debt</t>
  </si>
  <si>
    <t>Interest rate on cash</t>
  </si>
  <si>
    <t>Calculations</t>
  </si>
  <si>
    <t>Beginning</t>
  </si>
  <si>
    <t>Revenue recognized</t>
  </si>
  <si>
    <t>Ending</t>
  </si>
  <si>
    <t>Net PP&amp;E and intangible assets</t>
  </si>
  <si>
    <t>Capital expenditure</t>
  </si>
  <si>
    <t>Depreciation and amortization</t>
  </si>
  <si>
    <t>Equity</t>
  </si>
  <si>
    <t>Net income</t>
  </si>
  <si>
    <t>Dividends and share repurchases</t>
  </si>
  <si>
    <t>Accounts payable and accrued expenses</t>
  </si>
  <si>
    <t>Net operating working capital</t>
  </si>
  <si>
    <t>Management/PR EBIT</t>
  </si>
  <si>
    <t>Stock based compensation</t>
  </si>
  <si>
    <t>Cleaned D&amp;A</t>
  </si>
  <si>
    <t>Income statement</t>
  </si>
  <si>
    <t>Revenue</t>
  </si>
  <si>
    <t>Operating expenses</t>
  </si>
  <si>
    <t>Non-recurring items</t>
  </si>
  <si>
    <t>Operating profit</t>
  </si>
  <si>
    <t>Interest income</t>
  </si>
  <si>
    <t>Interest expense</t>
  </si>
  <si>
    <t>Profit before tax</t>
  </si>
  <si>
    <t>Tax expense</t>
  </si>
  <si>
    <t>Balance sheet</t>
  </si>
  <si>
    <t>Cash and short term investments</t>
  </si>
  <si>
    <t>Total current assets</t>
  </si>
  <si>
    <t>Goodwill</t>
  </si>
  <si>
    <t>Other non current assets</t>
  </si>
  <si>
    <t>Total assets</t>
  </si>
  <si>
    <t>Total current liabilities</t>
  </si>
  <si>
    <t>Other long term liabilities</t>
  </si>
  <si>
    <t>Total liabilities</t>
  </si>
  <si>
    <t>Total liabilities and equity</t>
  </si>
  <si>
    <t>Check</t>
  </si>
  <si>
    <t>Cash flow statement</t>
  </si>
  <si>
    <t>Change in operating working capital</t>
  </si>
  <si>
    <t>Change in other non current assets</t>
  </si>
  <si>
    <t>Change in other long term liabilities</t>
  </si>
  <si>
    <t>Cash flow from operations</t>
  </si>
  <si>
    <t>(Capital expenditure)</t>
  </si>
  <si>
    <t>Cash flow from investing activities</t>
  </si>
  <si>
    <t>Change in long term debt</t>
  </si>
  <si>
    <t>Cash flow from financing activities</t>
  </si>
  <si>
    <t>Beginning cash, net of revolver</t>
  </si>
  <si>
    <t>Net cash flow</t>
  </si>
  <si>
    <t>Ending cash, net of short term debt</t>
  </si>
  <si>
    <t>Interest calculation</t>
  </si>
  <si>
    <t>Interest on short term debt</t>
  </si>
  <si>
    <t>Interest on long term debt</t>
  </si>
  <si>
    <t>Interest on cash</t>
  </si>
  <si>
    <t>Income statement operating statistics</t>
  </si>
  <si>
    <t>Net income margin</t>
  </si>
  <si>
    <t>Balance sheet operating statistics</t>
  </si>
  <si>
    <t>Non current assets % revenue</t>
  </si>
  <si>
    <t xml:space="preserve">Invested capital </t>
  </si>
  <si>
    <t>Change in invested capital</t>
  </si>
  <si>
    <t xml:space="preserve">Return on opening invested capital </t>
  </si>
  <si>
    <t>Invested capital ex goodwill</t>
  </si>
  <si>
    <t>Growth in invested capital ex goodwill</t>
  </si>
  <si>
    <t>Debt and interest statistics</t>
  </si>
  <si>
    <t>Net debt / EBITDA</t>
  </si>
  <si>
    <t>EBITDA / interest expense</t>
  </si>
  <si>
    <t>Net debt / net debt + equity</t>
  </si>
  <si>
    <t>Trading comparables</t>
  </si>
  <si>
    <t>Decide what items are needed to calculate the EV / LTM EBITDA multiples for the companies below.</t>
  </si>
  <si>
    <t>After agreeing with the instructor what these line items are, find the figures using Felix and calculate the multiple.</t>
  </si>
  <si>
    <t>For the share price, go to the company page in Felix and find the closing share price the day before the analysis date.</t>
  </si>
  <si>
    <t>Compare your LTM EBITDA to consensus at time of analysis. Why are they so different?</t>
  </si>
  <si>
    <t>Date of analysis</t>
  </si>
  <si>
    <t>Company 1</t>
  </si>
  <si>
    <t>EA</t>
  </si>
  <si>
    <t>Company 2</t>
  </si>
  <si>
    <t>EA consensus at date of analysis</t>
  </si>
  <si>
    <t>Date</t>
  </si>
  <si>
    <t>Mar'25a</t>
  </si>
  <si>
    <t>Dec LTM</t>
  </si>
  <si>
    <t>Mar'26e</t>
  </si>
  <si>
    <t>Mar'27e</t>
  </si>
  <si>
    <t>Mar'28e</t>
  </si>
  <si>
    <t>Roblox consensus at date of analysis</t>
  </si>
  <si>
    <t>Dec'25a</t>
  </si>
  <si>
    <t>Dec'26e</t>
  </si>
  <si>
    <t>Dec'27e</t>
  </si>
  <si>
    <t>Dec'28e</t>
  </si>
  <si>
    <t>Company 1 EV / LTM EBITDA</t>
  </si>
  <si>
    <t>Basic shares outstanding</t>
  </si>
  <si>
    <t>Number of options</t>
  </si>
  <si>
    <t>Strike price</t>
  </si>
  <si>
    <t>Share price</t>
  </si>
  <si>
    <t>Net new shares from options</t>
  </si>
  <si>
    <t>Restricted stock units (RSUs)</t>
  </si>
  <si>
    <t>RSUs - performance based</t>
  </si>
  <si>
    <t>RSUs - market based</t>
  </si>
  <si>
    <t>Diluted shares outstanding</t>
  </si>
  <si>
    <t>Diluted equity</t>
  </si>
  <si>
    <t>Debt</t>
  </si>
  <si>
    <t>Unamortized debt discount (OID)</t>
  </si>
  <si>
    <t>Cash</t>
  </si>
  <si>
    <t>Short term investments</t>
  </si>
  <si>
    <t>EV</t>
  </si>
  <si>
    <t>FE EBITDA method</t>
  </si>
  <si>
    <t>12mths</t>
  </si>
  <si>
    <t xml:space="preserve">9mths </t>
  </si>
  <si>
    <t>LTM Workings</t>
  </si>
  <si>
    <t>From 10-K</t>
  </si>
  <si>
    <t>Old 10-Q</t>
  </si>
  <si>
    <t>New 10-Q</t>
  </si>
  <si>
    <t>LTM</t>
  </si>
  <si>
    <t>Impairments</t>
  </si>
  <si>
    <t>Restructuring net of impairment contained in it</t>
  </si>
  <si>
    <t>Adjustments to depreciation and amortization</t>
  </si>
  <si>
    <t>EV / LTM EBITDA</t>
  </si>
  <si>
    <t>Sector/management/co PR EBITDA method</t>
  </si>
  <si>
    <t>Reported Depn, amort and impairments</t>
  </si>
  <si>
    <t>PR EBITDA</t>
  </si>
  <si>
    <t>Company 2 EV / LTM EBITDA</t>
  </si>
  <si>
    <t>2017 CEO long-term PSUs</t>
  </si>
  <si>
    <t>2024 CEO PSUs</t>
  </si>
  <si>
    <t>2024 CEO RSUs</t>
  </si>
  <si>
    <t>Debt (short and long term)</t>
  </si>
  <si>
    <t>Unamortized debt discount / original issue discount</t>
  </si>
  <si>
    <t>Long term investments</t>
  </si>
  <si>
    <t>NCI</t>
  </si>
  <si>
    <t xml:space="preserve">Adjustment </t>
  </si>
  <si>
    <t>Analyst name</t>
  </si>
  <si>
    <t>Your name here</t>
  </si>
  <si>
    <t>Key data</t>
  </si>
  <si>
    <t>Enterprise value summary</t>
  </si>
  <si>
    <t>Ticker</t>
  </si>
  <si>
    <t>EA_US</t>
  </si>
  <si>
    <t>Country</t>
  </si>
  <si>
    <t>US</t>
  </si>
  <si>
    <t>+ Diluted equity value</t>
  </si>
  <si>
    <t>+ Debt</t>
  </si>
  <si>
    <t>Calendarize to</t>
  </si>
  <si>
    <t>- Cash and ST investments</t>
  </si>
  <si>
    <t>Currency / FX</t>
  </si>
  <si>
    <t>- Other adjustments</t>
  </si>
  <si>
    <t>= Enterprise value</t>
  </si>
  <si>
    <t>Historical year end</t>
  </si>
  <si>
    <t>Last filing date US format</t>
  </si>
  <si>
    <t>12/31/2025</t>
  </si>
  <si>
    <t>Calendarized key numbers</t>
  </si>
  <si>
    <t>Last filing date Intl format</t>
  </si>
  <si>
    <t>Home currency</t>
  </si>
  <si>
    <t>USD</t>
  </si>
  <si>
    <t>FX rate</t>
  </si>
  <si>
    <t>Last closing price</t>
  </si>
  <si>
    <t>EPS</t>
  </si>
  <si>
    <t>52 week low</t>
  </si>
  <si>
    <t>52 week high</t>
  </si>
  <si>
    <t>Calendarized multiples to December 31</t>
  </si>
  <si>
    <t>Credit rating</t>
  </si>
  <si>
    <t>Baa1</t>
  </si>
  <si>
    <t xml:space="preserve"> </t>
  </si>
  <si>
    <t>Beta</t>
  </si>
  <si>
    <t>EV / Revenue</t>
  </si>
  <si>
    <t>5 year EPS forward growth</t>
  </si>
  <si>
    <t>N/A</t>
  </si>
  <si>
    <t>EV / EBITDA</t>
  </si>
  <si>
    <t>LTM EBIT margin</t>
  </si>
  <si>
    <t>PE</t>
  </si>
  <si>
    <t>Return on invested capital</t>
  </si>
  <si>
    <t>P / BV</t>
  </si>
  <si>
    <t>Total debt / LTM EBITDA</t>
  </si>
  <si>
    <t>Enterprise value calculation (home currency)</t>
  </si>
  <si>
    <t>Share options and RSUs</t>
  </si>
  <si>
    <t>Tranche</t>
  </si>
  <si>
    <t>Number</t>
  </si>
  <si>
    <t>Strike</t>
  </si>
  <si>
    <t>New shares</t>
  </si>
  <si>
    <t>Equity valuation</t>
  </si>
  <si>
    <t>Financial liabilities calculation</t>
  </si>
  <si>
    <t>Financial assets calculation</t>
  </si>
  <si>
    <t>Options</t>
  </si>
  <si>
    <t>Shares outstanding as of</t>
  </si>
  <si>
    <t>Debt - short term</t>
  </si>
  <si>
    <t>ST investments</t>
  </si>
  <si>
    <t>Other adjustments</t>
  </si>
  <si>
    <t>OID</t>
  </si>
  <si>
    <t>Dilution from share options</t>
  </si>
  <si>
    <t>Preferred equity</t>
  </si>
  <si>
    <t>Tranche 5</t>
  </si>
  <si>
    <t>Tranche 6</t>
  </si>
  <si>
    <t>Diluted equity value</t>
  </si>
  <si>
    <t>Tranche 7</t>
  </si>
  <si>
    <t>Shareholders' equity</t>
  </si>
  <si>
    <t>Tranche 8</t>
  </si>
  <si>
    <t>Net debt and other adjustments</t>
  </si>
  <si>
    <t>Total</t>
  </si>
  <si>
    <t>Total financial liabilities</t>
  </si>
  <si>
    <t>Total financial assets</t>
  </si>
  <si>
    <t>Earnings (home currency)</t>
  </si>
  <si>
    <t>Consensus estimates</t>
  </si>
  <si>
    <t>Annual</t>
  </si>
  <si>
    <t>Old interim</t>
  </si>
  <si>
    <t>New interim</t>
  </si>
  <si>
    <t>Adj. LTM</t>
  </si>
  <si>
    <t>Fiscal Year</t>
  </si>
  <si>
    <t>FY +1</t>
  </si>
  <si>
    <t>FY +2</t>
  </si>
  <si>
    <t>FY +3</t>
  </si>
  <si>
    <t>FY +4</t>
  </si>
  <si>
    <t>Revenues</t>
  </si>
  <si>
    <t>Factset EBIT</t>
  </si>
  <si>
    <t>Restructuring</t>
  </si>
  <si>
    <t>Lease adjustments for US and IFRS comparability</t>
  </si>
  <si>
    <t>Operating lease rental expense in home currency</t>
  </si>
  <si>
    <t>EBITDAR (adj for op lease rental expense) in home currency</t>
  </si>
  <si>
    <t>Operating lease liabilities in home currency</t>
  </si>
  <si>
    <t>EVR / EBITDAR</t>
  </si>
  <si>
    <t>Calendarization workings</t>
  </si>
  <si>
    <t xml:space="preserve">Fiscal year </t>
  </si>
  <si>
    <t>% last year</t>
  </si>
  <si>
    <t>% curr. year</t>
  </si>
  <si>
    <t>% next year</t>
  </si>
  <si>
    <t>Calendarize?</t>
  </si>
  <si>
    <t>Data?</t>
  </si>
  <si>
    <t>RBLX-US</t>
  </si>
  <si>
    <t>BBB-</t>
  </si>
  <si>
    <t xml:space="preserve">Cash </t>
  </si>
  <si>
    <t>Restricted stock awards (RSAs)</t>
  </si>
  <si>
    <t>LT investments</t>
  </si>
  <si>
    <t>Factset EBITDA</t>
  </si>
  <si>
    <t>Main currency</t>
  </si>
  <si>
    <t>Calendarization date</t>
  </si>
  <si>
    <t>All in $ unless stated otherwise</t>
  </si>
  <si>
    <t>P/E</t>
  </si>
  <si>
    <t>GAAP EBITDA</t>
  </si>
  <si>
    <t>GAAP EV / EBITDA</t>
  </si>
  <si>
    <t>Post tax</t>
  </si>
  <si>
    <t>2 year fwd</t>
  </si>
  <si>
    <t>5 Yr fwd</t>
  </si>
  <si>
    <t xml:space="preserve">Debt / </t>
  </si>
  <si>
    <t>Historical</t>
  </si>
  <si>
    <t xml:space="preserve">Credit </t>
  </si>
  <si>
    <t>Company</t>
  </si>
  <si>
    <t xml:space="preserve">% of high </t>
  </si>
  <si>
    <t>Market Cap</t>
  </si>
  <si>
    <t>Margin CY1</t>
  </si>
  <si>
    <t>ROIC</t>
  </si>
  <si>
    <t>Rev CAGR</t>
  </si>
  <si>
    <t>EPS CAGR</t>
  </si>
  <si>
    <t>LTM EBITDA</t>
  </si>
  <si>
    <t>Rating</t>
  </si>
  <si>
    <t>Ba2</t>
  </si>
  <si>
    <t>Ubisoft Entertainment</t>
  </si>
  <si>
    <t>UBI-FR</t>
  </si>
  <si>
    <t>Take-Two Interactive</t>
  </si>
  <si>
    <t>BBB</t>
  </si>
  <si>
    <t>TTWO-US</t>
  </si>
  <si>
    <t>Unity Software</t>
  </si>
  <si>
    <t>U-US</t>
  </si>
  <si>
    <t>NEXON</t>
  </si>
  <si>
    <t>3659-JP</t>
  </si>
  <si>
    <t>Capcom</t>
  </si>
  <si>
    <t>9697-JP</t>
  </si>
  <si>
    <t>KONAMI Group</t>
  </si>
  <si>
    <t>9766-JP</t>
  </si>
  <si>
    <t>Meta Platforms A</t>
  </si>
  <si>
    <t>AA-</t>
  </si>
  <si>
    <t>META-US</t>
  </si>
  <si>
    <t>Paradox</t>
  </si>
  <si>
    <t>PDX-SE</t>
  </si>
  <si>
    <t>Microsoft</t>
  </si>
  <si>
    <t>AAA</t>
  </si>
  <si>
    <t>MSFT-US</t>
  </si>
  <si>
    <t>Tencent Holdings</t>
  </si>
  <si>
    <t>A+</t>
  </si>
  <si>
    <t>700-HK</t>
  </si>
  <si>
    <t>Nintendo</t>
  </si>
  <si>
    <t>7974-JP</t>
  </si>
  <si>
    <t>Trading comparables shortlist</t>
  </si>
  <si>
    <t>Mean</t>
  </si>
  <si>
    <t>Median</t>
  </si>
  <si>
    <t>Implied enterprise value</t>
  </si>
  <si>
    <t>Net debt/(cash)</t>
  </si>
  <si>
    <t>Implied equity value</t>
  </si>
  <si>
    <t>Implied share price</t>
  </si>
  <si>
    <t>Which two gaming companies have the highest EV/EBITDA multiples and why?</t>
  </si>
  <si>
    <t>How would GTA affect T2's EV/EBITDA?</t>
  </si>
  <si>
    <t>Which two companies have the worst EV/EBITDA and why?</t>
  </si>
  <si>
    <t xml:space="preserve">Identify the four closest peer companies to the target company, in terms of operating statistics and business model. Input their multiples in the 'shortlist' section. </t>
  </si>
  <si>
    <t xml:space="preserve">Use the median CY1/2 revenue and EBITDA multiples for the target company. Do you think these are robust estimates of the target company's equity value? </t>
  </si>
  <si>
    <t>DO NOT DELETE</t>
  </si>
  <si>
    <t>TOTAL_DEBT</t>
  </si>
  <si>
    <t>COMPANY_NAME</t>
  </si>
  <si>
    <t>COMP_SHAREPRICE</t>
  </si>
  <si>
    <t>SHAREPRICE_HIGH</t>
  </si>
  <si>
    <t>COMP_EQ_VALUE</t>
  </si>
  <si>
    <t>COMP_EV</t>
  </si>
  <si>
    <t>PE_CY1</t>
  </si>
  <si>
    <t>PE_CY2</t>
  </si>
  <si>
    <t>SALES_LTM</t>
  </si>
  <si>
    <t>SALES_CY1</t>
  </si>
  <si>
    <t>SALES_CY2</t>
  </si>
  <si>
    <t>EBITDA_LTM</t>
  </si>
  <si>
    <t>EBITDA_CY1</t>
  </si>
  <si>
    <t>EBITDA_CY2</t>
  </si>
  <si>
    <t>EPS_5YR_GROWTH</t>
  </si>
  <si>
    <t>BETA</t>
  </si>
  <si>
    <t>CREDIT_RATING</t>
  </si>
  <si>
    <t>COMP_FX</t>
  </si>
  <si>
    <t>Valuation date</t>
  </si>
  <si>
    <t>Free cash flows</t>
  </si>
  <si>
    <t>Long-term effective tax rate</t>
  </si>
  <si>
    <t>Net operating profit after tax (NOPAT)</t>
  </si>
  <si>
    <t>Depreciation &amp; amortization</t>
  </si>
  <si>
    <t>(Increase) decrease in operating working capital</t>
  </si>
  <si>
    <t>Unlevered free cash flow</t>
  </si>
  <si>
    <t>Key ratios</t>
  </si>
  <si>
    <t>Cash conversion ratio</t>
  </si>
  <si>
    <t>Free cash flow growth</t>
  </si>
  <si>
    <t>Terminal value</t>
  </si>
  <si>
    <t>Long term growth rate</t>
  </si>
  <si>
    <t>WACC</t>
  </si>
  <si>
    <t>Terminal value using long term growth rate</t>
  </si>
  <si>
    <t>Implied terminal EBITDA multiple</t>
  </si>
  <si>
    <t>Terminal value EBITDA multiple</t>
  </si>
  <si>
    <t>Terminal value using EBITDA multiple</t>
  </si>
  <si>
    <t>Implied long term growth rate</t>
  </si>
  <si>
    <t>Discounting</t>
  </si>
  <si>
    <t>Year</t>
  </si>
  <si>
    <t>Discount factor</t>
  </si>
  <si>
    <t>Present value of free cash flows</t>
  </si>
  <si>
    <t>Sum of present value of free cash flows</t>
  </si>
  <si>
    <t>Using long term growth</t>
  </si>
  <si>
    <t>Using a multiple</t>
  </si>
  <si>
    <t>Present value of terminal value</t>
  </si>
  <si>
    <t>Enterprise value</t>
  </si>
  <si>
    <t>Cash and other financial assets</t>
  </si>
  <si>
    <t>Debt and revolver</t>
  </si>
  <si>
    <t>Sensitivity</t>
  </si>
  <si>
    <t>WACC increment</t>
  </si>
  <si>
    <t>Long term growth rate increment</t>
  </si>
  <si>
    <t>EBITDA multiple increment</t>
  </si>
  <si>
    <t>WACC (for sensitivity data tables only, not connected to DCF model)</t>
  </si>
  <si>
    <t>Implied enterprise value using long term growth method</t>
  </si>
  <si>
    <t>Long-term growth rate</t>
  </si>
  <si>
    <t>Implied enterprise value using multiple method</t>
  </si>
  <si>
    <t>Implied terminal long term growth rate</t>
  </si>
  <si>
    <t>All figures in USDm unless otherwise stated</t>
  </si>
  <si>
    <t>Debt %</t>
  </si>
  <si>
    <t>Unlevered</t>
  </si>
  <si>
    <t>MTR</t>
  </si>
  <si>
    <t>Capital</t>
  </si>
  <si>
    <t>Industry average</t>
  </si>
  <si>
    <t>Long-term</t>
  </si>
  <si>
    <t>Risk free rate</t>
  </si>
  <si>
    <t>Market risk premium</t>
  </si>
  <si>
    <t>Industry average unlevered beta</t>
  </si>
  <si>
    <t>Target MTR</t>
  </si>
  <si>
    <t>Relevered beta</t>
  </si>
  <si>
    <t>Cost of equity</t>
  </si>
  <si>
    <t>Equity % of capital</t>
  </si>
  <si>
    <t>Corporate spread</t>
  </si>
  <si>
    <t>Cost of debt</t>
  </si>
  <si>
    <t>After tax cost of debt</t>
  </si>
  <si>
    <t>Debt % of capital</t>
  </si>
  <si>
    <t>Transaction comparables</t>
  </si>
  <si>
    <t>All figures in USDm unless stated</t>
  </si>
  <si>
    <t>Acquirer</t>
  </si>
  <si>
    <t>Announcement</t>
  </si>
  <si>
    <t>Transaction</t>
  </si>
  <si>
    <t>Enterprise</t>
  </si>
  <si>
    <t>Synergies %</t>
  </si>
  <si>
    <t>Target</t>
  </si>
  <si>
    <t>Reason for</t>
  </si>
  <si>
    <t>Status</t>
  </si>
  <si>
    <t>Value (MM)</t>
  </si>
  <si>
    <t>Value</t>
  </si>
  <si>
    <t>margin</t>
  </si>
  <si>
    <t>EV/Revenue</t>
  </si>
  <si>
    <t>EV/EBITDA</t>
  </si>
  <si>
    <t>Synergies</t>
  </si>
  <si>
    <t>LTM revenues</t>
  </si>
  <si>
    <t>excluding</t>
  </si>
  <si>
    <t>Synopsis</t>
  </si>
  <si>
    <t>Transactions longlist</t>
  </si>
  <si>
    <t>Refinitiv US Holdings, Inc.</t>
  </si>
  <si>
    <t>London Stock Exchange Group plc</t>
  </si>
  <si>
    <t>Complete</t>
  </si>
  <si>
    <t>United States</t>
  </si>
  <si>
    <t>Product</t>
  </si>
  <si>
    <t xml:space="preserve">London Stock Exchange Group Plc (LSEG) acquired Refinitiv US Holdings Inc for US$24.2 billion in stock. Refinitiv develops and operates an information platform for the financial industry. LSEG agreed to sell Borsa Italiana to ease the process of receiving the regulatory green light. </t>
  </si>
  <si>
    <t>Jagex Ltd.</t>
  </si>
  <si>
    <t>Macarthur Fortune Holding LLC</t>
  </si>
  <si>
    <t>United Kingdom</t>
  </si>
  <si>
    <t>Size. Age. Location</t>
  </si>
  <si>
    <t>Macarthur Fortune Holding LLC acquired Jagex Ltd from Shanghai Fukong Interactive Entertainment Co Ltd for GBP427.1 million (US$530 million). The acquisition would be financed through Platinum Fortune LP, one of Macarthur Fortune Holding LLC's funds. The acquisition would enhance and support Jagex Ltd in developing its games and building a portfolio of games. Following the acquisition, Jagex Ltd would remain headquartered in Cambridge Science Park in the United Kingdom. Jagex Ltd is located in Cambridge, Cambridgeshire, United Kingdom and develops and publishes online games. It has approximately 400 employees. In a separate but related deal, Macarthur Fortune Holding LLC also acquired Hongtou Network.</t>
  </si>
  <si>
    <t>Slack Technologies, Inc.</t>
  </si>
  <si>
    <t>salesforce.com, Inc.</t>
  </si>
  <si>
    <t>Product. Financials</t>
  </si>
  <si>
    <t xml:space="preserve">Salesforce.com inc acquired Slack Technologies Inc for US$26.7 billion in cash and stock. Slack Technologies Inc is located in California, United States and develops and publishes real-time messaging collaboration applications and platforms. </t>
  </si>
  <si>
    <t>Codemasters Group Holdings Plc</t>
  </si>
  <si>
    <t>Electronic Arts, Inc.</t>
  </si>
  <si>
    <t>Electronic Arts Inc acquired Codemasters Group Holdings Plc for GBP920.9 million (US$1.14 billion) in cash. Electronic Arts would pay a premium of 14.4%. Codemasters Group Holdings Plc is located in the United Kingdom and is video game developer.</t>
  </si>
  <si>
    <t>The Gearbox Entertainment Company</t>
  </si>
  <si>
    <t>Embracer</t>
  </si>
  <si>
    <t>Embracer Group AB, has today entered into a merger agreement with US based The Gearbox Entertainment Company ("Gearbox"). Gearbox is a video games developer, publisher and owns franchises like Borderlands, Brothers in Arms and Homeworld. The day one purchase price amounts to USD 363m. An additional consideration of maximum USD 1,015m may be paid, if the accumulated Adjusted EBITDA, including expensed development costs, exceeds USD 1,300m over six years.</t>
  </si>
  <si>
    <t>Glu Mobile</t>
  </si>
  <si>
    <t>Electronic Arts Inc acquired Glu Mobile Inc for an enterprise value of US$2.2 billion in cash, via auction. Electronic Arts Inc paid US$12.5 for each share, which represents a 36% premium to Glu Mobile Inc's closing share price on February 5, 2021. Founded in 2001, Glu Mobile Inc is located in United States and develops and publishes mobile entertainment.</t>
  </si>
  <si>
    <t>GAMESYS GROUP PLC</t>
  </si>
  <si>
    <t>Bally's Corp.</t>
  </si>
  <si>
    <t>Product (gambling)</t>
  </si>
  <si>
    <t>Bally's Corp acquired Gamesys Group Plc for GBP1.9 billion (US$2.6 billion) in cash or stock, via scheme of arrangement. Under the terms of transaction, Bally's Corp would pay GBP18.50 (US$25) in cash per share, which represents a premium of 12.7% to the closing price of Gamesys Group Plc on March 23, 2021, or issue 0.343 shares for every share of Gamesys Group Plc. The transaction would be funded through a new term loan and bridge loan facility from Deutsche Bank AG, Goldman Sachs Bank USA, and Barclays Bank Plc, notes issuance and equity commitment from Gaming &amp; Leisure Properties Inc. The transaction enhances Bally's Corp's portfolio of online gaming business. Gamesys Group Plc shareholders with 28,003,501 shares have made an irrevocable undertaking to receive the stock portion. Gamesys Group Plc's board recommended the cash offer to its shareholders. Upon completion, Gamesys Group Plc would be delisted from the London Stock Exchange. Gamesys Group Plc is located in London, Greater London, United Kingdom and designs, develops and operates online gaming sites and applications. The transaction was subject to reaching agreement and satisfactory completion of reciprocal due diligence. On April 13, 2021, the parties entered into a definitive agreement. Gamesys Group Plc shareholders and electing shareholders, who opt to receive Bally's Corp's shares, have irrevocably undertaken its shares representing 30.8% and 23.9%, respectively, in favor to the transaction. The deal was subject to shareholders and regulatory approvals and other closing conditions, was expected to close in the fourth quarter of 2021. On May 10, 2021, it was announced that it was expected that the scheme circular relating to the combination would be published by Gamesys Group Plc on or around May 28, 2021, subject to the approval of the court. Also, subject to the approval of the Financial Conduct Authority, it is expected that Bally's Corp would publish the UK prospectus required in respect of the issuance of Bally's Corp's shares relating to the share alternative being made available to eligible Gamesys Group Plc shareholders on the same date. On May 19, 2021, Bally's Corp announced that it would hold a special shareholders' meeting on June 30, 2021, to approve share issuance in connection with the transaction. On June 1, 2021, the scheme document and the proxy form were published. On June 18, 2021, it was announced that the Bally's Corp's supplementary prospectus filed with the Securities and Exchange Commission. On June 30, 2021, it was announced that shareholders of Gamesys Group plc and Bally's Corp has approved the transaction in its court meeting and general meeting. On July 2, 2021, it was announced that the Bally's Corporation special meeting of shareholders virtually held on June 30, 2021 as a result shareholders approved to adjourn the special meeting to a later date or time. On September 20, 2021, Gambling Commission of Great Britain approved the transaction between Bally's Corp. and Gamesys Group Plc. Furthermore, the court hearing has been scheduled for September 30, 2021. On September 30, 2021, it was announced that the court has sanctioned the scheme of arrangement and the deal was closed as expected to close by October 1, 2021.</t>
  </si>
  <si>
    <t>Big Time Gaming Pty Ltd.</t>
  </si>
  <si>
    <t>Evolution Gaming Group AB</t>
  </si>
  <si>
    <t>Australia</t>
  </si>
  <si>
    <t>Size</t>
  </si>
  <si>
    <t>Evolution AB acquired Big Time Gaming Pty Ltd for AUD717.8 million (US$547.6 million) in cash, stock and contingent payout. Under the terms of the transaction, Evolution Gaming Group AB would pay AUD124.7 million (US$95.1 million) in cash,  AUD358.5 million (US$273.5 million) in contingent payout and issue 1,105,032 shares to Big Time Gaming Pty Ltd. The acquisition expands Evolution Gaming Group AB’s services offering. Big Time Gaming Pty Ltd is located in Surry Hills, New South Wales (NSW), Australia and provides gaming applications. The transaction was subjected to receipt of regulatory approvals and was expected to close by Q2 2021.</t>
  </si>
  <si>
    <t>Playdemic Ltd</t>
  </si>
  <si>
    <t>Pine Interactive Ltd /Electronic Arts</t>
  </si>
  <si>
    <t>Pine Interactive Ltd, a subsidiary of Electronic Arts Inc acquired Playdemic Ltd, for GBP1 billion (US$1.4 billion) in cash. The acquisition would expand the sports portfolio of Pine Interactive Ltd in mobile gaming industry. Founded in 2010, Playdemic Ltd is located in the  United Kingdom and develops mobile games application.</t>
  </si>
  <si>
    <t>Sumo Group Ltd.</t>
  </si>
  <si>
    <t>Tencent Holdings Ltd.</t>
  </si>
  <si>
    <t xml:space="preserve">Tencent Holdings Ltd acquired the remaining 91.6% majority stake not already owned in Sumo Group Plc for GBP841.7 million (US$1.2 billion) in cash, via scheme of arrangement. Under the terms of the transaction, Tencent Holdings Ltd paid GBP5.13 (US$7.075040) in cash for every share held in Sumo Group Plc, which represents a premium of approximately 43.3% the closing price of Sumo Group Plc's last business day, July 16, 2021. Founded by Paul Porter, Darren Mills and Carl Cavers, Sumo Group Plc is located in Sheffield, South Yorkshire, United Kingdom and develops video games such as Hitman and Sonic Racing. </t>
  </si>
  <si>
    <t>Unknown Worlds Entertainment, Inc.</t>
  </si>
  <si>
    <t>KRAFTON, Inc</t>
  </si>
  <si>
    <t>KRAFTON Inc acquired Unknown Worlds Entertainment Inc from Adam Max McGuire and 7 other individual investors for US$750 million in cash and contingent payout. Under the terms, KRAFTON Inc paid US$500 million in cash, with up to US$250 million in an earn-out provision. The transaction was funded through existing cash on hand. The acquisition enables KRAFTON Inc to expand its business. Unknown Worlds Entertainment Inc is located in San Francisco California, United States, and engages in developing game software.</t>
  </si>
  <si>
    <t>McAfee Corp.</t>
  </si>
  <si>
    <t>Advent International Corp.; Permira Advisers LLP; GIC Special Investments Pte Ltd.; Abu Dhabi Investment Authority (Private Equity); Canada Pension Plan Investment Board Private /US/; Crosspoint Capital Partners LP</t>
  </si>
  <si>
    <t xml:space="preserve">A private group led by Advent International Corp acquired McAfee Corp for US$11.4 billion in cash, representing a premium of 22.6%. McAfee Corp is located in California, United States and provides cyber security and antivirus services. </t>
  </si>
  <si>
    <t>Zynga, Inc.</t>
  </si>
  <si>
    <t>Take-Two Interactive Software, Inc.</t>
  </si>
  <si>
    <t>Take-Two Interactive Software Inc acquired Zynga Inc for US$9.3 billion in cash and stock, representing a 64% premium. The acquisition would expand Take-Two Interactive Software Inc's mobile gaming platform. Zynga Inc is located in California, United States and develops, markets, operates and provides online social game services.</t>
  </si>
  <si>
    <t>Activision Blizzard, Inc.</t>
  </si>
  <si>
    <t>Microsoft Corp.</t>
  </si>
  <si>
    <t>Microsoft Corp acquired Activision Blizzard Inc for US$74.7 billion in cash, representing a premium of approximately 45% to its closing stock price on January 14, 2022. The acquisition would enhance Microsoft Corp’s gaming business services and would be accretive to non-GAAP earnings per share of Microsoft Corp upon closing. Activision Blizzard Inc is located in Santa Monica, California, United States and develops and publishes interactive entertainment content and services. The deal was expected to close in Microsoft Corp's fiscal year ending June 2023, subject to customary closing conditions, completion of regulatory review, and Activision Blizzard Inc’s shareholder approval. On February 1, 2022, it was announced that the US Federal Trade Commission would undertake an antitrust review of the proposed transaction. On April 1, 2022, it was announced that four U.S. senators are urging the Federal Trade Commission to look further into the deal. On July 6, 2022, it was announced that the UK's Competition &amp; Markets Authority has launched a Phase 1 investigation on the proposed acquisition. On February 8, 2023, The Competition Markets Authority announced that the transaction will have a negative impact on British gamers. On April 25, 2023 Microsoft Corp is planning to complete the transaction of Activision Blizzard Inc despite the Federal Trade Commission (FTC)'s move to block deal over antitrust concerns. On April 26, 2023, The United Kingdom Competition and Markets Authority blocked Microsoft Corp's acquisition of Activision Blizzard Inc, citing that the merger may be expected to result in substantial lessening of competition in cloud gaming services in the United Kingdom. On May 15, 2023, it was announced that the European Commission has approved the transaction between Microsoft Corp and Activision Blizzard Inc. On July 20, 2023, it was announced that the Federal Trade Commission has suspended its administrative challenge for the deal. On October 13, 2023, it was announced that UK Markets and Competition Authority has approved the transaction. On the same day, the transaction was completed and Activision Blizzard Inc will no longer be listed on Nasdaq.</t>
  </si>
  <si>
    <t>Citrix Systems, Inc.</t>
  </si>
  <si>
    <t>Vista Equity Partners Management LLC; Evergreen Coast Capital Corp.</t>
  </si>
  <si>
    <t>A private group led by Vista Equity Partners and Evergreen Coast Capital acquired the remaining 87.8% stake in Citrix Systems Inc for US$11.6 billion in cash, representing a premium of 24%. Citrix is a cloud computing company, specialising in providing remote access.</t>
  </si>
  <si>
    <t>Rovio Entertainment Oyj</t>
  </si>
  <si>
    <t>SEGA Europe Ltd.</t>
  </si>
  <si>
    <t>Finland</t>
  </si>
  <si>
    <t xml:space="preserve">SEGA Europe Ltd acquired Rovio Entertainment Oyj for EUR704.7 million (US$778.5 million) in cash, via tender offer. Under the terms of the agreement, SEGA Europe Ltd paid EUR9.25 (US$10.22) cash per share to Rovio Entertainment Oyj. The offer price represents a premium of 63.1% to closing share price of Rovio Entertainment Oyj last January 19, 2023.The acquisition expands SEGA Europe Ltd's presence in the global and mobile gaming market. The Board of Directors of Rovio Entertainment Oyj unanimously approved the transaction. Rovio Entertainment Oyj is located in Espoo, Uusimaa, Finland and develops mobile and media games. It's best known for its Angry Birds IP. </t>
  </si>
  <si>
    <t>Haveli Investment Management LLC; Haveli Investment Management LLC; CVC Advisers Ltd.; CVC Advisers Ltd.; CVC Advisers Ltd.; Jagex Ltd. /Private Group/; Jagex Ltd. /Private Group/; Jagex Ltd. /Private Group/; Haveli Investment Management LLC</t>
  </si>
  <si>
    <t>Completed</t>
  </si>
  <si>
    <t>A private group led by CVC Advisers Ltd., through CVC Capital Partners Fund VIII, and Haveli Investment Management LLC, acquired Jagex Ltd from The Carlyle Group LP, for an undisclosed amount. The transaction was reported to be valued at GBP900 million (US$1,134.5 million). The acquisition enhances the business capabilities of Jagex Ltd. Jagex Ltd is located in Cambridge, Cambridgeshire, United Kingdom and develops and publishes online games. The transaction was subject to customary regulatory approvals.</t>
  </si>
  <si>
    <t>Easybrain Ltd.</t>
  </si>
  <si>
    <t>Miniclip SA</t>
  </si>
  <si>
    <t>Cyprus</t>
  </si>
  <si>
    <t>Miniclip SA, a subsidiary of Tencent Holdings Ltd acquired Easybrain Ltd from Embracer Group AB for EUR1.1 billion (US$1.2 billion) on a cash and debt free basis. The acquisition strengthens the video game development and offerings of Miniclip SA. Easybrain Ltd is located in Limassol, Cyprus and develops video games. In the financial year 2023-2024, Easybrain Ltd has achieved a net sales of SEK3.4 billion (US$309.5 million), an adjusted EBIT of SEK1.4 billion (US$126.9 million) and an adjusted EBITDAC of SEK1.4 billion (US$126 million). The deal was expected to close in the first months of 2025 and was subject to customary conditions and regulatory approvals. On December 04, 2024, it was announced that the Federal Cartel Office had notified the transaction. On December 20, 2024, it was announced that The Service of the Commission for the Protection of Competition had received a notification of a concentration concerning the proposed acquisition. On January 2, 2024, the Federal Cartel Office approved the transaction. On January 17, 2025, it was announced that all regulatory approvals required for the deal has been obtained. The deal was expected to close within ten business days. On January 23, 2025, it was announced that all conditions for the proposed transaction was fulfilled and the deal is now closed.</t>
  </si>
  <si>
    <t>Public Investment Fund &amp; PE players</t>
  </si>
  <si>
    <t>Announced/Pending</t>
  </si>
  <si>
    <t>A private group led by Public Investment Fund (Private Equity), A Fin Management LLC doing business as Affinity Partners through its Affinity Partners Fund I, and Silver Lake Management Co LLC through its Silver Lake Partners VII Fund entered into a definitive agreement to acquire Electronic Arts Inc for US$52.6 billion in cash. Under the terms of the transaction, the bidder group will pay US$210 per share sought in Electronic Arts Inc. The offer represents a 25% premium to EA’s unaffected share price of US$168.32 at market close on September 25, 2025, the last fully unaffected trading day, and a premium to EA’s unaffected all-time high of $179.01 at market close on August 14, 2025. The acquisition will be funded through the equity commitments of the bidder group and debt financing provided by JPMorgan Chase Bank NA. Following the acquisition, Electronic Arts' common stock will no longer be listed on any public market. Additionally, Electronic Arts will remain headquartered in Redwood City, California, and continue to be led by Andrew Wilson as CEO. The acquisition was approved by the board of directors of Electronic Arts Inc. Initially, several companies are rumored to acquire Electronic Arts for a reported value of US$50 billion. The potential bidders are Silver Lake, Saudi Arabia's Public Investment Fund, and Jared Kushner's Affinity Partners. Electronic Arts Inc is located in Redwood City, California, United States and develops, markets, publishes, and distributes game software content and services. The deal is expected to close in Q1 FY27, subject to customary closing conditions, including receipt of required regulatory approvals and approval by EA stockholders. On November 20, 2025, it was announced that the special meeting of Electronic Arts shareholders will be held on December 22, 2025, to vote on the transaction. On December 23, 2025, it was announced that the shareholders of Electronic Arts approved the transaction during its special meeting. On February 10, 2026, it was announced that the the waiting period under the Hart-Scott-Rodino Antitrust Improvements Act of 1976 has expired on February 9, 2026. The transaction is expected to be completed during the first quarter of the fiscal year of Electronic Arts Inc, subject to the satisfaction of closing conditions and receipt of relevant regulatory approvals.</t>
  </si>
  <si>
    <t>Comparable transactions shortlist</t>
  </si>
  <si>
    <t xml:space="preserve">LTM </t>
  </si>
  <si>
    <t>Target revenue</t>
  </si>
  <si>
    <t>Target EBITDA</t>
  </si>
  <si>
    <t>Target EBITDA margin</t>
  </si>
  <si>
    <t>Implied acquisition equity value</t>
  </si>
  <si>
    <t>Implied acquisition price</t>
  </si>
  <si>
    <t>Acquisition premium</t>
  </si>
  <si>
    <t>LTM revenue</t>
  </si>
  <si>
    <t>Max synergies % LTM revenue</t>
  </si>
  <si>
    <t>Min synergies % LTM revenue</t>
  </si>
  <si>
    <t>Estimated synergies % LTM revenue</t>
  </si>
  <si>
    <t>Synergy value - multiple method</t>
  </si>
  <si>
    <t xml:space="preserve">Synergies per annum </t>
  </si>
  <si>
    <t>Industry median EV / LTM EBITDA multiple</t>
  </si>
  <si>
    <t>Value of synergies</t>
  </si>
  <si>
    <t>Synergy value - DCF method</t>
  </si>
  <si>
    <t>Total synergies per annum</t>
  </si>
  <si>
    <t>Synergies % realization</t>
  </si>
  <si>
    <t>Synergies achieved</t>
  </si>
  <si>
    <t>Synergies post tax</t>
  </si>
  <si>
    <t>Synergies discount rate</t>
  </si>
  <si>
    <t>Long term growth rate (inflation only)</t>
  </si>
  <si>
    <t>Present value</t>
  </si>
  <si>
    <t>Present value of Y1-Y3</t>
  </si>
  <si>
    <t>Present value of synergies</t>
  </si>
  <si>
    <t>Average synergies</t>
  </si>
  <si>
    <t>Value of synergies average</t>
  </si>
  <si>
    <t>Valuation summary</t>
  </si>
  <si>
    <t>CY2</t>
  </si>
  <si>
    <t>Min</t>
  </si>
  <si>
    <t>Max</t>
  </si>
  <si>
    <t>EV / CY2 Revenue</t>
  </si>
  <si>
    <t>Average synergies % of target LTM revenue</t>
  </si>
  <si>
    <t xml:space="preserve">Value of synergies </t>
  </si>
  <si>
    <t>Implied EV including synergies</t>
  </si>
  <si>
    <t>Transaction multiples</t>
  </si>
  <si>
    <t>Lower quartile</t>
  </si>
  <si>
    <t>Upper quartile</t>
  </si>
  <si>
    <t>LBO (6yr exit)</t>
  </si>
  <si>
    <t xml:space="preserve">IRR range </t>
  </si>
  <si>
    <t>Premium</t>
  </si>
  <si>
    <t>Football field summary</t>
  </si>
  <si>
    <t>Method</t>
  </si>
  <si>
    <t>Difference</t>
  </si>
  <si>
    <t>0 Bar</t>
  </si>
  <si>
    <t>Transaction multiples EV/LTM EBITDA</t>
  </si>
  <si>
    <t>Current share price</t>
  </si>
  <si>
    <t>Y</t>
  </si>
  <si>
    <t>X</t>
  </si>
  <si>
    <t>Unaffected share price (Sep '25)</t>
  </si>
  <si>
    <t>All sourced from factset unless otherwise stated</t>
  </si>
  <si>
    <t>Latest year end</t>
  </si>
  <si>
    <t>Share price local currency</t>
  </si>
  <si>
    <t>Exchange rate USD / USD</t>
  </si>
  <si>
    <t>Share price US$</t>
  </si>
  <si>
    <t>Control premium</t>
  </si>
  <si>
    <t>Acquisition price per share US$</t>
  </si>
  <si>
    <t>Total basic shares outstanding</t>
  </si>
  <si>
    <t>Strike local</t>
  </si>
  <si>
    <t>Strike US$</t>
  </si>
  <si>
    <t>Net new shares</t>
  </si>
  <si>
    <t>Diluted equity acquisition value</t>
  </si>
  <si>
    <t>Debt and equivalents</t>
  </si>
  <si>
    <t>Cash and financial assets</t>
  </si>
  <si>
    <t>Acquisition enterprise value</t>
  </si>
  <si>
    <t>Sony</t>
  </si>
  <si>
    <t>Exchange rate USD / JPY</t>
  </si>
  <si>
    <t>Debt and equivalents $m</t>
  </si>
  <si>
    <t>Cash and financial assets $m</t>
  </si>
  <si>
    <t>Earnings (USDm)</t>
  </si>
  <si>
    <t>FY1</t>
  </si>
  <si>
    <t>FY2</t>
  </si>
  <si>
    <t>FY3</t>
  </si>
  <si>
    <t>Key assumptions</t>
  </si>
  <si>
    <t>Fees % enterprise value</t>
  </si>
  <si>
    <t>Breakup fee</t>
  </si>
  <si>
    <t>Cost of debt for new and existing</t>
  </si>
  <si>
    <t>Synergies % LTM target revenue</t>
  </si>
  <si>
    <t>Synergies run rate</t>
  </si>
  <si>
    <t>Leverage ratios and deal debt</t>
  </si>
  <si>
    <t>Acquirer net debt (cash) pre-deal</t>
  </si>
  <si>
    <t>Acquirer EBITDA pre deal</t>
  </si>
  <si>
    <t>Acquirer net debt / EBITDA</t>
  </si>
  <si>
    <t>Target net debt (cash) pre-deal</t>
  </si>
  <si>
    <t>Target EBITDA pre deal</t>
  </si>
  <si>
    <t>Target net debt / EBITDA</t>
  </si>
  <si>
    <t>Combined net debt</t>
  </si>
  <si>
    <t>Refinance target net debt</t>
  </si>
  <si>
    <t>Combined net debt after refinancing</t>
  </si>
  <si>
    <t>Combined LTM EBITDA (no synergies)</t>
  </si>
  <si>
    <t>Combined net debt /LTM EBITDA</t>
  </si>
  <si>
    <t>Maximum net debt/LTM EBITDA</t>
  </si>
  <si>
    <t>Maximum deal debt as net debt/LTM EBITDA</t>
  </si>
  <si>
    <t>Maximum deal debt as $</t>
  </si>
  <si>
    <t>Acquisition debt</t>
  </si>
  <si>
    <t>Acquirer net debt (cash)</t>
  </si>
  <si>
    <t>Proforma net debt</t>
  </si>
  <si>
    <t>Proforma EBITDA (no synergies)</t>
  </si>
  <si>
    <t>Proforma net debt / EBITDA</t>
  </si>
  <si>
    <t>Current acquirer credit rating</t>
  </si>
  <si>
    <t>A</t>
  </si>
  <si>
    <t>Sources and uses of funds</t>
  </si>
  <si>
    <t>Acquisition equity value</t>
  </si>
  <si>
    <t>Target net cash</t>
  </si>
  <si>
    <t>Fees</t>
  </si>
  <si>
    <t>Equity financing</t>
  </si>
  <si>
    <t>Debt financing</t>
  </si>
  <si>
    <t>Total uses of funds</t>
  </si>
  <si>
    <t>Total sources of funds</t>
  </si>
  <si>
    <t>Income statement combination</t>
  </si>
  <si>
    <t>Acquirer EBITDA</t>
  </si>
  <si>
    <t>Proforma EBITDA</t>
  </si>
  <si>
    <t>Acquirer net income</t>
  </si>
  <si>
    <t>Target net income</t>
  </si>
  <si>
    <t>Synergies post-tax</t>
  </si>
  <si>
    <t>Interest expense after tax</t>
  </si>
  <si>
    <t>Interest expense avoided</t>
  </si>
  <si>
    <t>Interest income foregone, after tax</t>
  </si>
  <si>
    <t>Pro-forma net income</t>
  </si>
  <si>
    <t>Acquirer diluted shares outstanding</t>
  </si>
  <si>
    <t>New shares issued</t>
  </si>
  <si>
    <t>Pro-forma diluted shares outstanding</t>
  </si>
  <si>
    <t>Pre-deal EPS</t>
  </si>
  <si>
    <t>Pro-forma EPS</t>
  </si>
  <si>
    <t>Accretion (dilution) %</t>
  </si>
  <si>
    <t>Additional synergies to breakeven</t>
  </si>
  <si>
    <t>Analysis of FY3 EPS accretion / dilution arising from sensitizing EV multiple and capital structuring</t>
  </si>
  <si>
    <t>Max proforma net debt/EBITDA</t>
  </si>
  <si>
    <t>Share price/ Premium</t>
  </si>
  <si>
    <t>Price earnings analysis</t>
  </si>
  <si>
    <t>Acquirer P/E</t>
  </si>
  <si>
    <t>Debt P/E</t>
  </si>
  <si>
    <t>Acquisition P/E</t>
  </si>
  <si>
    <t>Return on capital analysis</t>
  </si>
  <si>
    <t>Target EBIT</t>
  </si>
  <si>
    <t>NOPAT with synergies</t>
  </si>
  <si>
    <t>Analysis at various prices</t>
  </si>
  <si>
    <t>Diluted</t>
  </si>
  <si>
    <t>EV/</t>
  </si>
  <si>
    <t>% Premium</t>
  </si>
  <si>
    <t>shares out.</t>
  </si>
  <si>
    <t>Mkt. cap.</t>
  </si>
  <si>
    <t>FY1 EBITDA</t>
  </si>
  <si>
    <t>Ownership post deal</t>
  </si>
  <si>
    <t xml:space="preserve">Number </t>
  </si>
  <si>
    <t>Percent</t>
  </si>
  <si>
    <t>Acquirer shares outstanding</t>
  </si>
  <si>
    <t>Proforma shares</t>
  </si>
  <si>
    <t>Exchange ratio (new per 1 old)</t>
  </si>
  <si>
    <t>Cash offered per share</t>
  </si>
  <si>
    <t>Premium vs synergies</t>
  </si>
  <si>
    <t>Unaffected equity value</t>
  </si>
  <si>
    <t xml:space="preserve">Synergies terminal value </t>
  </si>
  <si>
    <t>Synergies discount factor</t>
  </si>
  <si>
    <t>Value added</t>
  </si>
  <si>
    <t>Acquisition date</t>
  </si>
  <si>
    <t>Max debt / LTM EBITDA multiple</t>
  </si>
  <si>
    <t>Offer price $</t>
  </si>
  <si>
    <t>Implied EV</t>
  </si>
  <si>
    <t>Max entry EV / LTM EBITDA multiple</t>
  </si>
  <si>
    <t>Exit multiple as a % of entry</t>
  </si>
  <si>
    <t xml:space="preserve">Minimum exit multiple </t>
  </si>
  <si>
    <t>Max exit EV / LTM EBITDA multiple</t>
  </si>
  <si>
    <t>Cost of debt financing - spread</t>
  </si>
  <si>
    <t>Cost of senior debt</t>
  </si>
  <si>
    <t>Cost of junior debt</t>
  </si>
  <si>
    <t>Fees % of enterprise value</t>
  </si>
  <si>
    <t>Exit year</t>
  </si>
  <si>
    <t>X LTM EBITDA</t>
  </si>
  <si>
    <t>Senior debt</t>
  </si>
  <si>
    <t>Junior debt</t>
  </si>
  <si>
    <t>Key numbers</t>
  </si>
  <si>
    <t>Cost savings % historical revenue</t>
  </si>
  <si>
    <t>Cost savings</t>
  </si>
  <si>
    <t>EBIT pre cost savings</t>
  </si>
  <si>
    <t>Cash flows to service debt</t>
  </si>
  <si>
    <t>(Increase) decrease in owc</t>
  </si>
  <si>
    <t>(Increase) decrease in other nca</t>
  </si>
  <si>
    <t>Increase (decrease) in other lt lia</t>
  </si>
  <si>
    <t>Cash flow available for debt repayment</t>
  </si>
  <si>
    <t>Beginning cash and equivalents</t>
  </si>
  <si>
    <t>Cash available for debt repayments, before minimum cash</t>
  </si>
  <si>
    <t>Minimum cash % of revenue</t>
  </si>
  <si>
    <t>Minimum required cash</t>
  </si>
  <si>
    <t>Cash available for debt repayment</t>
  </si>
  <si>
    <t>Debt servicing</t>
  </si>
  <si>
    <t>Beginning senior debt balance</t>
  </si>
  <si>
    <t>Issuance (repayment)</t>
  </si>
  <si>
    <t>Ending senior debt balance</t>
  </si>
  <si>
    <t>Cash available for debt, after senior debt repayment</t>
  </si>
  <si>
    <t>Beginning junior debt</t>
  </si>
  <si>
    <t>Ending junior debt</t>
  </si>
  <si>
    <t>Ending cash</t>
  </si>
  <si>
    <t>Beginning debt repaid</t>
  </si>
  <si>
    <t>Senior debt repayment</t>
  </si>
  <si>
    <t>Junior debt repayment</t>
  </si>
  <si>
    <t>Ending debt repaid</t>
  </si>
  <si>
    <t>Total debt at acquisition</t>
  </si>
  <si>
    <t>Debt paydown % of total debt</t>
  </si>
  <si>
    <t>Returns to equity holders</t>
  </si>
  <si>
    <t>Year count</t>
  </si>
  <si>
    <t>Equity value</t>
  </si>
  <si>
    <t>Cash flows to equity holders</t>
  </si>
  <si>
    <t>IRR</t>
  </si>
  <si>
    <t>Sensitivity analysis</t>
  </si>
  <si>
    <t>IRR assuming changes in exit multiple and exit year</t>
  </si>
  <si>
    <t>Purchase premium</t>
  </si>
  <si>
    <t>Exit</t>
  </si>
  <si>
    <t>multiple</t>
  </si>
  <si>
    <t>Scratchpad for additional workings</t>
  </si>
  <si>
    <t>Factset codes</t>
  </si>
  <si>
    <t>Summary sheet code name</t>
  </si>
  <si>
    <t>Delete sheet on new target ticker</t>
  </si>
  <si>
    <t>TUMI-US</t>
  </si>
  <si>
    <t>31/12/2015</t>
  </si>
  <si>
    <t>Last filing date</t>
  </si>
  <si>
    <t>01-Jun-16</t>
  </si>
  <si>
    <t>Trading information</t>
  </si>
  <si>
    <t>Free float (MM)</t>
  </si>
  <si>
    <t>LTM dividend yield</t>
  </si>
  <si>
    <t>NA</t>
  </si>
  <si>
    <t>Historical 5 year beta</t>
  </si>
  <si>
    <t/>
  </si>
  <si>
    <t>-</t>
  </si>
  <si>
    <t>Balance sheet data</t>
  </si>
  <si>
    <t>NCI book value</t>
  </si>
  <si>
    <t xml:space="preserve">Historical income statement NCI </t>
  </si>
  <si>
    <t>Balance sheet ST debt</t>
  </si>
  <si>
    <t>Balance sheet LT debt</t>
  </si>
  <si>
    <t>Financial derivative liabilities</t>
  </si>
  <si>
    <t>Balance sheet cash and equivalents</t>
  </si>
  <si>
    <t>ST financial investments</t>
  </si>
  <si>
    <t>LT financial investments</t>
  </si>
  <si>
    <t>Non-core assets</t>
  </si>
  <si>
    <t>Earnings and estimates</t>
  </si>
  <si>
    <t>Latest annual</t>
  </si>
  <si>
    <t>Old 10-Q/Interim</t>
  </si>
  <si>
    <t>New 10-Q/interim</t>
  </si>
  <si>
    <t>Gross interest expense</t>
  </si>
  <si>
    <t>Free cash flow</t>
  </si>
  <si>
    <t>Share options and restricted stock units</t>
  </si>
  <si>
    <t>WA strike price</t>
  </si>
  <si>
    <t>CapIQ - total options year end</t>
  </si>
  <si>
    <t>CapIQ - total options quarter end</t>
  </si>
  <si>
    <t>CapIQ options used</t>
  </si>
  <si>
    <t>Manual tranche 1</t>
  </si>
  <si>
    <t>Manual tranche 2</t>
  </si>
  <si>
    <t>Manual tranche 3</t>
  </si>
  <si>
    <t>Manual tranche 4</t>
  </si>
  <si>
    <t>Manual tranche 5</t>
  </si>
  <si>
    <t>Projected benefit obligation</t>
  </si>
  <si>
    <t>Fair value of plan assets</t>
  </si>
  <si>
    <t>Total pension and OPEB expense</t>
  </si>
  <si>
    <t>Pension service cost</t>
  </si>
  <si>
    <t>Return on plan assets</t>
  </si>
  <si>
    <t>LTM rent expense</t>
  </si>
  <si>
    <t>EV / CY2 EBITDA</t>
  </si>
  <si>
    <t>EBITDA pre cost savings</t>
  </si>
  <si>
    <t>EBITDA post cost savings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</si>
</sst>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6">
    <numFmt numFmtId="164" formatCode="_(* #,##0_);_(* \(#,##0\);_(* &quot;-&quot;_);_(@_)"/>
    <numFmt numFmtId="165" formatCode="_(* #,##0.00_);_(* \(#,##0.00\);_(* &quot;-&quot;??_);_(@_)"/>
    <numFmt numFmtId="166" formatCode="_(&quot;£&quot;* #,##0_);_(&quot;£&quot;* \(#,##0\);_(&quot;£&quot;* &quot;-&quot;_);_(@_)"/>
    <numFmt numFmtId="167" formatCode="_(&quot;£&quot;* #,##0.00_);_(&quot;£&quot;* \(#,##0.00\);_(&quot;£&quot;* &quot;-&quot;??_);_(@_)"/>
    <numFmt numFmtId="168" formatCode="#,##0.0_);\(#,##0.0\);0.0_);@_)"/>
    <numFmt numFmtId="169" formatCode="#,##0.0_);\(#,##0.0\)\,0.0_);@_)"/>
    <numFmt numFmtId="170" formatCode="[$-409]d\-mmm\-yy"/>
    <numFmt numFmtId="171" formatCode="0.0%_);\(0.0%\)"/>
    <numFmt numFmtId="172" formatCode="#,##0.0\ \x_);\(#,##0.0\ \x\)"/>
    <numFmt numFmtId="173" formatCode="dd\-mmm\-yy_)"/>
    <numFmt numFmtId="174" formatCode="#,##0.00_);\(#,##0.00\);0.00_);@_)"/>
    <numFmt numFmtId="175" formatCode="#,##0.000_);\(#,##0.000\);0.000_);@_)"/>
    <numFmt numFmtId="176" formatCode="#,##0.00000_);\(#,##0.00000\);0.00000_);@_)"/>
    <numFmt numFmtId="177" formatCode="0.0%_);\(0.0%\);0.0%_);@_)"/>
    <numFmt numFmtId="178" formatCode="0.00%_);\(0.00%\)"/>
    <numFmt numFmtId="179" formatCode="0.000%_);\(0.000%\)"/>
    <numFmt numFmtId="180" formatCode="[$-409]d\-mmm\-yy;@"/>
    <numFmt numFmtId="181" formatCode="#,##0.0\ \x_);\(#,##0.0\ \x\);"/>
    <numFmt numFmtId="182" formatCode="#,##0.0000_);\(#,##0.0000\);0.0000_);@_)"/>
    <numFmt numFmtId="183" formatCode="dd\-mmm\-yyyy"/>
    <numFmt numFmtId="184" formatCode="#,##0.00\ \x_);\(#,##0.00\ \x\)"/>
    <numFmt numFmtId="185" formatCode="[$-F800]dddd\,\ mmmm\ dd\,\ yyyy"/>
    <numFmt numFmtId="186" formatCode="###,###,##0.00"/>
    <numFmt numFmtId="187" formatCode="#,##0.0"/>
    <numFmt numFmtId="188" formatCode="#,##0.00\x"/>
    <numFmt numFmtId="189" formatCode="#,##0_);\(#,##0\);0_);@_)"/>
  </numFmts>
  <fonts count="63" x14ac:knownFonts="1">
    <font>
      <sz val="11"/>
      <name val="Calibri"/>
      <family val="2"/>
      <scheme val="minor"/>
    </font>
    <font>
      <sz val="20"/>
      <color theme="1"/>
      <name val="Calibri"/>
      <family val="2"/>
      <scheme val="minor"/>
    </font>
    <font>
      <sz val="20"/>
      <color theme="1"/>
      <name val="Calibri"/>
      <family val="2"/>
      <scheme val="minor"/>
    </font>
    <font>
      <sz val="11"/>
      <color theme="1"/>
      <name val="Calibri"/>
      <family val="2"/>
    </font>
    <font>
      <sz val="22"/>
      <color theme="0"/>
      <name val="Calibri"/>
      <family val="2"/>
    </font>
    <font>
      <sz val="11"/>
      <name val="Arial"/>
      <family val="2"/>
    </font>
    <font>
      <sz val="18"/>
      <color theme="0"/>
      <name val="Calibri"/>
      <family val="2"/>
    </font>
    <font>
      <sz val="11"/>
      <color rgb="FF6E6E6E"/>
      <name val="Calibri"/>
      <family val="2"/>
    </font>
    <font>
      <b/>
      <sz val="12"/>
      <color rgb="FF163260"/>
      <name val="Calibri"/>
      <family val="2"/>
    </font>
    <font>
      <sz val="10"/>
      <color rgb="FF085393"/>
      <name val="Calibri"/>
      <family val="2"/>
    </font>
    <font>
      <sz val="11"/>
      <color rgb="FF085393"/>
      <name val="Calibri"/>
      <family val="2"/>
    </font>
    <font>
      <u/>
      <sz val="11"/>
      <color theme="10"/>
      <name val="Arial"/>
      <family val="2"/>
    </font>
    <font>
      <sz val="14"/>
      <color theme="0"/>
      <name val="Calibri"/>
      <family val="2"/>
    </font>
    <font>
      <u/>
      <sz val="14"/>
      <color rgb="FF085393"/>
      <name val="Calibri"/>
      <family val="2"/>
    </font>
    <font>
      <sz val="11"/>
      <color rgb="FF0000FF"/>
      <name val="Calibri"/>
      <family val="2"/>
    </font>
    <font>
      <sz val="11"/>
      <color theme="0"/>
      <name val="Calibri"/>
      <family val="2"/>
    </font>
    <font>
      <sz val="11"/>
      <color rgb="FFFF0000"/>
      <name val="Calibri"/>
      <family val="2"/>
    </font>
    <font>
      <sz val="11"/>
      <color rgb="FF404040"/>
      <name val="Calibri"/>
      <family val="2"/>
    </font>
    <font>
      <i/>
      <sz val="11"/>
      <color rgb="FF6E6E6E"/>
      <name val="Calibri"/>
      <family val="2"/>
    </font>
    <font>
      <sz val="10"/>
      <color theme="0"/>
      <name val="Calibri"/>
      <family val="2"/>
    </font>
    <font>
      <sz val="9"/>
      <color indexed="81"/>
      <name val="Tahoma"/>
      <family val="2"/>
    </font>
    <font>
      <b/>
      <sz val="9"/>
      <color indexed="81"/>
      <name val="Tahoma"/>
      <family val="2"/>
    </font>
    <font>
      <sz val="11"/>
      <color rgb="FF0000FF"/>
      <name val="Calibri"/>
      <family val="2"/>
      <scheme val="minor"/>
    </font>
    <font>
      <sz val="11"/>
      <color theme="1"/>
      <name val="Calibri"/>
      <family val="2"/>
      <scheme val="minor"/>
    </font>
    <font>
      <sz val="11"/>
      <color rgb="FF000000"/>
      <name val="Calibri"/>
      <family val="2"/>
      <scheme val="minor"/>
    </font>
    <font>
      <sz val="20"/>
      <color rgb="FF006100"/>
      <name val="Calibri"/>
      <family val="2"/>
      <scheme val="minor"/>
    </font>
    <font>
      <sz val="20"/>
      <color rgb="FF9C0006"/>
      <name val="Calibri"/>
      <family val="2"/>
      <scheme val="minor"/>
    </font>
    <font>
      <sz val="20"/>
      <color rgb="FF9C5700"/>
      <name val="Calibri"/>
      <family val="2"/>
      <scheme val="minor"/>
    </font>
    <font>
      <b/>
      <sz val="20"/>
      <color rgb="FF3F3F3F"/>
      <name val="Calibri"/>
      <family val="2"/>
      <scheme val="minor"/>
    </font>
    <font>
      <b/>
      <sz val="20"/>
      <color rgb="FFFA7D00"/>
      <name val="Calibri"/>
      <family val="2"/>
      <scheme val="minor"/>
    </font>
    <font>
      <sz val="20"/>
      <color rgb="FFFA7D00"/>
      <name val="Calibri"/>
      <family val="2"/>
      <scheme val="minor"/>
    </font>
    <font>
      <b/>
      <sz val="20"/>
      <color theme="0"/>
      <name val="Calibri"/>
      <family val="2"/>
      <scheme val="minor"/>
    </font>
    <font>
      <sz val="20"/>
      <color rgb="FFFF0000"/>
      <name val="Calibri"/>
      <family val="2"/>
      <scheme val="minor"/>
    </font>
    <font>
      <i/>
      <sz val="20"/>
      <color rgb="FF7F7F7F"/>
      <name val="Calibri"/>
      <family val="2"/>
      <scheme val="minor"/>
    </font>
    <font>
      <sz val="11"/>
      <color theme="1" tint="0.249977111117893"/>
      <name val="Calibri"/>
      <family val="2"/>
      <scheme val="minor"/>
    </font>
    <font>
      <sz val="11"/>
      <color theme="0"/>
      <name val="Calibri"/>
      <family val="2"/>
      <scheme val="minor"/>
    </font>
    <font>
      <sz val="11"/>
      <name val="Calibri"/>
      <family val="2"/>
      <scheme val="minor"/>
    </font>
    <font>
      <sz val="9"/>
      <color theme="0"/>
      <name val="Calibri"/>
      <family val="2"/>
      <scheme val="minor"/>
    </font>
    <font>
      <u/>
      <sz val="11"/>
      <color theme="11"/>
      <name val="Calibri"/>
      <family val="2"/>
      <scheme val="minor"/>
    </font>
    <font>
      <u/>
      <sz val="11"/>
      <color theme="10"/>
      <name val="Calibri"/>
      <family val="2"/>
      <scheme val="minor"/>
    </font>
    <font>
      <sz val="22"/>
      <color theme="0"/>
      <name val="Calibri"/>
      <family val="2"/>
      <scheme val="major"/>
    </font>
    <font>
      <sz val="14"/>
      <color theme="0"/>
      <name val="Calibri"/>
      <family val="2"/>
      <scheme val="major"/>
    </font>
    <font>
      <b/>
      <sz val="12"/>
      <color rgb="FF163260"/>
      <name val="Calibri"/>
      <family val="2"/>
      <scheme val="minor"/>
    </font>
    <font>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b/>
      <sz val="20"/>
      <color theme="1"/>
      <name val="Calibri"/>
      <family val="2"/>
      <scheme val="minor"/>
    </font>
    <font>
      <sz val="20"/>
      <color theme="0"/>
      <name val="Calibri"/>
      <family val="2"/>
      <scheme val="minor"/>
    </font>
    <font>
      <i/>
      <sz val="11"/>
      <color theme="1"/>
      <name val="Calibri"/>
      <family val="2"/>
    </font>
    <font>
      <b/>
      <sz val="11"/>
      <name val="Calibri"/>
      <family val="2"/>
      <scheme val="minor"/>
    </font>
    <font>
      <sz val="8"/>
      <name val="Calibri"/>
      <family val="2"/>
      <scheme val="minor"/>
    </font>
    <font>
      <sz val="11"/>
      <color rgb="FFFF0000"/>
      <name val="Calibri"/>
      <family val="2"/>
      <scheme val="minor"/>
    </font>
    <font>
      <b/>
      <sz val="11"/>
      <color theme="1"/>
      <name val="Calibri"/>
      <family val="2"/>
    </font>
    <font>
      <b/>
      <sz val="11"/>
      <color rgb="FFFF0000"/>
      <name val="Calibri"/>
      <family val="2"/>
      <scheme val="minor"/>
    </font>
    <font>
      <sz val="11"/>
      <color rgb="FF000000"/>
      <name val="Calibri"/>
      <family val="2"/>
    </font>
    <font>
      <sz val="10"/>
      <color rgb="FF0000FF"/>
      <name val="Calibri"/>
      <family val="2"/>
      <scheme val="minor"/>
    </font>
    <font>
      <sz val="10"/>
      <name val="Calibri"/>
      <family val="2"/>
      <scheme val="minor"/>
    </font>
    <font>
      <b/>
      <sz val="10"/>
      <color rgb="FF163260"/>
      <name val="Calibri"/>
      <family val="2"/>
    </font>
    <font>
      <sz val="10"/>
      <color rgb="FFFF0000"/>
      <name val="Calibri"/>
      <family val="2"/>
      <scheme val="minor"/>
    </font>
    <font>
      <u/>
      <sz val="11"/>
      <color rgb="FF0000FF"/>
      <name val="Calibri"/>
      <family val="2"/>
      <scheme val="minor"/>
    </font>
    <font>
      <i/>
      <sz val="11"/>
      <color theme="0"/>
      <name val="Calibri"/>
      <family val="2"/>
    </font>
    <font>
      <sz val="9"/>
      <color rgb="FF3A4044"/>
      <name val="Arial"/>
      <family val="2"/>
    </font>
  </fonts>
  <fills count="45">
    <fill>
      <patternFill patternType="none"/>
    </fill>
    <fill>
      <patternFill patternType="gray125"/>
    </fill>
    <fill>
      <patternFill patternType="solid">
        <fgColor rgb="FF163260"/>
        <bgColor rgb="FF163260"/>
      </patternFill>
    </fill>
    <fill>
      <patternFill patternType="solid">
        <fgColor rgb="FF085393"/>
        <bgColor rgb="FF085393"/>
      </patternFill>
    </fill>
    <fill>
      <patternFill patternType="solid">
        <fgColor rgb="FFF2F2F2"/>
        <bgColor rgb="FFF2F2F2"/>
      </patternFill>
    </fill>
    <fill>
      <patternFill patternType="solid">
        <fgColor theme="0"/>
        <bgColor theme="0"/>
      </patternFill>
    </fill>
    <fill>
      <patternFill patternType="solid">
        <fgColor rgb="FFDBEEFD"/>
        <bgColor rgb="FFDBEEFD"/>
      </patternFill>
    </fill>
    <fill>
      <patternFill patternType="solid">
        <fgColor rgb="FFF0F8FE"/>
        <bgColor rgb="FFF0F8FE"/>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0" tint="-4.9989318521683403E-2"/>
        <bgColor indexed="64"/>
      </patternFill>
    </fill>
    <fill>
      <patternFill patternType="solid">
        <fgColor rgb="FF163260"/>
        <bgColor indexed="64"/>
      </patternFill>
    </fill>
    <fill>
      <patternFill patternType="solid">
        <fgColor rgb="FF085393"/>
        <bgColor indexed="64"/>
      </patternFill>
    </fill>
    <fill>
      <patternFill patternType="solid">
        <fgColor rgb="FFDBEEFD"/>
        <bgColor indexed="64"/>
      </patternFill>
    </fill>
    <fill>
      <patternFill patternType="solid">
        <fgColor theme="4"/>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
      <patternFill patternType="solid">
        <fgColor rgb="FFC0C0C0"/>
        <bgColor indexed="64"/>
      </patternFill>
    </fill>
    <fill>
      <patternFill patternType="solid">
        <fgColor theme="0" tint="-0.14999847407452621"/>
        <bgColor indexed="64"/>
      </patternFill>
    </fill>
    <fill>
      <patternFill patternType="solid">
        <fgColor theme="0"/>
        <bgColor indexed="64"/>
      </patternFill>
    </fill>
  </fills>
  <borders count="35">
    <border>
      <left/>
      <right/>
      <top/>
      <bottom/>
      <diagonal/>
    </border>
    <border>
      <left/>
      <right/>
      <top/>
      <bottom/>
      <diagonal/>
    </border>
    <border>
      <left/>
      <right/>
      <top/>
      <bottom style="medium">
        <color rgb="FFD8D8D8"/>
      </bottom>
      <diagonal/>
    </border>
    <border>
      <left style="thin">
        <color rgb="FFBBDEFB"/>
      </left>
      <right style="thin">
        <color rgb="FFBBDEFB"/>
      </right>
      <top style="thin">
        <color rgb="FFBBDEFB"/>
      </top>
      <bottom style="thin">
        <color rgb="FFBBDEFB"/>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style="thin">
        <color rgb="FFBBDEFB"/>
      </left>
      <right style="thin">
        <color rgb="FF000000"/>
      </right>
      <top/>
      <bottom style="thin">
        <color rgb="FFBBDEFB"/>
      </bottom>
      <diagonal/>
    </border>
    <border>
      <left/>
      <right style="thin">
        <color rgb="FF000000"/>
      </right>
      <top/>
      <bottom/>
      <diagonal/>
    </border>
    <border>
      <left style="thin">
        <color rgb="FFBBDEFB"/>
      </left>
      <right style="thin">
        <color rgb="FF000000"/>
      </right>
      <top style="thin">
        <color rgb="FFBBDEFB"/>
      </top>
      <bottom style="thin">
        <color rgb="FFBBDEFB"/>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bottom style="medium">
        <color rgb="FFE2F1FE"/>
      </bottom>
      <diagonal/>
    </border>
    <border>
      <left style="thin">
        <color rgb="FFBBDEFB"/>
      </left>
      <right style="thin">
        <color indexed="64"/>
      </right>
      <top style="thin">
        <color rgb="FFBBDEFB"/>
      </top>
      <bottom style="thin">
        <color rgb="FFBBDEFB"/>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rgb="FF000000"/>
      </top>
      <bottom/>
      <diagonal/>
    </border>
    <border>
      <left/>
      <right/>
      <top/>
      <bottom style="thin">
        <color indexed="64"/>
      </bottom>
      <diagonal/>
    </border>
    <border>
      <left style="thin">
        <color rgb="FFBBDEFB"/>
      </left>
      <right style="thin">
        <color rgb="FFBBDEFB"/>
      </right>
      <top style="thin">
        <color rgb="FFBBDEFB"/>
      </top>
      <bottom/>
      <diagonal/>
    </border>
    <border>
      <left style="thin">
        <color rgb="FFB2B2B2"/>
      </left>
      <right style="thin">
        <color rgb="FFB2B2B2"/>
      </right>
      <top style="thin">
        <color rgb="FFB2B2B2"/>
      </top>
      <bottom style="thin">
        <color rgb="FFB2B2B2"/>
      </bottom>
      <diagonal/>
    </border>
    <border>
      <left style="thin">
        <color rgb="FFBBDEFB"/>
      </left>
      <right style="thin">
        <color indexed="64"/>
      </right>
      <top style="thin">
        <color rgb="FFBBDEFB"/>
      </top>
      <bottom/>
      <diagonal/>
    </border>
    <border>
      <left style="thin">
        <color rgb="FFBBDEFB"/>
      </left>
      <right style="thin">
        <color rgb="FFBBDEFB"/>
      </right>
      <top style="thin">
        <color rgb="FFBBDEFB"/>
      </top>
      <bottom style="thin">
        <color indexed="64"/>
      </bottom>
      <diagonal/>
    </border>
    <border>
      <left style="thin">
        <color rgb="FFBBDEFB"/>
      </left>
      <right style="thin">
        <color indexed="64"/>
      </right>
      <top style="thin">
        <color rgb="FFBBDEFB"/>
      </top>
      <bottom style="thin">
        <color indexed="64"/>
      </bottom>
      <diagonal/>
    </border>
    <border>
      <left style="thin">
        <color indexed="64"/>
      </left>
      <right/>
      <top/>
      <bottom/>
      <diagonal/>
    </border>
    <border>
      <left style="thin">
        <color indexed="64"/>
      </left>
      <right/>
      <top/>
      <bottom style="thin">
        <color rgb="FF000000"/>
      </bottom>
      <diagonal/>
    </border>
  </borders>
  <cellStyleXfs count="62">
    <xf numFmtId="168" fontId="0" fillId="0" borderId="1"/>
    <xf numFmtId="168" fontId="39" fillId="0" borderId="1" applyNumberFormat="0" applyFill="0" applyBorder="0" applyAlignment="0" applyProtection="0"/>
    <xf numFmtId="168" fontId="38" fillId="0" borderId="1" applyNumberFormat="0" applyFill="0" applyBorder="0" applyAlignment="0" applyProtection="0"/>
    <xf numFmtId="177" fontId="36" fillId="19" borderId="1" applyFont="0" applyFill="0" applyBorder="0" applyAlignment="0" applyProtection="0"/>
    <xf numFmtId="0" fontId="25" fillId="8" borderId="0" applyNumberFormat="0" applyBorder="0" applyAlignment="0" applyProtection="0"/>
    <xf numFmtId="0" fontId="26" fillId="9" borderId="0" applyNumberFormat="0" applyBorder="0" applyAlignment="0" applyProtection="0"/>
    <xf numFmtId="0" fontId="27" fillId="10" borderId="0" applyNumberFormat="0" applyBorder="0" applyAlignment="0" applyProtection="0"/>
    <xf numFmtId="181" fontId="22" fillId="21" borderId="3" applyNumberFormat="0">
      <protection locked="0"/>
    </xf>
    <xf numFmtId="0" fontId="28" fillId="11" borderId="17" applyNumberFormat="0" applyAlignment="0" applyProtection="0"/>
    <xf numFmtId="0" fontId="29" fillId="11" borderId="16" applyNumberFormat="0" applyAlignment="0" applyProtection="0"/>
    <xf numFmtId="0" fontId="30" fillId="0" borderId="18" applyNumberFormat="0" applyFill="0" applyAlignment="0" applyProtection="0"/>
    <xf numFmtId="0" fontId="31" fillId="12" borderId="19"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34" fillId="18" borderId="1" applyNumberFormat="0" applyFont="0" applyAlignment="0" applyProtection="0">
      <alignment vertical="top"/>
    </xf>
    <xf numFmtId="169" fontId="35" fillId="19" borderId="1" applyNumberFormat="0" applyBorder="0" applyProtection="0">
      <alignment horizontal="center"/>
    </xf>
    <xf numFmtId="173" fontId="36" fillId="0" borderId="1" applyFont="0" applyFill="0" applyBorder="0" applyAlignment="0" applyProtection="0"/>
    <xf numFmtId="180" fontId="37" fillId="20" borderId="1">
      <alignment horizontal="center"/>
    </xf>
    <xf numFmtId="169" fontId="22" fillId="19" borderId="1" applyNumberFormat="0" applyFill="0" applyBorder="0" applyAlignment="0" applyProtection="0"/>
    <xf numFmtId="169" fontId="35" fillId="20" borderId="1">
      <alignment horizontal="center"/>
    </xf>
    <xf numFmtId="172" fontId="23" fillId="0" borderId="1" applyFont="0" applyFill="0" applyBorder="0" applyAlignment="0" applyProtection="0"/>
    <xf numFmtId="0" fontId="40" fillId="19" borderId="1" applyNumberFormat="0">
      <alignment horizontal="left"/>
    </xf>
    <xf numFmtId="0" fontId="41" fillId="20" borderId="1" applyNumberFormat="0" applyAlignment="0">
      <alignment horizontal="left"/>
    </xf>
    <xf numFmtId="0" fontId="42" fillId="0" borderId="1" applyNumberFormat="0" applyFill="0" applyBorder="0">
      <alignment horizontal="left" vertical="center"/>
    </xf>
    <xf numFmtId="0" fontId="43" fillId="0" borderId="0" applyNumberFormat="0" applyFill="0" applyBorder="0" applyAlignment="0" applyProtection="0"/>
    <xf numFmtId="0" fontId="44" fillId="0" borderId="20" applyNumberFormat="0" applyFill="0" applyAlignment="0" applyProtection="0"/>
    <xf numFmtId="0" fontId="45" fillId="0" borderId="21" applyNumberFormat="0" applyFill="0" applyAlignment="0" applyProtection="0"/>
    <xf numFmtId="0" fontId="46" fillId="0" borderId="22" applyNumberFormat="0" applyFill="0" applyAlignment="0" applyProtection="0"/>
    <xf numFmtId="0" fontId="46" fillId="0" borderId="0" applyNumberFormat="0" applyFill="0" applyBorder="0" applyAlignment="0" applyProtection="0"/>
    <xf numFmtId="0" fontId="47" fillId="0" borderId="23" applyNumberFormat="0" applyFill="0" applyAlignment="0" applyProtection="0"/>
    <xf numFmtId="0" fontId="48"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48"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48"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4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48"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48"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168" fontId="39" fillId="0" borderId="1" applyNumberFormat="0" applyFill="0" applyBorder="0" applyAlignment="0" applyProtection="0"/>
    <xf numFmtId="165" fontId="36" fillId="0" borderId="0" applyFont="0" applyFill="0" applyBorder="0" applyAlignment="0" applyProtection="0"/>
    <xf numFmtId="164" fontId="36" fillId="0" borderId="0" applyFont="0" applyFill="0" applyBorder="0" applyAlignment="0" applyProtection="0"/>
    <xf numFmtId="167" fontId="36" fillId="0" borderId="0" applyFont="0" applyFill="0" applyBorder="0" applyAlignment="0" applyProtection="0"/>
    <xf numFmtId="166" fontId="36" fillId="0" borderId="0" applyFont="0" applyFill="0" applyBorder="0" applyAlignment="0" applyProtection="0"/>
    <xf numFmtId="0" fontId="36" fillId="41" borderId="29" applyNumberFormat="0" applyFont="0" applyAlignment="0" applyProtection="0"/>
    <xf numFmtId="0" fontId="55" fillId="0" borderId="1">
      <alignment horizontal="left" vertical="center"/>
    </xf>
    <xf numFmtId="0" fontId="55" fillId="0" borderId="1">
      <alignment horizontal="left" vertical="center"/>
    </xf>
  </cellStyleXfs>
  <cellXfs count="306">
    <xf numFmtId="168" fontId="0" fillId="0" borderId="1" xfId="0"/>
    <xf numFmtId="168" fontId="14" fillId="0" borderId="1" xfId="0" applyFont="1"/>
    <xf numFmtId="0" fontId="3" fillId="0" borderId="1" xfId="0" applyNumberFormat="1" applyFont="1"/>
    <xf numFmtId="168" fontId="6" fillId="0" borderId="1" xfId="0" applyFont="1"/>
    <xf numFmtId="168" fontId="7" fillId="0" borderId="1" xfId="0" applyFont="1" applyAlignment="1">
      <alignment vertical="top"/>
    </xf>
    <xf numFmtId="168" fontId="7" fillId="0" borderId="1" xfId="0" applyFont="1"/>
    <xf numFmtId="168" fontId="8" fillId="0" borderId="1" xfId="0" applyFont="1" applyAlignment="1">
      <alignment vertical="center"/>
    </xf>
    <xf numFmtId="168" fontId="9" fillId="0" borderId="1" xfId="0" applyFont="1" applyAlignment="1">
      <alignment vertical="center" wrapText="1"/>
    </xf>
    <xf numFmtId="168" fontId="7" fillId="4" borderId="2" xfId="0" applyFont="1" applyFill="1" applyBorder="1" applyAlignment="1">
      <alignment vertical="top"/>
    </xf>
    <xf numFmtId="168" fontId="10" fillId="4" borderId="2" xfId="0" applyFont="1" applyFill="1" applyBorder="1" applyAlignment="1">
      <alignment horizontal="center" vertical="top"/>
    </xf>
    <xf numFmtId="168" fontId="7" fillId="4" borderId="2" xfId="0" applyFont="1" applyFill="1" applyBorder="1"/>
    <xf numFmtId="168" fontId="9" fillId="4" borderId="2" xfId="0" applyFont="1" applyFill="1" applyBorder="1" applyAlignment="1">
      <alignment vertical="center" wrapText="1"/>
    </xf>
    <xf numFmtId="169" fontId="14" fillId="6" borderId="3" xfId="0" applyNumberFormat="1" applyFont="1" applyFill="1" applyBorder="1"/>
    <xf numFmtId="169" fontId="14" fillId="0" borderId="1" xfId="0" applyNumberFormat="1" applyFont="1" applyAlignment="1">
      <alignment vertical="top"/>
    </xf>
    <xf numFmtId="169" fontId="8" fillId="0" borderId="1" xfId="0" applyNumberFormat="1" applyFont="1" applyAlignment="1">
      <alignment horizontal="left" vertical="center"/>
    </xf>
    <xf numFmtId="168" fontId="14" fillId="0" borderId="1" xfId="0" applyFont="1" applyAlignment="1">
      <alignment horizontal="center"/>
    </xf>
    <xf numFmtId="168" fontId="8" fillId="0" borderId="1" xfId="0" applyFont="1" applyAlignment="1">
      <alignment horizontal="left" vertical="center"/>
    </xf>
    <xf numFmtId="171" fontId="14" fillId="0" borderId="1" xfId="0" applyNumberFormat="1" applyFont="1"/>
    <xf numFmtId="168" fontId="6" fillId="0" borderId="1" xfId="0" applyFont="1" applyAlignment="1">
      <alignment vertical="center"/>
    </xf>
    <xf numFmtId="168" fontId="12" fillId="0" borderId="1" xfId="0" applyFont="1"/>
    <xf numFmtId="168" fontId="14" fillId="6" borderId="3" xfId="0" applyFont="1" applyFill="1" applyBorder="1"/>
    <xf numFmtId="169" fontId="12" fillId="3" borderId="4" xfId="0" applyNumberFormat="1" applyFont="1" applyFill="1" applyBorder="1" applyAlignment="1">
      <alignment horizontal="left" vertical="center"/>
    </xf>
    <xf numFmtId="169" fontId="12" fillId="3" borderId="5" xfId="0" applyNumberFormat="1" applyFont="1" applyFill="1" applyBorder="1" applyAlignment="1">
      <alignment horizontal="left" vertical="center"/>
    </xf>
    <xf numFmtId="169" fontId="12" fillId="3" borderId="6" xfId="0" applyNumberFormat="1" applyFont="1" applyFill="1" applyBorder="1" applyAlignment="1">
      <alignment horizontal="left" vertical="center"/>
    </xf>
    <xf numFmtId="168" fontId="16" fillId="0" borderId="1" xfId="0" applyFont="1"/>
    <xf numFmtId="169" fontId="8" fillId="0" borderId="7" xfId="0" applyNumberFormat="1" applyFont="1" applyBorder="1" applyAlignment="1">
      <alignment horizontal="left" vertical="center"/>
    </xf>
    <xf numFmtId="11" fontId="14" fillId="6" borderId="8" xfId="0" applyNumberFormat="1" applyFont="1" applyFill="1" applyBorder="1" applyAlignment="1">
      <alignment horizontal="right"/>
    </xf>
    <xf numFmtId="168" fontId="8" fillId="0" borderId="7" xfId="0" applyFont="1" applyBorder="1" applyAlignment="1">
      <alignment horizontal="left" vertical="center"/>
    </xf>
    <xf numFmtId="171" fontId="14" fillId="6" borderId="10" xfId="0" applyNumberFormat="1" applyFont="1" applyFill="1" applyBorder="1"/>
    <xf numFmtId="173" fontId="14" fillId="6" borderId="10" xfId="0" applyNumberFormat="1" applyFont="1" applyFill="1" applyBorder="1"/>
    <xf numFmtId="168" fontId="14" fillId="6" borderId="10" xfId="0" applyFont="1" applyFill="1" applyBorder="1" applyAlignment="1">
      <alignment horizontal="right"/>
    </xf>
    <xf numFmtId="174" fontId="14" fillId="6" borderId="10" xfId="0" applyNumberFormat="1" applyFont="1" applyFill="1" applyBorder="1"/>
    <xf numFmtId="169" fontId="8" fillId="0" borderId="11" xfId="0" applyNumberFormat="1" applyFont="1" applyBorder="1" applyAlignment="1">
      <alignment horizontal="left" vertical="center"/>
    </xf>
    <xf numFmtId="169" fontId="12" fillId="3" borderId="5" xfId="0" applyNumberFormat="1" applyFont="1" applyFill="1" applyBorder="1" applyAlignment="1">
      <alignment vertical="top"/>
    </xf>
    <xf numFmtId="168" fontId="12" fillId="3" borderId="5" xfId="0" applyFont="1" applyFill="1" applyBorder="1"/>
    <xf numFmtId="168" fontId="12" fillId="0" borderId="1" xfId="0" applyFont="1" applyAlignment="1">
      <alignment horizontal="left" vertical="center"/>
    </xf>
    <xf numFmtId="174" fontId="14" fillId="6" borderId="3" xfId="0" applyNumberFormat="1" applyFont="1" applyFill="1" applyBorder="1"/>
    <xf numFmtId="173" fontId="14" fillId="6" borderId="3" xfId="0" applyNumberFormat="1" applyFont="1" applyFill="1" applyBorder="1"/>
    <xf numFmtId="168" fontId="12" fillId="3" borderId="6" xfId="0" applyFont="1" applyFill="1" applyBorder="1"/>
    <xf numFmtId="170" fontId="14" fillId="6" borderId="3" xfId="0" applyNumberFormat="1" applyFont="1" applyFill="1" applyBorder="1"/>
    <xf numFmtId="168" fontId="14" fillId="0" borderId="9" xfId="0" applyFont="1" applyBorder="1" applyAlignment="1">
      <alignment horizontal="right"/>
    </xf>
    <xf numFmtId="168" fontId="17" fillId="0" borderId="1" xfId="0" applyFont="1"/>
    <xf numFmtId="168" fontId="18" fillId="0" borderId="1" xfId="0" applyFont="1"/>
    <xf numFmtId="168" fontId="14" fillId="6" borderId="3" xfId="0" applyFont="1" applyFill="1" applyBorder="1" applyAlignment="1">
      <alignment horizontal="right"/>
    </xf>
    <xf numFmtId="168" fontId="3" fillId="0" borderId="1" xfId="0" applyFont="1"/>
    <xf numFmtId="171" fontId="14" fillId="6" borderId="3" xfId="0" applyNumberFormat="1" applyFont="1" applyFill="1" applyBorder="1"/>
    <xf numFmtId="172" fontId="14" fillId="6" borderId="3" xfId="0" applyNumberFormat="1" applyFont="1" applyFill="1" applyBorder="1"/>
    <xf numFmtId="173" fontId="14" fillId="0" borderId="1" xfId="0" applyNumberFormat="1" applyFont="1"/>
    <xf numFmtId="178" fontId="14" fillId="6" borderId="3" xfId="0" applyNumberFormat="1" applyFont="1" applyFill="1" applyBorder="1"/>
    <xf numFmtId="168" fontId="23" fillId="0" borderId="1" xfId="0" applyFont="1"/>
    <xf numFmtId="168" fontId="24" fillId="0" borderId="1" xfId="0" applyFont="1"/>
    <xf numFmtId="174" fontId="14" fillId="6" borderId="15" xfId="0" applyNumberFormat="1" applyFont="1" applyFill="1" applyBorder="1"/>
    <xf numFmtId="168" fontId="22" fillId="0" borderId="1" xfId="23" applyNumberFormat="1" applyFill="1"/>
    <xf numFmtId="168" fontId="22" fillId="21" borderId="3" xfId="7" applyNumberFormat="1">
      <protection locked="0"/>
    </xf>
    <xf numFmtId="168" fontId="49" fillId="0" borderId="1" xfId="0" applyFont="1"/>
    <xf numFmtId="172" fontId="22" fillId="21" borderId="3" xfId="7" applyNumberFormat="1">
      <protection locked="0"/>
    </xf>
    <xf numFmtId="171" fontId="22" fillId="0" borderId="1" xfId="23" applyNumberFormat="1" applyFill="1"/>
    <xf numFmtId="168" fontId="50" fillId="0" borderId="1" xfId="0" applyFont="1"/>
    <xf numFmtId="168" fontId="3" fillId="0" borderId="1" xfId="0" applyFont="1" applyAlignment="1">
      <alignment horizontal="right"/>
    </xf>
    <xf numFmtId="177" fontId="0" fillId="0" borderId="1" xfId="3" applyFont="1" applyFill="1"/>
    <xf numFmtId="172" fontId="0" fillId="0" borderId="1" xfId="25" applyFont="1"/>
    <xf numFmtId="171" fontId="22" fillId="21" borderId="3" xfId="7" applyNumberFormat="1">
      <protection locked="0"/>
    </xf>
    <xf numFmtId="168" fontId="12" fillId="3" borderId="26" xfId="0" applyFont="1" applyFill="1" applyBorder="1"/>
    <xf numFmtId="168" fontId="18" fillId="0" borderId="27" xfId="0" applyFont="1" applyBorder="1"/>
    <xf numFmtId="169" fontId="4" fillId="2" borderId="1" xfId="0" applyNumberFormat="1" applyFont="1" applyFill="1" applyAlignment="1">
      <alignment horizontal="left"/>
    </xf>
    <xf numFmtId="169" fontId="19" fillId="3" borderId="1" xfId="0" applyNumberFormat="1" applyFont="1" applyFill="1" applyAlignment="1">
      <alignment horizontal="center"/>
    </xf>
    <xf numFmtId="168" fontId="22" fillId="21" borderId="28" xfId="7" applyNumberFormat="1" applyBorder="1">
      <protection locked="0"/>
    </xf>
    <xf numFmtId="174" fontId="22" fillId="0" borderId="1" xfId="23" applyNumberFormat="1" applyFill="1" applyAlignment="1">
      <alignment horizontal="right"/>
    </xf>
    <xf numFmtId="168" fontId="4" fillId="2" borderId="1" xfId="0" applyFont="1" applyFill="1" applyAlignment="1">
      <alignment horizontal="left"/>
    </xf>
    <xf numFmtId="168" fontId="42" fillId="0" borderId="1" xfId="28" applyNumberFormat="1">
      <alignment horizontal="left" vertical="center"/>
    </xf>
    <xf numFmtId="174" fontId="0" fillId="0" borderId="1" xfId="0" applyNumberFormat="1"/>
    <xf numFmtId="171" fontId="14" fillId="6" borderId="1" xfId="0" applyNumberFormat="1" applyFont="1" applyFill="1"/>
    <xf numFmtId="169" fontId="15" fillId="3" borderId="1" xfId="0" applyNumberFormat="1" applyFont="1" applyFill="1" applyAlignment="1">
      <alignment horizontal="center"/>
    </xf>
    <xf numFmtId="169" fontId="42" fillId="0" borderId="1" xfId="28" applyNumberFormat="1">
      <alignment horizontal="left" vertical="center"/>
    </xf>
    <xf numFmtId="168" fontId="0" fillId="0" borderId="1" xfId="0" applyAlignment="1">
      <alignment horizontal="right"/>
    </xf>
    <xf numFmtId="0" fontId="0" fillId="0" borderId="1" xfId="0" applyNumberFormat="1" applyAlignment="1">
      <alignment wrapText="1"/>
    </xf>
    <xf numFmtId="172" fontId="0" fillId="0" borderId="1" xfId="25" applyFont="1" applyFill="1"/>
    <xf numFmtId="168" fontId="0" fillId="0" borderId="1" xfId="0" applyAlignment="1">
      <alignment wrapText="1"/>
    </xf>
    <xf numFmtId="168" fontId="3" fillId="0" borderId="12" xfId="0" applyFont="1" applyBorder="1"/>
    <xf numFmtId="168" fontId="39" fillId="0" borderId="1" xfId="54"/>
    <xf numFmtId="168" fontId="22" fillId="0" borderId="1" xfId="0" applyFont="1"/>
    <xf numFmtId="169" fontId="7" fillId="4" borderId="1" xfId="0" applyNumberFormat="1" applyFont="1" applyFill="1" applyAlignment="1">
      <alignment horizontal="left" vertical="top"/>
    </xf>
    <xf numFmtId="169" fontId="10" fillId="4" borderId="1" xfId="0" applyNumberFormat="1" applyFont="1" applyFill="1" applyAlignment="1">
      <alignment horizontal="center" vertical="top"/>
    </xf>
    <xf numFmtId="169" fontId="7" fillId="4" borderId="1" xfId="0" applyNumberFormat="1" applyFont="1" applyFill="1"/>
    <xf numFmtId="169" fontId="9" fillId="4" borderId="1" xfId="0" applyNumberFormat="1" applyFont="1" applyFill="1" applyAlignment="1">
      <alignment vertical="center" wrapText="1"/>
    </xf>
    <xf numFmtId="169" fontId="4" fillId="2" borderId="1" xfId="0" applyNumberFormat="1" applyFont="1" applyFill="1"/>
    <xf numFmtId="168" fontId="6" fillId="2" borderId="1" xfId="0" applyFont="1" applyFill="1"/>
    <xf numFmtId="169" fontId="12" fillId="3" borderId="1" xfId="0" applyNumberFormat="1" applyFont="1" applyFill="1"/>
    <xf numFmtId="168" fontId="12" fillId="3" borderId="1" xfId="0" applyFont="1" applyFill="1"/>
    <xf numFmtId="168" fontId="7" fillId="5" borderId="1" xfId="0" applyFont="1" applyFill="1"/>
    <xf numFmtId="168" fontId="7" fillId="4" borderId="1" xfId="0" applyFont="1" applyFill="1"/>
    <xf numFmtId="168" fontId="7" fillId="4" borderId="1" xfId="0" applyFont="1" applyFill="1" applyAlignment="1">
      <alignment horizontal="left" vertical="top"/>
    </xf>
    <xf numFmtId="168" fontId="10" fillId="4" borderId="1" xfId="0" applyFont="1" applyFill="1" applyAlignment="1">
      <alignment horizontal="center" vertical="top"/>
    </xf>
    <xf numFmtId="168" fontId="3" fillId="4" borderId="1" xfId="0" applyFont="1" applyFill="1"/>
    <xf numFmtId="168" fontId="7" fillId="4" borderId="1" xfId="0" applyFont="1" applyFill="1" applyAlignment="1">
      <alignment vertical="top"/>
    </xf>
    <xf numFmtId="168" fontId="10" fillId="4" borderId="1" xfId="0" applyFont="1" applyFill="1" applyAlignment="1">
      <alignment vertical="top"/>
    </xf>
    <xf numFmtId="168" fontId="7" fillId="4" borderId="1" xfId="0" applyFont="1" applyFill="1" applyAlignment="1">
      <alignment vertical="top" wrapText="1"/>
    </xf>
    <xf numFmtId="169" fontId="7" fillId="4" borderId="1" xfId="0" applyNumberFormat="1" applyFont="1" applyFill="1" applyAlignment="1">
      <alignment vertical="top"/>
    </xf>
    <xf numFmtId="169" fontId="13" fillId="4" borderId="1" xfId="0" applyNumberFormat="1" applyFont="1" applyFill="1" applyAlignment="1">
      <alignment vertical="center" wrapText="1"/>
    </xf>
    <xf numFmtId="168" fontId="8" fillId="4" borderId="1" xfId="0" applyFont="1" applyFill="1" applyAlignment="1">
      <alignment vertical="center"/>
    </xf>
    <xf numFmtId="168" fontId="6" fillId="2" borderId="1" xfId="0" applyFont="1" applyFill="1" applyAlignment="1">
      <alignment vertical="center"/>
    </xf>
    <xf numFmtId="168" fontId="3" fillId="0" borderId="7" xfId="0" applyFont="1" applyBorder="1"/>
    <xf numFmtId="168" fontId="3" fillId="0" borderId="9" xfId="0" applyFont="1" applyBorder="1"/>
    <xf numFmtId="168" fontId="3" fillId="0" borderId="7" xfId="0" quotePrefix="1" applyFont="1" applyBorder="1"/>
    <xf numFmtId="173" fontId="3" fillId="0" borderId="9" xfId="0" applyNumberFormat="1" applyFont="1" applyBorder="1"/>
    <xf numFmtId="168" fontId="3" fillId="0" borderId="9" xfId="0" applyFont="1" applyBorder="1" applyAlignment="1">
      <alignment horizontal="right"/>
    </xf>
    <xf numFmtId="168" fontId="3" fillId="0" borderId="11" xfId="0" quotePrefix="1" applyFont="1" applyBorder="1"/>
    <xf numFmtId="168" fontId="3" fillId="0" borderId="13" xfId="0" applyFont="1" applyBorder="1"/>
    <xf numFmtId="173" fontId="3" fillId="0" borderId="1" xfId="0" applyNumberFormat="1" applyFont="1" applyAlignment="1">
      <alignment horizontal="right"/>
    </xf>
    <xf numFmtId="173" fontId="3" fillId="0" borderId="9" xfId="0" applyNumberFormat="1" applyFont="1" applyBorder="1" applyAlignment="1">
      <alignment horizontal="right"/>
    </xf>
    <xf numFmtId="168" fontId="3" fillId="0" borderId="11" xfId="0" applyFont="1" applyBorder="1"/>
    <xf numFmtId="174" fontId="3" fillId="0" borderId="12" xfId="0" applyNumberFormat="1" applyFont="1" applyBorder="1" applyAlignment="1">
      <alignment horizontal="right"/>
    </xf>
    <xf numFmtId="174" fontId="3" fillId="0" borderId="13" xfId="0" applyNumberFormat="1" applyFont="1" applyBorder="1" applyAlignment="1">
      <alignment horizontal="right"/>
    </xf>
    <xf numFmtId="172" fontId="3" fillId="0" borderId="1" xfId="0" applyNumberFormat="1" applyFont="1" applyAlignment="1">
      <alignment horizontal="right"/>
    </xf>
    <xf numFmtId="172" fontId="3" fillId="0" borderId="9" xfId="0" applyNumberFormat="1" applyFont="1" applyBorder="1" applyAlignment="1">
      <alignment horizontal="right"/>
    </xf>
    <xf numFmtId="171" fontId="3" fillId="0" borderId="9" xfId="0" applyNumberFormat="1" applyFont="1" applyBorder="1" applyAlignment="1">
      <alignment horizontal="right"/>
    </xf>
    <xf numFmtId="171" fontId="3" fillId="0" borderId="13" xfId="0" applyNumberFormat="1" applyFont="1" applyBorder="1"/>
    <xf numFmtId="172" fontId="3" fillId="0" borderId="12" xfId="0" applyNumberFormat="1" applyFont="1" applyBorder="1" applyAlignment="1">
      <alignment horizontal="right"/>
    </xf>
    <xf numFmtId="168" fontId="3" fillId="0" borderId="1" xfId="0" applyFont="1" applyAlignment="1">
      <alignment horizontal="left" wrapText="1"/>
    </xf>
    <xf numFmtId="168" fontId="3" fillId="0" borderId="1" xfId="0" applyFont="1" applyAlignment="1">
      <alignment horizontal="right" wrapText="1"/>
    </xf>
    <xf numFmtId="173" fontId="3" fillId="0" borderId="1" xfId="0" applyNumberFormat="1" applyFont="1"/>
    <xf numFmtId="168" fontId="3" fillId="0" borderId="12" xfId="0" applyFont="1" applyBorder="1" applyAlignment="1">
      <alignment horizontal="right"/>
    </xf>
    <xf numFmtId="168" fontId="3" fillId="0" borderId="24" xfId="0" applyFont="1" applyBorder="1"/>
    <xf numFmtId="173" fontId="3" fillId="0" borderId="1" xfId="21" applyFont="1" applyBorder="1"/>
    <xf numFmtId="173" fontId="3" fillId="0" borderId="24" xfId="21" applyFont="1" applyBorder="1"/>
    <xf numFmtId="172" fontId="3" fillId="0" borderId="1" xfId="25" applyFont="1" applyBorder="1"/>
    <xf numFmtId="168" fontId="3" fillId="0" borderId="27" xfId="0" applyFont="1" applyBorder="1"/>
    <xf numFmtId="168" fontId="3" fillId="0" borderId="25" xfId="0" applyFont="1" applyBorder="1"/>
    <xf numFmtId="171" fontId="3" fillId="0" borderId="1" xfId="0" applyNumberFormat="1" applyFont="1"/>
    <xf numFmtId="169" fontId="15" fillId="3" borderId="1" xfId="0" applyNumberFormat="1" applyFont="1" applyFill="1" applyAlignment="1">
      <alignment horizontal="left"/>
    </xf>
    <xf numFmtId="169" fontId="19" fillId="3" borderId="14" xfId="0" applyNumberFormat="1" applyFont="1" applyFill="1" applyBorder="1" applyAlignment="1">
      <alignment horizontal="center"/>
    </xf>
    <xf numFmtId="173" fontId="15" fillId="3" borderId="1" xfId="0" applyNumberFormat="1" applyFont="1" applyFill="1" applyAlignment="1">
      <alignment horizontal="center"/>
    </xf>
    <xf numFmtId="177" fontId="3" fillId="0" borderId="1" xfId="0" applyNumberFormat="1" applyFont="1"/>
    <xf numFmtId="172" fontId="3" fillId="0" borderId="1" xfId="0" applyNumberFormat="1" applyFont="1"/>
    <xf numFmtId="168" fontId="3" fillId="0" borderId="1" xfId="0" applyFont="1" applyAlignment="1">
      <alignment horizontal="center"/>
    </xf>
    <xf numFmtId="171" fontId="15" fillId="3" borderId="1" xfId="0" applyNumberFormat="1" applyFont="1" applyFill="1" applyAlignment="1">
      <alignment horizontal="center"/>
    </xf>
    <xf numFmtId="172" fontId="15" fillId="3" borderId="1" xfId="0" applyNumberFormat="1" applyFont="1" applyFill="1" applyAlignment="1">
      <alignment horizontal="center"/>
    </xf>
    <xf numFmtId="174" fontId="3" fillId="0" borderId="1" xfId="0" applyNumberFormat="1" applyFont="1"/>
    <xf numFmtId="182" fontId="3" fillId="0" borderId="1" xfId="0" applyNumberFormat="1" applyFont="1"/>
    <xf numFmtId="49" fontId="3" fillId="0" borderId="1" xfId="0" applyNumberFormat="1" applyFont="1" applyAlignment="1">
      <alignment horizontal="left"/>
    </xf>
    <xf numFmtId="171" fontId="3" fillId="0" borderId="1" xfId="0" applyNumberFormat="1" applyFont="1" applyAlignment="1">
      <alignment horizontal="right"/>
    </xf>
    <xf numFmtId="0" fontId="3" fillId="0" borderId="1" xfId="0" applyNumberFormat="1" applyFont="1" applyAlignment="1">
      <alignment wrapText="1"/>
    </xf>
    <xf numFmtId="0" fontId="3" fillId="0" borderId="1" xfId="0" applyNumberFormat="1" applyFont="1" applyAlignment="1">
      <alignment horizontal="right"/>
    </xf>
    <xf numFmtId="168" fontId="3" fillId="0" borderId="1" xfId="0" applyFont="1" applyAlignment="1">
      <alignment horizontal="left"/>
    </xf>
    <xf numFmtId="175" fontId="3" fillId="0" borderId="1" xfId="0" applyNumberFormat="1" applyFont="1"/>
    <xf numFmtId="178" fontId="3" fillId="0" borderId="1" xfId="0" applyNumberFormat="1" applyFont="1"/>
    <xf numFmtId="177" fontId="3" fillId="0" borderId="1" xfId="3" applyFont="1" applyFill="1"/>
    <xf numFmtId="169" fontId="15" fillId="3" borderId="1" xfId="0" applyNumberFormat="1" applyFont="1" applyFill="1" applyAlignment="1">
      <alignment horizontal="right"/>
    </xf>
    <xf numFmtId="171" fontId="3" fillId="0" borderId="1" xfId="0" applyNumberFormat="1" applyFont="1" applyAlignment="1">
      <alignment horizontal="center"/>
    </xf>
    <xf numFmtId="169" fontId="12" fillId="3" borderId="1" xfId="0" applyNumberFormat="1" applyFont="1" applyFill="1" applyAlignment="1">
      <alignment horizontal="left" vertical="center"/>
    </xf>
    <xf numFmtId="170" fontId="14" fillId="6" borderId="1" xfId="0" applyNumberFormat="1" applyFont="1" applyFill="1"/>
    <xf numFmtId="168" fontId="3" fillId="7" borderId="1" xfId="0" applyFont="1" applyFill="1"/>
    <xf numFmtId="168" fontId="14" fillId="7" borderId="1" xfId="0" applyFont="1" applyFill="1"/>
    <xf numFmtId="168" fontId="3" fillId="6" borderId="1" xfId="0" applyFont="1" applyFill="1"/>
    <xf numFmtId="168" fontId="14" fillId="6" borderId="1" xfId="0" applyFont="1" applyFill="1"/>
    <xf numFmtId="169" fontId="3" fillId="0" borderId="1" xfId="0" applyNumberFormat="1" applyFont="1" applyAlignment="1">
      <alignment horizontal="right"/>
    </xf>
    <xf numFmtId="168" fontId="3" fillId="0" borderId="1" xfId="0" applyFont="1" applyAlignment="1">
      <alignment horizontal="right" vertical="top" wrapText="1"/>
    </xf>
    <xf numFmtId="170" fontId="3" fillId="0" borderId="1" xfId="0" applyNumberFormat="1" applyFont="1"/>
    <xf numFmtId="173" fontId="14" fillId="7" borderId="1" xfId="0" applyNumberFormat="1" applyFont="1" applyFill="1"/>
    <xf numFmtId="0" fontId="0" fillId="0" borderId="1" xfId="0" applyNumberFormat="1"/>
    <xf numFmtId="171" fontId="39" fillId="0" borderId="1" xfId="54" applyNumberFormat="1" applyFill="1"/>
    <xf numFmtId="168" fontId="39" fillId="0" borderId="1" xfId="54" applyNumberFormat="1" applyFill="1"/>
    <xf numFmtId="174" fontId="39" fillId="0" borderId="1" xfId="54" applyNumberFormat="1" applyFill="1"/>
    <xf numFmtId="177" fontId="22" fillId="0" borderId="1" xfId="3" applyFont="1" applyFill="1" applyAlignment="1">
      <alignment horizontal="right"/>
    </xf>
    <xf numFmtId="174" fontId="14" fillId="0" borderId="1" xfId="0" applyNumberFormat="1" applyFont="1"/>
    <xf numFmtId="171" fontId="22" fillId="21" borderId="15" xfId="7" applyNumberFormat="1" applyBorder="1">
      <protection locked="0"/>
    </xf>
    <xf numFmtId="168" fontId="35" fillId="19" borderId="1" xfId="20" applyNumberFormat="1">
      <alignment horizontal="center"/>
    </xf>
    <xf numFmtId="173" fontId="35" fillId="19" borderId="1" xfId="20" applyNumberFormat="1">
      <alignment horizontal="center"/>
    </xf>
    <xf numFmtId="168" fontId="35" fillId="19" borderId="1" xfId="20" applyNumberFormat="1" applyAlignment="1">
      <alignment horizontal="centerContinuous"/>
    </xf>
    <xf numFmtId="173" fontId="22" fillId="21" borderId="3" xfId="7" applyNumberFormat="1">
      <protection locked="0"/>
    </xf>
    <xf numFmtId="174" fontId="22" fillId="0" borderId="1" xfId="23" applyNumberFormat="1" applyFill="1"/>
    <xf numFmtId="168" fontId="39" fillId="21" borderId="3" xfId="54" applyNumberFormat="1" applyFill="1" applyBorder="1" applyProtection="1">
      <protection locked="0"/>
    </xf>
    <xf numFmtId="168" fontId="22" fillId="21" borderId="15" xfId="7" applyNumberFormat="1" applyBorder="1">
      <protection locked="0"/>
    </xf>
    <xf numFmtId="168" fontId="39" fillId="6" borderId="3" xfId="54" applyFill="1" applyBorder="1"/>
    <xf numFmtId="168" fontId="22" fillId="21" borderId="30" xfId="7" applyNumberFormat="1" applyBorder="1">
      <protection locked="0"/>
    </xf>
    <xf numFmtId="174" fontId="22" fillId="21" borderId="31" xfId="7" applyNumberFormat="1" applyBorder="1">
      <protection locked="0"/>
    </xf>
    <xf numFmtId="174" fontId="22" fillId="21" borderId="32" xfId="7" applyNumberFormat="1" applyBorder="1">
      <protection locked="0"/>
    </xf>
    <xf numFmtId="177" fontId="14" fillId="6" borderId="3" xfId="3" applyFont="1" applyFill="1" applyBorder="1"/>
    <xf numFmtId="49" fontId="0" fillId="0" borderId="1" xfId="0" applyNumberFormat="1"/>
    <xf numFmtId="183" fontId="0" fillId="0" borderId="1" xfId="0" applyNumberFormat="1"/>
    <xf numFmtId="184" fontId="0" fillId="0" borderId="1" xfId="25" applyNumberFormat="1" applyFont="1"/>
    <xf numFmtId="0" fontId="0" fillId="0" borderId="1" xfId="0" applyNumberFormat="1" applyAlignment="1">
      <alignment horizontal="left" vertical="distributed"/>
    </xf>
    <xf numFmtId="184" fontId="22" fillId="0" borderId="1" xfId="23" applyNumberFormat="1" applyFill="1"/>
    <xf numFmtId="0" fontId="0" fillId="0" borderId="1" xfId="0" applyNumberFormat="1" applyAlignment="1">
      <alignment horizontal="left" vertical="distributed" wrapText="1"/>
    </xf>
    <xf numFmtId="177" fontId="22" fillId="21" borderId="3" xfId="3" applyFont="1" applyFill="1" applyBorder="1" applyProtection="1">
      <protection locked="0"/>
    </xf>
    <xf numFmtId="177" fontId="15" fillId="3" borderId="1" xfId="3" applyFont="1" applyFill="1" applyAlignment="1">
      <alignment horizontal="center"/>
    </xf>
    <xf numFmtId="169" fontId="35" fillId="20" borderId="1" xfId="24">
      <alignment horizontal="center"/>
    </xf>
    <xf numFmtId="168" fontId="52" fillId="0" borderId="1" xfId="0" applyFont="1"/>
    <xf numFmtId="168" fontId="0" fillId="0" borderId="1" xfId="0" quotePrefix="1"/>
    <xf numFmtId="177" fontId="0" fillId="0" borderId="1" xfId="3" quotePrefix="1" applyFont="1" applyFill="1"/>
    <xf numFmtId="172" fontId="14" fillId="0" borderId="1" xfId="25" applyFont="1"/>
    <xf numFmtId="168" fontId="0" fillId="18" borderId="1" xfId="19" applyNumberFormat="1" applyFont="1" applyAlignment="1"/>
    <xf numFmtId="172" fontId="0" fillId="18" borderId="1" xfId="19" applyNumberFormat="1" applyFont="1" applyAlignment="1"/>
    <xf numFmtId="173" fontId="0" fillId="0" borderId="1" xfId="21" applyFont="1"/>
    <xf numFmtId="0" fontId="53" fillId="0" borderId="1" xfId="0" applyNumberFormat="1" applyFont="1"/>
    <xf numFmtId="177" fontId="39" fillId="0" borderId="1" xfId="3" applyFont="1" applyFill="1"/>
    <xf numFmtId="174" fontId="39" fillId="0" borderId="1" xfId="54" applyNumberFormat="1"/>
    <xf numFmtId="168" fontId="42" fillId="0" borderId="1" xfId="28" applyNumberFormat="1" applyFill="1">
      <alignment horizontal="left" vertical="center"/>
    </xf>
    <xf numFmtId="178" fontId="14" fillId="0" borderId="1" xfId="0" applyNumberFormat="1" applyFont="1"/>
    <xf numFmtId="179" fontId="14" fillId="0" borderId="1" xfId="0" applyNumberFormat="1" applyFont="1"/>
    <xf numFmtId="185" fontId="22" fillId="21" borderId="15" xfId="7" applyNumberFormat="1" applyBorder="1" applyAlignment="1">
      <alignment horizontal="right"/>
      <protection locked="0"/>
    </xf>
    <xf numFmtId="173" fontId="56" fillId="21" borderId="3" xfId="21" applyFont="1" applyFill="1" applyBorder="1" applyProtection="1">
      <protection locked="0"/>
    </xf>
    <xf numFmtId="177" fontId="54" fillId="0" borderId="1" xfId="3" applyFont="1" applyFill="1"/>
    <xf numFmtId="173" fontId="19" fillId="3" borderId="1" xfId="0" applyNumberFormat="1" applyFont="1" applyFill="1" applyAlignment="1">
      <alignment horizontal="center"/>
    </xf>
    <xf numFmtId="168" fontId="57" fillId="0" borderId="1" xfId="0" applyFont="1"/>
    <xf numFmtId="173" fontId="56" fillId="21" borderId="3" xfId="7" applyNumberFormat="1" applyFont="1">
      <protection locked="0"/>
    </xf>
    <xf numFmtId="169" fontId="42" fillId="18" borderId="1" xfId="28" applyNumberFormat="1" applyFill="1">
      <alignment horizontal="left" vertical="center"/>
    </xf>
    <xf numFmtId="169" fontId="14" fillId="18" borderId="1" xfId="0" applyNumberFormat="1" applyFont="1" applyFill="1" applyAlignment="1">
      <alignment vertical="top"/>
    </xf>
    <xf numFmtId="168" fontId="0" fillId="18" borderId="1" xfId="0" applyFill="1"/>
    <xf numFmtId="174" fontId="0" fillId="18" borderId="1" xfId="0" applyNumberFormat="1" applyFill="1"/>
    <xf numFmtId="177" fontId="0" fillId="18" borderId="1" xfId="3" applyFont="1" applyFill="1"/>
    <xf numFmtId="172" fontId="0" fillId="18" borderId="1" xfId="25" applyFont="1" applyFill="1"/>
    <xf numFmtId="168" fontId="0" fillId="18" borderId="1" xfId="0" applyFill="1" applyAlignment="1">
      <alignment horizontal="right"/>
    </xf>
    <xf numFmtId="172" fontId="22" fillId="18" borderId="1" xfId="23" applyNumberFormat="1" applyFill="1"/>
    <xf numFmtId="168" fontId="22" fillId="18" borderId="1" xfId="23" applyNumberFormat="1" applyFill="1"/>
    <xf numFmtId="174" fontId="22" fillId="18" borderId="1" xfId="23" applyNumberFormat="1" applyFill="1"/>
    <xf numFmtId="168" fontId="0" fillId="42" borderId="1" xfId="0" applyFill="1"/>
    <xf numFmtId="168" fontId="0" fillId="43" borderId="1" xfId="0" applyFill="1"/>
    <xf numFmtId="172" fontId="0" fillId="43" borderId="1" xfId="25" applyFont="1" applyFill="1"/>
    <xf numFmtId="168" fontId="58" fillId="0" borderId="1" xfId="0" applyFont="1" applyAlignment="1">
      <alignment horizontal="left" vertical="center"/>
    </xf>
    <xf numFmtId="177" fontId="0" fillId="43" borderId="1" xfId="3" applyFont="1" applyFill="1"/>
    <xf numFmtId="173" fontId="14" fillId="43" borderId="1" xfId="0" applyNumberFormat="1" applyFont="1" applyFill="1"/>
    <xf numFmtId="49" fontId="3" fillId="43" borderId="1" xfId="0" applyNumberFormat="1" applyFont="1" applyFill="1" applyAlignment="1">
      <alignment horizontal="left"/>
    </xf>
    <xf numFmtId="168" fontId="14" fillId="43" borderId="1" xfId="0" applyFont="1" applyFill="1"/>
    <xf numFmtId="171" fontId="3" fillId="43" borderId="1" xfId="0" applyNumberFormat="1" applyFont="1" applyFill="1" applyAlignment="1">
      <alignment horizontal="right"/>
    </xf>
    <xf numFmtId="168" fontId="10" fillId="44" borderId="1" xfId="0" applyFont="1" applyFill="1" applyAlignment="1">
      <alignment horizontal="center" vertical="top"/>
    </xf>
    <xf numFmtId="168" fontId="7" fillId="44" borderId="1" xfId="0" applyFont="1" applyFill="1" applyAlignment="1">
      <alignment vertical="top"/>
    </xf>
    <xf numFmtId="169" fontId="14" fillId="44" borderId="1" xfId="0" applyNumberFormat="1" applyFont="1" applyFill="1" applyAlignment="1">
      <alignment vertical="top"/>
    </xf>
    <xf numFmtId="0" fontId="3" fillId="44" borderId="1" xfId="0" applyNumberFormat="1" applyFont="1" applyFill="1"/>
    <xf numFmtId="169" fontId="7" fillId="44" borderId="1" xfId="0" applyNumberFormat="1" applyFont="1" applyFill="1"/>
    <xf numFmtId="169" fontId="22" fillId="21" borderId="3" xfId="7" applyNumberFormat="1">
      <protection locked="0"/>
    </xf>
    <xf numFmtId="171" fontId="14" fillId="6" borderId="3" xfId="0" applyNumberFormat="1" applyFont="1" applyFill="1" applyBorder="1" applyAlignment="1">
      <alignment wrapText="1"/>
    </xf>
    <xf numFmtId="176" fontId="3" fillId="0" borderId="1" xfId="0" applyNumberFormat="1" applyFont="1"/>
    <xf numFmtId="168" fontId="59" fillId="0" borderId="1" xfId="0" applyFont="1"/>
    <xf numFmtId="168" fontId="14" fillId="0" borderId="1" xfId="0" applyFont="1" applyAlignment="1">
      <alignment horizontal="right"/>
    </xf>
    <xf numFmtId="168" fontId="22" fillId="0" borderId="1" xfId="7" applyNumberFormat="1" applyFill="1" applyBorder="1">
      <protection locked="0"/>
    </xf>
    <xf numFmtId="168" fontId="22" fillId="42" borderId="1" xfId="23" applyNumberFormat="1" applyFill="1"/>
    <xf numFmtId="171" fontId="14" fillId="0" borderId="3" xfId="0" applyNumberFormat="1" applyFont="1" applyBorder="1"/>
    <xf numFmtId="168" fontId="14" fillId="0" borderId="3" xfId="0" applyFont="1" applyBorder="1"/>
    <xf numFmtId="173" fontId="22" fillId="0" borderId="1" xfId="21" applyFont="1" applyFill="1"/>
    <xf numFmtId="49" fontId="55" fillId="0" borderId="1" xfId="60" applyNumberFormat="1">
      <alignment horizontal="left" vertical="center"/>
    </xf>
    <xf numFmtId="183" fontId="55" fillId="0" borderId="1" xfId="60" applyNumberFormat="1">
      <alignment horizontal="left" vertical="center"/>
    </xf>
    <xf numFmtId="186" fontId="55" fillId="0" borderId="1" xfId="60" applyNumberFormat="1" applyAlignment="1">
      <alignment horizontal="right" vertical="center"/>
    </xf>
    <xf numFmtId="0" fontId="55" fillId="0" borderId="1" xfId="60" applyAlignment="1">
      <alignment horizontal="left" vertical="distributed" wrapText="1"/>
    </xf>
    <xf numFmtId="49" fontId="55" fillId="0" borderId="1" xfId="61" applyNumberFormat="1">
      <alignment horizontal="left" vertical="center"/>
    </xf>
    <xf numFmtId="0" fontId="55" fillId="0" borderId="1" xfId="61" applyAlignment="1">
      <alignment horizontal="left" vertical="distributed" wrapText="1"/>
    </xf>
    <xf numFmtId="168" fontId="53" fillId="0" borderId="1" xfId="0" applyFont="1"/>
    <xf numFmtId="177" fontId="0" fillId="42" borderId="1" xfId="3" applyFont="1" applyFill="1"/>
    <xf numFmtId="172" fontId="0" fillId="42" borderId="1" xfId="25" applyFont="1" applyFill="1"/>
    <xf numFmtId="177" fontId="22" fillId="0" borderId="1" xfId="23" applyNumberFormat="1" applyFill="1"/>
    <xf numFmtId="173" fontId="14" fillId="6" borderId="3" xfId="21" applyFont="1" applyFill="1" applyBorder="1"/>
    <xf numFmtId="168" fontId="0" fillId="0" borderId="33" xfId="0" applyBorder="1"/>
    <xf numFmtId="168" fontId="3" fillId="0" borderId="34" xfId="0" applyFont="1" applyBorder="1"/>
    <xf numFmtId="169" fontId="42" fillId="44" borderId="1" xfId="28" applyNumberFormat="1" applyFill="1">
      <alignment horizontal="left" vertical="center"/>
    </xf>
    <xf numFmtId="168" fontId="0" fillId="44" borderId="1" xfId="0" applyFill="1"/>
    <xf numFmtId="177" fontId="0" fillId="44" borderId="1" xfId="3" applyFont="1" applyFill="1"/>
    <xf numFmtId="168" fontId="14" fillId="44" borderId="1" xfId="0" applyFont="1" applyFill="1"/>
    <xf numFmtId="172" fontId="0" fillId="44" borderId="1" xfId="25" applyFont="1" applyFill="1"/>
    <xf numFmtId="177" fontId="22" fillId="44" borderId="1" xfId="23" applyNumberFormat="1" applyFill="1"/>
    <xf numFmtId="177" fontId="22" fillId="44" borderId="1" xfId="3" applyFont="1" applyFill="1"/>
    <xf numFmtId="168" fontId="22" fillId="44" borderId="1" xfId="23" applyNumberFormat="1" applyFill="1"/>
    <xf numFmtId="177" fontId="22" fillId="18" borderId="1" xfId="23" applyNumberFormat="1" applyFill="1"/>
    <xf numFmtId="174" fontId="0" fillId="44" borderId="1" xfId="0" applyNumberFormat="1" applyFill="1"/>
    <xf numFmtId="168" fontId="0" fillId="44" borderId="1" xfId="0" applyFill="1" applyAlignment="1">
      <alignment horizontal="right"/>
    </xf>
    <xf numFmtId="177" fontId="22" fillId="21" borderId="3" xfId="7" applyNumberFormat="1">
      <protection locked="0"/>
    </xf>
    <xf numFmtId="177" fontId="39" fillId="0" borderId="1" xfId="54" applyNumberFormat="1" applyFill="1"/>
    <xf numFmtId="175" fontId="39" fillId="0" borderId="1" xfId="54" applyNumberFormat="1"/>
    <xf numFmtId="168" fontId="22" fillId="21" borderId="32" xfId="7" applyNumberFormat="1" applyBorder="1">
      <protection locked="0"/>
    </xf>
    <xf numFmtId="168" fontId="60" fillId="21" borderId="3" xfId="7" applyNumberFormat="1" applyFont="1">
      <protection locked="0"/>
    </xf>
    <xf numFmtId="168" fontId="3" fillId="0" borderId="33" xfId="0" applyFont="1" applyBorder="1"/>
    <xf numFmtId="168" fontId="39" fillId="21" borderId="28" xfId="54" applyNumberFormat="1" applyFill="1" applyBorder="1" applyProtection="1">
      <protection locked="0"/>
    </xf>
    <xf numFmtId="169" fontId="61" fillId="3" borderId="1" xfId="0" applyNumberFormat="1" applyFont="1" applyFill="1" applyAlignment="1">
      <alignment horizontal="left"/>
    </xf>
    <xf numFmtId="184" fontId="0" fillId="18" borderId="1" xfId="19" applyNumberFormat="1" applyFont="1" applyAlignment="1"/>
    <xf numFmtId="168" fontId="22" fillId="18" borderId="1" xfId="23" applyNumberFormat="1" applyFill="1" applyAlignment="1">
      <alignment horizontal="right"/>
    </xf>
    <xf numFmtId="189" fontId="22" fillId="18" borderId="1" xfId="23" applyNumberFormat="1" applyFill="1"/>
    <xf numFmtId="187" fontId="22" fillId="0" borderId="1" xfId="23" applyNumberFormat="1" applyFill="1" applyAlignment="1">
      <alignment horizontal="right"/>
    </xf>
    <xf numFmtId="188" fontId="22" fillId="0" borderId="1" xfId="23" applyNumberFormat="1" applyFill="1" applyAlignment="1">
      <alignment horizontal="right"/>
    </xf>
    <xf numFmtId="4" fontId="22" fillId="0" borderId="1" xfId="23" applyNumberFormat="1" applyFill="1" applyAlignment="1">
      <alignment horizontal="right"/>
    </xf>
    <xf numFmtId="168" fontId="22" fillId="0" borderId="1" xfId="23" applyNumberFormat="1" applyFill="1" applyAlignment="1">
      <alignment horizontal="left"/>
    </xf>
    <xf numFmtId="168" fontId="62" fillId="0" borderId="1" xfId="0" applyFont="1" applyAlignment="1">
      <alignment horizontal="left"/>
    </xf>
    <xf numFmtId="173" fontId="3" fillId="0" borderId="1" xfId="21" applyFont="1" applyAlignment="1">
      <alignment horizontal="right"/>
    </xf>
    <xf numFmtId="175" fontId="60" fillId="21" borderId="3" xfId="7" applyNumberFormat="1" applyFont="1">
      <protection locked="0"/>
    </xf>
    <xf numFmtId="175" fontId="0" fillId="0" borderId="1" xfId="0" applyNumberFormat="1"/>
    <xf numFmtId="182" fontId="22" fillId="0" borderId="1" xfId="23" applyNumberFormat="1" applyFill="1"/>
    <xf numFmtId="172" fontId="35" fillId="20" borderId="1" xfId="25" applyFont="1" applyFill="1" applyAlignment="1">
      <alignment horizontal="center"/>
    </xf>
    <xf numFmtId="173" fontId="3" fillId="0" borderId="9" xfId="21" applyFont="1" applyBorder="1" applyAlignment="1">
      <alignment horizontal="right"/>
    </xf>
    <xf numFmtId="168" fontId="22" fillId="42" borderId="3" xfId="7" applyNumberFormat="1" applyFill="1">
      <protection locked="0"/>
    </xf>
    <xf numFmtId="183" fontId="0" fillId="42" borderId="1" xfId="0" applyNumberFormat="1" applyFill="1"/>
    <xf numFmtId="184" fontId="22" fillId="42" borderId="1" xfId="23" applyNumberFormat="1" applyFill="1"/>
    <xf numFmtId="49" fontId="0" fillId="42" borderId="1" xfId="0" applyNumberFormat="1" applyFill="1"/>
    <xf numFmtId="182" fontId="0" fillId="0" borderId="1" xfId="0" applyNumberFormat="1"/>
    <xf numFmtId="177" fontId="35" fillId="20" borderId="1" xfId="3" applyFont="1" applyFill="1" applyAlignment="1">
      <alignment horizontal="center"/>
    </xf>
    <xf numFmtId="178" fontId="22" fillId="21" borderId="3" xfId="7" applyNumberFormat="1">
      <protection locked="0"/>
    </xf>
    <xf numFmtId="172" fontId="22" fillId="21" borderId="3" xfId="25" applyFont="1" applyFill="1" applyBorder="1" applyProtection="1">
      <protection locked="0"/>
    </xf>
    <xf numFmtId="169" fontId="11" fillId="4" borderId="1" xfId="0" applyNumberFormat="1" applyFont="1" applyFill="1" applyAlignment="1">
      <alignment horizontal="center" vertical="center" wrapText="1"/>
    </xf>
    <xf numFmtId="0" fontId="5" fillId="0" borderId="1" xfId="0" applyNumberFormat="1" applyFont="1"/>
    <xf numFmtId="169" fontId="4" fillId="2" borderId="1" xfId="0" applyNumberFormat="1" applyFont="1" applyFill="1" applyAlignment="1">
      <alignment horizontal="center"/>
    </xf>
    <xf numFmtId="169" fontId="4" fillId="3" borderId="1" xfId="0" applyNumberFormat="1" applyFont="1" applyFill="1" applyAlignment="1">
      <alignment horizontal="center" vertical="center"/>
    </xf>
    <xf numFmtId="169" fontId="7" fillId="4" borderId="1" xfId="0" applyNumberFormat="1" applyFont="1" applyFill="1" applyAlignment="1">
      <alignment horizontal="left" vertical="top"/>
    </xf>
    <xf numFmtId="169" fontId="3" fillId="4" borderId="1" xfId="0" applyNumberFormat="1" applyFont="1" applyFill="1" applyAlignment="1">
      <alignment horizontal="center" vertical="center" wrapText="1"/>
    </xf>
    <xf numFmtId="168" fontId="8" fillId="4" borderId="1" xfId="0" applyFont="1" applyFill="1" applyAlignment="1">
      <alignment horizontal="left" vertical="center"/>
    </xf>
    <xf numFmtId="168" fontId="3" fillId="4" borderId="1" xfId="0" applyFont="1" applyFill="1"/>
    <xf numFmtId="170" fontId="3" fillId="4" borderId="1" xfId="0" applyNumberFormat="1" applyFont="1" applyFill="1" applyAlignment="1">
      <alignment horizontal="left"/>
    </xf>
    <xf numFmtId="168" fontId="3" fillId="4" borderId="1" xfId="0" applyFont="1" applyFill="1" applyAlignment="1">
      <alignment horizontal="left"/>
    </xf>
    <xf numFmtId="169" fontId="19" fillId="3" borderId="14" xfId="0" applyNumberFormat="1" applyFont="1" applyFill="1" applyBorder="1" applyAlignment="1">
      <alignment horizontal="center"/>
    </xf>
    <xf numFmtId="0" fontId="5" fillId="0" borderId="14" xfId="0" applyNumberFormat="1" applyFont="1" applyBorder="1"/>
  </cellXfs>
  <cellStyles count="62">
    <cellStyle name="20% - Accent1" xfId="14" builtinId="30" hidden="1"/>
    <cellStyle name="20% - Accent2" xfId="15" builtinId="34" hidden="1"/>
    <cellStyle name="20% - Accent3" xfId="16" builtinId="38" hidden="1"/>
    <cellStyle name="20% - Accent4" xfId="17" builtinId="42" hidden="1"/>
    <cellStyle name="20% - Accent5" xfId="18" builtinId="46" hidden="1"/>
    <cellStyle name="20% - Accent6" xfId="51" builtinId="50" hidden="1"/>
    <cellStyle name="40% - Accent1" xfId="36" builtinId="31" hidden="1"/>
    <cellStyle name="40% - Accent2" xfId="39" builtinId="35" hidden="1"/>
    <cellStyle name="40% - Accent3" xfId="42" builtinId="39" hidden="1"/>
    <cellStyle name="40% - Accent4" xfId="45" builtinId="43" hidden="1"/>
    <cellStyle name="40% - Accent5" xfId="48" builtinId="47" hidden="1"/>
    <cellStyle name="40% - Accent6" xfId="52" builtinId="51" hidden="1"/>
    <cellStyle name="60% - Accent1" xfId="37" builtinId="32" hidden="1"/>
    <cellStyle name="60% - Accent2" xfId="40" builtinId="36" hidden="1"/>
    <cellStyle name="60% - Accent3" xfId="43" builtinId="40" hidden="1"/>
    <cellStyle name="60% - Accent4" xfId="46" builtinId="44" hidden="1"/>
    <cellStyle name="60% - Accent5" xfId="49" builtinId="48" hidden="1"/>
    <cellStyle name="60% - Accent6" xfId="53" builtinId="52" hidden="1"/>
    <cellStyle name="A" xfId="61" xr:uid="{9F949CD9-0B1F-468E-9FF5-8344BDD296B1}"/>
    <cellStyle name="Accent1" xfId="35" builtinId="29" hidden="1"/>
    <cellStyle name="Accent2" xfId="38" builtinId="33" hidden="1"/>
    <cellStyle name="Accent3" xfId="41" builtinId="37" hidden="1"/>
    <cellStyle name="Accent4" xfId="44" builtinId="41" hidden="1"/>
    <cellStyle name="Accent5" xfId="47" builtinId="45" hidden="1"/>
    <cellStyle name="Accent6" xfId="50" builtinId="49" hidden="1"/>
    <cellStyle name="Background Fill" xfId="19" xr:uid="{D191FE50-09C8-424C-B523-D5D33B56345E}"/>
    <cellStyle name="Bad" xfId="5" builtinId="27" hidden="1"/>
    <cellStyle name="Calculation" xfId="9" builtinId="22" hidden="1"/>
    <cellStyle name="Check Cell" xfId="11" builtinId="23" hidden="1"/>
    <cellStyle name="Column Heading" xfId="20" xr:uid="{8CE03F7A-D579-4116-BD76-5386275F696F}"/>
    <cellStyle name="Comma" xfId="55" builtinId="3" hidden="1"/>
    <cellStyle name="Comma [0]" xfId="56" builtinId="6" hidden="1"/>
    <cellStyle name="Currency" xfId="57" builtinId="4" hidden="1"/>
    <cellStyle name="Currency [0]" xfId="58" builtinId="7" hidden="1"/>
    <cellStyle name="Date" xfId="21" xr:uid="{FA95EFB7-623E-4156-84B8-31B8752CCC36}"/>
    <cellStyle name="Date Heading" xfId="22" xr:uid="{44984087-7F5A-4DE4-9F41-09BCF05F1D03}"/>
    <cellStyle name="Explanatory Text" xfId="13" builtinId="53" hidden="1"/>
    <cellStyle name="Followed Hyperlink" xfId="2" builtinId="9" hidden="1" customBuiltin="1"/>
    <cellStyle name="Good" xfId="4" builtinId="26" hidden="1"/>
    <cellStyle name="Hard Coded Number" xfId="23" xr:uid="{82755E70-246C-4CB7-9303-88EF5B451766}"/>
    <cellStyle name="Heading" xfId="24" xr:uid="{C8A98528-CED2-4D7C-97E6-776B729BE0F9}"/>
    <cellStyle name="Heading 1" xfId="30" builtinId="16" hidden="1"/>
    <cellStyle name="Heading 2" xfId="31" builtinId="17" hidden="1"/>
    <cellStyle name="Heading 3" xfId="32" builtinId="18" hidden="1"/>
    <cellStyle name="Heading 4" xfId="33" builtinId="19" hidden="1"/>
    <cellStyle name="Hyperlink" xfId="1" builtinId="8" hidden="1" customBuiltin="1"/>
    <cellStyle name="Hyperlink" xfId="54" builtinId="8"/>
    <cellStyle name="Input" xfId="7" builtinId="20" customBuiltin="1"/>
    <cellStyle name="Linked Cell" xfId="10" builtinId="24" hidden="1"/>
    <cellStyle name="Multiple" xfId="25" xr:uid="{7924ABA2-E6A2-45F9-B328-713CA1055226}"/>
    <cellStyle name="Neutral" xfId="6" builtinId="28" hidden="1"/>
    <cellStyle name="Normal" xfId="0" builtinId="0" customBuiltin="1"/>
    <cellStyle name="Note" xfId="59" builtinId="10" hidden="1"/>
    <cellStyle name="Output" xfId="8" builtinId="21" hidden="1"/>
    <cellStyle name="Percent" xfId="3" builtinId="5" customBuiltin="1"/>
    <cellStyle name="Primary Title" xfId="26" xr:uid="{6B18F1F5-1555-429C-AD8E-4077B9A3BD34}"/>
    <cellStyle name="R" xfId="60" xr:uid="{92228DCD-B3E6-416A-A64E-35CEAE7F106A}"/>
    <cellStyle name="Secondary Title" xfId="27" xr:uid="{85E7E940-8AA6-49D5-9D0B-C04186ADEBA4}"/>
    <cellStyle name="Tertiary Title" xfId="28" xr:uid="{E083078C-9C44-412C-A3EE-BC4704FC53AB}"/>
    <cellStyle name="Title" xfId="29" builtinId="15" hidden="1"/>
    <cellStyle name="Total" xfId="34" builtinId="25" hidden="1"/>
    <cellStyle name="Warning Text" xfId="12" builtinId="11" hidde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i="0">
                <a:solidFill>
                  <a:srgbClr val="979797"/>
                </a:solidFill>
                <a:latin typeface="+mn-lt"/>
              </a:defRPr>
            </a:pPr>
            <a:r>
              <a:rPr lang="en-GB" sz="1400" b="0" i="0">
                <a:solidFill>
                  <a:srgbClr val="979797"/>
                </a:solidFill>
                <a:latin typeface="+mn-lt"/>
              </a:rPr>
              <a:t>Implied</a:t>
            </a:r>
            <a:r>
              <a:rPr lang="en-GB" sz="1400" b="0" i="0" baseline="0">
                <a:solidFill>
                  <a:srgbClr val="979797"/>
                </a:solidFill>
                <a:latin typeface="+mn-lt"/>
              </a:rPr>
              <a:t> Share Price $</a:t>
            </a:r>
            <a:endParaRPr lang="en-GB" sz="1400" b="0" i="0">
              <a:solidFill>
                <a:srgbClr val="979797"/>
              </a:solidFill>
              <a:latin typeface="+mn-lt"/>
            </a:endParaRPr>
          </a:p>
        </c:rich>
      </c:tx>
      <c:overlay val="0"/>
    </c:title>
    <c:autoTitleDeleted val="0"/>
    <c:plotArea>
      <c:layout/>
      <c:barChart>
        <c:barDir val="bar"/>
        <c:grouping val="stacked"/>
        <c:varyColors val="1"/>
        <c:ser>
          <c:idx val="0"/>
          <c:order val="0"/>
          <c:spPr>
            <a:noFill/>
            <a:ln cmpd="sng">
              <a:noFill/>
            </a:ln>
          </c:spPr>
          <c:invertIfNegative val="1"/>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Valuation_summary!$B$52:$B$57</c:f>
              <c:strCache>
                <c:ptCount val="6"/>
                <c:pt idx="0">
                  <c:v>EV / CY2 Revenue</c:v>
                </c:pt>
                <c:pt idx="1">
                  <c:v>EV / CY2 EBITDA</c:v>
                </c:pt>
                <c:pt idx="2">
                  <c:v>DCF WACC 7.7% - 8.5%, LT growth 2.8% - 3.2%</c:v>
                </c:pt>
                <c:pt idx="3">
                  <c:v>DCF with synergies 4.5% of revenue</c:v>
                </c:pt>
                <c:pt idx="4">
                  <c:v>Transaction multiples EV/LTM EBITDA</c:v>
                </c:pt>
                <c:pt idx="5">
                  <c:v>LBO (6yr exit), IRR 20.0% to 15.0%</c:v>
                </c:pt>
              </c:strCache>
            </c:strRef>
          </c:cat>
          <c:val>
            <c:numRef>
              <c:f>Valuation_summary!$C$52:$C$57</c:f>
              <c:numCache>
                <c:formatCode>#,##0.0_);\(#,##0.0\);0.0_);@_)</c:formatCode>
                <c:ptCount val="6"/>
                <c:pt idx="0">
                  <c:v>160.24010270828833</c:v>
                </c:pt>
                <c:pt idx="1">
                  <c:v>133.45434254924774</c:v>
                </c:pt>
                <c:pt idx="2">
                  <c:v>153.21572460963338</c:v>
                </c:pt>
                <c:pt idx="3">
                  <c:v>171.81238290534316</c:v>
                </c:pt>
                <c:pt idx="4">
                  <c:v>89.846463706911379</c:v>
                </c:pt>
                <c:pt idx="5">
                  <c:v>#N/A</c:v>
                </c:pt>
              </c:numCache>
            </c:numRef>
          </c:val>
          <c:extLst>
            <c:ext xmlns:c16="http://schemas.microsoft.com/office/drawing/2014/chart" uri="{C3380CC4-5D6E-409C-BE32-E72D297353CC}">
              <c16:uniqueId val="{00000000-8188-49B6-9796-C5028DA53C2B}"/>
            </c:ext>
          </c:extLst>
        </c:ser>
        <c:ser>
          <c:idx val="1"/>
          <c:order val="1"/>
          <c:spPr>
            <a:solidFill>
              <a:srgbClr val="8064A2"/>
            </a:solidFill>
            <a:ln cmpd="sng">
              <a:noFill/>
            </a:ln>
          </c:spPr>
          <c:invertIfNegative val="1"/>
          <c:cat>
            <c:strRef>
              <c:f>Valuation_summary!$B$52:$B$57</c:f>
              <c:strCache>
                <c:ptCount val="6"/>
                <c:pt idx="0">
                  <c:v>EV / CY2 Revenue</c:v>
                </c:pt>
                <c:pt idx="1">
                  <c:v>EV / CY2 EBITDA</c:v>
                </c:pt>
                <c:pt idx="2">
                  <c:v>DCF WACC 7.7% - 8.5%, LT growth 2.8% - 3.2%</c:v>
                </c:pt>
                <c:pt idx="3">
                  <c:v>DCF with synergies 4.5% of revenue</c:v>
                </c:pt>
                <c:pt idx="4">
                  <c:v>Transaction multiples EV/LTM EBITDA</c:v>
                </c:pt>
                <c:pt idx="5">
                  <c:v>LBO (6yr exit), IRR 20.0% to 15.0%</c:v>
                </c:pt>
              </c:strCache>
            </c:strRef>
          </c:cat>
          <c:val>
            <c:numRef>
              <c:f>Valuation_summary!$D$52:$D$57</c:f>
              <c:numCache>
                <c:formatCode>#,##0.0_);\(#,##0.0\);0.0_);@_)</c:formatCode>
                <c:ptCount val="6"/>
                <c:pt idx="0">
                  <c:v>3.8899663974822829</c:v>
                </c:pt>
                <c:pt idx="1">
                  <c:v>48.856172806782098</c:v>
                </c:pt>
                <c:pt idx="2">
                  <c:v>35.884881780202676</c:v>
                </c:pt>
                <c:pt idx="3">
                  <c:v>35.884881780202676</c:v>
                </c:pt>
                <c:pt idx="4">
                  <c:v>36.426872446350998</c:v>
                </c:pt>
                <c:pt idx="5">
                  <c:v>#N/A</c:v>
                </c:pt>
              </c:numCache>
            </c:numRef>
          </c:val>
          <c:extLst>
            <c:ext xmlns:c14="http://schemas.microsoft.com/office/drawing/2007/8/2/chart" uri="{6F2FDCE9-48DA-4B69-8628-5D25D57E5C99}">
              <c14:invertSolidFillFmt>
                <c14:spPr xmlns:c14="http://schemas.microsoft.com/office/drawing/2007/8/2/chart">
                  <a:solidFill>
                    <a:srgbClr val="FFFFFF"/>
                  </a:solidFill>
                  <a:ln cmpd="sng">
                    <a:noFill/>
                  </a:ln>
                </c14:spPr>
              </c14:invertSolidFillFmt>
            </c:ext>
            <c:ext xmlns:c16="http://schemas.microsoft.com/office/drawing/2014/chart" uri="{C3380CC4-5D6E-409C-BE32-E72D297353CC}">
              <c16:uniqueId val="{00000001-8188-49B6-9796-C5028DA53C2B}"/>
            </c:ext>
          </c:extLst>
        </c:ser>
        <c:ser>
          <c:idx val="4"/>
          <c:order val="2"/>
          <c:invertIfNegative val="0"/>
          <c:dLbls>
            <c:dLbl>
              <c:idx val="0"/>
              <c:tx>
                <c:rich>
                  <a:bodyPr/>
                  <a:lstStyle/>
                  <a:p>
                    <a:fld id="{D0DB5A22-5D43-4F58-A5A2-7B8E00596244}" type="CELLRANGE">
                      <a:rPr lang="en-US"/>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B6DE-4C1D-A9BC-F2256B70242A}"/>
                </c:ext>
              </c:extLst>
            </c:dLbl>
            <c:dLbl>
              <c:idx val="1"/>
              <c:tx>
                <c:rich>
                  <a:bodyPr/>
                  <a:lstStyle/>
                  <a:p>
                    <a:fld id="{AB4D7DF0-716F-478A-BF46-3EA219090C94}"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C-B6DE-4C1D-A9BC-F2256B70242A}"/>
                </c:ext>
              </c:extLst>
            </c:dLbl>
            <c:dLbl>
              <c:idx val="2"/>
              <c:tx>
                <c:rich>
                  <a:bodyPr/>
                  <a:lstStyle/>
                  <a:p>
                    <a:fld id="{9ABE392A-EFED-495D-A8B9-3023F25D2FBB}"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B6DE-4C1D-A9BC-F2256B70242A}"/>
                </c:ext>
              </c:extLst>
            </c:dLbl>
            <c:dLbl>
              <c:idx val="3"/>
              <c:tx>
                <c:rich>
                  <a:bodyPr/>
                  <a:lstStyle/>
                  <a:p>
                    <a:fld id="{C28F28F5-307C-4ABE-913B-E90C2A5374CC}"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B6DE-4C1D-A9BC-F2256B70242A}"/>
                </c:ext>
              </c:extLst>
            </c:dLbl>
            <c:dLbl>
              <c:idx val="4"/>
              <c:tx>
                <c:rich>
                  <a:bodyPr/>
                  <a:lstStyle/>
                  <a:p>
                    <a:fld id="{5300E7DA-DB65-4FE7-8EB7-F5EE06833F3D}"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B6DE-4C1D-A9BC-F2256B70242A}"/>
                </c:ext>
              </c:extLst>
            </c:dLbl>
            <c:dLbl>
              <c:idx val="5"/>
              <c:tx>
                <c:rich>
                  <a:bodyPr/>
                  <a:lstStyle/>
                  <a:p>
                    <a:fld id="{00189BD3-6DD2-4D79-AC47-80A52BA9B209}" type="CELLRANGE">
                      <a:rPr lang="en-GB"/>
                      <a:pPr/>
                      <a:t>[CELLRANGE]</a:t>
                    </a:fld>
                    <a:endParaRPr lang="en-GB"/>
                  </a:p>
                </c:rich>
              </c:tx>
              <c:dLblPos val="inBase"/>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B6DE-4C1D-A9BC-F2256B70242A}"/>
                </c:ext>
              </c:extLst>
            </c:dLbl>
            <c:spPr>
              <a:noFill/>
              <a:ln>
                <a:noFill/>
              </a:ln>
              <a:effectLst/>
            </c:spPr>
            <c:dLblPos val="inBase"/>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ext>
            </c:extLst>
          </c:dLbls>
          <c:cat>
            <c:strRef>
              <c:f>Valuation_summary!$B$52:$B$57</c:f>
              <c:strCache>
                <c:ptCount val="6"/>
                <c:pt idx="0">
                  <c:v>EV / CY2 Revenue</c:v>
                </c:pt>
                <c:pt idx="1">
                  <c:v>EV / CY2 EBITDA</c:v>
                </c:pt>
                <c:pt idx="2">
                  <c:v>DCF WACC 7.7% - 8.5%, LT growth 2.8% - 3.2%</c:v>
                </c:pt>
                <c:pt idx="3">
                  <c:v>DCF with synergies 4.5% of revenue</c:v>
                </c:pt>
                <c:pt idx="4">
                  <c:v>Transaction multiples EV/LTM EBITDA</c:v>
                </c:pt>
                <c:pt idx="5">
                  <c:v>LBO (6yr exit), IRR 20.0% to 15.0%</c:v>
                </c:pt>
              </c:strCache>
            </c:strRef>
          </c:cat>
          <c:val>
            <c:numRef>
              <c:f>Valuation_summary!$E$52:$E$57</c:f>
              <c:numCache>
                <c:formatCode>#,##0.0_);\(#,##0.0\);0.0_);@_)</c:formatCode>
                <c:ptCount val="6"/>
              </c:numCache>
            </c:numRef>
          </c:val>
          <c:extLst>
            <c:ext xmlns:c15="http://schemas.microsoft.com/office/drawing/2012/chart" uri="{02D57815-91ED-43cb-92C2-25804820EDAC}">
              <c15:datalabelsRange>
                <c15:f>Valuation_summary!$F$52:$F$57</c15:f>
                <c15:dlblRangeCache>
                  <c:ptCount val="6"/>
                  <c:pt idx="0">
                    <c:v>164.1 </c:v>
                  </c:pt>
                  <c:pt idx="1">
                    <c:v>182.3 </c:v>
                  </c:pt>
                  <c:pt idx="2">
                    <c:v>189.1 </c:v>
                  </c:pt>
                  <c:pt idx="3">
                    <c:v>207.7 </c:v>
                  </c:pt>
                  <c:pt idx="4">
                    <c:v>126.3 </c:v>
                  </c:pt>
                  <c:pt idx="5">
                    <c:v>#N/A </c:v>
                  </c:pt>
                </c15:dlblRangeCache>
              </c15:datalabelsRange>
            </c:ext>
            <c:ext xmlns:c16="http://schemas.microsoft.com/office/drawing/2014/chart" uri="{C3380CC4-5D6E-409C-BE32-E72D297353CC}">
              <c16:uniqueId val="{0000000A-B6DE-4C1D-A9BC-F2256B70242A}"/>
            </c:ext>
          </c:extLst>
        </c:ser>
        <c:dLbls>
          <c:showLegendKey val="0"/>
          <c:showVal val="0"/>
          <c:showCatName val="0"/>
          <c:showSerName val="0"/>
          <c:showPercent val="0"/>
          <c:showBubbleSize val="0"/>
        </c:dLbls>
        <c:gapWidth val="150"/>
        <c:overlap val="100"/>
        <c:axId val="1865215349"/>
        <c:axId val="1842525773"/>
      </c:barChart>
      <c:scatterChart>
        <c:scatterStyle val="lineMarker"/>
        <c:varyColors val="1"/>
        <c:ser>
          <c:idx val="2"/>
          <c:order val="3"/>
          <c:tx>
            <c:v>Current share price</c:v>
          </c:tx>
          <c:spPr>
            <a:ln cmpd="sng">
              <a:solidFill>
                <a:srgbClr val="00B0F0"/>
              </a:solidFill>
              <a:prstDash val="lgDashDot"/>
            </a:ln>
          </c:spPr>
          <c:marker>
            <c:symbol val="none"/>
          </c:marker>
          <c:xVal>
            <c:numRef>
              <c:f>Valuation_summary!$I$60:$I$61</c:f>
              <c:numCache>
                <c:formatCode>#,##0.0_);\(#,##0.0\);0.0_);@_)</c:formatCode>
                <c:ptCount val="2"/>
                <c:pt idx="0">
                  <c:v>200.76</c:v>
                </c:pt>
                <c:pt idx="1">
                  <c:v>200.76</c:v>
                </c:pt>
              </c:numCache>
            </c:numRef>
          </c:xVal>
          <c:yVal>
            <c:numRef>
              <c:f>Valuation_summary!$H$60:$H$61</c:f>
              <c:numCache>
                <c:formatCode>#,##0.0_);\(#,##0.0\);0.0_);@_)</c:formatCode>
                <c:ptCount val="2"/>
                <c:pt idx="0">
                  <c:v>0</c:v>
                </c:pt>
                <c:pt idx="1">
                  <c:v>6</c:v>
                </c:pt>
              </c:numCache>
            </c:numRef>
          </c:yVal>
          <c:smooth val="0"/>
          <c:extLst>
            <c:ext xmlns:c16="http://schemas.microsoft.com/office/drawing/2014/chart" uri="{C3380CC4-5D6E-409C-BE32-E72D297353CC}">
              <c16:uniqueId val="{00000002-5A58-4C90-83D1-A8A2F286DB10}"/>
            </c:ext>
          </c:extLst>
        </c:ser>
        <c:ser>
          <c:idx val="3"/>
          <c:order val="4"/>
          <c:tx>
            <c:v>Unaffected share price</c:v>
          </c:tx>
          <c:spPr>
            <a:ln>
              <a:solidFill>
                <a:schemeClr val="accent3"/>
              </a:solidFill>
              <a:prstDash val="sysDot"/>
            </a:ln>
          </c:spPr>
          <c:marker>
            <c:symbol val="none"/>
          </c:marker>
          <c:xVal>
            <c:numRef>
              <c:f>Valuation_summary!$I$65:$I$66</c:f>
              <c:numCache>
                <c:formatCode>#,##0.0_);\(#,##0.0\);0.0_);@_)</c:formatCode>
                <c:ptCount val="2"/>
                <c:pt idx="0">
                  <c:v>168.3</c:v>
                </c:pt>
                <c:pt idx="1">
                  <c:v>168.3</c:v>
                </c:pt>
              </c:numCache>
            </c:numRef>
          </c:xVal>
          <c:yVal>
            <c:numRef>
              <c:f>Valuation_summary!$H$65:$H$66</c:f>
              <c:numCache>
                <c:formatCode>#,##0.0_);\(#,##0.0\);0.0_);@_)</c:formatCode>
                <c:ptCount val="2"/>
                <c:pt idx="0">
                  <c:v>0</c:v>
                </c:pt>
                <c:pt idx="1">
                  <c:v>6</c:v>
                </c:pt>
              </c:numCache>
            </c:numRef>
          </c:yVal>
          <c:smooth val="0"/>
          <c:extLst>
            <c:ext xmlns:c16="http://schemas.microsoft.com/office/drawing/2014/chart" uri="{C3380CC4-5D6E-409C-BE32-E72D297353CC}">
              <c16:uniqueId val="{00000000-B8DB-411D-8024-910700DB4434}"/>
            </c:ext>
          </c:extLst>
        </c:ser>
        <c:dLbls>
          <c:showLegendKey val="0"/>
          <c:showVal val="0"/>
          <c:showCatName val="0"/>
          <c:showSerName val="0"/>
          <c:showPercent val="0"/>
          <c:showBubbleSize val="0"/>
        </c:dLbls>
        <c:axId val="829687048"/>
        <c:axId val="829686064"/>
      </c:scatterChart>
      <c:catAx>
        <c:axId val="1865215349"/>
        <c:scaling>
          <c:orientation val="maxMin"/>
        </c:scaling>
        <c:delete val="0"/>
        <c:axPos val="l"/>
        <c:title>
          <c:tx>
            <c:rich>
              <a:bodyPr/>
              <a:lstStyle/>
              <a:p>
                <a:pPr lvl="0">
                  <a:defRPr b="0">
                    <a:solidFill>
                      <a:srgbClr val="3F3F3F"/>
                    </a:solidFill>
                    <a:latin typeface="+mn-lt"/>
                  </a:defRPr>
                </a:pPr>
                <a:endParaRPr lang="en-GB"/>
              </a:p>
            </c:rich>
          </c:tx>
          <c:overlay val="0"/>
        </c:title>
        <c:numFmt formatCode="General" sourceLinked="1"/>
        <c:majorTickMark val="none"/>
        <c:minorTickMark val="none"/>
        <c:tickLblPos val="nextTo"/>
        <c:txPr>
          <a:bodyPr/>
          <a:lstStyle/>
          <a:p>
            <a:pPr lvl="0">
              <a:defRPr sz="900" b="0" i="0">
                <a:solidFill>
                  <a:srgbClr val="3F3F3F"/>
                </a:solidFill>
                <a:latin typeface="+mn-lt"/>
              </a:defRPr>
            </a:pPr>
            <a:endParaRPr lang="en-US"/>
          </a:p>
        </c:txPr>
        <c:crossAx val="1842525773"/>
        <c:crosses val="autoZero"/>
        <c:auto val="1"/>
        <c:lblAlgn val="ctr"/>
        <c:lblOffset val="100"/>
        <c:noMultiLvlLbl val="1"/>
      </c:catAx>
      <c:valAx>
        <c:axId val="1842525773"/>
        <c:scaling>
          <c:orientation val="minMax"/>
          <c:min val="50"/>
        </c:scaling>
        <c:delete val="0"/>
        <c:axPos val="b"/>
        <c:title>
          <c:tx>
            <c:rich>
              <a:bodyPr/>
              <a:lstStyle/>
              <a:p>
                <a:pPr lvl="0">
                  <a:defRPr b="0">
                    <a:solidFill>
                      <a:srgbClr val="3F3F3F"/>
                    </a:solidFill>
                    <a:latin typeface="+mn-lt"/>
                  </a:defRPr>
                </a:pPr>
                <a:endParaRPr lang="en-GB"/>
              </a:p>
            </c:rich>
          </c:tx>
          <c:overlay val="0"/>
        </c:title>
        <c:numFmt formatCode="General" sourceLinked="0"/>
        <c:majorTickMark val="none"/>
        <c:minorTickMark val="none"/>
        <c:tickLblPos val="nextTo"/>
        <c:spPr>
          <a:ln/>
        </c:spPr>
        <c:txPr>
          <a:bodyPr/>
          <a:lstStyle/>
          <a:p>
            <a:pPr lvl="0">
              <a:defRPr sz="900" b="0" i="0">
                <a:solidFill>
                  <a:srgbClr val="3F3F3F"/>
                </a:solidFill>
                <a:latin typeface="+mn-lt"/>
              </a:defRPr>
            </a:pPr>
            <a:endParaRPr lang="en-US"/>
          </a:p>
        </c:txPr>
        <c:crossAx val="1865215349"/>
        <c:crosses val="max"/>
        <c:crossBetween val="between"/>
      </c:valAx>
      <c:valAx>
        <c:axId val="829686064"/>
        <c:scaling>
          <c:orientation val="minMax"/>
          <c:max val="6"/>
        </c:scaling>
        <c:delete val="1"/>
        <c:axPos val="r"/>
        <c:numFmt formatCode="#,##0.0_);\(#,##0.0\);0.0_);@_)" sourceLinked="1"/>
        <c:majorTickMark val="out"/>
        <c:minorTickMark val="none"/>
        <c:tickLblPos val="nextTo"/>
        <c:crossAx val="829687048"/>
        <c:crosses val="max"/>
        <c:crossBetween val="midCat"/>
      </c:valAx>
      <c:valAx>
        <c:axId val="829687048"/>
        <c:scaling>
          <c:orientation val="minMax"/>
        </c:scaling>
        <c:delete val="1"/>
        <c:axPos val="b"/>
        <c:numFmt formatCode="#,##0.0_);\(#,##0.0\);0.0_);@_)" sourceLinked="1"/>
        <c:majorTickMark val="out"/>
        <c:minorTickMark val="none"/>
        <c:tickLblPos val="nextTo"/>
        <c:crossAx val="829686064"/>
        <c:crosses val="autoZero"/>
        <c:crossBetween val="midCat"/>
      </c:valAx>
    </c:plotArea>
    <c:legend>
      <c:legendPos val="b"/>
      <c:legendEntry>
        <c:idx val="0"/>
        <c:delete val="1"/>
      </c:legendEntry>
      <c:legendEntry>
        <c:idx val="1"/>
        <c:delete val="1"/>
      </c:legendEntry>
      <c:legendEntry>
        <c:idx val="2"/>
        <c:delete val="1"/>
      </c:legendEntry>
      <c:overlay val="0"/>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4</xdr:col>
      <xdr:colOff>19050</xdr:colOff>
      <xdr:row>0</xdr:row>
      <xdr:rowOff>1019175</xdr:rowOff>
    </xdr:from>
    <xdr:ext cx="3590925" cy="5238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15</xdr:col>
      <xdr:colOff>1914514</xdr:colOff>
      <xdr:row>0</xdr:row>
      <xdr:rowOff>114300</xdr:rowOff>
    </xdr:from>
    <xdr:ext cx="352425" cy="34290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xfrm>
          <a:off x="7843827" y="114300"/>
          <a:ext cx="352425" cy="34290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728662</xdr:colOff>
      <xdr:row>58</xdr:row>
      <xdr:rowOff>161924</xdr:rowOff>
    </xdr:from>
    <xdr:ext cx="9215438" cy="5572126"/>
    <xdr:graphicFrame macro="">
      <xdr:nvGraphicFramePr>
        <xdr:cNvPr id="1846476517" name="Chart 1">
          <a:extLst>
            <a:ext uri="{FF2B5EF4-FFF2-40B4-BE49-F238E27FC236}">
              <a16:creationId xmlns:a16="http://schemas.microsoft.com/office/drawing/2014/main" id="{00000000-0008-0000-1000-0000E5FE0E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wsDr>
</file>

<file path=xl/theme/theme1.xml><?xml version="1.0" encoding="utf-8"?>
<a:theme xmlns:a="http://schemas.openxmlformats.org/drawingml/2006/main" name="Sheets">
  <a:themeElements>
    <a:clrScheme name="Sheets">
      <a:dk1>
        <a:srgbClr val="3F3F3F"/>
      </a:dk1>
      <a:lt1>
        <a:srgbClr val="FFFFFF"/>
      </a:lt1>
      <a:dk2>
        <a:srgbClr val="3F3F3F"/>
      </a:dk2>
      <a:lt2>
        <a:srgbClr val="FFFFFF"/>
      </a:lt2>
      <a:accent1>
        <a:srgbClr val="085393"/>
      </a:accent1>
      <a:accent2>
        <a:srgbClr val="8064A2"/>
      </a:accent2>
      <a:accent3>
        <a:srgbClr val="C0504D"/>
      </a:accent3>
      <a:accent4>
        <a:srgbClr val="ED7D31"/>
      </a:accent4>
      <a:accent5>
        <a:srgbClr val="FFC000"/>
      </a:accent5>
      <a:accent6>
        <a:srgbClr val="70AD47"/>
      </a:accent6>
      <a:hlink>
        <a:srgbClr val="085393"/>
      </a:hlink>
      <a:folHlink>
        <a:srgbClr val="085393"/>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fe.training/"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comments" Target="../comments11.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17" Type="http://schemas.openxmlformats.org/officeDocument/2006/relationships/hyperlink" Target="https://felix.fe.training/filing/document.php/?hid=69a994ffad8c5" TargetMode="External"/><Relationship Id="rId21" Type="http://schemas.openxmlformats.org/officeDocument/2006/relationships/hyperlink" Target="https://felix.fe.training/filing/document.php/?hid=69a95f855ac6f" TargetMode="External"/><Relationship Id="rId42" Type="http://schemas.openxmlformats.org/officeDocument/2006/relationships/hyperlink" Target="https://felix.fe.training/filing/document.php/?hid=69a968209818f" TargetMode="External"/><Relationship Id="rId63" Type="http://schemas.openxmlformats.org/officeDocument/2006/relationships/hyperlink" Target="https://felix.fe.training/filing/document.php/?hid=69a96acdee6b0" TargetMode="External"/><Relationship Id="rId84" Type="http://schemas.openxmlformats.org/officeDocument/2006/relationships/hyperlink" Target="https://felix.fe.training/filing/document.php/?hid=69a9920ac0c84" TargetMode="External"/><Relationship Id="rId138" Type="http://schemas.openxmlformats.org/officeDocument/2006/relationships/hyperlink" Target="https://felix.fe.training/filing/document.php/?hid=67c0912e41e8a" TargetMode="External"/><Relationship Id="rId159" Type="http://schemas.openxmlformats.org/officeDocument/2006/relationships/hyperlink" Target="https://felix.fe.training/filing/document.php/?hid=69aaaa52e093a" TargetMode="External"/><Relationship Id="rId170" Type="http://schemas.openxmlformats.org/officeDocument/2006/relationships/hyperlink" Target="https://felix.fe.training/filing/document.php/?hid=69aaaba098ba8" TargetMode="External"/><Relationship Id="rId191" Type="http://schemas.openxmlformats.org/officeDocument/2006/relationships/hyperlink" Target="https://felix.fe.training/filing/document.php/?hid=69aaae7cf2ef8" TargetMode="External"/><Relationship Id="rId205" Type="http://schemas.openxmlformats.org/officeDocument/2006/relationships/hyperlink" Target="https://felix.fe.training/filing/document.php/?hid=69aab8eb5fa89" TargetMode="External"/><Relationship Id="rId226" Type="http://schemas.openxmlformats.org/officeDocument/2006/relationships/hyperlink" Target="https://felix.fe.training/filing/document.php/?hid=69aabb191d21a" TargetMode="External"/><Relationship Id="rId247" Type="http://schemas.openxmlformats.org/officeDocument/2006/relationships/hyperlink" Target="https://staticctf.ubisoft.com/8aefmxkxpxwl/2jOPqNEzotGX0odqDUt5jr/57f0ba952c3be14b38ba97a02b17c119/Ent_AGM_2025.07.10_URD_GB_Interactif_def.pdf" TargetMode="External"/><Relationship Id="rId107" Type="http://schemas.openxmlformats.org/officeDocument/2006/relationships/hyperlink" Target="https://felix.fe.training/filing/document.php/?hid=69a993b4d756b" TargetMode="External"/><Relationship Id="rId11" Type="http://schemas.openxmlformats.org/officeDocument/2006/relationships/hyperlink" Target="https://felix.fe.training/filing/document.php/?hid=69a95d2bb039a" TargetMode="External"/><Relationship Id="rId32" Type="http://schemas.openxmlformats.org/officeDocument/2006/relationships/hyperlink" Target="https://felix.fe.training/filing/document.php/?hid=69a9671027568" TargetMode="External"/><Relationship Id="rId53" Type="http://schemas.openxmlformats.org/officeDocument/2006/relationships/hyperlink" Target="https://felix.fe.training/filing/document.php/?hid=69a969afaaff2" TargetMode="External"/><Relationship Id="rId74" Type="http://schemas.openxmlformats.org/officeDocument/2006/relationships/hyperlink" Target="https://felix.fe.training/filing/document.php?sec_filing=ee7a5de36caa913c6378da9ad1d566a8edf8de1e&amp;cik=0001315098" TargetMode="External"/><Relationship Id="rId128" Type="http://schemas.openxmlformats.org/officeDocument/2006/relationships/hyperlink" Target="https://felix.fe.training/filing/document.php/?hid=69a9981da6a3c" TargetMode="External"/><Relationship Id="rId149" Type="http://schemas.openxmlformats.org/officeDocument/2006/relationships/hyperlink" Target="https://felix.fe.training/filing/document.php/?hid=67c08f0960630" TargetMode="External"/><Relationship Id="rId5" Type="http://schemas.openxmlformats.org/officeDocument/2006/relationships/hyperlink" Target="https://felix.fe.training/filing/document.php/?hid=67c196e74c22c" TargetMode="External"/><Relationship Id="rId95" Type="http://schemas.openxmlformats.org/officeDocument/2006/relationships/hyperlink" Target="https://felix.fe.training/filing/document.php/?hid=69a992e935698" TargetMode="External"/><Relationship Id="rId160" Type="http://schemas.openxmlformats.org/officeDocument/2006/relationships/hyperlink" Target="https://felix.fe.training/filing/document.php/?hid=69aaaa6c8e10e" TargetMode="External"/><Relationship Id="rId181" Type="http://schemas.openxmlformats.org/officeDocument/2006/relationships/hyperlink" Target="https://felix.fe.training/filing/document.php/?hid=69aaac0cb9d8f" TargetMode="External"/><Relationship Id="rId216" Type="http://schemas.openxmlformats.org/officeDocument/2006/relationships/hyperlink" Target="https://felix.fe.training/filing/document.php/?hid=69aaba909e75c" TargetMode="External"/><Relationship Id="rId237" Type="http://schemas.openxmlformats.org/officeDocument/2006/relationships/hyperlink" Target="https://felix.fe.training/filing/document.php/?hid=69aabbd7655f4" TargetMode="External"/><Relationship Id="rId258" Type="http://schemas.openxmlformats.org/officeDocument/2006/relationships/comments" Target="../comments2.xml"/><Relationship Id="rId22" Type="http://schemas.openxmlformats.org/officeDocument/2006/relationships/hyperlink" Target="https://felix.fe.training/filing/document.php/?hid=69a95f99dbc4c" TargetMode="External"/><Relationship Id="rId43" Type="http://schemas.openxmlformats.org/officeDocument/2006/relationships/hyperlink" Target="https://felix.fe.training/filing/document.php/?hid=69a96861398a4" TargetMode="External"/><Relationship Id="rId64" Type="http://schemas.openxmlformats.org/officeDocument/2006/relationships/hyperlink" Target="https://felix.fe.training/filing/document.php/?hid=69a96ad5e8c86" TargetMode="External"/><Relationship Id="rId118" Type="http://schemas.openxmlformats.org/officeDocument/2006/relationships/hyperlink" Target="https://felix.fe.training/filing/document.php/?hid=69a9950bb69ca" TargetMode="External"/><Relationship Id="rId139" Type="http://schemas.openxmlformats.org/officeDocument/2006/relationships/hyperlink" Target="https://felix.fe.training/filing/document.php/?hid=67c09214b092f" TargetMode="External"/><Relationship Id="rId85" Type="http://schemas.openxmlformats.org/officeDocument/2006/relationships/hyperlink" Target="https://felix.fe.training/filing/document.php/?hid=69a9921a5a148" TargetMode="External"/><Relationship Id="rId150" Type="http://schemas.openxmlformats.org/officeDocument/2006/relationships/hyperlink" Target="https://felix.fe.training/filing/document.php/?hid=69aa9f3f0d8c3" TargetMode="External"/><Relationship Id="rId171" Type="http://schemas.openxmlformats.org/officeDocument/2006/relationships/hyperlink" Target="https://felix.fe.training/filing/document.php/?hid=69aaaba6d0bc9" TargetMode="External"/><Relationship Id="rId192" Type="http://schemas.openxmlformats.org/officeDocument/2006/relationships/hyperlink" Target="https://felix.fe.training/filing/document.php/?hid=69aaae84114e8" TargetMode="External"/><Relationship Id="rId206" Type="http://schemas.openxmlformats.org/officeDocument/2006/relationships/hyperlink" Target="https://felix.fe.training/filing/document.php/?hid=69aab8f6d78d4" TargetMode="External"/><Relationship Id="rId227" Type="http://schemas.openxmlformats.org/officeDocument/2006/relationships/hyperlink" Target="https://felix.fe.training/filing/document.php/?hid=69aabb2c2ef06" TargetMode="External"/><Relationship Id="rId248" Type="http://schemas.openxmlformats.org/officeDocument/2006/relationships/hyperlink" Target="https://staticctf.ubisoft.com/8aefmxkxpxwl/2jOPqNEzotGX0odqDUt5jr/57f0ba952c3be14b38ba97a02b17c119/Ent_AGM_2025.07.10_URD_GB_Interactif_def.pdf" TargetMode="External"/><Relationship Id="rId12" Type="http://schemas.openxmlformats.org/officeDocument/2006/relationships/hyperlink" Target="https://felix.fe.training/filing/document.php/?hid=69a95e012727b" TargetMode="External"/><Relationship Id="rId33" Type="http://schemas.openxmlformats.org/officeDocument/2006/relationships/hyperlink" Target="https://felix.fe.training/filing/document.php/?hid=69a96792b7f2e" TargetMode="External"/><Relationship Id="rId108" Type="http://schemas.openxmlformats.org/officeDocument/2006/relationships/hyperlink" Target="https://felix.fe.training/filing/document.php/?hid=69a993fe67142" TargetMode="External"/><Relationship Id="rId129" Type="http://schemas.openxmlformats.org/officeDocument/2006/relationships/hyperlink" Target="https://felix.fe.training/filing/document.php/?hid=69a99858d26cf" TargetMode="External"/><Relationship Id="rId54" Type="http://schemas.openxmlformats.org/officeDocument/2006/relationships/hyperlink" Target="https://felix.fe.training/filing/document.php/?hid=69a969b76d773" TargetMode="External"/><Relationship Id="rId75" Type="http://schemas.openxmlformats.org/officeDocument/2006/relationships/hyperlink" Target="https://felix.fe.training/filing/document.php/?hid=69a98c34f2733" TargetMode="External"/><Relationship Id="rId96" Type="http://schemas.openxmlformats.org/officeDocument/2006/relationships/hyperlink" Target="https://felix.fe.training/filing/document.php/?hid=69a993207716f" TargetMode="External"/><Relationship Id="rId140" Type="http://schemas.openxmlformats.org/officeDocument/2006/relationships/hyperlink" Target="https://felix.fe.training/filing/document.php/?hid=67c09397241eb" TargetMode="External"/><Relationship Id="rId161" Type="http://schemas.openxmlformats.org/officeDocument/2006/relationships/hyperlink" Target="https://felix.fe.training/filing/document.php/?hid=69aaaa6c8e10e" TargetMode="External"/><Relationship Id="rId182" Type="http://schemas.openxmlformats.org/officeDocument/2006/relationships/hyperlink" Target="https://felix.fe.training/filing/document.php/?hid=69aaac2f199c7" TargetMode="External"/><Relationship Id="rId217" Type="http://schemas.openxmlformats.org/officeDocument/2006/relationships/hyperlink" Target="https://felix.fe.training/filing/document.php/?hid=69aabaa04e616" TargetMode="External"/><Relationship Id="rId6" Type="http://schemas.openxmlformats.org/officeDocument/2006/relationships/hyperlink" Target="https://felix.fe.training/filing/document.php/?hid=67c19f8a35516" TargetMode="External"/><Relationship Id="rId238" Type="http://schemas.openxmlformats.org/officeDocument/2006/relationships/hyperlink" Target="https://felix.fe.training/filing/document.php/?hid=69aabbd7655f4" TargetMode="External"/><Relationship Id="rId23" Type="http://schemas.openxmlformats.org/officeDocument/2006/relationships/hyperlink" Target="https://felix.fe.training/filing/document.php/?hid=69a95fc37ade4" TargetMode="External"/><Relationship Id="rId119" Type="http://schemas.openxmlformats.org/officeDocument/2006/relationships/hyperlink" Target="https://felix.fe.training/filing/document.php/?hid=69a99513694dd" TargetMode="External"/><Relationship Id="rId44" Type="http://schemas.openxmlformats.org/officeDocument/2006/relationships/hyperlink" Target="https://felix.fe.training/filing/document.php/?hid=69a96869939b9" TargetMode="External"/><Relationship Id="rId65" Type="http://schemas.openxmlformats.org/officeDocument/2006/relationships/hyperlink" Target="https://felix.fe.training/filing/document.php/?hid=69a96adb865b7" TargetMode="External"/><Relationship Id="rId86" Type="http://schemas.openxmlformats.org/officeDocument/2006/relationships/hyperlink" Target="https://felix.fe.training/filing/document.php/?hid=69a9922d090d5" TargetMode="External"/><Relationship Id="rId130" Type="http://schemas.openxmlformats.org/officeDocument/2006/relationships/hyperlink" Target="https://felix.fe.training/filing/document.php/?hid=69a998635f17e" TargetMode="External"/><Relationship Id="rId151" Type="http://schemas.openxmlformats.org/officeDocument/2006/relationships/hyperlink" Target="https://felix.fe.training/filing/document.php/?hid=69aaa30b234d1" TargetMode="External"/><Relationship Id="rId172" Type="http://schemas.openxmlformats.org/officeDocument/2006/relationships/hyperlink" Target="https://felix.fe.training/filing/document.php/?hid=69aaabb608bb1" TargetMode="External"/><Relationship Id="rId193" Type="http://schemas.openxmlformats.org/officeDocument/2006/relationships/hyperlink" Target="https://felix.fe.training/filing/document.php/?hid=69aaae8bdacb4" TargetMode="External"/><Relationship Id="rId207" Type="http://schemas.openxmlformats.org/officeDocument/2006/relationships/hyperlink" Target="https://felix.fe.training/filing/document.php/?hid=69aab93e93ffe" TargetMode="External"/><Relationship Id="rId228" Type="http://schemas.openxmlformats.org/officeDocument/2006/relationships/hyperlink" Target="https://felix.fe.training/filing/document.php/?hid=69aabb342444c" TargetMode="External"/><Relationship Id="rId249" Type="http://schemas.openxmlformats.org/officeDocument/2006/relationships/hyperlink" Target="https://staticctf.ubisoft.com/8aefmxkxpxwl/2jOPqNEzotGX0odqDUt5jr/57f0ba952c3be14b38ba97a02b17c119/Ent_AGM_2025.07.10_URD_GB_Interactif_def.pdf" TargetMode="External"/><Relationship Id="rId13" Type="http://schemas.openxmlformats.org/officeDocument/2006/relationships/hyperlink" Target="https://felix.fe.training/filing/document.php/?hid=69a95e0c51f80" TargetMode="External"/><Relationship Id="rId109" Type="http://schemas.openxmlformats.org/officeDocument/2006/relationships/hyperlink" Target="https://felix.fe.training/filing/document.php/?hid=69a9941c48564" TargetMode="External"/><Relationship Id="rId34" Type="http://schemas.openxmlformats.org/officeDocument/2006/relationships/hyperlink" Target="https://felix.fe.training/filing/document.php/?hid=69a967985d304" TargetMode="External"/><Relationship Id="rId55" Type="http://schemas.openxmlformats.org/officeDocument/2006/relationships/hyperlink" Target="https://felix.fe.training/filing/document.php/?hid=69a969d354464" TargetMode="External"/><Relationship Id="rId76" Type="http://schemas.openxmlformats.org/officeDocument/2006/relationships/hyperlink" Target="https://felix.fe.training/filing/document.php/?hid=69a98c59efd5e" TargetMode="External"/><Relationship Id="rId97" Type="http://schemas.openxmlformats.org/officeDocument/2006/relationships/hyperlink" Target="https://felix.fe.training/filing/document.php/?hid=69a9932fc41cc" TargetMode="External"/><Relationship Id="rId120" Type="http://schemas.openxmlformats.org/officeDocument/2006/relationships/hyperlink" Target="https://felix.fe.training/filing/document.php/?hid=69a9951e99c93" TargetMode="External"/><Relationship Id="rId141" Type="http://schemas.openxmlformats.org/officeDocument/2006/relationships/hyperlink" Target="https://felix.fe.training/filing/document.php/?hid=67c091407848b" TargetMode="External"/><Relationship Id="rId7" Type="http://schemas.openxmlformats.org/officeDocument/2006/relationships/hyperlink" Target="https://ir.roblox.com/news/news-details/2025/Roblox-Reports-Fourth-Quarter-and-Full-Year-2024-Financial-Results/default.aspx" TargetMode="External"/><Relationship Id="rId162" Type="http://schemas.openxmlformats.org/officeDocument/2006/relationships/hyperlink" Target="https://felix.fe.training/filing/document.php/?hid=69aaaa8bce6c5" TargetMode="External"/><Relationship Id="rId183" Type="http://schemas.openxmlformats.org/officeDocument/2006/relationships/hyperlink" Target="https://felix.fe.training/filing/document.php/?hid=69aaac3304a99" TargetMode="External"/><Relationship Id="rId218" Type="http://schemas.openxmlformats.org/officeDocument/2006/relationships/hyperlink" Target="https://felix.fe.training/filing/document.php/?hid=69aabaa89e521" TargetMode="External"/><Relationship Id="rId239" Type="http://schemas.openxmlformats.org/officeDocument/2006/relationships/hyperlink" Target="https://felix.fe.training/filing/document.php/?hid=69aabc2f5f5d8" TargetMode="External"/><Relationship Id="rId250" Type="http://schemas.openxmlformats.org/officeDocument/2006/relationships/hyperlink" Target="https://staticctf.ubisoft.com/8aefmxkxpxwl/2jOPqNEzotGX0odqDUt5jr/57f0ba952c3be14b38ba97a02b17c119/Ent_AGM_2025.07.10_URD_GB_Interactif_def.pdf" TargetMode="External"/><Relationship Id="rId24" Type="http://schemas.openxmlformats.org/officeDocument/2006/relationships/hyperlink" Target="https://felix.fe.training/filing/document.php/?hid=69a95f99dbc4c" TargetMode="External"/><Relationship Id="rId45" Type="http://schemas.openxmlformats.org/officeDocument/2006/relationships/hyperlink" Target="https://felix.fe.training/filing/document.php/?hid=69a9688a2673a" TargetMode="External"/><Relationship Id="rId66" Type="http://schemas.openxmlformats.org/officeDocument/2006/relationships/hyperlink" Target="https://felix.fe.training/filing/document.php/?hid=69a96b2fdaac7" TargetMode="External"/><Relationship Id="rId87" Type="http://schemas.openxmlformats.org/officeDocument/2006/relationships/hyperlink" Target="https://felix.fe.training/filing/document.php/?hid=69a9923bd128c" TargetMode="External"/><Relationship Id="rId110" Type="http://schemas.openxmlformats.org/officeDocument/2006/relationships/hyperlink" Target="https://felix.fe.training/filing/document.php/?hid=69a9946052d7b" TargetMode="External"/><Relationship Id="rId131" Type="http://schemas.openxmlformats.org/officeDocument/2006/relationships/hyperlink" Target="https://felix.fe.training/filing/document.php/?hid=67c19f8a35516" TargetMode="External"/><Relationship Id="rId152" Type="http://schemas.openxmlformats.org/officeDocument/2006/relationships/hyperlink" Target="https://felix.fe.training/filing/document.php/?hid=69aaa31114a9f" TargetMode="External"/><Relationship Id="rId173" Type="http://schemas.openxmlformats.org/officeDocument/2006/relationships/hyperlink" Target="https://felix.fe.training/filing/document.php/?hid=69aaabb608bb1" TargetMode="External"/><Relationship Id="rId194" Type="http://schemas.openxmlformats.org/officeDocument/2006/relationships/hyperlink" Target="https://felix.fe.training/filing/document.php/?hid=69aaae9098813" TargetMode="External"/><Relationship Id="rId208" Type="http://schemas.openxmlformats.org/officeDocument/2006/relationships/hyperlink" Target="https://felix.fe.training/filing/document.php/?hid=69aab94a38978" TargetMode="External"/><Relationship Id="rId229" Type="http://schemas.openxmlformats.org/officeDocument/2006/relationships/hyperlink" Target="https://felix.fe.training/filing/document.php/?hid=69aabb3e65a1a" TargetMode="External"/><Relationship Id="rId240" Type="http://schemas.openxmlformats.org/officeDocument/2006/relationships/hyperlink" Target="https://felix.fe.training/filing/document.php/?hid=69aabc3789228" TargetMode="External"/><Relationship Id="rId14" Type="http://schemas.openxmlformats.org/officeDocument/2006/relationships/hyperlink" Target="https://felix.fe.training/filing/document.php/?hid=69a95e25cd8ce" TargetMode="External"/><Relationship Id="rId35" Type="http://schemas.openxmlformats.org/officeDocument/2006/relationships/hyperlink" Target="https://felix.fe.training/filing/document.php/?hid=69a967c2ecf28" TargetMode="External"/><Relationship Id="rId56" Type="http://schemas.openxmlformats.org/officeDocument/2006/relationships/hyperlink" Target="https://felix.fe.training/filing/document.php/?hid=69a969d8e5e36" TargetMode="External"/><Relationship Id="rId77" Type="http://schemas.openxmlformats.org/officeDocument/2006/relationships/hyperlink" Target="https://felix.fe.training/filing/document.php/?hid=69a98d19ec27e" TargetMode="External"/><Relationship Id="rId100" Type="http://schemas.openxmlformats.org/officeDocument/2006/relationships/hyperlink" Target="https://felix.fe.training/filing/document.php/?hid=69a99351cba72" TargetMode="External"/><Relationship Id="rId8" Type="http://schemas.openxmlformats.org/officeDocument/2006/relationships/hyperlink" Target="https://felix.fe.training/filing/document.php/?hid=67c1a49472adc" TargetMode="External"/><Relationship Id="rId98" Type="http://schemas.openxmlformats.org/officeDocument/2006/relationships/hyperlink" Target="https://felix.fe.training/filing/document.php/?hid=69a9933e4889d" TargetMode="External"/><Relationship Id="rId121" Type="http://schemas.openxmlformats.org/officeDocument/2006/relationships/hyperlink" Target="https://felix.fe.training/filing/document.php/?hid=69a99529852fa" TargetMode="External"/><Relationship Id="rId142" Type="http://schemas.openxmlformats.org/officeDocument/2006/relationships/hyperlink" Target="https://felix.fe.training/filing/document.php/?hid=69a9b46e84535" TargetMode="External"/><Relationship Id="rId163" Type="http://schemas.openxmlformats.org/officeDocument/2006/relationships/hyperlink" Target="https://felix.fe.training/filing/document.php/?hid=69aaaa916610b" TargetMode="External"/><Relationship Id="rId184" Type="http://schemas.openxmlformats.org/officeDocument/2006/relationships/hyperlink" Target="https://felix.fe.training/filing/document.php/?hid=69aaad12b5ff1" TargetMode="External"/><Relationship Id="rId219" Type="http://schemas.openxmlformats.org/officeDocument/2006/relationships/hyperlink" Target="https://felix.fe.training/filing/document.php/?hid=69aabac8868c5" TargetMode="External"/><Relationship Id="rId230" Type="http://schemas.openxmlformats.org/officeDocument/2006/relationships/hyperlink" Target="https://felix.fe.training/filing/document.php/?hid=69aabb4354238" TargetMode="External"/><Relationship Id="rId251" Type="http://schemas.openxmlformats.org/officeDocument/2006/relationships/hyperlink" Target="https://staticctf.ubisoft.com/8aefmxkxpxwl/2jOPqNEzotGX0odqDUt5jr/57f0ba952c3be14b38ba97a02b17c119/Ent_AGM_2025.07.10_URD_GB_Interactif_def.pdf" TargetMode="External"/><Relationship Id="rId25" Type="http://schemas.openxmlformats.org/officeDocument/2006/relationships/hyperlink" Target="https://felix.fe.training/filing/document.php/?hid=69a9615e8c4f3" TargetMode="External"/><Relationship Id="rId46" Type="http://schemas.openxmlformats.org/officeDocument/2006/relationships/hyperlink" Target="https://felix.fe.training/filing/document.php/?hid=69a9688f03201" TargetMode="External"/><Relationship Id="rId67" Type="http://schemas.openxmlformats.org/officeDocument/2006/relationships/hyperlink" Target="https://felix.fe.training/filing/document.php/?hid=69a96b36e49d0" TargetMode="External"/><Relationship Id="rId88" Type="http://schemas.openxmlformats.org/officeDocument/2006/relationships/hyperlink" Target="https://felix.fe.training/filing/document.php/?hid=69a9925f1eaac" TargetMode="External"/><Relationship Id="rId111" Type="http://schemas.openxmlformats.org/officeDocument/2006/relationships/hyperlink" Target="https://felix.fe.training/filing/document.php/?hid=69a9947910a1d" TargetMode="External"/><Relationship Id="rId132" Type="http://schemas.openxmlformats.org/officeDocument/2006/relationships/hyperlink" Target="https://felix.fe.training/filing/document.php/?hid=69a9b2f6cf246" TargetMode="External"/><Relationship Id="rId153" Type="http://schemas.openxmlformats.org/officeDocument/2006/relationships/hyperlink" Target="https://felix.fe.training/filing/document.php/?hid=69a9b4e537825" TargetMode="External"/><Relationship Id="rId174" Type="http://schemas.openxmlformats.org/officeDocument/2006/relationships/hyperlink" Target="https://felix.fe.training/filing/document.php/?hid=69aaabcdb62b9" TargetMode="External"/><Relationship Id="rId195" Type="http://schemas.openxmlformats.org/officeDocument/2006/relationships/hyperlink" Target="https://felix.fe.training/filing/document.php/?hid=69aaae997ea5e" TargetMode="External"/><Relationship Id="rId209" Type="http://schemas.openxmlformats.org/officeDocument/2006/relationships/hyperlink" Target="https://felix.fe.training/filing/document.php/?hid=69aab96f677b9" TargetMode="External"/><Relationship Id="rId220" Type="http://schemas.openxmlformats.org/officeDocument/2006/relationships/hyperlink" Target="https://felix.fe.training/filing/document.php/?hid=69aabad1050c5" TargetMode="External"/><Relationship Id="rId241" Type="http://schemas.openxmlformats.org/officeDocument/2006/relationships/hyperlink" Target="https://felix.fe.training/filing/document.php/?hid=69aabc57bb154" TargetMode="External"/><Relationship Id="rId15" Type="http://schemas.openxmlformats.org/officeDocument/2006/relationships/hyperlink" Target="https://felix.fe.training/filing/document.php/?hid=69a95e2f8b518" TargetMode="External"/><Relationship Id="rId36" Type="http://schemas.openxmlformats.org/officeDocument/2006/relationships/hyperlink" Target="https://felix.fe.training/filing/document.php/?hid=69a967cb85cac" TargetMode="External"/><Relationship Id="rId57" Type="http://schemas.openxmlformats.org/officeDocument/2006/relationships/hyperlink" Target="https://felix.fe.training/filing/document.php/?hid=69a969e46ba02" TargetMode="External"/><Relationship Id="rId78" Type="http://schemas.openxmlformats.org/officeDocument/2006/relationships/hyperlink" Target="https://felix.fe.training/filing/document.php/?hid=69a98d259fb85" TargetMode="External"/><Relationship Id="rId99" Type="http://schemas.openxmlformats.org/officeDocument/2006/relationships/hyperlink" Target="https://felix.fe.training/filing/document.php/?hid=69a99347a7044" TargetMode="External"/><Relationship Id="rId101" Type="http://schemas.openxmlformats.org/officeDocument/2006/relationships/hyperlink" Target="https://felix.fe.training/filing/document.php/?hid=69a9935bd0a1f" TargetMode="External"/><Relationship Id="rId122" Type="http://schemas.openxmlformats.org/officeDocument/2006/relationships/hyperlink" Target="https://felix.fe.training/filing/document.php/?hid=69a995603976f" TargetMode="External"/><Relationship Id="rId143" Type="http://schemas.openxmlformats.org/officeDocument/2006/relationships/hyperlink" Target="https://felix.fe.training/filing/document.php/?hid=69a9b48f94059" TargetMode="External"/><Relationship Id="rId164" Type="http://schemas.openxmlformats.org/officeDocument/2006/relationships/hyperlink" Target="https://felix.fe.training/filing/document.php/?hid=69aaaaad54711" TargetMode="External"/><Relationship Id="rId185" Type="http://schemas.openxmlformats.org/officeDocument/2006/relationships/hyperlink" Target="https://felix.fe.training/filing/document.php/?hid=69aaad4b167b5" TargetMode="External"/><Relationship Id="rId9" Type="http://schemas.openxmlformats.org/officeDocument/2006/relationships/hyperlink" Target="https://felix.fe.training/filing/document.php/?hid=67c1d428b4652" TargetMode="External"/><Relationship Id="rId210" Type="http://schemas.openxmlformats.org/officeDocument/2006/relationships/hyperlink" Target="https://felix.fe.training/filing/document.php/?hid=69aab97dc9a6d" TargetMode="External"/><Relationship Id="rId26" Type="http://schemas.openxmlformats.org/officeDocument/2006/relationships/hyperlink" Target="https://felix.fe.training/filing/document.php/?hid=69a96171c12c4" TargetMode="External"/><Relationship Id="rId231" Type="http://schemas.openxmlformats.org/officeDocument/2006/relationships/hyperlink" Target="https://felix.fe.training/filing/document.php/?hid=69aabb4a7d485" TargetMode="External"/><Relationship Id="rId252" Type="http://schemas.openxmlformats.org/officeDocument/2006/relationships/hyperlink" Target="https://staticctf.ubisoft.com/8aefmxkxpxwl/2jOPqNEzotGX0odqDUt5jr/57f0ba952c3be14b38ba97a02b17c119/Ent_AGM_2025.07.10_URD_GB_Interactif_def.pdf" TargetMode="External"/><Relationship Id="rId47" Type="http://schemas.openxmlformats.org/officeDocument/2006/relationships/hyperlink" Target="https://felix.fe.training/filing/document.php/?hid=69a96897028d4" TargetMode="External"/><Relationship Id="rId68" Type="http://schemas.openxmlformats.org/officeDocument/2006/relationships/hyperlink" Target="https://felix.fe.training/filing/document.php/?hid=69a96bf22d476" TargetMode="External"/><Relationship Id="rId89" Type="http://schemas.openxmlformats.org/officeDocument/2006/relationships/hyperlink" Target="https://felix.fe.training/filing/document.php/?hid=69a9926a9d9e9" TargetMode="External"/><Relationship Id="rId112" Type="http://schemas.openxmlformats.org/officeDocument/2006/relationships/hyperlink" Target="https://felix.fe.training/filing/document.php/?hid=69a994894a78b" TargetMode="External"/><Relationship Id="rId133" Type="http://schemas.openxmlformats.org/officeDocument/2006/relationships/hyperlink" Target="https://felix.fe.training/filing/document.php/?hid=69a9b2fec58d4" TargetMode="External"/><Relationship Id="rId154" Type="http://schemas.openxmlformats.org/officeDocument/2006/relationships/hyperlink" Target="https://felix.fe.training/filing/document.php/?hid=69aaa736dadc6" TargetMode="External"/><Relationship Id="rId175" Type="http://schemas.openxmlformats.org/officeDocument/2006/relationships/hyperlink" Target="https://felix.fe.training/filing/document.php/?hid=69aaabe7e2b44" TargetMode="External"/><Relationship Id="rId196" Type="http://schemas.openxmlformats.org/officeDocument/2006/relationships/hyperlink" Target="https://felix.fe.training/filing/document.php/?hid=69aaae9fee751" TargetMode="External"/><Relationship Id="rId200" Type="http://schemas.openxmlformats.org/officeDocument/2006/relationships/hyperlink" Target="https://felix.fe.training/filing/document.php/?hid=69aab0635a517" TargetMode="External"/><Relationship Id="rId16" Type="http://schemas.openxmlformats.org/officeDocument/2006/relationships/hyperlink" Target="https://felix.fe.training/filing/document.php/?hid=69a95ed6313a8" TargetMode="External"/><Relationship Id="rId221" Type="http://schemas.openxmlformats.org/officeDocument/2006/relationships/hyperlink" Target="https://felix.fe.training/filing/document.php/?hid=69aabae1a3164" TargetMode="External"/><Relationship Id="rId242" Type="http://schemas.openxmlformats.org/officeDocument/2006/relationships/hyperlink" Target="https://felix.fe.training/filing/document.php/?hid=69aabc503d974" TargetMode="External"/><Relationship Id="rId37" Type="http://schemas.openxmlformats.org/officeDocument/2006/relationships/hyperlink" Target="https://felix.fe.training/filing/document.php/?hid=69a967da8845e" TargetMode="External"/><Relationship Id="rId58" Type="http://schemas.openxmlformats.org/officeDocument/2006/relationships/hyperlink" Target="https://felix.fe.training/filing/document.php/?hid=69a969efee5fa" TargetMode="External"/><Relationship Id="rId79" Type="http://schemas.openxmlformats.org/officeDocument/2006/relationships/hyperlink" Target="https://felix.fe.training/filing/document.php?sec_filing=ee7a5de36caa913c6378da9ad1d566a8edf8de1e&amp;cik=0001315098" TargetMode="External"/><Relationship Id="rId102" Type="http://schemas.openxmlformats.org/officeDocument/2006/relationships/hyperlink" Target="https://felix.fe.training/filing/document.php/?hid=69a993783b8b9" TargetMode="External"/><Relationship Id="rId123" Type="http://schemas.openxmlformats.org/officeDocument/2006/relationships/hyperlink" Target="https://felix.fe.training/filing/document.php/?hid=69a995732daf0" TargetMode="External"/><Relationship Id="rId144" Type="http://schemas.openxmlformats.org/officeDocument/2006/relationships/hyperlink" Target="https://felix.fe.training/filing/document.php/?hid=67c1d8862ad72" TargetMode="External"/><Relationship Id="rId90" Type="http://schemas.openxmlformats.org/officeDocument/2006/relationships/hyperlink" Target="https://felix.fe.training/filing/document.php/?hid=69a9928414ad8" TargetMode="External"/><Relationship Id="rId165" Type="http://schemas.openxmlformats.org/officeDocument/2006/relationships/hyperlink" Target="https://felix.fe.training/filing/document.php/?hid=69aaaaad54711" TargetMode="External"/><Relationship Id="rId186" Type="http://schemas.openxmlformats.org/officeDocument/2006/relationships/hyperlink" Target="https://felix.fe.training/filing/document.php/?hid=69aaad558270e" TargetMode="External"/><Relationship Id="rId211" Type="http://schemas.openxmlformats.org/officeDocument/2006/relationships/hyperlink" Target="https://felix.fe.training/filing/document.php/?hid=69aab98bb8eb7" TargetMode="External"/><Relationship Id="rId232" Type="http://schemas.openxmlformats.org/officeDocument/2006/relationships/hyperlink" Target="https://felix.fe.training/filing/document.php/?hid=69aabb500ed7e" TargetMode="External"/><Relationship Id="rId253" Type="http://schemas.openxmlformats.org/officeDocument/2006/relationships/hyperlink" Target="https://staticctf.ubisoft.com/8aefmxkxpxwl/2jOPqNEzotGX0odqDUt5jr/57f0ba952c3be14b38ba97a02b17c119/Ent_AGM_2025.07.10_URD_GB_Interactif_def.pdf" TargetMode="External"/><Relationship Id="rId27" Type="http://schemas.openxmlformats.org/officeDocument/2006/relationships/hyperlink" Target="https://felix.fe.training/filing/document.php/?hid=69a96225d4d6c" TargetMode="External"/><Relationship Id="rId48" Type="http://schemas.openxmlformats.org/officeDocument/2006/relationships/hyperlink" Target="https://felix.fe.training/filing/document.php/?hid=69a9689b1d994" TargetMode="External"/><Relationship Id="rId69" Type="http://schemas.openxmlformats.org/officeDocument/2006/relationships/hyperlink" Target="https://felix.fe.training/filing/document.php/?hid=69a96bf887546" TargetMode="External"/><Relationship Id="rId113" Type="http://schemas.openxmlformats.org/officeDocument/2006/relationships/hyperlink" Target="https://felix.fe.training/filing/document.php/?hid=69a99492cdd34" TargetMode="External"/><Relationship Id="rId134" Type="http://schemas.openxmlformats.org/officeDocument/2006/relationships/hyperlink" Target="https://felix.fe.training/filing/document.php/?hid=69a9b357916fa" TargetMode="External"/><Relationship Id="rId80" Type="http://schemas.openxmlformats.org/officeDocument/2006/relationships/hyperlink" Target="https://felix.fe.training/filing/document.php?sec_filing=ee7a5de36caa913c6378da9ad1d566a8edf8de1e&amp;cik=0001315098" TargetMode="External"/><Relationship Id="rId155" Type="http://schemas.openxmlformats.org/officeDocument/2006/relationships/hyperlink" Target="https://felix.fe.training/filing/document.php/?hid=69aaa73cb0cbe" TargetMode="External"/><Relationship Id="rId176" Type="http://schemas.openxmlformats.org/officeDocument/2006/relationships/hyperlink" Target="https://felix.fe.training/filing/document.php/?hid=69aaabf0cee81" TargetMode="External"/><Relationship Id="rId197" Type="http://schemas.openxmlformats.org/officeDocument/2006/relationships/hyperlink" Target="https://felix.fe.training/filing/document.php/?hid=69aaafd814bc6" TargetMode="External"/><Relationship Id="rId201" Type="http://schemas.openxmlformats.org/officeDocument/2006/relationships/hyperlink" Target="https://felix.fe.training/filing/document.php/?hid=69aab07ceb591" TargetMode="External"/><Relationship Id="rId222" Type="http://schemas.openxmlformats.org/officeDocument/2006/relationships/hyperlink" Target="https://felix.fe.training/filing/document.php/?hid=69aabae71d6fe" TargetMode="External"/><Relationship Id="rId243" Type="http://schemas.openxmlformats.org/officeDocument/2006/relationships/hyperlink" Target="https://felix.fe.training/filing/document.php/?hid=69aabc6676da0" TargetMode="External"/><Relationship Id="rId17" Type="http://schemas.openxmlformats.org/officeDocument/2006/relationships/hyperlink" Target="https://felix.fe.training/filing/document.php/?hid=69a95ef1e412c" TargetMode="External"/><Relationship Id="rId38" Type="http://schemas.openxmlformats.org/officeDocument/2006/relationships/hyperlink" Target="https://felix.fe.training/filing/document.php/?hid=69a967e349edf" TargetMode="External"/><Relationship Id="rId59" Type="http://schemas.openxmlformats.org/officeDocument/2006/relationships/hyperlink" Target="https://felix.fe.training/filing/document.php/?hid=69a96a1b88ec1" TargetMode="External"/><Relationship Id="rId103" Type="http://schemas.openxmlformats.org/officeDocument/2006/relationships/hyperlink" Target="https://felix.fe.training/filing/document.php/?hid=69a993816ee3f" TargetMode="External"/><Relationship Id="rId124" Type="http://schemas.openxmlformats.org/officeDocument/2006/relationships/hyperlink" Target="https://felix.fe.training/filing/document.php/?hid=69a995dd390bb" TargetMode="External"/><Relationship Id="rId70" Type="http://schemas.openxmlformats.org/officeDocument/2006/relationships/hyperlink" Target="https://felix.fe.training/filing/document.php/?hid=69a96c00850e7" TargetMode="External"/><Relationship Id="rId91" Type="http://schemas.openxmlformats.org/officeDocument/2006/relationships/hyperlink" Target="https://felix.fe.training/filing/document.php/?hid=69a9929047105" TargetMode="External"/><Relationship Id="rId145" Type="http://schemas.openxmlformats.org/officeDocument/2006/relationships/hyperlink" Target="https://felix.fe.training/filing/document.php/?hid=69a9b6e47441b" TargetMode="External"/><Relationship Id="rId166" Type="http://schemas.openxmlformats.org/officeDocument/2006/relationships/hyperlink" Target="https://felix.fe.training/filing/document.php/?hid=69aaab3275fea" TargetMode="External"/><Relationship Id="rId187" Type="http://schemas.openxmlformats.org/officeDocument/2006/relationships/hyperlink" Target="https://felix.fe.training/filing/document.php/?hid=69aaae40df790" TargetMode="External"/><Relationship Id="rId1" Type="http://schemas.openxmlformats.org/officeDocument/2006/relationships/hyperlink" Target="https://felix.fe.training/filing/document.php/?hid=69a96984a827c" TargetMode="External"/><Relationship Id="rId212" Type="http://schemas.openxmlformats.org/officeDocument/2006/relationships/hyperlink" Target="https://felix.fe.training/filing/document.php/?hid=69aab9983710f" TargetMode="External"/><Relationship Id="rId233" Type="http://schemas.openxmlformats.org/officeDocument/2006/relationships/hyperlink" Target="https://felix.fe.training/filing/document.php/?hid=69aabb7d03c74" TargetMode="External"/><Relationship Id="rId254" Type="http://schemas.openxmlformats.org/officeDocument/2006/relationships/hyperlink" Target="https://staticctf.ubisoft.com/8aefmxkxpxwl/2jOPqNEzotGX0odqDUt5jr/57f0ba952c3be14b38ba97a02b17c119/Ent_AGM_2025.07.10_URD_GB_Interactif_def.pdf" TargetMode="External"/><Relationship Id="rId28" Type="http://schemas.openxmlformats.org/officeDocument/2006/relationships/hyperlink" Target="https://felix.fe.training/filing/document.php/?hid=69a96225d4d6c" TargetMode="External"/><Relationship Id="rId49" Type="http://schemas.openxmlformats.org/officeDocument/2006/relationships/hyperlink" Target="https://felix.fe.training/filing/document.php/?hid=69a968fdb4484" TargetMode="External"/><Relationship Id="rId114" Type="http://schemas.openxmlformats.org/officeDocument/2006/relationships/hyperlink" Target="https://felix.fe.training/filing/document.php/?hid=69a994a417529" TargetMode="External"/><Relationship Id="rId60" Type="http://schemas.openxmlformats.org/officeDocument/2006/relationships/hyperlink" Target="https://felix.fe.training/filing/document.php/?hid=69a96a20d9931" TargetMode="External"/><Relationship Id="rId81" Type="http://schemas.openxmlformats.org/officeDocument/2006/relationships/hyperlink" Target="https://felix.fe.training/filing/document.php/?hid=69a98f579a0a9" TargetMode="External"/><Relationship Id="rId135" Type="http://schemas.openxmlformats.org/officeDocument/2006/relationships/hyperlink" Target="https://felix.fe.training/filing/document.php/?hid=69a9b35f4b3d0" TargetMode="External"/><Relationship Id="rId156" Type="http://schemas.openxmlformats.org/officeDocument/2006/relationships/hyperlink" Target="https://felix.fe.training/filing/document.php/?hid=69aaa93f070bd" TargetMode="External"/><Relationship Id="rId177" Type="http://schemas.openxmlformats.org/officeDocument/2006/relationships/hyperlink" Target="https://felix.fe.training/filing/document.php/?hid=69aaabf6b16e1" TargetMode="External"/><Relationship Id="rId198" Type="http://schemas.openxmlformats.org/officeDocument/2006/relationships/hyperlink" Target="https://felix.fe.training/filing/document.php/?hid=69aaaff796ea1" TargetMode="External"/><Relationship Id="rId202" Type="http://schemas.openxmlformats.org/officeDocument/2006/relationships/hyperlink" Target="https://felix.fe.training/filing/document.php/?hid=69aab0858b8db" TargetMode="External"/><Relationship Id="rId223" Type="http://schemas.openxmlformats.org/officeDocument/2006/relationships/hyperlink" Target="https://felix.fe.training/filing/document.php/?hid=69aabafa1139d" TargetMode="External"/><Relationship Id="rId244" Type="http://schemas.openxmlformats.org/officeDocument/2006/relationships/hyperlink" Target="https://felix.fe.training/filing/document.php/?hid=69aabc79d8d3f" TargetMode="External"/><Relationship Id="rId18" Type="http://schemas.openxmlformats.org/officeDocument/2006/relationships/hyperlink" Target="https://felix.fe.training/filing/document.php/?hid=69a95f0b77754" TargetMode="External"/><Relationship Id="rId39" Type="http://schemas.openxmlformats.org/officeDocument/2006/relationships/hyperlink" Target="https://felix.fe.training/filing/document.php/?hid=69a967fb42ebe" TargetMode="External"/><Relationship Id="rId50" Type="http://schemas.openxmlformats.org/officeDocument/2006/relationships/hyperlink" Target="https://felix.fe.training/filing/document.php/?hid=69a9690284c84" TargetMode="External"/><Relationship Id="rId104" Type="http://schemas.openxmlformats.org/officeDocument/2006/relationships/hyperlink" Target="https://felix.fe.training/filing/document.php/?hid=69a9939378462" TargetMode="External"/><Relationship Id="rId125" Type="http://schemas.openxmlformats.org/officeDocument/2006/relationships/hyperlink" Target="https://felix.fe.training/filing/document.php/?hid=69a995ea323ca" TargetMode="External"/><Relationship Id="rId146" Type="http://schemas.openxmlformats.org/officeDocument/2006/relationships/hyperlink" Target="https://felix.fe.training/filing/document.php/?hid=69a9b6e47441b" TargetMode="External"/><Relationship Id="rId167" Type="http://schemas.openxmlformats.org/officeDocument/2006/relationships/hyperlink" Target="https://felix.fe.training/filing/document.php/?hid=69aaab3b2de9b" TargetMode="External"/><Relationship Id="rId188" Type="http://schemas.openxmlformats.org/officeDocument/2006/relationships/hyperlink" Target="https://felix.fe.training/filing/document.php/?hid=69aaae47740f5" TargetMode="External"/><Relationship Id="rId71" Type="http://schemas.openxmlformats.org/officeDocument/2006/relationships/hyperlink" Target="https://felix.fe.training/filing/document.php/?hid=69a96c045f6d1" TargetMode="External"/><Relationship Id="rId92" Type="http://schemas.openxmlformats.org/officeDocument/2006/relationships/hyperlink" Target="https://felix.fe.training/filing/document.php/?hid=69a992b1262bc" TargetMode="External"/><Relationship Id="rId213" Type="http://schemas.openxmlformats.org/officeDocument/2006/relationships/hyperlink" Target="https://felix.fe.training/filing/document.php/?hid=69aaba3c0f6e3" TargetMode="External"/><Relationship Id="rId234" Type="http://schemas.openxmlformats.org/officeDocument/2006/relationships/hyperlink" Target="https://felix.fe.training/filing/document.php/?hid=69aabb83caf69" TargetMode="External"/><Relationship Id="rId2" Type="http://schemas.openxmlformats.org/officeDocument/2006/relationships/hyperlink" Target="https://felix.fe.training/filing/document.php/?hid=69a969944f4bc" TargetMode="External"/><Relationship Id="rId29" Type="http://schemas.openxmlformats.org/officeDocument/2006/relationships/hyperlink" Target="https://felix.fe.training/filing/document.php/?hid=69a96453158e9" TargetMode="External"/><Relationship Id="rId255" Type="http://schemas.openxmlformats.org/officeDocument/2006/relationships/hyperlink" Target="https://felix.fe.training/filing/document.php/?hid=69aae61594808" TargetMode="External"/><Relationship Id="rId40" Type="http://schemas.openxmlformats.org/officeDocument/2006/relationships/hyperlink" Target="https://felix.fe.training/filing/document.php/?hid=69a9680c5a2a7" TargetMode="External"/><Relationship Id="rId115" Type="http://schemas.openxmlformats.org/officeDocument/2006/relationships/hyperlink" Target="https://felix.fe.training/filing/document.php/?hid=69a994c48e987" TargetMode="External"/><Relationship Id="rId136" Type="http://schemas.openxmlformats.org/officeDocument/2006/relationships/hyperlink" Target="https://felix.fe.training/filing/document.php/?hid=69a9b3731851f" TargetMode="External"/><Relationship Id="rId157" Type="http://schemas.openxmlformats.org/officeDocument/2006/relationships/hyperlink" Target="https://felix.fe.training/filing/document.php/?hid=69aaa98347efc" TargetMode="External"/><Relationship Id="rId178" Type="http://schemas.openxmlformats.org/officeDocument/2006/relationships/hyperlink" Target="https://felix.fe.training/filing/document.php/?hid=69aaabfdc9a87" TargetMode="External"/><Relationship Id="rId61" Type="http://schemas.openxmlformats.org/officeDocument/2006/relationships/hyperlink" Target="https://felix.fe.training/filing/document.php/?hid=69a96a0e61567" TargetMode="External"/><Relationship Id="rId82" Type="http://schemas.openxmlformats.org/officeDocument/2006/relationships/hyperlink" Target="https://felix.fe.training/filing/document.php/?hid=69a98f66093c5" TargetMode="External"/><Relationship Id="rId199" Type="http://schemas.openxmlformats.org/officeDocument/2006/relationships/hyperlink" Target="https://felix.fe.training/filing/document.php/?hid=69aab058bd659" TargetMode="External"/><Relationship Id="rId203" Type="http://schemas.openxmlformats.org/officeDocument/2006/relationships/hyperlink" Target="https://felix.fe.training/filing/document.php/?hid=69aab8cbedfc5" TargetMode="External"/><Relationship Id="rId19" Type="http://schemas.openxmlformats.org/officeDocument/2006/relationships/hyperlink" Target="https://felix.fe.training/filing/document.php/?hid=69a95f27ac0f2" TargetMode="External"/><Relationship Id="rId224" Type="http://schemas.openxmlformats.org/officeDocument/2006/relationships/hyperlink" Target="https://felix.fe.training/filing/document.php/?hid=69aabb01b90da" TargetMode="External"/><Relationship Id="rId245" Type="http://schemas.openxmlformats.org/officeDocument/2006/relationships/hyperlink" Target="https://felix.fe.training/filing/document.php/?hid=69aabca504620" TargetMode="External"/><Relationship Id="rId30" Type="http://schemas.openxmlformats.org/officeDocument/2006/relationships/hyperlink" Target="https://felix.fe.training/filing/document.php/?hid=69a965792691d" TargetMode="External"/><Relationship Id="rId105" Type="http://schemas.openxmlformats.org/officeDocument/2006/relationships/hyperlink" Target="https://felix.fe.training/filing/document.php/?hid=69a997ae5db67" TargetMode="External"/><Relationship Id="rId126" Type="http://schemas.openxmlformats.org/officeDocument/2006/relationships/hyperlink" Target="https://felix.fe.training/filing/document.php/?hid=69a997bceacdc" TargetMode="External"/><Relationship Id="rId147" Type="http://schemas.openxmlformats.org/officeDocument/2006/relationships/hyperlink" Target="https://felix.fe.training/filing/document.php/?hid=69a9b60632692" TargetMode="External"/><Relationship Id="rId168" Type="http://schemas.openxmlformats.org/officeDocument/2006/relationships/hyperlink" Target="https://felix.fe.training/filing/document.php/?hid=69aaab92a8b8f" TargetMode="External"/><Relationship Id="rId51" Type="http://schemas.openxmlformats.org/officeDocument/2006/relationships/hyperlink" Target="https://felix.fe.training/filing/document.php/?hid=69a9696d37715" TargetMode="External"/><Relationship Id="rId72" Type="http://schemas.openxmlformats.org/officeDocument/2006/relationships/hyperlink" Target="https://felix.fe.training/filing/document.php/?hid=69a98af47c85a" TargetMode="External"/><Relationship Id="rId93" Type="http://schemas.openxmlformats.org/officeDocument/2006/relationships/hyperlink" Target="https://felix.fe.training/filing/document.php/?hid=69a992ba8e3d0" TargetMode="External"/><Relationship Id="rId189" Type="http://schemas.openxmlformats.org/officeDocument/2006/relationships/hyperlink" Target="https://felix.fe.training/filing/document.php/?hid=69aaae563c4ab" TargetMode="External"/><Relationship Id="rId3" Type="http://schemas.openxmlformats.org/officeDocument/2006/relationships/hyperlink" Target="https://felix.fe.training/filing/document.php/?hid=69aaad12b5ff1" TargetMode="External"/><Relationship Id="rId214" Type="http://schemas.openxmlformats.org/officeDocument/2006/relationships/hyperlink" Target="https://felix.fe.training/filing/document.php/?hid=69aaba4cbf173" TargetMode="External"/><Relationship Id="rId235" Type="http://schemas.openxmlformats.org/officeDocument/2006/relationships/hyperlink" Target="https://felix.fe.training/filing/document.php/?hid=69aabb943afd8" TargetMode="External"/><Relationship Id="rId256" Type="http://schemas.openxmlformats.org/officeDocument/2006/relationships/printerSettings" Target="../printerSettings/printerSettings3.bin"/><Relationship Id="rId116" Type="http://schemas.openxmlformats.org/officeDocument/2006/relationships/hyperlink" Target="https://felix.fe.training/filing/document.php/?hid=69a994f706d19" TargetMode="External"/><Relationship Id="rId137" Type="http://schemas.openxmlformats.org/officeDocument/2006/relationships/hyperlink" Target="https://felix.fe.training/filing/document.php/?hid=69a9b379bdf43" TargetMode="External"/><Relationship Id="rId158" Type="http://schemas.openxmlformats.org/officeDocument/2006/relationships/hyperlink" Target="https://felix.fe.training/filing/document.php/?hid=69aaaa52e093a" TargetMode="External"/><Relationship Id="rId20" Type="http://schemas.openxmlformats.org/officeDocument/2006/relationships/hyperlink" Target="https://felix.fe.training/filing/document.php/?hid=67c1d428b4652" TargetMode="External"/><Relationship Id="rId41" Type="http://schemas.openxmlformats.org/officeDocument/2006/relationships/hyperlink" Target="https://felix.fe.training/filing/document.php/?hid=69a96812b3858" TargetMode="External"/><Relationship Id="rId62" Type="http://schemas.openxmlformats.org/officeDocument/2006/relationships/hyperlink" Target="https://felix.fe.training/filing/document.php/?hid=69a96ac872514" TargetMode="External"/><Relationship Id="rId83" Type="http://schemas.openxmlformats.org/officeDocument/2006/relationships/hyperlink" Target="https://felix.fe.training/filing/document.php?sec_filing=ee7a5de36caa913c6378da9ad1d566a8edf8de1e&amp;cik=0001315098" TargetMode="External"/><Relationship Id="rId179" Type="http://schemas.openxmlformats.org/officeDocument/2006/relationships/hyperlink" Target="https://felix.fe.training/filing/document.php/?hid=69aaac02337b1" TargetMode="External"/><Relationship Id="rId190" Type="http://schemas.openxmlformats.org/officeDocument/2006/relationships/hyperlink" Target="https://felix.fe.training/filing/document.php/?hid=69aaae5e33725" TargetMode="External"/><Relationship Id="rId204" Type="http://schemas.openxmlformats.org/officeDocument/2006/relationships/hyperlink" Target="https://felix.fe.training/filing/document.php/?hid=69aab8dbe62e5" TargetMode="External"/><Relationship Id="rId225" Type="http://schemas.openxmlformats.org/officeDocument/2006/relationships/hyperlink" Target="https://felix.fe.training/filing/document.php/?hid=69aabb10c619d" TargetMode="External"/><Relationship Id="rId246" Type="http://schemas.openxmlformats.org/officeDocument/2006/relationships/hyperlink" Target="https://felix.fe.training/filing/document.php/?hid=69aabcad8f8c5" TargetMode="External"/><Relationship Id="rId106" Type="http://schemas.openxmlformats.org/officeDocument/2006/relationships/hyperlink" Target="https://felix.fe.training/filing/document.php/?hid=69a993abaeb13" TargetMode="External"/><Relationship Id="rId127" Type="http://schemas.openxmlformats.org/officeDocument/2006/relationships/hyperlink" Target="https://felix.fe.training/filing/document.php/?hid=69a9981182088" TargetMode="External"/><Relationship Id="rId10" Type="http://schemas.openxmlformats.org/officeDocument/2006/relationships/hyperlink" Target="https://felix.fe.training/filing/document.php/?hid=69a95d165f73b" TargetMode="External"/><Relationship Id="rId31" Type="http://schemas.openxmlformats.org/officeDocument/2006/relationships/hyperlink" Target="https://felix.fe.training/filing/document.php/?hid=69a9670337150" TargetMode="External"/><Relationship Id="rId52" Type="http://schemas.openxmlformats.org/officeDocument/2006/relationships/hyperlink" Target="https://felix.fe.training/filing/document.php/?hid=69a96974b7cfb" TargetMode="External"/><Relationship Id="rId73" Type="http://schemas.openxmlformats.org/officeDocument/2006/relationships/hyperlink" Target="https://felix.fe.training/filing/document.php/?hid=69a98b038baee" TargetMode="External"/><Relationship Id="rId94" Type="http://schemas.openxmlformats.org/officeDocument/2006/relationships/hyperlink" Target="https://felix.fe.training/filing/document.php/?hid=69a992e126cce" TargetMode="External"/><Relationship Id="rId148" Type="http://schemas.openxmlformats.org/officeDocument/2006/relationships/hyperlink" Target="https://felix.fe.training/filing/document.php/?hid=69aa9efdb0b05" TargetMode="External"/><Relationship Id="rId169" Type="http://schemas.openxmlformats.org/officeDocument/2006/relationships/hyperlink" Target="https://felix.fe.training/filing/document.php/?hid=69aaab9882860" TargetMode="External"/><Relationship Id="rId4" Type="http://schemas.openxmlformats.org/officeDocument/2006/relationships/hyperlink" Target="https://felix.fe.training/filing/document.php/?hid=67c196e0b5052" TargetMode="External"/><Relationship Id="rId180" Type="http://schemas.openxmlformats.org/officeDocument/2006/relationships/hyperlink" Target="https://felix.fe.training/filing/document.php/?hid=69aaac0848d06" TargetMode="External"/><Relationship Id="rId215" Type="http://schemas.openxmlformats.org/officeDocument/2006/relationships/hyperlink" Target="https://felix.fe.training/filing/document.php/?hid=69aaba7f4eae4" TargetMode="External"/><Relationship Id="rId236" Type="http://schemas.openxmlformats.org/officeDocument/2006/relationships/hyperlink" Target="https://felix.fe.training/filing/document.php/?hid=69aabb9990f6c" TargetMode="External"/><Relationship Id="rId257"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hyperlink" Target="https://felix.fe.training/filing/document.php/?hid=69aae4df65670" TargetMode="External"/><Relationship Id="rId13" Type="http://schemas.openxmlformats.org/officeDocument/2006/relationships/hyperlink" Target="https://felix.fe.training/filing/document.php/?hid=69a969b76d773" TargetMode="External"/><Relationship Id="rId18" Type="http://schemas.openxmlformats.org/officeDocument/2006/relationships/hyperlink" Target="https://felix.fe.training/filing/document.php/?hid=69aaf1c2ec7b2" TargetMode="External"/><Relationship Id="rId3" Type="http://schemas.openxmlformats.org/officeDocument/2006/relationships/hyperlink" Target="https://felix.fe.training/filing/document.php/?hid=69aaea6a55122" TargetMode="External"/><Relationship Id="rId21" Type="http://schemas.openxmlformats.org/officeDocument/2006/relationships/comments" Target="../comments3.xml"/><Relationship Id="rId7" Type="http://schemas.openxmlformats.org/officeDocument/2006/relationships/hyperlink" Target="https://felix.fe.training/filing/document.php/?hid=69a96cd5b3888" TargetMode="External"/><Relationship Id="rId12" Type="http://schemas.openxmlformats.org/officeDocument/2006/relationships/hyperlink" Target="https://felix.fe.training/filing/document.php/?hid=69aae61594808" TargetMode="External"/><Relationship Id="rId17" Type="http://schemas.openxmlformats.org/officeDocument/2006/relationships/hyperlink" Target="https://felix.fe.training/filing/document.php/?hid=69aaeab4923e5" TargetMode="External"/><Relationship Id="rId2" Type="http://schemas.openxmlformats.org/officeDocument/2006/relationships/hyperlink" Target="https://felix.fe.training/filing/document.php/?hid=69a969b76d773" TargetMode="External"/><Relationship Id="rId16" Type="http://schemas.openxmlformats.org/officeDocument/2006/relationships/hyperlink" Target="https://felix.fe.training/filing/document.php/?hid=69aaea6a55122" TargetMode="External"/><Relationship Id="rId20" Type="http://schemas.openxmlformats.org/officeDocument/2006/relationships/vmlDrawing" Target="../drawings/vmlDrawing3.vml"/><Relationship Id="rId1" Type="http://schemas.openxmlformats.org/officeDocument/2006/relationships/hyperlink" Target="https://felix.fe.training/filing/document.php/?hid=69aaf1c2ec7b2" TargetMode="External"/><Relationship Id="rId6" Type="http://schemas.openxmlformats.org/officeDocument/2006/relationships/hyperlink" Target="https://felix.fe.training/filing/document.php/?hid=69a969efee5fa" TargetMode="External"/><Relationship Id="rId11" Type="http://schemas.openxmlformats.org/officeDocument/2006/relationships/hyperlink" Target="https://felix.fe.training/filing/document.php/?hid=69aae60fdecf3" TargetMode="External"/><Relationship Id="rId5" Type="http://schemas.openxmlformats.org/officeDocument/2006/relationships/hyperlink" Target="https://felix.fe.training/filing/document.php/?hid=69a969e46ba02" TargetMode="External"/><Relationship Id="rId15" Type="http://schemas.openxmlformats.org/officeDocument/2006/relationships/hyperlink" Target="https://felix.fe.training/filing/document.php/?hid=69aaea531f34d" TargetMode="External"/><Relationship Id="rId10" Type="http://schemas.openxmlformats.org/officeDocument/2006/relationships/hyperlink" Target="https://felix.fe.training/filing/document.php/?hid=69a95f27ac0f2" TargetMode="External"/><Relationship Id="rId19" Type="http://schemas.openxmlformats.org/officeDocument/2006/relationships/printerSettings" Target="../printerSettings/printerSettings4.bin"/><Relationship Id="rId4" Type="http://schemas.openxmlformats.org/officeDocument/2006/relationships/hyperlink" Target="https://felix.fe.training/filing/document.php/?hid=69aaeab4923e5" TargetMode="External"/><Relationship Id="rId9" Type="http://schemas.openxmlformats.org/officeDocument/2006/relationships/hyperlink" Target="https://felix.fe.training/filing/document.php/?hid=69a95f0b77754" TargetMode="External"/><Relationship Id="rId14" Type="http://schemas.openxmlformats.org/officeDocument/2006/relationships/hyperlink" Target="https://felix.fe.training/filing/document.php/?hid=69aaea4cd4366"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felix.fe.training/filing/document.php/?hid=69aafcb1f0870" TargetMode="External"/><Relationship Id="rId18" Type="http://schemas.openxmlformats.org/officeDocument/2006/relationships/hyperlink" Target="https://felix.fe.training/filing/document.php/?hid=69a96453158e9" TargetMode="External"/><Relationship Id="rId26" Type="http://schemas.openxmlformats.org/officeDocument/2006/relationships/hyperlink" Target="https://felix.fe.training/filing/document.php/?hid=69ab019052145" TargetMode="External"/><Relationship Id="rId39" Type="http://schemas.openxmlformats.org/officeDocument/2006/relationships/hyperlink" Target="https://felix.fe.training/filing/document.php/?hid=69ab05ed0b0e9" TargetMode="External"/><Relationship Id="rId21" Type="http://schemas.openxmlformats.org/officeDocument/2006/relationships/hyperlink" Target="https://felix.fe.training/filing/document.php/?hid=69a9670337150" TargetMode="External"/><Relationship Id="rId34" Type="http://schemas.openxmlformats.org/officeDocument/2006/relationships/hyperlink" Target="https://felix.fe.training/filing/document.php/?hid=69ab03fb1cddf" TargetMode="External"/><Relationship Id="rId42" Type="http://schemas.openxmlformats.org/officeDocument/2006/relationships/hyperlink" Target="https://felix.fe.training/filing/document.php/?hid=69ab086541bae" TargetMode="External"/><Relationship Id="rId47" Type="http://schemas.openxmlformats.org/officeDocument/2006/relationships/hyperlink" Target="https://felix.fe.training/filing/document.php/?hid=69ae804d11e67" TargetMode="External"/><Relationship Id="rId50" Type="http://schemas.openxmlformats.org/officeDocument/2006/relationships/hyperlink" Target="https://felix.fe.training/filing/document.php?sec_filing=024c60169484434dc0a547f1d24b748336534daa&amp;cik=0001315098" TargetMode="External"/><Relationship Id="rId55" Type="http://schemas.openxmlformats.org/officeDocument/2006/relationships/comments" Target="../comments4.xml"/><Relationship Id="rId7" Type="http://schemas.openxmlformats.org/officeDocument/2006/relationships/hyperlink" Target="https://felix.fe.training/filing/document.php/?hid=69aafa9745280" TargetMode="External"/><Relationship Id="rId2" Type="http://schemas.openxmlformats.org/officeDocument/2006/relationships/hyperlink" Target="https://felix.fe.training/filing/document.php/?hid=69aafa32a3890" TargetMode="External"/><Relationship Id="rId16" Type="http://schemas.openxmlformats.org/officeDocument/2006/relationships/hyperlink" Target="https://felix.fe.training/filing/document.php/?hid=67c5ba7724e5d" TargetMode="External"/><Relationship Id="rId29" Type="http://schemas.openxmlformats.org/officeDocument/2006/relationships/hyperlink" Target="https://felix.fe.training/filing/document.php/?hid=69ab01d99f863" TargetMode="External"/><Relationship Id="rId11" Type="http://schemas.openxmlformats.org/officeDocument/2006/relationships/hyperlink" Target="https://felix.fe.training/filing/document.php/?hid=69aafbd968e2c" TargetMode="External"/><Relationship Id="rId24" Type="http://schemas.openxmlformats.org/officeDocument/2006/relationships/hyperlink" Target="https://felix.fe.training/filing/document.php/?hid=69a95ed6313a8" TargetMode="External"/><Relationship Id="rId32" Type="http://schemas.openxmlformats.org/officeDocument/2006/relationships/hyperlink" Target="https://felix.fe.training/filing/document.php/?hid=69a9670337150" TargetMode="External"/><Relationship Id="rId37" Type="http://schemas.openxmlformats.org/officeDocument/2006/relationships/hyperlink" Target="https://felix.fe.training/filing/document.php/?hid=69ab05ba85ebb" TargetMode="External"/><Relationship Id="rId40" Type="http://schemas.openxmlformats.org/officeDocument/2006/relationships/hyperlink" Target="https://felix.fe.training/filing/document.php/?hid=69ab0650b6e0e" TargetMode="External"/><Relationship Id="rId45" Type="http://schemas.openxmlformats.org/officeDocument/2006/relationships/hyperlink" Target="https://felix.fe.training/filing/document.php/?hid=69a99529852fa" TargetMode="External"/><Relationship Id="rId53" Type="http://schemas.openxmlformats.org/officeDocument/2006/relationships/printerSettings" Target="../printerSettings/printerSettings5.bin"/><Relationship Id="rId5" Type="http://schemas.openxmlformats.org/officeDocument/2006/relationships/hyperlink" Target="https://felix.fe.training/filing/document.php/?hid=69aafa78087e4" TargetMode="External"/><Relationship Id="rId10" Type="http://schemas.openxmlformats.org/officeDocument/2006/relationships/hyperlink" Target="https://felix.fe.training/filing/document.php/?hid=69aafbc2b7624" TargetMode="External"/><Relationship Id="rId19" Type="http://schemas.openxmlformats.org/officeDocument/2006/relationships/hyperlink" Target="https://felix.fe.training/filing/document.php/?hid=69aaff28438da" TargetMode="External"/><Relationship Id="rId31" Type="http://schemas.openxmlformats.org/officeDocument/2006/relationships/hyperlink" Target="https://felix.fe.training/filing/document.php/?hid=69a96225d4d6c" TargetMode="External"/><Relationship Id="rId44" Type="http://schemas.openxmlformats.org/officeDocument/2006/relationships/hyperlink" Target="https://felix.fe.training/filing/document.php/?hid=69a994ffad8c5" TargetMode="External"/><Relationship Id="rId52" Type="http://schemas.openxmlformats.org/officeDocument/2006/relationships/hyperlink" Target="https://felix.fe.training/filing/document.php/?hid=69a98d259fb85" TargetMode="External"/><Relationship Id="rId4" Type="http://schemas.openxmlformats.org/officeDocument/2006/relationships/hyperlink" Target="https://felix.fe.training/filing/document.php/?hid=69aafa67cfde7" TargetMode="External"/><Relationship Id="rId9" Type="http://schemas.openxmlformats.org/officeDocument/2006/relationships/hyperlink" Target="https://felix.fe.training/filing/document.php/?hid=69aafb5a29717" TargetMode="External"/><Relationship Id="rId14" Type="http://schemas.openxmlformats.org/officeDocument/2006/relationships/hyperlink" Target="https://felix.fe.training/filing/document.php/?hid=69a95ed6313a8" TargetMode="External"/><Relationship Id="rId22" Type="http://schemas.openxmlformats.org/officeDocument/2006/relationships/hyperlink" Target="https://felix.fe.training/filing/document.php/?hid=69aafc9aaeded" TargetMode="External"/><Relationship Id="rId27" Type="http://schemas.openxmlformats.org/officeDocument/2006/relationships/hyperlink" Target="https://felix.fe.training/filing/document.php/?hid=69ab019c2a756" TargetMode="External"/><Relationship Id="rId30" Type="http://schemas.openxmlformats.org/officeDocument/2006/relationships/hyperlink" Target="https://felix.fe.training/filing/document.php/?hid=69ab0211a45c2" TargetMode="External"/><Relationship Id="rId35" Type="http://schemas.openxmlformats.org/officeDocument/2006/relationships/hyperlink" Target="https://felix.fe.training/filing/document.php/?hid=69ab04201d707" TargetMode="External"/><Relationship Id="rId43" Type="http://schemas.openxmlformats.org/officeDocument/2006/relationships/hyperlink" Target="https://felix.fe.training/filing/document.php/?hid=69a99513694dd" TargetMode="External"/><Relationship Id="rId48" Type="http://schemas.openxmlformats.org/officeDocument/2006/relationships/hyperlink" Target="https://felix.fe.training/filing/document.php/?hid=69a98f66093c5" TargetMode="External"/><Relationship Id="rId8" Type="http://schemas.openxmlformats.org/officeDocument/2006/relationships/hyperlink" Target="https://felix.fe.training/filing/document.php/?hid=69aafb26eb133" TargetMode="External"/><Relationship Id="rId51" Type="http://schemas.openxmlformats.org/officeDocument/2006/relationships/hyperlink" Target="https://felix.fe.training/filing/document.php?sec_filing=024c60169484434dc0a547f1d24b748336534daa&amp;cik=0001315098" TargetMode="External"/><Relationship Id="rId3" Type="http://schemas.openxmlformats.org/officeDocument/2006/relationships/hyperlink" Target="https://felix.fe.training/filing/document.php/?hid=69aafa49c9de4" TargetMode="External"/><Relationship Id="rId12" Type="http://schemas.openxmlformats.org/officeDocument/2006/relationships/hyperlink" Target="https://felix.fe.training/filing/document.php/?hid=69aafc9aaeded" TargetMode="External"/><Relationship Id="rId17" Type="http://schemas.openxmlformats.org/officeDocument/2006/relationships/hyperlink" Target="https://felix.fe.training/filing/document.php/?hid=69a96225d4d6c" TargetMode="External"/><Relationship Id="rId25" Type="http://schemas.openxmlformats.org/officeDocument/2006/relationships/hyperlink" Target="https://felix.fe.training/filing/document.php/?hid=67c5b65a62cbb" TargetMode="External"/><Relationship Id="rId33" Type="http://schemas.openxmlformats.org/officeDocument/2006/relationships/hyperlink" Target="https://felix.fe.training/filing/document.php/?hid=69ab03dc043d7" TargetMode="External"/><Relationship Id="rId38" Type="http://schemas.openxmlformats.org/officeDocument/2006/relationships/hyperlink" Target="https://felix.fe.training/filing/document.php/?hid=69ab05c954d9a" TargetMode="External"/><Relationship Id="rId46" Type="http://schemas.openxmlformats.org/officeDocument/2006/relationships/hyperlink" Target="https://felix.fe.training/filing/document.php/?hid=69ae800734e3f" TargetMode="External"/><Relationship Id="rId20" Type="http://schemas.openxmlformats.org/officeDocument/2006/relationships/hyperlink" Target="https://felix.fe.training/filing/document.php/?hid=69aaff2d216d0" TargetMode="External"/><Relationship Id="rId41" Type="http://schemas.openxmlformats.org/officeDocument/2006/relationships/hyperlink" Target="https://felix.fe.training/filing/document.php/?hid=69ab083270293" TargetMode="External"/><Relationship Id="rId54" Type="http://schemas.openxmlformats.org/officeDocument/2006/relationships/vmlDrawing" Target="../drawings/vmlDrawing4.vml"/><Relationship Id="rId1" Type="http://schemas.openxmlformats.org/officeDocument/2006/relationships/hyperlink" Target="https://felix.fe.training/filing/document.php/?hid=69ae80735ffc0" TargetMode="External"/><Relationship Id="rId6" Type="http://schemas.openxmlformats.org/officeDocument/2006/relationships/hyperlink" Target="https://felix.fe.training/filing/document.php/?hid=69aafa8a658fc" TargetMode="External"/><Relationship Id="rId15" Type="http://schemas.openxmlformats.org/officeDocument/2006/relationships/hyperlink" Target="https://felix.fe.training/filing/document.php/?hid=67c5b65a62cbb" TargetMode="External"/><Relationship Id="rId23" Type="http://schemas.openxmlformats.org/officeDocument/2006/relationships/hyperlink" Target="https://felix.fe.training/filing/document.php/?hid=69aafcb1f0870" TargetMode="External"/><Relationship Id="rId28" Type="http://schemas.openxmlformats.org/officeDocument/2006/relationships/hyperlink" Target="https://felix.fe.training/filing/document.php/?hid=69ab01c63e871" TargetMode="External"/><Relationship Id="rId36" Type="http://schemas.openxmlformats.org/officeDocument/2006/relationships/hyperlink" Target="https://felix.fe.training/filing/document.php/?hid=69ab05a1a3207" TargetMode="External"/><Relationship Id="rId49" Type="http://schemas.openxmlformats.org/officeDocument/2006/relationships/hyperlink" Target="https://felix.fe.training/filing/document.php/?hid=69a98f66093c5"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felix.fe.training/filing/document.php/?hid=69aafbd968e2c" TargetMode="External"/><Relationship Id="rId13" Type="http://schemas.openxmlformats.org/officeDocument/2006/relationships/hyperlink" Target="https://felix.fe.training/filing/document.php/?hid=69aafa9745280" TargetMode="External"/><Relationship Id="rId18" Type="http://schemas.openxmlformats.org/officeDocument/2006/relationships/hyperlink" Target="https://felix.fe.training/filing/document.php/?hid=69aafc9aaeded" TargetMode="External"/><Relationship Id="rId26" Type="http://schemas.openxmlformats.org/officeDocument/2006/relationships/vmlDrawing" Target="../drawings/vmlDrawing5.vml"/><Relationship Id="rId3" Type="http://schemas.openxmlformats.org/officeDocument/2006/relationships/hyperlink" Target="https://felix.fe.training/filing/document.php/?hid=69a96a0e61567" TargetMode="External"/><Relationship Id="rId21" Type="http://schemas.openxmlformats.org/officeDocument/2006/relationships/hyperlink" Target="https://felix.fe.training/filing/document.php/?hid=69a96225d4d6c" TargetMode="External"/><Relationship Id="rId7" Type="http://schemas.openxmlformats.org/officeDocument/2006/relationships/hyperlink" Target="https://felix.fe.training/filing/document.php/?hid=69aafbc2b7624" TargetMode="External"/><Relationship Id="rId12" Type="http://schemas.openxmlformats.org/officeDocument/2006/relationships/hyperlink" Target="https://felix.fe.training/filing/document.php/?hid=69aafa8a658fc" TargetMode="External"/><Relationship Id="rId17" Type="http://schemas.openxmlformats.org/officeDocument/2006/relationships/hyperlink" Target="https://felix.fe.training/filing/document.php/?hid=69ae8b44c7cd9" TargetMode="External"/><Relationship Id="rId25" Type="http://schemas.openxmlformats.org/officeDocument/2006/relationships/printerSettings" Target="../printerSettings/printerSettings6.bin"/><Relationship Id="rId2" Type="http://schemas.openxmlformats.org/officeDocument/2006/relationships/hyperlink" Target="https://felix.fe.training/filing/document.php/?hid=69aafa32a3890" TargetMode="External"/><Relationship Id="rId16" Type="http://schemas.openxmlformats.org/officeDocument/2006/relationships/hyperlink" Target="https://felix.fe.training/filing/document.php/?hid=69a95d165f73b" TargetMode="External"/><Relationship Id="rId20" Type="http://schemas.openxmlformats.org/officeDocument/2006/relationships/hyperlink" Target="https://felix.fe.training/filing/document.php/?hid=69a96453158e9" TargetMode="External"/><Relationship Id="rId1" Type="http://schemas.openxmlformats.org/officeDocument/2006/relationships/hyperlink" Target="https://felix.fe.training/filing/document.php/?hid=69a96c045f6d1" TargetMode="External"/><Relationship Id="rId6" Type="http://schemas.openxmlformats.org/officeDocument/2006/relationships/hyperlink" Target="https://felix.fe.training/filing/document.php/?hid=69ae868946c64" TargetMode="External"/><Relationship Id="rId11" Type="http://schemas.openxmlformats.org/officeDocument/2006/relationships/hyperlink" Target="https://felix.fe.training/filing/document.php/?hid=69aafa78087e4" TargetMode="External"/><Relationship Id="rId24" Type="http://schemas.openxmlformats.org/officeDocument/2006/relationships/hyperlink" Target="https://felix.fe.training/filing/document.php/?hid=69a96bf887546" TargetMode="External"/><Relationship Id="rId5" Type="http://schemas.openxmlformats.org/officeDocument/2006/relationships/hyperlink" Target="https://felix.fe.training/filing/document.php/?hid=69aafb5a29717" TargetMode="External"/><Relationship Id="rId15" Type="http://schemas.openxmlformats.org/officeDocument/2006/relationships/hyperlink" Target="https://felix.fe.training/filing/document.php/?hid=69ae8b1a3144e" TargetMode="External"/><Relationship Id="rId23" Type="http://schemas.openxmlformats.org/officeDocument/2006/relationships/hyperlink" Target="https://felix.fe.training/filing/document.php/?hid=67c5b65a62cbb" TargetMode="External"/><Relationship Id="rId10" Type="http://schemas.openxmlformats.org/officeDocument/2006/relationships/hyperlink" Target="https://felix.fe.training/filing/document.php/?hid=69aafa67cfde7" TargetMode="External"/><Relationship Id="rId19" Type="http://schemas.openxmlformats.org/officeDocument/2006/relationships/hyperlink" Target="https://felix.fe.training/filing/document.php/?hid=69aafcb1f0870" TargetMode="External"/><Relationship Id="rId4" Type="http://schemas.openxmlformats.org/officeDocument/2006/relationships/hyperlink" Target="https://felix.fe.training/filing/document.php/?hid=69a96a1b88ec1" TargetMode="External"/><Relationship Id="rId9" Type="http://schemas.openxmlformats.org/officeDocument/2006/relationships/hyperlink" Target="https://felix.fe.training/filing/document.php/?hid=69aafa49c9de4" TargetMode="External"/><Relationship Id="rId14" Type="http://schemas.openxmlformats.org/officeDocument/2006/relationships/hyperlink" Target="https://felix.fe.training/filing/document.php/?hid=69ae871319e6b" TargetMode="External"/><Relationship Id="rId22" Type="http://schemas.openxmlformats.org/officeDocument/2006/relationships/hyperlink" Target="https://felix.fe.training/filing/document.php/?hid=67c5ba7724e5d" TargetMode="External"/><Relationship Id="rId27"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hyperlink" Target="https://felix.fe.training/filing/document.php/?hid=69a99513694dd" TargetMode="External"/><Relationship Id="rId13" Type="http://schemas.openxmlformats.org/officeDocument/2006/relationships/hyperlink" Target="https://felix.fe.training/filing/document.php/?hid=69ab05c954d9a" TargetMode="External"/><Relationship Id="rId18" Type="http://schemas.openxmlformats.org/officeDocument/2006/relationships/hyperlink" Target="https://felix.fe.training/filing/document.php/?hid=69a98b038baee" TargetMode="External"/><Relationship Id="rId3" Type="http://schemas.openxmlformats.org/officeDocument/2006/relationships/hyperlink" Target="https://felix.fe.training/filing/document.php/?hid=69ab05a1a3207" TargetMode="External"/><Relationship Id="rId21" Type="http://schemas.openxmlformats.org/officeDocument/2006/relationships/hyperlink" Target="https://felix.fe.training/filing/document.php?sec_filing=024c60169484434dc0a547f1d24b748336534daa&amp;cik=0001315098" TargetMode="External"/><Relationship Id="rId7" Type="http://schemas.openxmlformats.org/officeDocument/2006/relationships/hyperlink" Target="https://felix.fe.training/filing/document.php/?hid=69ae804d11e67" TargetMode="External"/><Relationship Id="rId12" Type="http://schemas.openxmlformats.org/officeDocument/2006/relationships/hyperlink" Target="https://felix.fe.training/filing/document.php/?hid=69ab05ba85ebb" TargetMode="External"/><Relationship Id="rId17" Type="http://schemas.openxmlformats.org/officeDocument/2006/relationships/hyperlink" Target="https://felix.fe.training/filing/document.php/?hid=69ab086541bae" TargetMode="External"/><Relationship Id="rId25" Type="http://schemas.openxmlformats.org/officeDocument/2006/relationships/comments" Target="../comments6.xml"/><Relationship Id="rId2" Type="http://schemas.openxmlformats.org/officeDocument/2006/relationships/hyperlink" Target="https://felix.fe.training/filing/document.php/?hid=67c597e16a31f" TargetMode="External"/><Relationship Id="rId16" Type="http://schemas.openxmlformats.org/officeDocument/2006/relationships/hyperlink" Target="https://felix.fe.training/filing/document.php/?hid=69ab083270293" TargetMode="External"/><Relationship Id="rId20" Type="http://schemas.openxmlformats.org/officeDocument/2006/relationships/hyperlink" Target="https://felix.fe.training/filing/document.php/?hid=69a98d259fb85" TargetMode="External"/><Relationship Id="rId1" Type="http://schemas.openxmlformats.org/officeDocument/2006/relationships/hyperlink" Target="https://felix.fe.training/filing-document/?hid=641052334b4a1" TargetMode="External"/><Relationship Id="rId6" Type="http://schemas.openxmlformats.org/officeDocument/2006/relationships/hyperlink" Target="https://felix.fe.training/filing/document.php/?hid=69a994ffad8c5" TargetMode="External"/><Relationship Id="rId11" Type="http://schemas.openxmlformats.org/officeDocument/2006/relationships/hyperlink" Target="https://felix.fe.training/filing/document.php/?hid=69ae80735ffc0" TargetMode="External"/><Relationship Id="rId24" Type="http://schemas.openxmlformats.org/officeDocument/2006/relationships/vmlDrawing" Target="../drawings/vmlDrawing6.vml"/><Relationship Id="rId5" Type="http://schemas.openxmlformats.org/officeDocument/2006/relationships/hyperlink" Target="https://felix.fe.training/filing/document.php/?hid=69a997bceacdc" TargetMode="External"/><Relationship Id="rId15" Type="http://schemas.openxmlformats.org/officeDocument/2006/relationships/hyperlink" Target="https://felix.fe.training/filing/document.php/?hid=69ab0650b6e0e" TargetMode="External"/><Relationship Id="rId23" Type="http://schemas.openxmlformats.org/officeDocument/2006/relationships/printerSettings" Target="../printerSettings/printerSettings7.bin"/><Relationship Id="rId10" Type="http://schemas.openxmlformats.org/officeDocument/2006/relationships/hyperlink" Target="https://felix.fe.training/filing/document.php/?hid=69ae800734e3f" TargetMode="External"/><Relationship Id="rId19" Type="http://schemas.openxmlformats.org/officeDocument/2006/relationships/hyperlink" Target="https://felix.fe.training/filing/document.php/?hid=69a98f66093c5" TargetMode="External"/><Relationship Id="rId4" Type="http://schemas.openxmlformats.org/officeDocument/2006/relationships/hyperlink" Target="https://felix.fe.training/filing/document.php/?hid=69a995732daf0" TargetMode="External"/><Relationship Id="rId9" Type="http://schemas.openxmlformats.org/officeDocument/2006/relationships/hyperlink" Target="https://felix.fe.training/filing/document.php/?hid=69a99529852fa" TargetMode="External"/><Relationship Id="rId14" Type="http://schemas.openxmlformats.org/officeDocument/2006/relationships/hyperlink" Target="https://felix.fe.training/filing/document.php/?hid=69ab05ed0b0e9" TargetMode="External"/><Relationship Id="rId22" Type="http://schemas.openxmlformats.org/officeDocument/2006/relationships/hyperlink" Target="https://felix.fe.training/filing/document.php/?hid=69a995ea323ca" TargetMode="Externa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
  <sheetViews>
    <sheetView workbookViewId="0">
      <selection sqref="A1:N1"/>
    </sheetView>
  </sheetViews>
  <sheetFormatPr defaultColWidth="12.5703125" defaultRowHeight="15" customHeight="1" x14ac:dyDescent="0.25"/>
  <cols>
    <col min="1" max="1" width="8.5703125" customWidth="1"/>
    <col min="2" max="13" width="8" customWidth="1"/>
    <col min="14" max="14" width="8.5703125" customWidth="1"/>
    <col min="15" max="26" width="8" customWidth="1"/>
  </cols>
  <sheetData>
    <row r="1" spans="1:26" ht="189.75" customHeight="1" x14ac:dyDescent="0.45">
      <c r="A1" s="296"/>
      <c r="B1" s="296"/>
      <c r="C1" s="296"/>
      <c r="D1" s="296"/>
      <c r="E1" s="296"/>
      <c r="F1" s="296"/>
      <c r="G1" s="296"/>
      <c r="H1" s="296"/>
      <c r="I1" s="296"/>
      <c r="J1" s="296"/>
      <c r="K1" s="296"/>
      <c r="L1" s="296"/>
      <c r="M1" s="296"/>
      <c r="N1" s="296"/>
      <c r="V1" s="3"/>
      <c r="W1" s="3"/>
      <c r="X1" s="3"/>
      <c r="Y1" s="3"/>
      <c r="Z1" s="3"/>
    </row>
    <row r="2" spans="1:26" ht="75" customHeight="1" x14ac:dyDescent="0.25">
      <c r="A2" s="297" t="s">
        <v>0</v>
      </c>
      <c r="B2" s="295"/>
      <c r="C2" s="295"/>
      <c r="D2" s="295"/>
      <c r="E2" s="295"/>
      <c r="F2" s="295"/>
      <c r="G2" s="295"/>
      <c r="H2" s="295"/>
      <c r="I2" s="295"/>
      <c r="J2" s="295"/>
      <c r="K2" s="295"/>
      <c r="L2" s="295"/>
      <c r="M2" s="295"/>
      <c r="N2" s="295"/>
      <c r="V2" s="4"/>
      <c r="W2" s="4"/>
      <c r="X2" s="4"/>
      <c r="Y2" s="4"/>
      <c r="Z2" s="4"/>
    </row>
    <row r="3" spans="1:26" ht="7.5" customHeight="1" x14ac:dyDescent="0.25">
      <c r="A3" s="5"/>
      <c r="B3" s="6"/>
      <c r="C3" s="6"/>
      <c r="D3" s="5"/>
      <c r="E3" s="5"/>
      <c r="F3" s="7"/>
      <c r="G3" s="7"/>
      <c r="H3" s="7"/>
      <c r="I3" s="7"/>
      <c r="J3" s="7"/>
      <c r="K3" s="7"/>
      <c r="L3" s="5"/>
      <c r="M3" s="5"/>
      <c r="N3" s="5"/>
      <c r="V3" s="5"/>
      <c r="W3" s="5"/>
      <c r="X3" s="5"/>
      <c r="Y3" s="5"/>
      <c r="Z3" s="5"/>
    </row>
    <row r="4" spans="1:26" ht="15" customHeight="1" x14ac:dyDescent="0.25">
      <c r="A4" s="81"/>
      <c r="B4" s="82"/>
      <c r="C4" s="298"/>
      <c r="D4" s="295"/>
      <c r="E4" s="83"/>
      <c r="F4" s="84"/>
      <c r="G4" s="84"/>
      <c r="H4" s="84"/>
      <c r="I4" s="84"/>
      <c r="J4" s="84"/>
      <c r="K4" s="84"/>
      <c r="L4" s="83"/>
      <c r="M4" s="83"/>
      <c r="N4" s="83"/>
      <c r="V4" s="5"/>
      <c r="W4" s="5"/>
      <c r="X4" s="5"/>
      <c r="Y4" s="5"/>
      <c r="Z4" s="5"/>
    </row>
    <row r="5" spans="1:26" ht="15" customHeight="1" x14ac:dyDescent="0.25">
      <c r="A5" s="299" t="s">
        <v>1</v>
      </c>
      <c r="B5" s="295"/>
      <c r="C5" s="295"/>
      <c r="D5" s="295"/>
      <c r="E5" s="295"/>
      <c r="F5" s="295"/>
      <c r="G5" s="295"/>
      <c r="H5" s="295"/>
      <c r="I5" s="295"/>
      <c r="J5" s="295"/>
      <c r="K5" s="295"/>
      <c r="L5" s="295"/>
      <c r="M5" s="295"/>
      <c r="N5" s="295"/>
      <c r="V5" s="5"/>
      <c r="W5" s="5"/>
      <c r="X5" s="5"/>
      <c r="Y5" s="5"/>
      <c r="Z5" s="5"/>
    </row>
    <row r="6" spans="1:26" ht="15" customHeight="1" x14ac:dyDescent="0.25">
      <c r="A6" s="295"/>
      <c r="B6" s="295"/>
      <c r="C6" s="295"/>
      <c r="D6" s="295"/>
      <c r="E6" s="295"/>
      <c r="F6" s="295"/>
      <c r="G6" s="295"/>
      <c r="H6" s="295"/>
      <c r="I6" s="295"/>
      <c r="J6" s="295"/>
      <c r="K6" s="295"/>
      <c r="L6" s="295"/>
      <c r="M6" s="295"/>
      <c r="N6" s="295"/>
      <c r="V6" s="5"/>
      <c r="W6" s="5"/>
      <c r="X6" s="5"/>
      <c r="Y6" s="5"/>
      <c r="Z6" s="5"/>
    </row>
    <row r="7" spans="1:26" ht="15" customHeight="1" x14ac:dyDescent="0.25">
      <c r="A7" s="299" t="str">
        <f ca="1">"© "&amp;YEAR(TODAY())&amp;" Financial Edge Training"</f>
        <v>© 2026 Financial Edge Training</v>
      </c>
      <c r="B7" s="295"/>
      <c r="C7" s="295"/>
      <c r="D7" s="295"/>
      <c r="E7" s="295"/>
      <c r="F7" s="295"/>
      <c r="G7" s="295"/>
      <c r="H7" s="295"/>
      <c r="I7" s="295"/>
      <c r="J7" s="295"/>
      <c r="K7" s="295"/>
      <c r="L7" s="295"/>
      <c r="M7" s="295"/>
      <c r="N7" s="295"/>
      <c r="V7" s="5"/>
      <c r="W7" s="5"/>
      <c r="X7" s="5"/>
      <c r="Y7" s="5"/>
      <c r="Z7" s="5"/>
    </row>
    <row r="8" spans="1:26" ht="15" customHeight="1" x14ac:dyDescent="0.25">
      <c r="A8" s="294" t="s">
        <v>2</v>
      </c>
      <c r="B8" s="295"/>
      <c r="C8" s="295"/>
      <c r="D8" s="295"/>
      <c r="E8" s="295"/>
      <c r="F8" s="295"/>
      <c r="G8" s="295"/>
      <c r="H8" s="295"/>
      <c r="I8" s="295"/>
      <c r="J8" s="295"/>
      <c r="K8" s="295"/>
      <c r="L8" s="295"/>
      <c r="M8" s="295"/>
      <c r="N8" s="295"/>
      <c r="V8" s="5"/>
      <c r="W8" s="5"/>
      <c r="X8" s="5"/>
      <c r="Y8" s="5"/>
      <c r="Z8" s="5"/>
    </row>
    <row r="9" spans="1:26" ht="15" customHeight="1" x14ac:dyDescent="0.25">
      <c r="A9" s="8"/>
      <c r="B9" s="9"/>
      <c r="C9" s="8"/>
      <c r="D9" s="8"/>
      <c r="E9" s="10"/>
      <c r="F9" s="11"/>
      <c r="G9" s="11"/>
      <c r="H9" s="11"/>
      <c r="I9" s="11"/>
      <c r="J9" s="11"/>
      <c r="K9" s="11"/>
      <c r="L9" s="10"/>
      <c r="M9" s="10"/>
      <c r="N9" s="10"/>
      <c r="V9" s="5"/>
      <c r="W9" s="5"/>
      <c r="X9" s="5"/>
      <c r="Y9" s="5"/>
      <c r="Z9" s="5"/>
    </row>
  </sheetData>
  <mergeCells count="6">
    <mergeCell ref="A8:N8"/>
    <mergeCell ref="A1:N1"/>
    <mergeCell ref="A2:N2"/>
    <mergeCell ref="C4:D4"/>
    <mergeCell ref="A5:N6"/>
    <mergeCell ref="A7:N7"/>
  </mergeCells>
  <hyperlinks>
    <hyperlink ref="A8" r:id="rId1" xr:uid="{00000000-0004-0000-0100-000000000000}"/>
  </hyperlinks>
  <pageMargins left="0.7" right="0.7" top="0.75" bottom="0.75" header="0" footer="0"/>
  <pageSetup paperSize="9" scale="98" orientation="landscape" r:id="rId2"/>
  <headerFooter>
    <oddHeader>&amp;R&amp;F  &amp;A</oddHeader>
    <oddFooter>&amp;L© 2019&amp;CPage &amp;P of</oddFooter>
  </headerFooter>
  <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7"/>
    <pageSetUpPr fitToPage="1"/>
  </sheetPr>
  <dimension ref="A1:O31"/>
  <sheetViews>
    <sheetView workbookViewId="0"/>
  </sheetViews>
  <sheetFormatPr defaultColWidth="12.5703125" defaultRowHeight="15" customHeight="1" x14ac:dyDescent="0.25"/>
  <cols>
    <col min="1" max="1" width="1.5703125" customWidth="1"/>
    <col min="2" max="2" width="9.5703125" customWidth="1"/>
    <col min="3" max="3" width="28" bestFit="1" customWidth="1"/>
    <col min="4" max="15" width="10.5703125" customWidth="1"/>
  </cols>
  <sheetData>
    <row r="1" spans="1:15" ht="45" customHeight="1" x14ac:dyDescent="0.45">
      <c r="A1" s="68" t="str">
        <f>"Weighted average cost of capital for "&amp;Info!N5</f>
        <v>Weighted average cost of capital for Electronic Arts</v>
      </c>
      <c r="B1" s="100"/>
      <c r="C1" s="64"/>
      <c r="D1" s="64"/>
      <c r="E1" s="64"/>
      <c r="F1" s="64"/>
      <c r="G1" s="64"/>
      <c r="H1" s="64"/>
      <c r="I1" s="64"/>
      <c r="J1" s="64"/>
      <c r="K1" s="64"/>
      <c r="L1" s="64"/>
      <c r="M1" s="64"/>
      <c r="N1" s="64"/>
      <c r="O1" s="64"/>
    </row>
    <row r="2" spans="1:15" ht="15.75" customHeight="1" x14ac:dyDescent="0.25">
      <c r="A2" s="2" t="s">
        <v>501</v>
      </c>
    </row>
    <row r="3" spans="1:15" ht="15.75" customHeight="1" x14ac:dyDescent="0.25">
      <c r="A3" s="16"/>
    </row>
    <row r="4" spans="1:15" ht="15.75" customHeight="1" x14ac:dyDescent="0.25">
      <c r="A4" s="14"/>
      <c r="C4" s="129"/>
      <c r="D4" s="72"/>
      <c r="E4" s="65"/>
      <c r="F4" s="72" t="s">
        <v>349</v>
      </c>
      <c r="G4" s="72" t="s">
        <v>393</v>
      </c>
      <c r="H4" s="72" t="s">
        <v>394</v>
      </c>
      <c r="I4" s="72" t="s">
        <v>395</v>
      </c>
      <c r="J4" s="72"/>
      <c r="K4" s="72" t="s">
        <v>502</v>
      </c>
      <c r="L4" s="72" t="s">
        <v>502</v>
      </c>
      <c r="M4" s="72" t="s">
        <v>503</v>
      </c>
    </row>
    <row r="5" spans="1:15" ht="15.75" customHeight="1" x14ac:dyDescent="0.25">
      <c r="A5" s="14"/>
      <c r="C5" s="65" t="s">
        <v>396</v>
      </c>
      <c r="D5" s="72" t="s">
        <v>288</v>
      </c>
      <c r="E5" s="65" t="s">
        <v>398</v>
      </c>
      <c r="F5" s="72" t="s">
        <v>255</v>
      </c>
      <c r="G5" s="72" t="s">
        <v>403</v>
      </c>
      <c r="H5" s="72" t="s">
        <v>315</v>
      </c>
      <c r="I5" s="72" t="s">
        <v>404</v>
      </c>
      <c r="J5" s="72" t="s">
        <v>504</v>
      </c>
      <c r="K5" s="72" t="s">
        <v>505</v>
      </c>
      <c r="L5" s="72" t="s">
        <v>166</v>
      </c>
      <c r="M5" s="72" t="s">
        <v>315</v>
      </c>
    </row>
    <row r="6" spans="1:15" ht="15.75" customHeight="1" x14ac:dyDescent="0.25"/>
    <row r="7" spans="1:15" ht="15.75" customHeight="1" x14ac:dyDescent="0.25">
      <c r="A7" s="14"/>
      <c r="B7" s="13">
        <v>6</v>
      </c>
      <c r="C7" s="44" t="str">
        <f ca="1">OFFSET(Trading_comps!C$8,WACC!$B7,)</f>
        <v>NEXON</v>
      </c>
      <c r="D7" s="44" t="str">
        <f ca="1">OFFSET(Trading_comps!AK$8,WACC!$B7,)</f>
        <v>3659-JP</v>
      </c>
      <c r="E7" s="44">
        <f ca="1">OFFSET(Trading_comps!G$8,WACC!$B7,)</f>
        <v>14968.87048</v>
      </c>
      <c r="F7" s="44">
        <f ca="1">OFFSET(Trading_comps!AJ$8,WACC!$B7,)</f>
        <v>263.3</v>
      </c>
      <c r="G7" s="44">
        <f ca="1">OFFSET(Trading_comps!AG$8,WACC!$B7,)</f>
        <v>0.26225099601593627</v>
      </c>
      <c r="H7" s="44">
        <f ca="1">OFFSET(Trading_comps!AH$8,WACC!$B7,)</f>
        <v>0.95505300000000004</v>
      </c>
      <c r="I7" s="44" t="str">
        <f ca="1">OFFSET(Trading_comps!AI$8,WACC!$B7,)</f>
        <v>N/A</v>
      </c>
      <c r="J7" s="56">
        <v>0.27500000000000002</v>
      </c>
      <c r="K7" s="128">
        <f ca="1">F7/(E7+F7)</f>
        <v>1.7285783424346234E-2</v>
      </c>
      <c r="L7" s="128">
        <f ca="1">F7/E7</f>
        <v>1.7589837546647009E-2</v>
      </c>
      <c r="M7" s="137">
        <f ca="1">H7/(1+(1-J7)*L7)</f>
        <v>0.94302692445759062</v>
      </c>
      <c r="N7" s="44"/>
      <c r="O7" s="44"/>
    </row>
    <row r="8" spans="1:15" ht="15.75" customHeight="1" x14ac:dyDescent="0.25">
      <c r="A8" s="14"/>
      <c r="B8" s="13">
        <v>4</v>
      </c>
      <c r="C8" s="44" t="str">
        <f ca="1">OFFSET(Trading_comps!C$8,WACC!$B8,)</f>
        <v>Take-Two Interactive</v>
      </c>
      <c r="D8" s="44" t="str">
        <f ca="1">OFFSET(Trading_comps!AK$8,WACC!$B8,)</f>
        <v>TTWO-US</v>
      </c>
      <c r="E8" s="44">
        <f ca="1">OFFSET(Trading_comps!G$8,WACC!$B8,)</f>
        <v>41489.895357000001</v>
      </c>
      <c r="F8" s="44">
        <f ca="1">OFFSET(Trading_comps!AJ$8,WACC!$B8,)</f>
        <v>3069.1999510000001</v>
      </c>
      <c r="G8" s="44">
        <f ca="1">OFFSET(Trading_comps!AG$8,WACC!$B8,)</f>
        <v>5.4709446541889486</v>
      </c>
      <c r="H8" s="44">
        <f ca="1">OFFSET(Trading_comps!AH$8,WACC!$B8,)</f>
        <v>0.84088099999999999</v>
      </c>
      <c r="I8" s="44" t="str">
        <f ca="1">OFFSET(Trading_comps!AI$8,WACC!$B8,)</f>
        <v>BBB</v>
      </c>
      <c r="J8" s="56">
        <v>0.219</v>
      </c>
      <c r="K8" s="128">
        <f ca="1">F8/(E8+F8)</f>
        <v>6.8879314756845278E-2</v>
      </c>
      <c r="L8" s="128">
        <f ca="1">F8/E8</f>
        <v>7.3974637067436649E-2</v>
      </c>
      <c r="M8" s="137">
        <f ca="1">H8/(1+(1-J8)*L8)</f>
        <v>0.79495322037313687</v>
      </c>
      <c r="N8" s="44"/>
      <c r="O8" s="44"/>
    </row>
    <row r="9" spans="1:15" ht="15.75" customHeight="1" x14ac:dyDescent="0.25">
      <c r="A9" s="14"/>
      <c r="B9" s="13">
        <v>7</v>
      </c>
      <c r="C9" s="44" t="str">
        <f ca="1">OFFSET(Trading_comps!C$8,WACC!$B9,)</f>
        <v>Capcom</v>
      </c>
      <c r="D9" s="44" t="str">
        <f ca="1">OFFSET(Trading_comps!AK$8,WACC!$B9,)</f>
        <v>9697-JP</v>
      </c>
      <c r="E9" s="44">
        <f ca="1">OFFSET(Trading_comps!G$8,WACC!$B9,)</f>
        <v>8978.0080099999996</v>
      </c>
      <c r="F9" s="44">
        <f ca="1">OFFSET(Trading_comps!AJ$8,WACC!$B9,)</f>
        <v>0</v>
      </c>
      <c r="G9" s="44">
        <f ca="1">OFFSET(Trading_comps!AG$8,WACC!$B9,)</f>
        <v>0</v>
      </c>
      <c r="H9" s="44">
        <f ca="1">OFFSET(Trading_comps!AH$8,WACC!$B9,)</f>
        <v>0.64294499999999999</v>
      </c>
      <c r="I9" s="44" t="str">
        <f ca="1">OFFSET(Trading_comps!AI$8,WACC!$B9,)</f>
        <v>N/A</v>
      </c>
      <c r="J9" s="56">
        <v>0.23200000000000001</v>
      </c>
      <c r="K9" s="128">
        <f ca="1">F9/(E9+F9)</f>
        <v>0</v>
      </c>
      <c r="L9" s="128">
        <f ca="1">F9/E9</f>
        <v>0</v>
      </c>
      <c r="M9" s="137">
        <f ca="1">H9/(1+(1-J9)*L9)</f>
        <v>0.64294499999999999</v>
      </c>
      <c r="N9" s="44"/>
      <c r="O9" s="44"/>
    </row>
    <row r="10" spans="1:15" ht="15.75" customHeight="1" x14ac:dyDescent="0.25">
      <c r="A10" s="14"/>
      <c r="B10" s="13">
        <v>8</v>
      </c>
      <c r="C10" s="44" t="str">
        <f ca="1">OFFSET(Trading_comps!C$8,WACC!$B10,)</f>
        <v>KONAMI Group</v>
      </c>
      <c r="D10" s="44" t="str">
        <f ca="1">OFFSET(Trading_comps!AK$8,WACC!$B10,)</f>
        <v>9766-JP</v>
      </c>
      <c r="E10" s="44">
        <f ca="1">OFFSET(Trading_comps!G$8,WACC!$B10,)</f>
        <v>17246.298728000002</v>
      </c>
      <c r="F10" s="44">
        <f ca="1">OFFSET(Trading_comps!AJ$8,WACC!$B10,)</f>
        <v>254.74496500000001</v>
      </c>
      <c r="G10" s="44">
        <f ca="1">OFFSET(Trading_comps!AG$8,WACC!$B10,)</f>
        <v>0.30218857058125742</v>
      </c>
      <c r="H10" s="44">
        <f ca="1">OFFSET(Trading_comps!AH$8,WACC!$B10,)</f>
        <v>0.55764000000000002</v>
      </c>
      <c r="I10" s="44" t="str">
        <f ca="1">OFFSET(Trading_comps!AI$8,WACC!$B10,)</f>
        <v>N/A</v>
      </c>
      <c r="J10" s="56">
        <v>0.23200000000000001</v>
      </c>
      <c r="K10" s="128">
        <f ca="1">F10/(E10+F10)</f>
        <v>1.4555987029613089E-2</v>
      </c>
      <c r="L10" s="128">
        <f ca="1">F10/E10</f>
        <v>1.4770993418223249E-2</v>
      </c>
      <c r="M10" s="137">
        <f ca="1">H10/(1+(1-J10)*L10)</f>
        <v>0.55138502053689042</v>
      </c>
      <c r="N10" s="44"/>
      <c r="O10" s="44"/>
    </row>
    <row r="11" spans="1:15" ht="15.75" customHeight="1" x14ac:dyDescent="0.25">
      <c r="A11" s="14"/>
      <c r="B11" s="13"/>
      <c r="C11" s="44"/>
      <c r="D11" s="44"/>
      <c r="E11" s="137"/>
      <c r="F11" s="44"/>
      <c r="G11" s="113"/>
      <c r="H11" s="137"/>
      <c r="I11" s="44"/>
      <c r="J11" s="128"/>
      <c r="K11" s="128"/>
      <c r="L11" s="128"/>
      <c r="M11" s="137"/>
      <c r="N11" s="44"/>
      <c r="O11" s="44"/>
    </row>
    <row r="12" spans="1:15" ht="15.75" customHeight="1" x14ac:dyDescent="0.25">
      <c r="A12" s="14"/>
      <c r="B12" s="44"/>
      <c r="C12" s="2" t="s">
        <v>506</v>
      </c>
      <c r="D12" s="44"/>
      <c r="E12" s="44"/>
      <c r="F12" s="44"/>
      <c r="G12" s="44"/>
      <c r="H12" s="44"/>
      <c r="I12" s="44"/>
      <c r="J12" s="44"/>
      <c r="K12" s="128">
        <f ca="1">AVERAGE(K7:K10)</f>
        <v>2.5180271302701153E-2</v>
      </c>
      <c r="L12" s="128">
        <f ca="1">AVERAGE(L7:L10)</f>
        <v>2.6583867008076724E-2</v>
      </c>
      <c r="M12" s="137">
        <f ca="1">AVERAGE(M7:M10)</f>
        <v>0.73307754134190439</v>
      </c>
      <c r="N12" s="44"/>
      <c r="O12" s="44"/>
    </row>
    <row r="13" spans="1:15" ht="15.75" customHeight="1" x14ac:dyDescent="0.25">
      <c r="A13" s="14"/>
      <c r="B13" s="44"/>
      <c r="C13" s="44"/>
      <c r="D13" s="44"/>
      <c r="E13" s="44"/>
      <c r="F13" s="44"/>
      <c r="G13" s="44"/>
      <c r="H13" s="44"/>
      <c r="I13" s="44"/>
      <c r="J13" s="44"/>
      <c r="K13" s="132"/>
      <c r="L13" s="132"/>
      <c r="M13" s="132"/>
      <c r="N13" s="44"/>
      <c r="O13" s="44"/>
    </row>
    <row r="14" spans="1:15" ht="15.75" customHeight="1" x14ac:dyDescent="0.25">
      <c r="A14" s="14"/>
      <c r="B14" s="44"/>
      <c r="C14" s="44"/>
      <c r="D14" s="44"/>
      <c r="E14" s="44"/>
      <c r="F14" s="44"/>
      <c r="G14" s="44"/>
      <c r="I14" s="44"/>
      <c r="J14" s="44"/>
      <c r="K14" s="44"/>
      <c r="M14" s="44"/>
      <c r="N14" s="44"/>
      <c r="O14" s="44"/>
    </row>
    <row r="15" spans="1:15" ht="15.75" customHeight="1" x14ac:dyDescent="0.25">
      <c r="A15" s="16"/>
      <c r="B15" s="44"/>
      <c r="C15" s="44"/>
      <c r="D15" s="72" t="s">
        <v>507</v>
      </c>
      <c r="E15" s="44"/>
      <c r="F15" s="44"/>
      <c r="G15" s="44"/>
      <c r="I15" s="44"/>
      <c r="J15" s="44"/>
      <c r="K15" s="44"/>
      <c r="M15" s="44"/>
      <c r="N15" s="44"/>
      <c r="O15" s="44"/>
    </row>
    <row r="16" spans="1:15" ht="15.75" customHeight="1" x14ac:dyDescent="0.25">
      <c r="A16" s="16"/>
      <c r="B16" s="44"/>
      <c r="C16" s="2" t="s">
        <v>508</v>
      </c>
      <c r="D16" s="198">
        <v>3.9600000000000003E-2</v>
      </c>
      <c r="E16" s="24"/>
      <c r="F16" s="44"/>
      <c r="G16" s="44"/>
      <c r="I16" s="44"/>
      <c r="J16" s="44"/>
      <c r="K16" s="44"/>
      <c r="L16" s="44"/>
      <c r="M16" s="44"/>
      <c r="N16" s="44"/>
      <c r="O16" s="44"/>
    </row>
    <row r="17" spans="1:15" ht="15.75" customHeight="1" x14ac:dyDescent="0.25">
      <c r="A17" s="16"/>
      <c r="B17" s="44"/>
      <c r="C17" s="2" t="s">
        <v>509</v>
      </c>
      <c r="D17" s="198">
        <v>5.6899999999999999E-2</v>
      </c>
      <c r="E17" s="44"/>
      <c r="F17" s="44"/>
      <c r="G17" s="44"/>
      <c r="I17" s="44"/>
      <c r="J17" s="44"/>
      <c r="K17" s="44"/>
      <c r="L17" s="44"/>
      <c r="M17" s="44"/>
      <c r="N17" s="44"/>
      <c r="O17" s="44"/>
    </row>
    <row r="18" spans="1:15" ht="15.75" customHeight="1" x14ac:dyDescent="0.25">
      <c r="A18" s="16"/>
      <c r="B18" s="44"/>
      <c r="C18" s="2" t="s">
        <v>510</v>
      </c>
      <c r="D18" s="137">
        <f ca="1">M12</f>
        <v>0.73307754134190439</v>
      </c>
      <c r="E18" s="44"/>
      <c r="F18" s="44"/>
      <c r="G18" s="44"/>
      <c r="I18" s="44"/>
      <c r="J18" s="44"/>
      <c r="K18" s="44"/>
      <c r="L18" s="44"/>
      <c r="M18" s="44"/>
      <c r="N18" s="44"/>
      <c r="O18" s="44"/>
    </row>
    <row r="19" spans="1:15" ht="15.75" customHeight="1" x14ac:dyDescent="0.25">
      <c r="A19" s="16"/>
      <c r="B19" s="44"/>
      <c r="C19" s="44" t="s">
        <v>511</v>
      </c>
      <c r="D19" s="145">
        <f>'1'!COMP_MTR</f>
        <v>0.219</v>
      </c>
      <c r="E19" s="44"/>
      <c r="F19" s="44"/>
      <c r="G19" s="44"/>
      <c r="I19" s="44"/>
      <c r="J19" s="44"/>
      <c r="K19" s="44"/>
      <c r="L19" s="44"/>
      <c r="M19" s="44"/>
      <c r="N19" s="44"/>
      <c r="O19" s="44"/>
    </row>
    <row r="20" spans="1:15" ht="15.75" customHeight="1" x14ac:dyDescent="0.25">
      <c r="A20" s="16"/>
      <c r="B20" s="44"/>
      <c r="C20" s="2" t="s">
        <v>512</v>
      </c>
      <c r="D20" s="137">
        <f ca="1">D18*(1+(1-D19)*L12)</f>
        <v>0.74829769735297014</v>
      </c>
      <c r="E20" s="44"/>
      <c r="F20" s="44"/>
      <c r="G20" s="44"/>
      <c r="H20" s="44"/>
      <c r="I20" s="44"/>
      <c r="J20" s="44"/>
      <c r="K20" s="138"/>
      <c r="L20" s="44"/>
      <c r="M20" s="44"/>
      <c r="N20" s="44"/>
      <c r="O20" s="44"/>
    </row>
    <row r="21" spans="1:15" ht="15.75" customHeight="1" x14ac:dyDescent="0.25">
      <c r="A21" s="16"/>
      <c r="B21" s="44"/>
      <c r="C21" s="2" t="s">
        <v>513</v>
      </c>
      <c r="D21" s="145">
        <f ca="1">D16+D17*D20</f>
        <v>8.2178138979384002E-2</v>
      </c>
      <c r="E21" s="44"/>
      <c r="F21" s="44"/>
      <c r="G21" s="44"/>
      <c r="H21" s="44"/>
      <c r="I21" s="44"/>
      <c r="J21" s="44"/>
      <c r="K21" s="44"/>
      <c r="L21" s="44"/>
      <c r="M21" s="44"/>
      <c r="N21" s="44"/>
      <c r="O21" s="44"/>
    </row>
    <row r="22" spans="1:15" ht="15.75" customHeight="1" x14ac:dyDescent="0.25">
      <c r="A22" s="16"/>
      <c r="B22" s="44"/>
      <c r="C22" s="2" t="s">
        <v>514</v>
      </c>
      <c r="D22" s="128">
        <f ca="1">1-K12</f>
        <v>0.97481972869729883</v>
      </c>
      <c r="E22" s="44"/>
      <c r="F22" s="44"/>
      <c r="G22" s="44"/>
      <c r="H22" s="44"/>
      <c r="I22" s="44"/>
      <c r="J22" s="44"/>
      <c r="K22" s="44"/>
      <c r="L22" s="44"/>
      <c r="O22" s="44"/>
    </row>
    <row r="23" spans="1:15" ht="15.75" customHeight="1" x14ac:dyDescent="0.25">
      <c r="A23" s="16"/>
      <c r="B23" s="44"/>
      <c r="C23" s="44"/>
      <c r="D23" s="44"/>
      <c r="E23" s="44"/>
      <c r="F23" s="44"/>
      <c r="G23" s="44"/>
      <c r="H23" s="44"/>
      <c r="I23" s="44"/>
      <c r="J23" s="44"/>
      <c r="K23" s="44"/>
      <c r="L23" s="44"/>
      <c r="O23" s="44"/>
    </row>
    <row r="24" spans="1:15" ht="15.75" customHeight="1" x14ac:dyDescent="0.25">
      <c r="A24" s="16"/>
      <c r="B24" s="44"/>
      <c r="C24" s="2" t="s">
        <v>515</v>
      </c>
      <c r="D24" s="199">
        <v>7.1000000000000004E-3</v>
      </c>
      <c r="E24" s="44"/>
      <c r="G24" s="44"/>
      <c r="H24" s="44"/>
      <c r="I24" s="44"/>
      <c r="J24" s="44"/>
      <c r="K24" s="44"/>
      <c r="L24" s="44"/>
      <c r="M24" s="44"/>
      <c r="N24" s="44"/>
      <c r="O24" s="44"/>
    </row>
    <row r="25" spans="1:15" ht="15.75" customHeight="1" x14ac:dyDescent="0.25">
      <c r="A25" s="16"/>
      <c r="B25" s="44"/>
      <c r="C25" s="2" t="s">
        <v>516</v>
      </c>
      <c r="D25" s="145">
        <f>D16+D24</f>
        <v>4.6700000000000005E-2</v>
      </c>
      <c r="E25" s="44"/>
      <c r="F25" s="44"/>
      <c r="G25" s="44"/>
      <c r="H25" s="44"/>
      <c r="I25" s="44"/>
      <c r="J25" s="44"/>
      <c r="K25" s="44"/>
      <c r="L25" s="44"/>
      <c r="M25" s="44"/>
      <c r="N25" s="44"/>
      <c r="O25" s="44"/>
    </row>
    <row r="26" spans="1:15" ht="15.75" customHeight="1" x14ac:dyDescent="0.25">
      <c r="A26" s="16"/>
      <c r="B26" s="44"/>
      <c r="C26" s="2" t="s">
        <v>517</v>
      </c>
      <c r="D26" s="145">
        <f>D25*(1-D19)</f>
        <v>3.6472700000000004E-2</v>
      </c>
      <c r="E26" s="44"/>
      <c r="F26" s="44"/>
      <c r="G26" s="44"/>
      <c r="H26" s="44"/>
      <c r="I26" s="44"/>
      <c r="J26" s="44"/>
      <c r="K26" s="44"/>
      <c r="L26" s="44"/>
      <c r="M26" s="44"/>
      <c r="N26" s="44"/>
      <c r="O26" s="44"/>
    </row>
    <row r="27" spans="1:15" ht="15.75" customHeight="1" x14ac:dyDescent="0.25">
      <c r="A27" s="16"/>
      <c r="B27" s="44"/>
      <c r="C27" s="2" t="s">
        <v>518</v>
      </c>
      <c r="D27" s="128">
        <f ca="1">K12</f>
        <v>2.5180271302701153E-2</v>
      </c>
      <c r="E27" s="44"/>
      <c r="F27" s="44"/>
      <c r="G27" s="44"/>
      <c r="H27" s="44"/>
      <c r="I27" s="44"/>
      <c r="J27" s="44"/>
      <c r="K27" s="44"/>
      <c r="L27" s="44"/>
      <c r="M27" s="44"/>
      <c r="N27" s="44"/>
      <c r="O27" s="44"/>
    </row>
    <row r="28" spans="1:15" ht="15.75" customHeight="1" x14ac:dyDescent="0.25">
      <c r="A28" s="16"/>
      <c r="B28" s="44"/>
      <c r="C28" s="44"/>
      <c r="D28" s="44"/>
      <c r="E28" s="44"/>
      <c r="F28" s="44"/>
      <c r="G28" s="44"/>
      <c r="H28" s="44"/>
      <c r="I28" s="44"/>
      <c r="J28" s="44"/>
      <c r="K28" s="44"/>
      <c r="L28" s="44"/>
      <c r="M28" s="44"/>
      <c r="N28" s="44"/>
      <c r="O28" s="44"/>
    </row>
    <row r="29" spans="1:15" ht="15.75" customHeight="1" x14ac:dyDescent="0.25">
      <c r="A29" s="16"/>
      <c r="B29" s="44"/>
      <c r="C29" s="2" t="s">
        <v>475</v>
      </c>
      <c r="D29" s="145">
        <f ca="1">D26*D27+D21*D22</f>
        <v>8.1027263625874063E-2</v>
      </c>
      <c r="E29" s="44"/>
      <c r="F29" s="44"/>
      <c r="G29" s="44"/>
      <c r="H29" s="44"/>
      <c r="I29" s="44"/>
      <c r="J29" s="44"/>
      <c r="K29" s="44"/>
      <c r="L29" s="44"/>
      <c r="M29" s="44"/>
      <c r="N29" s="44"/>
      <c r="O29" s="44"/>
    </row>
    <row r="30" spans="1:15" ht="15.75" customHeight="1" x14ac:dyDescent="0.25">
      <c r="A30" s="16"/>
      <c r="B30" s="44"/>
      <c r="C30" s="44"/>
      <c r="D30" s="44"/>
      <c r="E30" s="44"/>
      <c r="F30" s="44"/>
      <c r="G30" s="44"/>
      <c r="H30" s="44"/>
      <c r="I30" s="44"/>
      <c r="J30" s="44"/>
      <c r="K30" s="44"/>
      <c r="L30" s="44"/>
      <c r="M30" s="44"/>
      <c r="N30" s="44"/>
      <c r="O30" s="44"/>
    </row>
    <row r="31" spans="1:15" ht="15.75" customHeight="1" x14ac:dyDescent="0.25">
      <c r="A31" s="16" t="s">
        <v>137</v>
      </c>
      <c r="B31" s="44"/>
      <c r="C31" s="44"/>
      <c r="D31" s="44"/>
      <c r="E31" s="44"/>
      <c r="F31" s="44"/>
      <c r="G31" s="44"/>
      <c r="N31" s="44"/>
      <c r="O31" s="44"/>
    </row>
  </sheetData>
  <printOptions headings="1" gridLines="1"/>
  <pageMargins left="0.7" right="0.7" top="0.75" bottom="0.75" header="0" footer="0"/>
  <pageSetup paperSize="9" scale="80" fitToWidth="0" orientation="landscape"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7"/>
    <pageSetUpPr fitToPage="1"/>
  </sheetPr>
  <dimension ref="A1:R51"/>
  <sheetViews>
    <sheetView workbookViewId="0"/>
  </sheetViews>
  <sheetFormatPr defaultColWidth="12.5703125" defaultRowHeight="15" customHeight="1" x14ac:dyDescent="0.25"/>
  <cols>
    <col min="1" max="1" width="1.140625" customWidth="1"/>
    <col min="2" max="3" width="26.7109375" customWidth="1"/>
    <col min="4" max="4" width="11.7109375" customWidth="1"/>
    <col min="5" max="9" width="10.28515625" customWidth="1"/>
    <col min="10" max="10" width="13" bestFit="1" customWidth="1"/>
    <col min="11" max="14" width="10.28515625" customWidth="1"/>
    <col min="15" max="15" width="18" customWidth="1"/>
    <col min="16" max="16" width="23" customWidth="1"/>
    <col min="17" max="17" width="86" customWidth="1"/>
    <col min="18" max="18" width="27.140625" customWidth="1"/>
  </cols>
  <sheetData>
    <row r="1" spans="1:18" ht="45" customHeight="1" x14ac:dyDescent="0.45">
      <c r="A1" s="68" t="s">
        <v>519</v>
      </c>
      <c r="B1" s="68"/>
      <c r="C1" s="68"/>
      <c r="D1" s="68"/>
      <c r="E1" s="68"/>
      <c r="F1" s="68"/>
      <c r="G1" s="68"/>
      <c r="H1" s="68"/>
      <c r="I1" s="68"/>
      <c r="J1" s="68"/>
      <c r="K1" s="68"/>
      <c r="L1" s="68"/>
      <c r="M1" s="68"/>
      <c r="N1" s="68"/>
      <c r="O1" s="68"/>
      <c r="P1" s="68"/>
      <c r="Q1" s="68"/>
      <c r="R1" s="68"/>
    </row>
    <row r="2" spans="1:18" ht="15" customHeight="1" x14ac:dyDescent="0.25">
      <c r="A2" s="44" t="s">
        <v>520</v>
      </c>
    </row>
    <row r="3" spans="1:18" s="204" customFormat="1" ht="12.75" x14ac:dyDescent="0.2">
      <c r="A3" s="219"/>
      <c r="B3" s="65"/>
      <c r="C3" s="65" t="s">
        <v>521</v>
      </c>
      <c r="D3" s="65" t="s">
        <v>522</v>
      </c>
      <c r="E3" s="65" t="s">
        <v>523</v>
      </c>
      <c r="F3" s="65" t="s">
        <v>523</v>
      </c>
      <c r="G3" s="65" t="s">
        <v>524</v>
      </c>
      <c r="H3" s="65" t="s">
        <v>267</v>
      </c>
      <c r="I3" s="65" t="s">
        <v>267</v>
      </c>
      <c r="J3" s="65" t="s">
        <v>403</v>
      </c>
      <c r="K3" s="65"/>
      <c r="L3" s="65"/>
      <c r="M3" s="65"/>
      <c r="N3" s="65" t="s">
        <v>525</v>
      </c>
      <c r="O3" s="65" t="s">
        <v>526</v>
      </c>
      <c r="P3" s="65" t="s">
        <v>527</v>
      </c>
      <c r="Q3" s="65"/>
    </row>
    <row r="4" spans="1:18" s="204" customFormat="1" ht="12.75" x14ac:dyDescent="0.2">
      <c r="A4" s="219"/>
      <c r="B4" s="65" t="s">
        <v>526</v>
      </c>
      <c r="C4" s="65" t="s">
        <v>521</v>
      </c>
      <c r="D4" s="65" t="s">
        <v>233</v>
      </c>
      <c r="E4" s="65" t="s">
        <v>528</v>
      </c>
      <c r="F4" s="65" t="s">
        <v>529</v>
      </c>
      <c r="G4" s="65" t="s">
        <v>530</v>
      </c>
      <c r="H4" s="65" t="s">
        <v>175</v>
      </c>
      <c r="I4" s="65" t="s">
        <v>52</v>
      </c>
      <c r="J4" s="65" t="s">
        <v>531</v>
      </c>
      <c r="K4" s="65" t="s">
        <v>532</v>
      </c>
      <c r="L4" s="65" t="s">
        <v>533</v>
      </c>
      <c r="M4" s="65" t="s">
        <v>534</v>
      </c>
      <c r="N4" s="65" t="s">
        <v>535</v>
      </c>
      <c r="O4" s="65" t="s">
        <v>290</v>
      </c>
      <c r="P4" s="65" t="s">
        <v>536</v>
      </c>
      <c r="Q4" s="65" t="s">
        <v>537</v>
      </c>
    </row>
    <row r="5" spans="1:18" ht="15" customHeight="1" x14ac:dyDescent="0.25">
      <c r="A5" s="69"/>
      <c r="B5" s="217" t="str">
        <f ca="1">Trading_comps!C9</f>
        <v>Electronic Arts</v>
      </c>
      <c r="C5" s="217"/>
      <c r="D5" s="221"/>
      <c r="E5" s="222"/>
      <c r="F5" s="223"/>
      <c r="G5" s="217">
        <f ca="1">Trading_comps!H9</f>
        <v>50992.397761880005</v>
      </c>
      <c r="H5" s="217">
        <f ca="1">Trading_comps!M9</f>
        <v>7306</v>
      </c>
      <c r="I5" s="217">
        <f ca="1">Trading_comps!Q9</f>
        <v>1310</v>
      </c>
      <c r="J5" s="224">
        <f ca="1">Trading_comps!Q9/Trading_comps!M9</f>
        <v>0.17930468108404052</v>
      </c>
    </row>
    <row r="6" spans="1:18" ht="15" customHeight="1" x14ac:dyDescent="0.25">
      <c r="A6" s="69" t="s">
        <v>538</v>
      </c>
    </row>
    <row r="7" spans="1:18" ht="28.5" customHeight="1" x14ac:dyDescent="0.25">
      <c r="B7" s="240" t="s">
        <v>539</v>
      </c>
      <c r="C7" s="240" t="s">
        <v>540</v>
      </c>
      <c r="D7" s="179">
        <v>43672</v>
      </c>
      <c r="E7" t="s">
        <v>541</v>
      </c>
      <c r="F7" s="52">
        <v>26591.909616000001</v>
      </c>
      <c r="G7" s="52">
        <v>26591.909616000001</v>
      </c>
      <c r="H7" s="52">
        <v>6287</v>
      </c>
      <c r="I7" s="52">
        <v>1635</v>
      </c>
      <c r="J7" s="59">
        <f t="shared" ref="J7" si="0">I7/H7</f>
        <v>0.26006044218228092</v>
      </c>
      <c r="K7" s="76">
        <f t="shared" ref="K7" si="1">G7/H7</f>
        <v>4.2296659163352954</v>
      </c>
      <c r="L7" s="182">
        <v>16.264164902752295</v>
      </c>
      <c r="M7">
        <v>350</v>
      </c>
      <c r="N7" s="59">
        <f>M7/H7</f>
        <v>5.5670431048194691E-2</v>
      </c>
      <c r="O7" t="s">
        <v>542</v>
      </c>
      <c r="P7" s="77" t="s">
        <v>543</v>
      </c>
      <c r="Q7" s="181" t="s">
        <v>544</v>
      </c>
    </row>
    <row r="8" spans="1:18" ht="28.5" customHeight="1" x14ac:dyDescent="0.25">
      <c r="B8" s="240" t="s">
        <v>545</v>
      </c>
      <c r="C8" s="240" t="s">
        <v>546</v>
      </c>
      <c r="D8" s="179">
        <v>43949</v>
      </c>
      <c r="E8" t="s">
        <v>541</v>
      </c>
      <c r="F8" s="52">
        <v>530.00000599999998</v>
      </c>
      <c r="G8" s="52">
        <v>530.00000599999998</v>
      </c>
      <c r="H8" s="52">
        <v>134.71225699999999</v>
      </c>
      <c r="I8" s="52">
        <v>57.884120000000003</v>
      </c>
      <c r="J8" s="59">
        <f t="shared" ref="J8:J21" si="2">I8/H8</f>
        <v>0.42968710709078245</v>
      </c>
      <c r="K8" s="76">
        <v>3.9343119999999998</v>
      </c>
      <c r="L8" s="182">
        <v>9.1562249999999992</v>
      </c>
      <c r="N8" s="59"/>
      <c r="O8" s="178" t="s">
        <v>547</v>
      </c>
      <c r="P8" s="77" t="s">
        <v>548</v>
      </c>
      <c r="Q8" s="243" t="s">
        <v>549</v>
      </c>
    </row>
    <row r="9" spans="1:18" ht="28.5" customHeight="1" x14ac:dyDescent="0.25">
      <c r="B9" t="s">
        <v>550</v>
      </c>
      <c r="C9" t="s">
        <v>551</v>
      </c>
      <c r="D9" s="179">
        <v>44166</v>
      </c>
      <c r="E9" t="s">
        <v>541</v>
      </c>
      <c r="F9" s="52">
        <v>26238.529073000002</v>
      </c>
      <c r="G9" s="52">
        <v>26238.529073000002</v>
      </c>
      <c r="H9" s="52">
        <v>833.91499999999996</v>
      </c>
      <c r="I9" s="52">
        <v>-205.6</v>
      </c>
      <c r="J9" s="59">
        <f t="shared" si="2"/>
        <v>-0.24654790955912773</v>
      </c>
      <c r="K9" s="76">
        <f>G9/H9</f>
        <v>31.464272825168035</v>
      </c>
      <c r="L9" s="182">
        <v>-127.61930482976655</v>
      </c>
      <c r="N9" s="59"/>
      <c r="O9" t="s">
        <v>542</v>
      </c>
      <c r="P9" s="77" t="s">
        <v>552</v>
      </c>
      <c r="Q9" s="181" t="s">
        <v>553</v>
      </c>
    </row>
    <row r="10" spans="1:18" ht="28.5" customHeight="1" x14ac:dyDescent="0.25">
      <c r="B10" t="s">
        <v>554</v>
      </c>
      <c r="C10" t="s">
        <v>555</v>
      </c>
      <c r="D10" s="179">
        <v>44179</v>
      </c>
      <c r="E10" t="s">
        <v>541</v>
      </c>
      <c r="F10" s="52">
        <v>1142.6500000000001</v>
      </c>
      <c r="G10" s="52">
        <v>1142.6500000000001</v>
      </c>
      <c r="H10" s="52">
        <v>148.47999999999999</v>
      </c>
      <c r="I10" s="52">
        <v>67.22</v>
      </c>
      <c r="J10" s="59">
        <f t="shared" si="2"/>
        <v>0.45272090517241381</v>
      </c>
      <c r="K10" s="76">
        <f>G10/H10</f>
        <v>7.6956492456896566</v>
      </c>
      <c r="L10" s="182">
        <v>16.998661112764061</v>
      </c>
      <c r="N10" s="59"/>
      <c r="O10" t="s">
        <v>547</v>
      </c>
      <c r="P10" s="77"/>
      <c r="Q10" s="181" t="s">
        <v>556</v>
      </c>
    </row>
    <row r="11" spans="1:18" ht="28.5" customHeight="1" x14ac:dyDescent="0.25">
      <c r="B11" t="s">
        <v>557</v>
      </c>
      <c r="C11" t="s">
        <v>558</v>
      </c>
      <c r="D11" s="179">
        <v>44230</v>
      </c>
      <c r="E11" t="s">
        <v>541</v>
      </c>
      <c r="F11" s="52">
        <v>1387.2</v>
      </c>
      <c r="G11" s="52">
        <v>1387.2</v>
      </c>
      <c r="H11" s="52">
        <v>124.93</v>
      </c>
      <c r="I11" s="52">
        <f>417/(9/12)/8.5</f>
        <v>65.411764705882348</v>
      </c>
      <c r="J11" s="59">
        <f t="shared" si="2"/>
        <v>0.52358732654992668</v>
      </c>
      <c r="K11" s="76">
        <f>G11/H11</f>
        <v>11.103818138157369</v>
      </c>
      <c r="L11" s="182">
        <f>G11/I11</f>
        <v>21.20719424460432</v>
      </c>
      <c r="N11" s="59"/>
      <c r="O11" t="s">
        <v>542</v>
      </c>
      <c r="P11" s="77"/>
      <c r="Q11" s="181" t="s">
        <v>559</v>
      </c>
    </row>
    <row r="12" spans="1:18" ht="28.5" customHeight="1" x14ac:dyDescent="0.25">
      <c r="B12" t="s">
        <v>560</v>
      </c>
      <c r="C12" t="s">
        <v>9</v>
      </c>
      <c r="D12" s="179">
        <v>44235</v>
      </c>
      <c r="E12" t="s">
        <v>541</v>
      </c>
      <c r="F12" s="52">
        <v>2100</v>
      </c>
      <c r="G12" s="52">
        <v>2100</v>
      </c>
      <c r="H12" s="52">
        <v>540.52</v>
      </c>
      <c r="I12" s="52">
        <f>G12/24.2</f>
        <v>86.776859504132233</v>
      </c>
      <c r="J12" s="59">
        <f t="shared" si="2"/>
        <v>0.1605432907276923</v>
      </c>
      <c r="K12" s="76">
        <f>G12/H12</f>
        <v>3.8851476356101533</v>
      </c>
      <c r="L12" s="182">
        <f>G12/I12</f>
        <v>24.2</v>
      </c>
      <c r="N12" s="59"/>
      <c r="O12" t="s">
        <v>542</v>
      </c>
      <c r="P12" s="77"/>
      <c r="Q12" s="181" t="s">
        <v>561</v>
      </c>
    </row>
    <row r="13" spans="1:18" ht="28.5" customHeight="1" x14ac:dyDescent="0.25">
      <c r="B13" s="244" t="s">
        <v>562</v>
      </c>
      <c r="C13" s="244" t="s">
        <v>563</v>
      </c>
      <c r="D13" s="179">
        <v>44279</v>
      </c>
      <c r="E13" t="s">
        <v>541</v>
      </c>
      <c r="F13" s="52">
        <v>3070.9176440000001</v>
      </c>
      <c r="G13" s="52">
        <v>3070.9176440000001</v>
      </c>
      <c r="H13" s="52">
        <v>933.16943800000001</v>
      </c>
      <c r="I13" s="52">
        <v>259.2921</v>
      </c>
      <c r="J13" s="59">
        <f t="shared" si="2"/>
        <v>0.27786175740573277</v>
      </c>
      <c r="K13" s="76">
        <v>3.2908469999999999</v>
      </c>
      <c r="L13" s="182">
        <v>11.843468</v>
      </c>
      <c r="N13" s="59"/>
      <c r="O13" t="s">
        <v>547</v>
      </c>
      <c r="P13" s="77" t="s">
        <v>564</v>
      </c>
      <c r="Q13" s="245" t="s">
        <v>565</v>
      </c>
    </row>
    <row r="14" spans="1:18" ht="28.5" customHeight="1" x14ac:dyDescent="0.25">
      <c r="B14" s="240" t="s">
        <v>566</v>
      </c>
      <c r="C14" s="240" t="s">
        <v>567</v>
      </c>
      <c r="D14" s="179">
        <v>44298</v>
      </c>
      <c r="E14" t="s">
        <v>541</v>
      </c>
      <c r="F14" s="52">
        <v>546.02857800000004</v>
      </c>
      <c r="G14" s="52">
        <v>546.02857800000004</v>
      </c>
      <c r="H14" s="52">
        <v>34.375442999999997</v>
      </c>
      <c r="I14" s="52">
        <v>29.887165</v>
      </c>
      <c r="J14" s="59">
        <f t="shared" si="2"/>
        <v>0.86943359537213827</v>
      </c>
      <c r="K14" s="76">
        <v>15.884263000000001</v>
      </c>
      <c r="L14" s="182">
        <v>18.269667999999999</v>
      </c>
      <c r="N14" s="59"/>
      <c r="O14" t="s">
        <v>568</v>
      </c>
      <c r="P14" s="77" t="s">
        <v>569</v>
      </c>
      <c r="Q14" s="243" t="s">
        <v>570</v>
      </c>
    </row>
    <row r="15" spans="1:18" ht="28.5" customHeight="1" x14ac:dyDescent="0.25">
      <c r="B15" t="s">
        <v>571</v>
      </c>
      <c r="C15" t="s">
        <v>572</v>
      </c>
      <c r="D15" s="179">
        <v>44370</v>
      </c>
      <c r="E15" t="s">
        <v>541</v>
      </c>
      <c r="F15" s="52">
        <v>1390.95</v>
      </c>
      <c r="G15" s="52">
        <v>1390.95</v>
      </c>
      <c r="H15" s="52">
        <f>228*12/15</f>
        <v>182.4</v>
      </c>
      <c r="I15" s="52">
        <f>H15*$D$43</f>
        <v>32.705173829728992</v>
      </c>
      <c r="J15" s="59">
        <f t="shared" si="2"/>
        <v>0.17930468108404052</v>
      </c>
      <c r="K15" s="76">
        <f>G15/H15</f>
        <v>7.6258223684210522</v>
      </c>
      <c r="L15" s="182">
        <f>G15/I15</f>
        <v>42.529968109682599</v>
      </c>
      <c r="N15" s="59"/>
      <c r="O15" t="s">
        <v>547</v>
      </c>
      <c r="P15" s="77"/>
      <c r="Q15" s="183" t="s">
        <v>573</v>
      </c>
    </row>
    <row r="16" spans="1:18" ht="28.5" customHeight="1" x14ac:dyDescent="0.25">
      <c r="B16" t="s">
        <v>574</v>
      </c>
      <c r="C16" t="s">
        <v>575</v>
      </c>
      <c r="D16" s="179">
        <v>44396</v>
      </c>
      <c r="E16" t="s">
        <v>541</v>
      </c>
      <c r="F16" s="52">
        <v>1172.8655670000001</v>
      </c>
      <c r="G16" s="52">
        <v>1278.9911589999999</v>
      </c>
      <c r="H16" s="52">
        <v>125.306181</v>
      </c>
      <c r="I16" s="52">
        <v>23.028870000000001</v>
      </c>
      <c r="J16" s="59">
        <f t="shared" si="2"/>
        <v>0.18378079849069856</v>
      </c>
      <c r="K16" s="76">
        <f>G16/H16</f>
        <v>10.206927932788886</v>
      </c>
      <c r="L16" s="182">
        <v>55.538598</v>
      </c>
      <c r="N16" s="59"/>
      <c r="O16" t="s">
        <v>547</v>
      </c>
      <c r="P16" s="77"/>
      <c r="Q16" s="181" t="s">
        <v>576</v>
      </c>
    </row>
    <row r="17" spans="1:18" ht="28.5" customHeight="1" x14ac:dyDescent="0.25">
      <c r="B17" s="244" t="s">
        <v>577</v>
      </c>
      <c r="C17" s="244" t="s">
        <v>578</v>
      </c>
      <c r="D17" s="179">
        <v>44498</v>
      </c>
      <c r="E17" t="s">
        <v>541</v>
      </c>
      <c r="F17" s="52">
        <v>750</v>
      </c>
      <c r="G17" s="52">
        <v>750</v>
      </c>
      <c r="H17" s="52">
        <v>40.754640999999999</v>
      </c>
      <c r="I17" s="52">
        <v>7.5220760000000002</v>
      </c>
      <c r="J17" s="59">
        <f t="shared" si="2"/>
        <v>0.18456980151045865</v>
      </c>
      <c r="K17" s="76">
        <v>18.402812000000001</v>
      </c>
      <c r="L17" s="182">
        <v>99.706517000000005</v>
      </c>
      <c r="N17" s="59"/>
      <c r="O17" t="s">
        <v>542</v>
      </c>
      <c r="P17" s="77" t="s">
        <v>569</v>
      </c>
      <c r="Q17" s="245" t="s">
        <v>579</v>
      </c>
    </row>
    <row r="18" spans="1:18" ht="28.5" customHeight="1" x14ac:dyDescent="0.25">
      <c r="B18" t="s">
        <v>580</v>
      </c>
      <c r="C18" t="s">
        <v>581</v>
      </c>
      <c r="D18" s="179">
        <v>44508</v>
      </c>
      <c r="E18" t="s">
        <v>541</v>
      </c>
      <c r="F18" s="52">
        <v>13591.704809999999</v>
      </c>
      <c r="G18" s="52">
        <v>13591.704809999999</v>
      </c>
      <c r="H18" s="52">
        <v>2177</v>
      </c>
      <c r="I18" s="52">
        <v>642</v>
      </c>
      <c r="J18" s="59">
        <f t="shared" si="2"/>
        <v>0.29490124023886083</v>
      </c>
      <c r="K18" s="76">
        <f>G18/H18</f>
        <v>6.2433187000459345</v>
      </c>
      <c r="L18" s="182">
        <v>21.170879766355139</v>
      </c>
      <c r="N18" s="59"/>
      <c r="O18" t="s">
        <v>542</v>
      </c>
      <c r="P18" s="77" t="s">
        <v>543</v>
      </c>
      <c r="Q18" s="181" t="s">
        <v>582</v>
      </c>
    </row>
    <row r="19" spans="1:18" ht="28.5" customHeight="1" x14ac:dyDescent="0.25">
      <c r="A19" s="240"/>
      <c r="B19" t="s">
        <v>583</v>
      </c>
      <c r="C19" t="s">
        <v>584</v>
      </c>
      <c r="D19" s="179">
        <v>44571</v>
      </c>
      <c r="E19" t="s">
        <v>541</v>
      </c>
      <c r="F19" s="52">
        <v>11393.818456000001</v>
      </c>
      <c r="G19" s="52">
        <v>11393.818456000001</v>
      </c>
      <c r="H19" s="52">
        <v>2800.5</v>
      </c>
      <c r="I19" s="52">
        <v>476.6</v>
      </c>
      <c r="J19" s="59">
        <f t="shared" si="2"/>
        <v>0.17018389573290485</v>
      </c>
      <c r="K19" s="76">
        <f>G19/H19</f>
        <v>4.0684943602928048</v>
      </c>
      <c r="L19" s="182">
        <v>23.906459202685692</v>
      </c>
      <c r="M19">
        <v>100</v>
      </c>
      <c r="N19" s="59">
        <f>M19/H19</f>
        <v>3.5707909301910375E-2</v>
      </c>
      <c r="O19" t="s">
        <v>542</v>
      </c>
      <c r="P19" s="77"/>
      <c r="Q19" s="181" t="s">
        <v>585</v>
      </c>
    </row>
    <row r="20" spans="1:18" ht="28.5" customHeight="1" x14ac:dyDescent="0.25">
      <c r="A20" s="244"/>
      <c r="B20" t="s">
        <v>586</v>
      </c>
      <c r="C20" t="s">
        <v>587</v>
      </c>
      <c r="D20" s="179">
        <v>44579</v>
      </c>
      <c r="E20" t="s">
        <v>541</v>
      </c>
      <c r="F20" s="52">
        <v>68039.840400000001</v>
      </c>
      <c r="G20" s="52">
        <v>68039.840400000001</v>
      </c>
      <c r="H20" s="52">
        <v>8803</v>
      </c>
      <c r="I20" s="52">
        <v>3841</v>
      </c>
      <c r="J20" s="59">
        <f t="shared" si="2"/>
        <v>0.43632852436669317</v>
      </c>
      <c r="K20" s="76">
        <f>G20/H20</f>
        <v>7.7291651028058617</v>
      </c>
      <c r="L20" s="182">
        <v>17.714095</v>
      </c>
      <c r="M20">
        <v>300</v>
      </c>
      <c r="N20" s="59">
        <f>M20/H20</f>
        <v>3.4079291150744068E-2</v>
      </c>
      <c r="O20" t="s">
        <v>542</v>
      </c>
      <c r="P20" s="77"/>
      <c r="Q20" s="181" t="s">
        <v>588</v>
      </c>
    </row>
    <row r="21" spans="1:18" ht="28.5" customHeight="1" x14ac:dyDescent="0.25">
      <c r="A21" s="240"/>
      <c r="B21" t="s">
        <v>589</v>
      </c>
      <c r="C21" t="s">
        <v>590</v>
      </c>
      <c r="D21" s="179">
        <v>44592</v>
      </c>
      <c r="E21" t="s">
        <v>541</v>
      </c>
      <c r="F21" s="52">
        <v>14607.155648</v>
      </c>
      <c r="G21" s="52">
        <v>16218.216471</v>
      </c>
      <c r="H21" s="52">
        <v>3217.17</v>
      </c>
      <c r="I21" s="52">
        <v>703.46</v>
      </c>
      <c r="J21" s="59">
        <f t="shared" si="2"/>
        <v>0.21865801309846852</v>
      </c>
      <c r="K21" s="76">
        <f>G21/H21</f>
        <v>5.0411437601991809</v>
      </c>
      <c r="L21" s="182">
        <v>23.054923479657692</v>
      </c>
      <c r="N21" s="59"/>
      <c r="O21" t="s">
        <v>542</v>
      </c>
      <c r="P21" s="77" t="s">
        <v>543</v>
      </c>
      <c r="Q21" s="181" t="s">
        <v>591</v>
      </c>
    </row>
    <row r="22" spans="1:18" ht="28.5" customHeight="1" x14ac:dyDescent="0.25">
      <c r="A22" s="244"/>
      <c r="B22" t="s">
        <v>592</v>
      </c>
      <c r="C22" t="s">
        <v>593</v>
      </c>
      <c r="D22" s="179">
        <v>45033</v>
      </c>
      <c r="E22" t="s">
        <v>541</v>
      </c>
      <c r="F22" s="52">
        <v>611.91630399999997</v>
      </c>
      <c r="G22" s="52">
        <v>611.91630399999997</v>
      </c>
      <c r="H22" s="52">
        <v>320.10654699999998</v>
      </c>
      <c r="I22" s="52">
        <v>51.384230000000002</v>
      </c>
      <c r="J22" s="59">
        <f t="shared" ref="J22" si="3">I22/H22</f>
        <v>0.16052227135485614</v>
      </c>
      <c r="K22" s="76">
        <f>G22/H22</f>
        <v>1.9116019642047497</v>
      </c>
      <c r="L22" s="182">
        <v>11.90864</v>
      </c>
      <c r="N22" s="59"/>
      <c r="O22" t="s">
        <v>594</v>
      </c>
      <c r="P22" s="77" t="s">
        <v>569</v>
      </c>
      <c r="Q22" s="181" t="s">
        <v>595</v>
      </c>
    </row>
    <row r="23" spans="1:18" ht="28.5" customHeight="1" x14ac:dyDescent="0.25">
      <c r="A23" s="279"/>
      <c r="B23" t="s">
        <v>545</v>
      </c>
      <c r="C23" t="s">
        <v>596</v>
      </c>
      <c r="D23" s="179">
        <v>45331</v>
      </c>
      <c r="E23" t="s">
        <v>597</v>
      </c>
      <c r="F23" s="52">
        <v>1134.4950140000001</v>
      </c>
      <c r="G23" s="52">
        <v>1134.4950140000001</v>
      </c>
      <c r="H23" s="52">
        <v>191.43195700000001</v>
      </c>
      <c r="I23" s="52">
        <v>57.242221999999998</v>
      </c>
      <c r="J23" s="59">
        <f t="shared" ref="J23:J25" si="4">I23/H23</f>
        <v>0.29902124439964844</v>
      </c>
      <c r="K23" s="76">
        <f t="shared" ref="K23:K25" si="5">G23/H23</f>
        <v>5.9263616784735689</v>
      </c>
      <c r="L23" s="182">
        <f>G23/I23</f>
        <v>19.819199436388057</v>
      </c>
      <c r="N23" s="59"/>
      <c r="O23" t="s">
        <v>547</v>
      </c>
      <c r="P23" s="77"/>
      <c r="Q23" s="181" t="s">
        <v>598</v>
      </c>
    </row>
    <row r="24" spans="1:18" ht="28.5" customHeight="1" x14ac:dyDescent="0.25">
      <c r="A24" s="279"/>
      <c r="B24" t="s">
        <v>599</v>
      </c>
      <c r="C24" t="s">
        <v>600</v>
      </c>
      <c r="D24" s="179">
        <v>45610</v>
      </c>
      <c r="E24" t="s">
        <v>597</v>
      </c>
      <c r="F24" s="52">
        <v>1199.9999989999999</v>
      </c>
      <c r="G24" s="52">
        <v>1199.9999989999999</v>
      </c>
      <c r="H24" s="52">
        <v>309.56505900000002</v>
      </c>
      <c r="I24" s="52">
        <v>126.01440700000001</v>
      </c>
      <c r="J24" s="59">
        <f t="shared" si="4"/>
        <v>0.40706921965634368</v>
      </c>
      <c r="K24" s="76">
        <f t="shared" si="5"/>
        <v>3.8764064745433684</v>
      </c>
      <c r="L24" s="182">
        <f t="shared" ref="L24:L25" si="6">G24/I24</f>
        <v>9.5227206758985883</v>
      </c>
      <c r="N24" s="59"/>
      <c r="O24" t="s">
        <v>601</v>
      </c>
      <c r="P24" s="77"/>
      <c r="Q24" s="181" t="s">
        <v>602</v>
      </c>
    </row>
    <row r="25" spans="1:18" ht="28.5" customHeight="1" x14ac:dyDescent="0.25">
      <c r="A25" s="279"/>
      <c r="B25" t="s">
        <v>555</v>
      </c>
      <c r="C25" t="s">
        <v>603</v>
      </c>
      <c r="D25" s="179">
        <v>45929</v>
      </c>
      <c r="E25" t="s">
        <v>604</v>
      </c>
      <c r="F25" s="52">
        <v>52876.279730000002</v>
      </c>
      <c r="G25" s="52">
        <f ca="1">G5</f>
        <v>50992.397761880005</v>
      </c>
      <c r="H25" s="52">
        <f t="shared" ref="H25:I25" ca="1" si="7">H5</f>
        <v>7306</v>
      </c>
      <c r="I25" s="52">
        <f t="shared" ca="1" si="7"/>
        <v>1310</v>
      </c>
      <c r="J25" s="59">
        <f t="shared" ca="1" si="4"/>
        <v>0.17930468108404052</v>
      </c>
      <c r="K25" s="76">
        <f t="shared" ca="1" si="5"/>
        <v>6.9795233728278134</v>
      </c>
      <c r="L25" s="182">
        <f t="shared" ca="1" si="6"/>
        <v>38.92549447471756</v>
      </c>
      <c r="N25" s="59"/>
      <c r="O25" t="s">
        <v>542</v>
      </c>
      <c r="P25" s="77"/>
      <c r="Q25" s="181" t="s">
        <v>605</v>
      </c>
    </row>
    <row r="26" spans="1:18" ht="30" customHeight="1" x14ac:dyDescent="0.25">
      <c r="A26" s="240"/>
      <c r="B26" s="240"/>
      <c r="C26" s="240"/>
      <c r="D26" s="241"/>
      <c r="E26" s="240"/>
      <c r="F26" s="242"/>
      <c r="G26" s="242"/>
      <c r="H26" s="242"/>
      <c r="I26" s="242"/>
      <c r="J26" s="242"/>
      <c r="K26" s="242"/>
      <c r="L26" s="242"/>
      <c r="M26" s="242"/>
      <c r="N26" s="242"/>
      <c r="O26" s="240"/>
      <c r="P26" s="243"/>
    </row>
    <row r="27" spans="1:18" ht="15.75" x14ac:dyDescent="0.25">
      <c r="A27" s="73" t="s">
        <v>606</v>
      </c>
      <c r="D27" s="47"/>
      <c r="E27" s="139"/>
      <c r="F27" s="1"/>
      <c r="G27" s="1"/>
      <c r="H27" s="1"/>
      <c r="I27" s="140"/>
      <c r="J27" s="140"/>
      <c r="K27" s="60"/>
      <c r="L27" s="140"/>
      <c r="M27" s="44"/>
      <c r="N27" s="54"/>
      <c r="P27" s="77"/>
      <c r="Q27" s="141"/>
      <c r="R27" s="44"/>
    </row>
    <row r="28" spans="1:18" ht="15.75" x14ac:dyDescent="0.25">
      <c r="A28" s="73"/>
      <c r="B28" s="286" t="s">
        <v>555</v>
      </c>
      <c r="C28" s="216" t="str" cm="1">
        <f t="array" ref="C28">INDEX(C$7:C$25,MATCH($B28,$B$7:$B$25,0),)</f>
        <v>Public Investment Fund &amp; PE players</v>
      </c>
      <c r="D28" s="287" cm="1">
        <f t="array" ref="D28">INDEX(D$7:D$25,MATCH($B28,$B$7:$B$25,0),)</f>
        <v>45929</v>
      </c>
      <c r="E28" s="216" t="str" cm="1">
        <f t="array" ref="E28">INDEX(E$7:E$25,MATCH($B28,$B$7:$B$25,0),)</f>
        <v>Announced/Pending</v>
      </c>
      <c r="F28" s="236" cm="1">
        <f t="array" ref="F28">INDEX(F$7:F$25,MATCH($B28,$B$7:$B$25,0),)</f>
        <v>52876.279730000002</v>
      </c>
      <c r="G28" s="236" cm="1">
        <f t="array" aca="1" ref="G28" ca="1">INDEX(G$7:G$25,MATCH($B28,$B$7:$B$25,0),)</f>
        <v>50992.397761880005</v>
      </c>
      <c r="H28" s="236" cm="1">
        <f t="array" aca="1" ref="H28" ca="1">INDEX(H$7:H$25,MATCH($B28,$B$7:$B$25,0),)</f>
        <v>7306</v>
      </c>
      <c r="I28" s="236" cm="1">
        <f t="array" aca="1" ref="I28" ca="1">INDEX(I$7:I$25,MATCH($B28,$B$7:$B$25,0),)</f>
        <v>1310</v>
      </c>
      <c r="J28" s="247" cm="1">
        <f t="array" aca="1" ref="J28" ca="1">INDEX(J$7:J$25,MATCH($B28,$B$7:$B$25,0),)</f>
        <v>0.17930468108404052</v>
      </c>
      <c r="K28" s="248" cm="1">
        <f t="array" aca="1" ref="K28" ca="1">INDEX(K$7:K$25,MATCH($B28,$B$7:$B$25,0),)</f>
        <v>6.9795233728278134</v>
      </c>
      <c r="L28" s="288" cm="1">
        <f t="array" aca="1" ref="L28" ca="1">INDEX(L$7:L$25,MATCH($B28,$B$7:$B$25,0),)</f>
        <v>38.92549447471756</v>
      </c>
      <c r="M28" s="216" cm="1">
        <f t="array" ref="M28">INDEX(M$7:M$25,MATCH($B28,$B$7:$B$25,0),)</f>
        <v>0</v>
      </c>
      <c r="N28" s="247" cm="1">
        <f t="array" ref="N28">INDEX(N$7:N$25,MATCH($B28,$B$7:$B$25,0),)</f>
        <v>0</v>
      </c>
      <c r="O28" s="289" t="str" cm="1">
        <f t="array" ref="O28">INDEX(O$7:O$25,MATCH($B28,$B$7:$B$25,0),)</f>
        <v>United States</v>
      </c>
      <c r="P28" s="77"/>
      <c r="Q28" s="141"/>
      <c r="R28" s="44"/>
    </row>
    <row r="29" spans="1:18" ht="15.75" x14ac:dyDescent="0.25">
      <c r="A29" s="73"/>
      <c r="D29" s="47"/>
      <c r="E29" s="139"/>
      <c r="F29" s="1"/>
      <c r="G29" s="1"/>
      <c r="H29" s="1"/>
      <c r="I29" s="140"/>
      <c r="J29" s="140"/>
      <c r="K29" s="60"/>
      <c r="L29" s="140"/>
      <c r="M29" s="44"/>
      <c r="N29" s="54"/>
      <c r="P29" s="77"/>
      <c r="Q29" s="141"/>
      <c r="R29" s="44"/>
    </row>
    <row r="30" spans="1:18" ht="30" customHeight="1" x14ac:dyDescent="0.25">
      <c r="B30" s="53" t="str">
        <f>B20</f>
        <v>Activision Blizzard, Inc.</v>
      </c>
      <c r="C30" t="str" cm="1">
        <f t="array" ref="C30">INDEX(C$7:C$25,MATCH($B30,$B$7:$B$25,0),)</f>
        <v>Microsoft Corp.</v>
      </c>
      <c r="D30" s="179" cm="1">
        <f t="array" ref="D30">INDEX(D$7:D$25,MATCH($B30,$B$7:$B$25,0),)</f>
        <v>44579</v>
      </c>
      <c r="E30" t="str" cm="1">
        <f t="array" ref="E30">INDEX(E$7:E$25,MATCH($B30,$B$7:$B$25,0),)</f>
        <v>Complete</v>
      </c>
      <c r="F30" s="52" cm="1">
        <f t="array" ref="F30">INDEX(F$7:F$25,MATCH($B30,$B$7:$B$25,0),)</f>
        <v>68039.840400000001</v>
      </c>
      <c r="G30" s="52" cm="1">
        <f t="array" ref="G30">INDEX(G$7:G$25,MATCH($B30,$B$7:$B$25,0),)</f>
        <v>68039.840400000001</v>
      </c>
      <c r="H30" s="52" cm="1">
        <f t="array" ref="H30">INDEX(H$7:H$25,MATCH($B30,$B$7:$B$25,0),)</f>
        <v>8803</v>
      </c>
      <c r="I30" s="52" cm="1">
        <f t="array" ref="I30">INDEX(I$7:I$25,MATCH($B30,$B$7:$B$25,0),)</f>
        <v>3841</v>
      </c>
      <c r="J30" s="59" cm="1">
        <f t="array" ref="J30">INDEX(J$7:J$25,MATCH($B30,$B$7:$B$25,0),)</f>
        <v>0.43632852436669317</v>
      </c>
      <c r="K30" s="76" cm="1">
        <f t="array" ref="K30">INDEX(K$7:K$25,MATCH($B30,$B$7:$B$25,0),)</f>
        <v>7.7291651028058617</v>
      </c>
      <c r="L30" s="182" cm="1">
        <f t="array" ref="L30">INDEX(L$7:L$25,MATCH($B30,$B$7:$B$25,0),)</f>
        <v>17.714095</v>
      </c>
      <c r="M30" cm="1">
        <f t="array" ref="M30">INDEX(M$7:M$25,MATCH($B30,$B$7:$B$25,0),)</f>
        <v>300</v>
      </c>
      <c r="N30" s="59" cm="1">
        <f t="array" ref="N30">INDEX(N$7:N$25,MATCH($B30,$B$7:$B$25,0),)</f>
        <v>3.4079291150744068E-2</v>
      </c>
      <c r="O30" s="178" t="str" cm="1">
        <f t="array" ref="O30">INDEX(O$7:O$25,MATCH($B30,$B$7:$B$25,0),)</f>
        <v>United States</v>
      </c>
      <c r="Q30" s="181"/>
    </row>
    <row r="31" spans="1:18" ht="30" customHeight="1" x14ac:dyDescent="0.25">
      <c r="B31" s="53" t="s">
        <v>583</v>
      </c>
      <c r="C31" t="str" cm="1">
        <f t="array" ref="C31">INDEX(C$7:C$25,MATCH($B31,$B$7:$B$25,0),)</f>
        <v>Take-Two Interactive Software, Inc.</v>
      </c>
      <c r="D31" s="179" cm="1">
        <f t="array" ref="D31">INDEX(D$7:D$25,MATCH($B31,$B$7:$B$25,0),)</f>
        <v>44571</v>
      </c>
      <c r="E31" t="str" cm="1">
        <f t="array" ref="E31">INDEX(E$7:E$25,MATCH($B31,$B$7:$B$25,0),)</f>
        <v>Complete</v>
      </c>
      <c r="F31" s="52" cm="1">
        <f t="array" ref="F31">INDEX(F$7:F$25,MATCH($B31,$B$7:$B$25,0),)</f>
        <v>11393.818456000001</v>
      </c>
      <c r="G31" s="52" cm="1">
        <f t="array" ref="G31">INDEX(G$7:G$25,MATCH($B31,$B$7:$B$25,0),)</f>
        <v>11393.818456000001</v>
      </c>
      <c r="H31" s="52" cm="1">
        <f t="array" ref="H31">INDEX(H$7:H$25,MATCH($B31,$B$7:$B$25,0),)</f>
        <v>2800.5</v>
      </c>
      <c r="I31" s="52" cm="1">
        <f t="array" ref="I31">INDEX(I$7:I$25,MATCH($B31,$B$7:$B$25,0),)</f>
        <v>476.6</v>
      </c>
      <c r="J31" s="59" cm="1">
        <f t="array" ref="J31">INDEX(J$7:J$25,MATCH($B31,$B$7:$B$25,0),)</f>
        <v>0.17018389573290485</v>
      </c>
      <c r="K31" s="76" cm="1">
        <f t="array" ref="K31">INDEX(K$7:K$25,MATCH($B31,$B$7:$B$25,0),)</f>
        <v>4.0684943602928048</v>
      </c>
      <c r="L31" s="182" cm="1">
        <f t="array" ref="L31">INDEX(L$7:L$25,MATCH($B31,$B$7:$B$25,0),)</f>
        <v>23.906459202685692</v>
      </c>
      <c r="M31" cm="1">
        <f t="array" ref="M31">INDEX(M$7:M$25,MATCH($B31,$B$7:$B$25,0),)</f>
        <v>100</v>
      </c>
      <c r="N31" s="59" cm="1">
        <f t="array" ref="N31">INDEX(N$7:N$25,MATCH($B31,$B$7:$B$25,0),)</f>
        <v>3.5707909301910375E-2</v>
      </c>
      <c r="O31" s="178" t="str" cm="1">
        <f t="array" ref="O31">INDEX(O$7:O$25,MATCH($B31,$B$7:$B$25,0),)</f>
        <v>United States</v>
      </c>
      <c r="Q31" s="181"/>
    </row>
    <row r="32" spans="1:18" ht="30" customHeight="1" x14ac:dyDescent="0.25">
      <c r="A32">
        <f>A15</f>
        <v>0</v>
      </c>
      <c r="B32" s="53" t="s">
        <v>574</v>
      </c>
      <c r="C32" t="str" cm="1">
        <f t="array" ref="C32">INDEX(C$7:C$25,MATCH($B32,$B$7:$B$25,0),)</f>
        <v>Tencent Holdings Ltd.</v>
      </c>
      <c r="D32" s="179" cm="1">
        <f t="array" ref="D32">INDEX(D$7:D$25,MATCH($B32,$B$7:$B$25,0),)</f>
        <v>44396</v>
      </c>
      <c r="E32" t="str" cm="1">
        <f t="array" ref="E32">INDEX(E$7:E$25,MATCH($B32,$B$7:$B$25,0),)</f>
        <v>Complete</v>
      </c>
      <c r="F32" s="52" cm="1">
        <f t="array" ref="F32">INDEX(F$7:F$25,MATCH($B32,$B$7:$B$25,0),)</f>
        <v>1172.8655670000001</v>
      </c>
      <c r="G32" s="52" cm="1">
        <f t="array" ref="G32">INDEX(G$7:G$25,MATCH($B32,$B$7:$B$25,0),)</f>
        <v>1278.9911589999999</v>
      </c>
      <c r="H32" s="52" cm="1">
        <f t="array" ref="H32">INDEX(H$7:H$25,MATCH($B32,$B$7:$B$25,0),)</f>
        <v>125.306181</v>
      </c>
      <c r="I32" s="52" cm="1">
        <f t="array" ref="I32">INDEX(I$7:I$25,MATCH($B32,$B$7:$B$25,0),)</f>
        <v>23.028870000000001</v>
      </c>
      <c r="J32" s="59" cm="1">
        <f t="array" ref="J32">INDEX(J$7:J$25,MATCH($B32,$B$7:$B$25,0),)</f>
        <v>0.18378079849069856</v>
      </c>
      <c r="K32" s="76" cm="1">
        <f t="array" ref="K32">INDEX(K$7:K$25,MATCH($B32,$B$7:$B$25,0),)</f>
        <v>10.206927932788886</v>
      </c>
      <c r="L32" s="182" cm="1">
        <f t="array" ref="L32">INDEX(L$7:L$25,MATCH($B32,$B$7:$B$25,0),)</f>
        <v>55.538598</v>
      </c>
      <c r="M32" cm="1">
        <f t="array" ref="M32">INDEX(M$7:M$25,MATCH($B32,$B$7:$B$25,0),)</f>
        <v>0</v>
      </c>
      <c r="N32" s="59" cm="1">
        <f t="array" ref="N32">INDEX(N$7:N$25,MATCH($B32,$B$7:$B$25,0),)</f>
        <v>0</v>
      </c>
      <c r="O32" s="178" t="str" cm="1">
        <f t="array" ref="O32">INDEX(O$7:O$25,MATCH($B32,$B$7:$B$25,0),)</f>
        <v>United Kingdom</v>
      </c>
      <c r="P32" s="77"/>
      <c r="Q32" s="181"/>
    </row>
    <row r="33" spans="1:18" ht="30" customHeight="1" x14ac:dyDescent="0.25">
      <c r="B33" s="53" t="s">
        <v>554</v>
      </c>
      <c r="C33" t="str" cm="1">
        <f t="array" ref="C33">INDEX(C$7:C$25,MATCH($B33,$B$7:$B$25,0),)</f>
        <v>Electronic Arts, Inc.</v>
      </c>
      <c r="D33" s="179" cm="1">
        <f t="array" ref="D33">INDEX(D$7:D$25,MATCH($B33,$B$7:$B$25,0),)</f>
        <v>44179</v>
      </c>
      <c r="E33" t="str" cm="1">
        <f t="array" ref="E33">INDEX(E$7:E$25,MATCH($B33,$B$7:$B$25,0),)</f>
        <v>Complete</v>
      </c>
      <c r="F33" s="52" cm="1">
        <f t="array" ref="F33">INDEX(F$7:F$25,MATCH($B33,$B$7:$B$25,0),)</f>
        <v>1142.6500000000001</v>
      </c>
      <c r="G33" s="52" cm="1">
        <f t="array" ref="G33">INDEX(G$7:G$25,MATCH($B33,$B$7:$B$25,0),)</f>
        <v>1142.6500000000001</v>
      </c>
      <c r="H33" s="52" cm="1">
        <f t="array" ref="H33">INDEX(H$7:H$25,MATCH($B33,$B$7:$B$25,0),)</f>
        <v>148.47999999999999</v>
      </c>
      <c r="I33" s="52" cm="1">
        <f t="array" ref="I33">INDEX(I$7:I$25,MATCH($B33,$B$7:$B$25,0),)</f>
        <v>67.22</v>
      </c>
      <c r="J33" s="59" cm="1">
        <f t="array" ref="J33">INDEX(J$7:J$25,MATCH($B33,$B$7:$B$25,0),)</f>
        <v>0.45272090517241381</v>
      </c>
      <c r="K33" s="76" cm="1">
        <f t="array" ref="K33">INDEX(K$7:K$25,MATCH($B33,$B$7:$B$25,0),)</f>
        <v>7.6956492456896566</v>
      </c>
      <c r="L33" s="182" cm="1">
        <f t="array" ref="L33">INDEX(L$7:L$25,MATCH($B33,$B$7:$B$25,0),)</f>
        <v>16.998661112764061</v>
      </c>
      <c r="M33" cm="1">
        <f t="array" ref="M33">INDEX(M$7:M$25,MATCH($B33,$B$7:$B$25,0),)</f>
        <v>0</v>
      </c>
      <c r="N33" s="59" cm="1">
        <f t="array" ref="N33">INDEX(N$7:N$25,MATCH($B33,$B$7:$B$25,0),)</f>
        <v>0</v>
      </c>
      <c r="O33" s="178" t="str" cm="1">
        <f t="array" ref="O33">INDEX(O$7:O$25,MATCH($B33,$B$7:$B$25,0),)</f>
        <v>United Kingdom</v>
      </c>
      <c r="P33" s="77"/>
      <c r="Q33" s="181"/>
    </row>
    <row r="34" spans="1:18" ht="30" customHeight="1" x14ac:dyDescent="0.25">
      <c r="B34" s="53" t="s">
        <v>557</v>
      </c>
      <c r="C34" t="str" cm="1">
        <f t="array" ref="C34">INDEX(C$7:C$25,MATCH($B34,$B$7:$B$25,0),)</f>
        <v>Embracer</v>
      </c>
      <c r="D34" s="179" cm="1">
        <f t="array" ref="D34">INDEX(D$7:D$25,MATCH($B34,$B$7:$B$25,0),)</f>
        <v>44230</v>
      </c>
      <c r="E34" t="str" cm="1">
        <f t="array" ref="E34">INDEX(E$7:E$25,MATCH($B34,$B$7:$B$25,0),)</f>
        <v>Complete</v>
      </c>
      <c r="F34" s="52" cm="1">
        <f t="array" ref="F34">INDEX(F$7:F$25,MATCH($B34,$B$7:$B$25,0),)</f>
        <v>1387.2</v>
      </c>
      <c r="G34" s="52" cm="1">
        <f t="array" ref="G34">INDEX(G$7:G$25,MATCH($B34,$B$7:$B$25,0),)</f>
        <v>1387.2</v>
      </c>
      <c r="H34" s="52" cm="1">
        <f t="array" ref="H34">INDEX(H$7:H$25,MATCH($B34,$B$7:$B$25,0),)</f>
        <v>124.93</v>
      </c>
      <c r="I34" s="52" cm="1">
        <f t="array" ref="I34">INDEX(I$7:I$25,MATCH($B34,$B$7:$B$25,0),)</f>
        <v>65.411764705882348</v>
      </c>
      <c r="J34" s="59" cm="1">
        <f t="array" ref="J34">INDEX(J$7:J$25,MATCH($B34,$B$7:$B$25,0),)</f>
        <v>0.52358732654992668</v>
      </c>
      <c r="K34" s="76" cm="1">
        <f t="array" ref="K34">INDEX(K$7:K$25,MATCH($B34,$B$7:$B$25,0),)</f>
        <v>11.103818138157369</v>
      </c>
      <c r="L34" s="182" cm="1">
        <f t="array" ref="L34">INDEX(L$7:L$25,MATCH($B34,$B$7:$B$25,0),)</f>
        <v>21.20719424460432</v>
      </c>
      <c r="M34" cm="1">
        <f t="array" ref="M34">INDEX(M$7:M$25,MATCH($B34,$B$7:$B$25,0),)</f>
        <v>0</v>
      </c>
      <c r="N34" s="59" cm="1">
        <f t="array" ref="N34">INDEX(N$7:N$25,MATCH($B34,$B$7:$B$25,0),)</f>
        <v>0</v>
      </c>
      <c r="O34" s="178" t="str" cm="1">
        <f t="array" ref="O34">INDEX(O$7:O$25,MATCH($B34,$B$7:$B$25,0),)</f>
        <v>United States</v>
      </c>
      <c r="P34" s="77"/>
      <c r="Q34" s="181"/>
    </row>
    <row r="35" spans="1:18" ht="30" customHeight="1" x14ac:dyDescent="0.25">
      <c r="B35" s="53" t="s">
        <v>560</v>
      </c>
      <c r="C35" t="str" cm="1">
        <f t="array" ref="C35">INDEX(C$7:C$25,MATCH($B35,$B$7:$B$25,0),)</f>
        <v>Electronic Arts</v>
      </c>
      <c r="D35" s="179" cm="1">
        <f t="array" ref="D35">INDEX(D$7:D$25,MATCH($B35,$B$7:$B$25,0),)</f>
        <v>44235</v>
      </c>
      <c r="E35" t="str" cm="1">
        <f t="array" ref="E35">INDEX(E$7:E$25,MATCH($B35,$B$7:$B$25,0),)</f>
        <v>Complete</v>
      </c>
      <c r="F35" s="52" cm="1">
        <f t="array" ref="F35">INDEX(F$7:F$25,MATCH($B35,$B$7:$B$25,0),)</f>
        <v>2100</v>
      </c>
      <c r="G35" s="52" cm="1">
        <f t="array" ref="G35">INDEX(G$7:G$25,MATCH($B35,$B$7:$B$25,0),)</f>
        <v>2100</v>
      </c>
      <c r="H35" s="52" cm="1">
        <f t="array" ref="H35">INDEX(H$7:H$25,MATCH($B35,$B$7:$B$25,0),)</f>
        <v>540.52</v>
      </c>
      <c r="I35" s="52" cm="1">
        <f t="array" ref="I35">INDEX(I$7:I$25,MATCH($B35,$B$7:$B$25,0),)</f>
        <v>86.776859504132233</v>
      </c>
      <c r="J35" s="59" cm="1">
        <f t="array" ref="J35">INDEX(J$7:J$25,MATCH($B35,$B$7:$B$25,0),)</f>
        <v>0.1605432907276923</v>
      </c>
      <c r="K35" s="76" cm="1">
        <f t="array" ref="K35">INDEX(K$7:K$25,MATCH($B35,$B$7:$B$25,0),)</f>
        <v>3.8851476356101533</v>
      </c>
      <c r="L35" s="182" cm="1">
        <f t="array" ref="L35">INDEX(L$7:L$25,MATCH($B35,$B$7:$B$25,0),)</f>
        <v>24.2</v>
      </c>
      <c r="M35" cm="1">
        <f t="array" ref="M35">INDEX(M$7:M$25,MATCH($B35,$B$7:$B$25,0),)</f>
        <v>0</v>
      </c>
      <c r="N35" s="59" cm="1">
        <f t="array" ref="N35">INDEX(N$7:N$25,MATCH($B35,$B$7:$B$25,0),)</f>
        <v>0</v>
      </c>
      <c r="O35" s="178" t="str" cm="1">
        <f t="array" ref="O35">INDEX(O$7:O$25,MATCH($B35,$B$7:$B$25,0),)</f>
        <v>United States</v>
      </c>
      <c r="P35" s="77"/>
      <c r="Q35" s="181"/>
    </row>
    <row r="36" spans="1:18" ht="30" customHeight="1" x14ac:dyDescent="0.25">
      <c r="B36" s="53" t="s">
        <v>545</v>
      </c>
      <c r="C36" t="str" cm="1">
        <f t="array" ref="C36">INDEX(C$7:C$25,MATCH($B36,$B$7:$B$25,0),)</f>
        <v>Macarthur Fortune Holding LLC</v>
      </c>
      <c r="D36" s="179" cm="1">
        <f t="array" ref="D36">INDEX(D$7:D$25,MATCH($B36,$B$7:$B$25,0),)</f>
        <v>43949</v>
      </c>
      <c r="E36" t="str" cm="1">
        <f t="array" ref="E36">INDEX(E$7:E$25,MATCH($B36,$B$7:$B$25,0),)</f>
        <v>Complete</v>
      </c>
      <c r="F36" s="52" cm="1">
        <f t="array" ref="F36">INDEX(F$7:F$25,MATCH($B36,$B$7:$B$25,0),)</f>
        <v>530.00000599999998</v>
      </c>
      <c r="G36" s="52" cm="1">
        <f t="array" ref="G36">INDEX(G$7:G$25,MATCH($B36,$B$7:$B$25,0),)</f>
        <v>530.00000599999998</v>
      </c>
      <c r="H36" s="52" cm="1">
        <f t="array" ref="H36">INDEX(H$7:H$25,MATCH($B36,$B$7:$B$25,0),)</f>
        <v>134.71225699999999</v>
      </c>
      <c r="I36" s="52" cm="1">
        <f t="array" ref="I36">INDEX(I$7:I$25,MATCH($B36,$B$7:$B$25,0),)</f>
        <v>57.884120000000003</v>
      </c>
      <c r="J36" s="59" cm="1">
        <f t="array" ref="J36">INDEX(J$7:J$25,MATCH($B36,$B$7:$B$25,0),)</f>
        <v>0.42968710709078245</v>
      </c>
      <c r="K36" s="76" cm="1">
        <f t="array" ref="K36">INDEX(K$7:K$25,MATCH($B36,$B$7:$B$25,0),)</f>
        <v>3.9343119999999998</v>
      </c>
      <c r="L36" s="182" cm="1">
        <f t="array" ref="L36">INDEX(L$7:L$25,MATCH($B36,$B$7:$B$25,0),)</f>
        <v>9.1562249999999992</v>
      </c>
      <c r="M36" cm="1">
        <f t="array" ref="M36">INDEX(M$7:M$25,MATCH($B36,$B$7:$B$25,0),)</f>
        <v>0</v>
      </c>
      <c r="N36" s="59" cm="1">
        <f t="array" ref="N36">INDEX(N$7:N$25,MATCH($B36,$B$7:$B$25,0),)</f>
        <v>0</v>
      </c>
      <c r="O36" s="178" t="str" cm="1">
        <f t="array" ref="O36">INDEX(O$7:O$25,MATCH($B36,$B$7:$B$25,0),)</f>
        <v>United Kingdom</v>
      </c>
      <c r="P36" s="77"/>
      <c r="Q36" s="181"/>
    </row>
    <row r="37" spans="1:18" ht="30" customHeight="1" x14ac:dyDescent="0.25">
      <c r="B37" s="53" t="s">
        <v>599</v>
      </c>
      <c r="C37" t="str" cm="1">
        <f t="array" ref="C37">INDEX(C$7:C$25,MATCH($B37,$B$7:$B$25,0),)</f>
        <v>Miniclip SA</v>
      </c>
      <c r="D37" s="179" cm="1">
        <f t="array" ref="D37">INDEX(D$7:D$25,MATCH($B37,$B$7:$B$25,0),)</f>
        <v>45610</v>
      </c>
      <c r="E37" t="str" cm="1">
        <f t="array" ref="E37">INDEX(E$7:E$25,MATCH($B37,$B$7:$B$25,0),)</f>
        <v>Completed</v>
      </c>
      <c r="F37" s="52" cm="1">
        <f t="array" ref="F37">INDEX(F$7:F$25,MATCH($B37,$B$7:$B$25,0),)</f>
        <v>1199.9999989999999</v>
      </c>
      <c r="G37" s="52" cm="1">
        <f t="array" ref="G37">INDEX(G$7:G$25,MATCH($B37,$B$7:$B$25,0),)</f>
        <v>1199.9999989999999</v>
      </c>
      <c r="H37" s="52" cm="1">
        <f t="array" ref="H37">INDEX(H$7:H$25,MATCH($B37,$B$7:$B$25,0),)</f>
        <v>309.56505900000002</v>
      </c>
      <c r="I37" s="52" cm="1">
        <f t="array" ref="I37">INDEX(I$7:I$25,MATCH($B37,$B$7:$B$25,0),)</f>
        <v>126.01440700000001</v>
      </c>
      <c r="J37" s="59" cm="1">
        <f t="array" ref="J37">INDEX(J$7:J$25,MATCH($B37,$B$7:$B$25,0),)</f>
        <v>0.40706921965634368</v>
      </c>
      <c r="K37" s="76" cm="1">
        <f t="array" ref="K37">INDEX(K$7:K$25,MATCH($B37,$B$7:$B$25,0),)</f>
        <v>3.8764064745433684</v>
      </c>
      <c r="L37" s="182" cm="1">
        <f t="array" ref="L37">INDEX(L$7:L$25,MATCH($B37,$B$7:$B$25,0),)</f>
        <v>9.5227206758985883</v>
      </c>
      <c r="M37" cm="1">
        <f t="array" ref="M37">INDEX(M$7:M$25,MATCH($B37,$B$7:$B$25,0),)</f>
        <v>0</v>
      </c>
      <c r="N37" s="59" cm="1">
        <f t="array" ref="N37">INDEX(N$7:N$25,MATCH($B37,$B$7:$B$25,0),)</f>
        <v>0</v>
      </c>
      <c r="O37" s="178" t="str" cm="1">
        <f t="array" ref="O37">INDEX(O$7:O$25,MATCH($B37,$B$7:$B$25,0),)</f>
        <v>Cyprus</v>
      </c>
      <c r="P37" s="77"/>
      <c r="Q37" s="181"/>
    </row>
    <row r="38" spans="1:18" ht="30" customHeight="1" x14ac:dyDescent="0.25">
      <c r="B38" s="53" t="s">
        <v>571</v>
      </c>
      <c r="C38" t="str" cm="1">
        <f t="array" ref="C38">INDEX(C$7:C$25,MATCH($B38,$B$7:$B$25,0),)</f>
        <v>Pine Interactive Ltd /Electronic Arts</v>
      </c>
      <c r="D38" s="179" cm="1">
        <f t="array" ref="D38">INDEX(D$7:D$25,MATCH($B38,$B$7:$B$25,0),)</f>
        <v>44370</v>
      </c>
      <c r="E38" t="str" cm="1">
        <f t="array" ref="E38">INDEX(E$7:E$25,MATCH($B38,$B$7:$B$25,0),)</f>
        <v>Complete</v>
      </c>
      <c r="F38" s="52" cm="1">
        <f t="array" ref="F38">INDEX(F$7:F$25,MATCH($B38,$B$7:$B$25,0),)</f>
        <v>1390.95</v>
      </c>
      <c r="G38" s="52" cm="1">
        <f t="array" ref="G38">INDEX(G$7:G$25,MATCH($B38,$B$7:$B$25,0),)</f>
        <v>1390.95</v>
      </c>
      <c r="H38" s="52" cm="1">
        <f t="array" ref="H38">INDEX(H$7:H$25,MATCH($B38,$B$7:$B$25,0),)</f>
        <v>182.4</v>
      </c>
      <c r="I38" s="52" cm="1">
        <f t="array" ref="I38">INDEX(I$7:I$25,MATCH($B38,$B$7:$B$25,0),)</f>
        <v>32.705173829728992</v>
      </c>
      <c r="J38" s="59" cm="1">
        <f t="array" ref="J38">INDEX(J$7:J$25,MATCH($B38,$B$7:$B$25,0),)</f>
        <v>0.17930468108404052</v>
      </c>
      <c r="K38" s="76" cm="1">
        <f t="array" ref="K38">INDEX(K$7:K$25,MATCH($B38,$B$7:$B$25,0),)</f>
        <v>7.6258223684210522</v>
      </c>
      <c r="L38" s="182" cm="1">
        <f t="array" ref="L38">INDEX(L$7:L$25,MATCH($B38,$B$7:$B$25,0),)</f>
        <v>42.529968109682599</v>
      </c>
      <c r="M38" cm="1">
        <f t="array" ref="M38">INDEX(M$7:M$25,MATCH($B38,$B$7:$B$25,0),)</f>
        <v>0</v>
      </c>
      <c r="N38" s="59" cm="1">
        <f t="array" ref="N38">INDEX(N$7:N$25,MATCH($B38,$B$7:$B$25,0),)</f>
        <v>0</v>
      </c>
      <c r="O38" s="178" t="str" cm="1">
        <f t="array" ref="O38">INDEX(O$7:O$25,MATCH($B38,$B$7:$B$25,0),)</f>
        <v>United Kingdom</v>
      </c>
      <c r="P38" s="77"/>
      <c r="Q38" s="181"/>
    </row>
    <row r="39" spans="1:18" ht="15.75" x14ac:dyDescent="0.25">
      <c r="A39" s="73"/>
      <c r="J39" s="59"/>
      <c r="K39" s="60"/>
      <c r="L39" s="180"/>
      <c r="N39" s="60"/>
      <c r="O39" s="60"/>
      <c r="Q39" s="141"/>
      <c r="R39" s="44"/>
    </row>
    <row r="40" spans="1:18" ht="15" customHeight="1" x14ac:dyDescent="0.25">
      <c r="A40" s="72"/>
      <c r="B40" s="72"/>
      <c r="C40" s="72"/>
      <c r="D40" s="72" t="s">
        <v>607</v>
      </c>
      <c r="H40" s="44"/>
      <c r="J40" s="44"/>
      <c r="K40" s="44"/>
      <c r="L40" s="44"/>
      <c r="M40" s="44"/>
      <c r="N40" s="44"/>
      <c r="O40" s="44"/>
      <c r="P40" s="44"/>
      <c r="Q40" s="141"/>
      <c r="R40" s="44"/>
    </row>
    <row r="41" spans="1:18" ht="15" customHeight="1" x14ac:dyDescent="0.25">
      <c r="B41" t="s">
        <v>608</v>
      </c>
      <c r="D41">
        <f>'1'!SALES_LTM</f>
        <v>7306</v>
      </c>
    </row>
    <row r="42" spans="1:18" ht="15" customHeight="1" x14ac:dyDescent="0.25">
      <c r="A42" s="16"/>
      <c r="B42" t="s">
        <v>609</v>
      </c>
      <c r="D42">
        <f>'1'!EBITDA_LTM</f>
        <v>1310</v>
      </c>
      <c r="F42" s="80"/>
    </row>
    <row r="43" spans="1:18" ht="15" customHeight="1" x14ac:dyDescent="0.25">
      <c r="A43" s="16"/>
      <c r="B43" t="s">
        <v>610</v>
      </c>
      <c r="D43" s="59">
        <f>D42/D41</f>
        <v>0.17930468108404052</v>
      </c>
    </row>
    <row r="44" spans="1:18" ht="15" customHeight="1" x14ac:dyDescent="0.25">
      <c r="A44" s="16"/>
    </row>
    <row r="45" spans="1:18" ht="15" customHeight="1" x14ac:dyDescent="0.25">
      <c r="A45" s="16"/>
      <c r="B45" t="s">
        <v>271</v>
      </c>
      <c r="C45" t="s">
        <v>434</v>
      </c>
      <c r="D45" s="60">
        <f>MEDIAN(L30:L38)</f>
        <v>21.20719424460432</v>
      </c>
    </row>
    <row r="46" spans="1:18" ht="15" customHeight="1" x14ac:dyDescent="0.25">
      <c r="A46" s="16"/>
      <c r="B46" t="s">
        <v>435</v>
      </c>
      <c r="D46">
        <f>D45*$D$42</f>
        <v>27781.424460431659</v>
      </c>
    </row>
    <row r="47" spans="1:18" ht="15" customHeight="1" x14ac:dyDescent="0.25">
      <c r="A47" s="16"/>
      <c r="B47" t="s">
        <v>611</v>
      </c>
      <c r="D47">
        <f>D46-'1'!G37+'1'!J37</f>
        <v>28781.424460431659</v>
      </c>
    </row>
    <row r="48" spans="1:18" ht="15" customHeight="1" x14ac:dyDescent="0.25">
      <c r="B48" t="s">
        <v>612</v>
      </c>
      <c r="D48">
        <f>D47/'1'!DSO</f>
        <v>111.13468551959559</v>
      </c>
    </row>
    <row r="49" spans="1:4" ht="15" customHeight="1" x14ac:dyDescent="0.25">
      <c r="B49" t="s">
        <v>613</v>
      </c>
      <c r="D49" s="59">
        <f>D48/'1'!COMP_SHAREPRICE-1</f>
        <v>-0.44643013787808528</v>
      </c>
    </row>
    <row r="51" spans="1:4" ht="15" customHeight="1" x14ac:dyDescent="0.25">
      <c r="A51" s="16" t="s">
        <v>137</v>
      </c>
    </row>
  </sheetData>
  <sortState xmlns:xlrd2="http://schemas.microsoft.com/office/spreadsheetml/2017/richdata2" ref="B8:Q25">
    <sortCondition ref="D8:D25"/>
  </sortState>
  <printOptions headings="1" gridLines="1"/>
  <pageMargins left="0.70866141732283472" right="0.70866141732283472" top="0.74803149606299213" bottom="0.74803149606299213" header="0" footer="0"/>
  <pageSetup paperSize="9" scale="41" orientation="landscape" r:id="rId1"/>
  <headerFooter>
    <oddHeader>&amp;R&amp;F  &amp;A</oddHeader>
    <oddFooter>&amp;L© 2016&amp;CPage &amp;P of</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7"/>
    <pageSetUpPr fitToPage="1"/>
  </sheetPr>
  <dimension ref="A1:M39"/>
  <sheetViews>
    <sheetView workbookViewId="0"/>
  </sheetViews>
  <sheetFormatPr defaultColWidth="12.5703125" defaultRowHeight="15" customHeight="1" x14ac:dyDescent="0.25"/>
  <cols>
    <col min="1" max="1" width="1.140625" customWidth="1"/>
    <col min="2" max="2" width="41.5703125" customWidth="1"/>
    <col min="3" max="13" width="10.28515625" customWidth="1"/>
  </cols>
  <sheetData>
    <row r="1" spans="1:13" ht="45" customHeight="1" x14ac:dyDescent="0.45">
      <c r="A1" s="68" t="str">
        <f>"Synergy valuation for "&amp;Info!N5</f>
        <v>Synergy valuation for Electronic Arts</v>
      </c>
      <c r="B1" s="68"/>
      <c r="C1" s="68"/>
      <c r="D1" s="68"/>
      <c r="E1" s="68"/>
      <c r="F1" s="68"/>
      <c r="G1" s="68"/>
      <c r="H1" s="68"/>
      <c r="I1" s="68"/>
      <c r="J1" s="68"/>
      <c r="K1" s="68"/>
      <c r="L1" s="68"/>
      <c r="M1" s="68"/>
    </row>
    <row r="2" spans="1:13" ht="15" customHeight="1" x14ac:dyDescent="0.25">
      <c r="A2" s="72"/>
      <c r="B2" s="72"/>
      <c r="C2" s="72" t="str">
        <f>Model!C2</f>
        <v>Actual</v>
      </c>
      <c r="D2" s="72" t="str">
        <f>Model!D2</f>
        <v>Actual</v>
      </c>
      <c r="E2" s="72" t="str">
        <f>Model!E2</f>
        <v>Projected</v>
      </c>
      <c r="F2" s="72" t="str">
        <f>Model!F2</f>
        <v>Projected</v>
      </c>
      <c r="G2" s="72" t="str">
        <f>Model!G2</f>
        <v>Projected</v>
      </c>
      <c r="H2" s="72" t="str">
        <f>Model!H2</f>
        <v>Projected</v>
      </c>
      <c r="I2" s="72" t="str">
        <f>Model!I2</f>
        <v>Projected</v>
      </c>
      <c r="J2" s="72"/>
      <c r="K2" s="72"/>
      <c r="L2" s="72"/>
      <c r="M2" s="72"/>
    </row>
    <row r="3" spans="1:13" ht="15" customHeight="1" x14ac:dyDescent="0.25">
      <c r="A3" s="72"/>
      <c r="B3" s="72"/>
      <c r="C3" s="131">
        <f>Model!C3</f>
        <v>45382</v>
      </c>
      <c r="D3" s="131">
        <f>Model!D3</f>
        <v>45747</v>
      </c>
      <c r="E3" s="131">
        <f>Model!E3</f>
        <v>46112</v>
      </c>
      <c r="F3" s="131">
        <f>Model!F3</f>
        <v>46477</v>
      </c>
      <c r="G3" s="131">
        <f>Model!G3</f>
        <v>46843</v>
      </c>
      <c r="H3" s="131">
        <f>Model!H3</f>
        <v>47208</v>
      </c>
      <c r="I3" s="131">
        <f>Model!I3</f>
        <v>47573</v>
      </c>
      <c r="J3" s="131"/>
      <c r="K3" s="131"/>
      <c r="L3" s="131"/>
      <c r="M3" s="131"/>
    </row>
    <row r="4" spans="1:13" ht="15" customHeight="1" x14ac:dyDescent="0.25">
      <c r="A4" s="2" t="s">
        <v>140</v>
      </c>
      <c r="B4" s="44"/>
      <c r="C4" s="44"/>
      <c r="D4" s="44"/>
      <c r="E4" s="44"/>
      <c r="F4" s="44"/>
      <c r="G4" s="44"/>
      <c r="H4" s="44"/>
      <c r="I4" s="44"/>
      <c r="J4" s="44"/>
      <c r="K4" s="44"/>
      <c r="L4" s="44"/>
      <c r="M4" s="44"/>
    </row>
    <row r="5" spans="1:13" ht="15" customHeight="1" x14ac:dyDescent="0.25">
      <c r="A5" s="16"/>
      <c r="B5" s="44"/>
      <c r="C5" s="44"/>
      <c r="D5" s="44"/>
      <c r="E5" s="44"/>
      <c r="F5" s="44"/>
      <c r="G5" s="44"/>
      <c r="H5" s="44"/>
      <c r="I5" s="44"/>
      <c r="J5" s="44"/>
      <c r="K5" s="44"/>
      <c r="L5" s="44"/>
      <c r="M5" s="44"/>
    </row>
    <row r="6" spans="1:13" ht="15" customHeight="1" x14ac:dyDescent="0.25">
      <c r="A6" s="16"/>
      <c r="B6" s="2" t="s">
        <v>147</v>
      </c>
      <c r="C6" s="44"/>
      <c r="D6" s="44"/>
      <c r="E6" s="128">
        <f>'1'!COMP_MTR</f>
        <v>0.219</v>
      </c>
      <c r="F6" s="44"/>
      <c r="H6" s="44"/>
      <c r="I6" s="44"/>
      <c r="K6" s="44"/>
      <c r="L6" s="44"/>
      <c r="M6" s="44"/>
    </row>
    <row r="7" spans="1:13" ht="15" customHeight="1" x14ac:dyDescent="0.25">
      <c r="A7" s="16"/>
      <c r="B7" s="2" t="s">
        <v>475</v>
      </c>
      <c r="C7" s="44"/>
      <c r="D7" s="44"/>
      <c r="E7" s="128">
        <f ca="1">WACC</f>
        <v>8.1027263625874063E-2</v>
      </c>
      <c r="F7" s="44"/>
      <c r="H7" s="44"/>
      <c r="I7" s="44"/>
      <c r="K7" s="44"/>
      <c r="L7" s="44"/>
    </row>
    <row r="8" spans="1:13" ht="15" customHeight="1" x14ac:dyDescent="0.25">
      <c r="A8" s="16"/>
      <c r="B8" s="44"/>
      <c r="C8" s="44"/>
      <c r="D8" s="44"/>
      <c r="E8" s="44"/>
      <c r="F8" s="44"/>
      <c r="H8" s="44"/>
      <c r="I8" s="44"/>
      <c r="K8" s="44"/>
      <c r="L8" s="44"/>
      <c r="M8" s="44"/>
    </row>
    <row r="9" spans="1:13" ht="15" customHeight="1" x14ac:dyDescent="0.25">
      <c r="B9" s="44" t="s">
        <v>614</v>
      </c>
      <c r="C9" s="44"/>
      <c r="D9" s="44"/>
      <c r="E9" s="44">
        <f>'1'!SALES_LTM</f>
        <v>7306</v>
      </c>
      <c r="F9" s="44"/>
      <c r="H9" s="44"/>
      <c r="I9" s="44"/>
      <c r="K9" s="44"/>
      <c r="L9" s="44"/>
      <c r="M9" s="44"/>
    </row>
    <row r="10" spans="1:13" ht="15" customHeight="1" x14ac:dyDescent="0.25">
      <c r="A10" s="16"/>
      <c r="B10" s="2" t="s">
        <v>615</v>
      </c>
      <c r="C10" s="44"/>
      <c r="D10" s="44"/>
      <c r="E10" s="146">
        <f>MAX(Transaction_comps!N7:N25)</f>
        <v>5.5670431048194691E-2</v>
      </c>
      <c r="F10" s="44"/>
      <c r="H10" s="44"/>
      <c r="I10" s="44"/>
      <c r="K10" s="44"/>
      <c r="L10" s="44"/>
      <c r="M10" s="44"/>
    </row>
    <row r="11" spans="1:13" ht="15" customHeight="1" x14ac:dyDescent="0.25">
      <c r="A11" s="16"/>
      <c r="B11" s="2" t="s">
        <v>616</v>
      </c>
      <c r="C11" s="44"/>
      <c r="D11" s="44"/>
      <c r="E11" s="146">
        <f>MIN(Transaction_comps!N7:N25)</f>
        <v>3.4079291150744068E-2</v>
      </c>
      <c r="F11" s="44"/>
      <c r="H11" s="44"/>
      <c r="I11" s="44"/>
      <c r="K11" s="44"/>
      <c r="L11" s="44"/>
      <c r="M11" s="44"/>
    </row>
    <row r="12" spans="1:13" ht="15" customHeight="1" x14ac:dyDescent="0.25">
      <c r="A12" s="16"/>
      <c r="B12" s="2" t="s">
        <v>617</v>
      </c>
      <c r="C12" s="44"/>
      <c r="D12" s="44"/>
      <c r="E12" s="128">
        <f>AVERAGE(E10:E11)</f>
        <v>4.4874861099469379E-2</v>
      </c>
      <c r="F12" s="44"/>
      <c r="H12" s="44"/>
      <c r="I12" s="44"/>
      <c r="K12" s="44"/>
      <c r="L12" s="44"/>
      <c r="M12" s="44"/>
    </row>
    <row r="13" spans="1:13" ht="15" customHeight="1" x14ac:dyDescent="0.25">
      <c r="A13" s="16"/>
      <c r="C13" s="44"/>
      <c r="D13" s="44"/>
      <c r="H13" s="44"/>
      <c r="I13" s="44"/>
      <c r="L13" s="44"/>
      <c r="M13" s="44"/>
    </row>
    <row r="14" spans="1:13" ht="15" customHeight="1" x14ac:dyDescent="0.25">
      <c r="A14" s="16" t="s">
        <v>618</v>
      </c>
      <c r="B14" s="44"/>
      <c r="C14" s="44"/>
      <c r="D14" s="44"/>
      <c r="E14" s="44"/>
      <c r="F14" s="44"/>
      <c r="H14" s="44"/>
      <c r="I14" s="44"/>
      <c r="L14" s="44"/>
      <c r="M14" s="44"/>
    </row>
    <row r="15" spans="1:13" ht="15" customHeight="1" x14ac:dyDescent="0.25">
      <c r="A15" s="16"/>
      <c r="B15" s="2" t="s">
        <v>619</v>
      </c>
      <c r="C15" s="44"/>
      <c r="D15" s="44"/>
      <c r="E15" s="44">
        <f>E12*E9</f>
        <v>327.85573519272327</v>
      </c>
      <c r="F15" s="44"/>
      <c r="H15" s="44"/>
      <c r="I15" s="44"/>
      <c r="L15" s="44"/>
      <c r="M15" s="44"/>
    </row>
    <row r="16" spans="1:13" ht="15" customHeight="1" x14ac:dyDescent="0.25">
      <c r="A16" s="16"/>
      <c r="B16" s="2" t="s">
        <v>620</v>
      </c>
      <c r="C16" s="44"/>
      <c r="D16" s="44"/>
      <c r="E16" s="60">
        <f ca="1">MEDIAN(Trading_comps!Y9:Y21)</f>
        <v>16.479724045322499</v>
      </c>
      <c r="F16" s="44"/>
      <c r="H16" s="44"/>
      <c r="I16" s="44"/>
      <c r="K16" s="44"/>
      <c r="L16" s="2"/>
      <c r="M16" s="44"/>
    </row>
    <row r="17" spans="1:13" ht="15" customHeight="1" x14ac:dyDescent="0.25">
      <c r="A17" s="16"/>
      <c r="B17" s="2" t="s">
        <v>621</v>
      </c>
      <c r="C17" s="44"/>
      <c r="D17" s="44"/>
      <c r="E17" s="44">
        <f ca="1">E16*E15</f>
        <v>5402.9720426524073</v>
      </c>
      <c r="F17" s="44"/>
      <c r="H17" s="44"/>
      <c r="I17" s="44"/>
      <c r="K17" s="44"/>
      <c r="M17" s="2"/>
    </row>
    <row r="18" spans="1:13" ht="15" customHeight="1" x14ac:dyDescent="0.25">
      <c r="A18" s="16"/>
      <c r="B18" s="44"/>
      <c r="C18" s="44"/>
      <c r="D18" s="44"/>
      <c r="E18" s="44"/>
      <c r="F18" s="44"/>
      <c r="G18" s="44"/>
      <c r="H18" s="44"/>
      <c r="I18" s="44"/>
      <c r="K18" s="44"/>
      <c r="L18" s="44"/>
      <c r="M18" s="44"/>
    </row>
    <row r="19" spans="1:13" ht="15" customHeight="1" x14ac:dyDescent="0.25">
      <c r="A19" s="16" t="s">
        <v>622</v>
      </c>
      <c r="B19" s="44"/>
      <c r="C19" s="44"/>
      <c r="D19" s="44"/>
      <c r="E19" s="44"/>
      <c r="F19" s="44"/>
      <c r="G19" s="44"/>
      <c r="H19" s="44"/>
      <c r="I19" s="44"/>
      <c r="K19" s="44"/>
      <c r="L19" s="44"/>
      <c r="M19" s="44"/>
    </row>
    <row r="20" spans="1:13" ht="15" customHeight="1" x14ac:dyDescent="0.25">
      <c r="A20" s="16"/>
      <c r="B20" s="44" t="s">
        <v>623</v>
      </c>
      <c r="C20" s="44"/>
      <c r="D20" s="44"/>
      <c r="E20" s="44"/>
      <c r="F20" s="44">
        <f>$E$15</f>
        <v>327.85573519272327</v>
      </c>
      <c r="G20" s="44">
        <f>$E$15</f>
        <v>327.85573519272327</v>
      </c>
      <c r="H20" s="44">
        <f>$E$15</f>
        <v>327.85573519272327</v>
      </c>
      <c r="I20" s="44"/>
      <c r="K20" s="44"/>
      <c r="L20" s="44"/>
      <c r="M20" s="44"/>
    </row>
    <row r="21" spans="1:13" ht="15" customHeight="1" x14ac:dyDescent="0.25">
      <c r="A21" s="16"/>
      <c r="B21" s="44" t="s">
        <v>624</v>
      </c>
      <c r="C21" s="44"/>
      <c r="D21" s="44"/>
      <c r="E21" s="44"/>
      <c r="F21" s="56">
        <v>0.2</v>
      </c>
      <c r="G21" s="56">
        <v>0.5</v>
      </c>
      <c r="H21" s="56">
        <v>1</v>
      </c>
      <c r="I21" s="44"/>
      <c r="K21" s="44"/>
      <c r="L21" s="44"/>
      <c r="M21" s="44"/>
    </row>
    <row r="22" spans="1:13" ht="15" customHeight="1" x14ac:dyDescent="0.25">
      <c r="A22" s="16"/>
      <c r="B22" s="44" t="s">
        <v>625</v>
      </c>
      <c r="C22" s="44"/>
      <c r="D22" s="44"/>
      <c r="E22" s="44"/>
      <c r="F22" s="44">
        <f>F20*F21</f>
        <v>65.571147038544652</v>
      </c>
      <c r="G22" s="44">
        <f>G20*G21</f>
        <v>163.92786759636164</v>
      </c>
      <c r="H22" s="44">
        <f>H20*H21</f>
        <v>327.85573519272327</v>
      </c>
      <c r="I22" s="44"/>
      <c r="L22" s="44"/>
      <c r="M22" s="44"/>
    </row>
    <row r="23" spans="1:13" ht="15" customHeight="1" x14ac:dyDescent="0.25">
      <c r="A23" s="16"/>
      <c r="B23" s="44" t="s">
        <v>626</v>
      </c>
      <c r="C23" s="44"/>
      <c r="D23" s="44"/>
      <c r="E23" s="44"/>
      <c r="F23" s="44">
        <f>F22*(1-$E$6)</f>
        <v>51.211065837103376</v>
      </c>
      <c r="G23" s="44">
        <f>G22*(1-$E$6)</f>
        <v>128.02766459275844</v>
      </c>
      <c r="H23" s="44">
        <f>H22*(1-$E$6)</f>
        <v>256.05532918551688</v>
      </c>
      <c r="I23" s="44"/>
      <c r="K23" s="44"/>
      <c r="L23" s="44"/>
      <c r="M23" s="44"/>
    </row>
    <row r="24" spans="1:13" ht="15" customHeight="1" x14ac:dyDescent="0.25">
      <c r="A24" s="16"/>
      <c r="B24" s="2" t="s">
        <v>627</v>
      </c>
      <c r="C24" s="44"/>
      <c r="D24" s="44"/>
      <c r="E24" s="128">
        <f ca="1">E7</f>
        <v>8.1027263625874063E-2</v>
      </c>
      <c r="F24" s="44"/>
      <c r="G24" s="44"/>
      <c r="H24" s="44"/>
      <c r="L24" s="44"/>
      <c r="M24" s="44"/>
    </row>
    <row r="25" spans="1:13" ht="15" customHeight="1" x14ac:dyDescent="0.25">
      <c r="A25" s="16"/>
      <c r="B25" s="2" t="s">
        <v>628</v>
      </c>
      <c r="C25" s="44"/>
      <c r="D25" s="44"/>
      <c r="E25" s="292">
        <v>2.5000000000000001E-2</v>
      </c>
      <c r="F25" s="44"/>
      <c r="G25" s="44"/>
      <c r="H25" s="44"/>
      <c r="I25" s="44"/>
      <c r="K25" s="44"/>
      <c r="L25" s="44"/>
      <c r="M25" s="44"/>
    </row>
    <row r="26" spans="1:13" ht="15" customHeight="1" x14ac:dyDescent="0.25">
      <c r="A26" s="16"/>
      <c r="B26" s="44" t="s">
        <v>473</v>
      </c>
      <c r="C26" s="44"/>
      <c r="D26" s="44"/>
      <c r="F26" s="44"/>
      <c r="G26" s="44"/>
      <c r="H26" s="44">
        <f ca="1">H23*(1+E25)/(E24-E25)</f>
        <v>4684.4463825277571</v>
      </c>
      <c r="I26" s="44"/>
      <c r="K26" s="44"/>
      <c r="L26" s="44"/>
      <c r="M26" s="44"/>
    </row>
    <row r="27" spans="1:13" ht="15" customHeight="1" x14ac:dyDescent="0.25">
      <c r="A27" s="16"/>
      <c r="B27" s="44"/>
      <c r="C27" s="44"/>
      <c r="D27" s="44"/>
      <c r="E27" s="44"/>
      <c r="F27" s="44"/>
      <c r="G27" s="44"/>
      <c r="H27" s="44"/>
      <c r="I27" s="44"/>
      <c r="L27" s="44"/>
      <c r="M27" s="44"/>
    </row>
    <row r="28" spans="1:13" ht="15" customHeight="1" x14ac:dyDescent="0.25">
      <c r="A28" s="16"/>
      <c r="B28" s="2" t="s">
        <v>482</v>
      </c>
      <c r="C28" s="44"/>
      <c r="D28" s="44"/>
      <c r="E28" s="44"/>
      <c r="F28" s="52">
        <v>0.5</v>
      </c>
      <c r="G28" s="44">
        <f>+F28+1</f>
        <v>1.5</v>
      </c>
      <c r="H28" s="44">
        <f>+G28+1</f>
        <v>2.5</v>
      </c>
      <c r="I28" s="44"/>
      <c r="K28" s="44"/>
      <c r="L28" s="44"/>
      <c r="M28" s="44"/>
    </row>
    <row r="29" spans="1:13" ht="15" customHeight="1" x14ac:dyDescent="0.25">
      <c r="A29" s="16"/>
      <c r="B29" s="2" t="s">
        <v>483</v>
      </c>
      <c r="C29" s="44"/>
      <c r="D29" s="44"/>
      <c r="E29" s="128"/>
      <c r="F29" s="128">
        <f ca="1">1/(1+$E$24)^F28</f>
        <v>0.96179314296397755</v>
      </c>
      <c r="G29" s="128">
        <f ca="1">1/(1+$E$24)^G28</f>
        <v>0.88970294767407321</v>
      </c>
      <c r="H29" s="128">
        <f ca="1">1/(1+$E$24)^H28</f>
        <v>0.82301619728805009</v>
      </c>
      <c r="I29" s="44"/>
      <c r="K29" s="44"/>
      <c r="L29" s="44"/>
      <c r="M29" s="44"/>
    </row>
    <row r="30" spans="1:13" ht="15" customHeight="1" x14ac:dyDescent="0.25">
      <c r="A30" s="16"/>
      <c r="B30" s="44" t="s">
        <v>629</v>
      </c>
      <c r="C30" s="44"/>
      <c r="D30" s="44"/>
      <c r="F30" s="44">
        <f ca="1">F23*F29</f>
        <v>49.254451966002833</v>
      </c>
      <c r="G30" s="44">
        <f ca="1">G23*G29</f>
        <v>113.90659057200476</v>
      </c>
      <c r="H30" s="44">
        <f ca="1">H23*H29</f>
        <v>210.73768332160398</v>
      </c>
      <c r="I30" s="44"/>
      <c r="K30" s="44"/>
      <c r="L30" s="44"/>
      <c r="M30" s="44"/>
    </row>
    <row r="31" spans="1:13" ht="15" customHeight="1" x14ac:dyDescent="0.25">
      <c r="A31" s="16"/>
      <c r="B31" s="44" t="s">
        <v>630</v>
      </c>
      <c r="C31" s="44"/>
      <c r="D31" s="44"/>
      <c r="E31" s="44">
        <f ca="1">SUM(F30:H30)</f>
        <v>373.89872585961155</v>
      </c>
      <c r="F31" s="44"/>
      <c r="G31" s="44"/>
      <c r="H31" s="44"/>
      <c r="I31" s="44"/>
      <c r="K31" s="44"/>
      <c r="L31" s="44"/>
      <c r="M31" s="44"/>
    </row>
    <row r="32" spans="1:13" ht="15" customHeight="1" x14ac:dyDescent="0.25">
      <c r="A32" s="16"/>
      <c r="B32" s="44" t="s">
        <v>488</v>
      </c>
      <c r="C32" s="44"/>
      <c r="D32" s="44"/>
      <c r="E32" s="44">
        <f ca="1">H26*H29</f>
        <v>3855.3752481477572</v>
      </c>
      <c r="F32" s="44"/>
      <c r="G32" s="44"/>
      <c r="H32" s="44"/>
      <c r="I32" s="44"/>
      <c r="K32" s="44"/>
      <c r="L32" s="44"/>
      <c r="M32" s="44"/>
    </row>
    <row r="33" spans="1:13" ht="15" customHeight="1" x14ac:dyDescent="0.25">
      <c r="A33" s="16"/>
      <c r="B33" s="44" t="s">
        <v>631</v>
      </c>
      <c r="C33" s="44"/>
      <c r="D33" s="44"/>
      <c r="E33" s="44">
        <f ca="1">SUM(E31:E32)</f>
        <v>4229.2739740073685</v>
      </c>
      <c r="F33" s="44"/>
      <c r="G33" s="44"/>
      <c r="H33" s="44"/>
      <c r="I33" s="44"/>
      <c r="K33" s="44"/>
      <c r="L33" s="44"/>
      <c r="M33" s="44"/>
    </row>
    <row r="34" spans="1:13" ht="15" customHeight="1" x14ac:dyDescent="0.25">
      <c r="A34" s="16"/>
      <c r="B34" s="44"/>
      <c r="C34" s="44"/>
      <c r="D34" s="44"/>
      <c r="E34" s="44"/>
      <c r="F34" s="44"/>
      <c r="G34" s="44"/>
      <c r="H34" s="44"/>
      <c r="I34" s="44"/>
      <c r="K34" s="44"/>
      <c r="L34" s="44"/>
      <c r="M34" s="44"/>
    </row>
    <row r="35" spans="1:13" ht="15" customHeight="1" x14ac:dyDescent="0.25">
      <c r="A35" s="16" t="s">
        <v>632</v>
      </c>
      <c r="B35" s="44"/>
      <c r="C35" s="44"/>
      <c r="D35" s="44"/>
      <c r="E35" s="44"/>
      <c r="F35" s="44"/>
      <c r="G35" s="44"/>
      <c r="H35" s="44"/>
      <c r="I35" s="44"/>
      <c r="K35" s="44"/>
      <c r="L35" s="44"/>
      <c r="M35" s="44"/>
    </row>
    <row r="36" spans="1:13" ht="15" customHeight="1" x14ac:dyDescent="0.25">
      <c r="A36" s="16"/>
      <c r="B36" s="44" t="s">
        <v>633</v>
      </c>
      <c r="C36" s="44"/>
      <c r="D36" s="44"/>
      <c r="E36" s="44">
        <f ca="1">AVERAGE(E17,E33)</f>
        <v>4816.1230083298879</v>
      </c>
      <c r="F36" s="44"/>
      <c r="G36" s="44"/>
      <c r="H36" s="44"/>
      <c r="I36" s="44"/>
      <c r="K36" s="44"/>
      <c r="L36" s="44"/>
      <c r="M36" s="44"/>
    </row>
    <row r="37" spans="1:13" ht="15" customHeight="1" x14ac:dyDescent="0.25">
      <c r="A37" s="16"/>
      <c r="B37" s="44"/>
      <c r="C37" s="44"/>
      <c r="D37" s="44"/>
      <c r="E37" s="44"/>
      <c r="F37" s="44"/>
      <c r="G37" s="44"/>
      <c r="H37" s="44"/>
      <c r="I37" s="44"/>
      <c r="K37" s="44"/>
      <c r="L37" s="44"/>
      <c r="M37" s="44"/>
    </row>
    <row r="38" spans="1:13" ht="15" customHeight="1" x14ac:dyDescent="0.25">
      <c r="A38" s="16" t="s">
        <v>137</v>
      </c>
      <c r="B38" s="44"/>
      <c r="C38" s="44"/>
      <c r="D38" s="44"/>
      <c r="E38" s="44"/>
      <c r="F38" s="44"/>
      <c r="G38" s="44"/>
      <c r="H38" s="44"/>
      <c r="I38" s="44"/>
      <c r="J38" s="44"/>
      <c r="K38" s="44"/>
      <c r="L38" s="44"/>
      <c r="M38" s="44"/>
    </row>
    <row r="39" spans="1:13" ht="15.75" customHeight="1" x14ac:dyDescent="0.25">
      <c r="A39" s="14"/>
    </row>
  </sheetData>
  <printOptions headings="1" gridLines="1"/>
  <pageMargins left="0.70866141732283472" right="0.70866141732283472" top="0.74803149606299213" bottom="0.74803149606299213" header="0" footer="0"/>
  <pageSetup paperSize="9" scale="66" orientation="landscape" r:id="rId1"/>
  <headerFooter>
    <oddHeader>&amp;R&amp;F  &amp;A</oddHeader>
    <oddFooter>&amp;L© 2016&amp;CPage &amp;P of</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7"/>
    <pageSetUpPr fitToPage="1"/>
  </sheetPr>
  <dimension ref="A1:M89"/>
  <sheetViews>
    <sheetView workbookViewId="0"/>
  </sheetViews>
  <sheetFormatPr defaultColWidth="12.5703125" defaultRowHeight="15" customHeight="1" x14ac:dyDescent="0.25"/>
  <cols>
    <col min="1" max="1" width="1.140625" customWidth="1"/>
    <col min="2" max="2" width="41.5703125" customWidth="1"/>
    <col min="3" max="4" width="27.28515625" bestFit="1" customWidth="1"/>
    <col min="5" max="6" width="24" customWidth="1"/>
    <col min="7" max="13" width="10.28515625" customWidth="1"/>
  </cols>
  <sheetData>
    <row r="1" spans="1:13" ht="45" customHeight="1" x14ac:dyDescent="0.45">
      <c r="A1" s="68" t="s">
        <v>634</v>
      </c>
      <c r="B1" s="68"/>
      <c r="C1" s="68"/>
      <c r="D1" s="68"/>
      <c r="E1" s="68"/>
      <c r="F1" s="68"/>
      <c r="G1" s="68"/>
      <c r="H1" s="68"/>
      <c r="I1" s="68"/>
      <c r="J1" s="68"/>
      <c r="K1" s="68"/>
      <c r="L1" s="68"/>
      <c r="M1" s="68"/>
    </row>
    <row r="2" spans="1:13" ht="15" customHeight="1" x14ac:dyDescent="0.25">
      <c r="A2" s="2" t="s">
        <v>501</v>
      </c>
      <c r="B2" s="44"/>
      <c r="C2" s="44"/>
      <c r="D2" s="44"/>
      <c r="E2" s="44"/>
      <c r="F2" s="44"/>
      <c r="G2" s="44"/>
      <c r="H2" s="44"/>
      <c r="I2" s="44"/>
      <c r="J2" s="44"/>
      <c r="K2" s="44"/>
      <c r="L2" s="44"/>
      <c r="M2" s="44"/>
    </row>
    <row r="3" spans="1:13" ht="15" customHeight="1" x14ac:dyDescent="0.25">
      <c r="A3" s="16"/>
      <c r="B3" s="44"/>
      <c r="C3" s="44"/>
      <c r="D3" s="44"/>
      <c r="E3" s="44"/>
      <c r="F3" s="44"/>
      <c r="G3" s="44"/>
      <c r="H3" s="44"/>
      <c r="I3" s="44"/>
      <c r="J3" s="44"/>
      <c r="K3" s="44"/>
      <c r="L3" s="44"/>
      <c r="M3" s="44"/>
    </row>
    <row r="4" spans="1:13" ht="15" customHeight="1" x14ac:dyDescent="0.25">
      <c r="A4" s="16" t="s">
        <v>286</v>
      </c>
      <c r="B4" s="44"/>
      <c r="C4" s="44"/>
      <c r="D4" s="44"/>
      <c r="F4" s="44"/>
      <c r="G4" s="44"/>
      <c r="H4" s="44"/>
      <c r="I4" s="44"/>
      <c r="J4" s="44"/>
      <c r="K4" s="44"/>
      <c r="L4" s="44"/>
      <c r="M4" s="44"/>
    </row>
    <row r="5" spans="1:13" ht="15" customHeight="1" x14ac:dyDescent="0.25">
      <c r="A5" s="16"/>
      <c r="B5" s="44" t="s">
        <v>92</v>
      </c>
      <c r="C5" s="44">
        <f>'1'!G37</f>
        <v>1899</v>
      </c>
      <c r="D5" s="44"/>
      <c r="E5" s="44"/>
      <c r="F5" s="44"/>
      <c r="G5" s="44"/>
      <c r="H5" s="44"/>
      <c r="I5" s="44"/>
      <c r="J5" s="44"/>
      <c r="K5" s="44"/>
      <c r="L5" s="44"/>
      <c r="M5" s="44"/>
    </row>
    <row r="6" spans="1:13" ht="15" customHeight="1" x14ac:dyDescent="0.25">
      <c r="A6" s="16"/>
      <c r="B6" s="2" t="s">
        <v>95</v>
      </c>
      <c r="C6" s="44">
        <f>'1'!J37</f>
        <v>2899</v>
      </c>
      <c r="D6" s="44"/>
      <c r="E6" s="44"/>
      <c r="F6" s="44"/>
      <c r="G6" s="44"/>
      <c r="H6" s="44"/>
      <c r="I6" s="44"/>
      <c r="J6" s="44"/>
      <c r="K6" s="44"/>
      <c r="L6" s="44"/>
      <c r="M6" s="44"/>
    </row>
    <row r="7" spans="1:13" ht="15" customHeight="1" x14ac:dyDescent="0.25">
      <c r="A7" s="16"/>
      <c r="B7" s="2" t="s">
        <v>253</v>
      </c>
      <c r="C7" s="44">
        <f>'1'!DSO</f>
        <v>258.97787289240887</v>
      </c>
      <c r="D7" s="44"/>
      <c r="E7" s="44"/>
      <c r="F7" s="44"/>
      <c r="G7" s="44"/>
      <c r="H7" s="44"/>
      <c r="I7" s="44"/>
      <c r="J7" s="44"/>
      <c r="K7" s="44"/>
      <c r="L7" s="44"/>
      <c r="M7" s="44"/>
    </row>
    <row r="8" spans="1:13" ht="15" customHeight="1" x14ac:dyDescent="0.25">
      <c r="A8" s="16"/>
      <c r="B8" s="44"/>
      <c r="C8" s="44"/>
      <c r="D8" s="44"/>
      <c r="E8" s="44"/>
      <c r="F8" s="44"/>
      <c r="G8" s="44"/>
      <c r="H8" s="44"/>
      <c r="I8" s="44"/>
      <c r="J8" s="44"/>
      <c r="K8" s="44"/>
      <c r="L8" s="44"/>
      <c r="M8" s="44"/>
    </row>
    <row r="9" spans="1:13" ht="15" customHeight="1" x14ac:dyDescent="0.25">
      <c r="A9" s="16"/>
      <c r="B9" s="44"/>
      <c r="C9" s="58" t="s">
        <v>607</v>
      </c>
      <c r="D9" s="58" t="s">
        <v>635</v>
      </c>
      <c r="F9" s="58"/>
      <c r="G9" s="44"/>
      <c r="H9" s="44"/>
      <c r="I9" s="44"/>
      <c r="J9" s="44"/>
      <c r="K9" s="44"/>
      <c r="L9" s="44"/>
      <c r="M9" s="44"/>
    </row>
    <row r="10" spans="1:13" ht="15" customHeight="1" x14ac:dyDescent="0.25">
      <c r="A10" s="16"/>
      <c r="B10" s="44"/>
      <c r="C10" s="280">
        <f>'1'!G41</f>
        <v>46022</v>
      </c>
      <c r="D10" s="142">
        <f>YEAR(Model!F3)</f>
        <v>2027</v>
      </c>
      <c r="F10" s="142"/>
      <c r="G10" s="44"/>
      <c r="H10" s="44"/>
      <c r="I10" s="44"/>
      <c r="J10" s="44"/>
      <c r="K10" s="44"/>
      <c r="L10" s="44"/>
      <c r="M10" s="44"/>
    </row>
    <row r="11" spans="1:13" ht="15" customHeight="1" x14ac:dyDescent="0.25">
      <c r="A11" s="16"/>
      <c r="B11" s="44" t="s">
        <v>175</v>
      </c>
      <c r="C11" s="44">
        <f>'1'!SALES_LTM</f>
        <v>7306</v>
      </c>
      <c r="D11" s="44">
        <f>'1'!SALES_CY2</f>
        <v>8771.0136986301368</v>
      </c>
      <c r="F11" s="44"/>
      <c r="G11" s="44"/>
      <c r="H11" s="44"/>
      <c r="J11" s="44"/>
      <c r="K11" s="44"/>
      <c r="L11" s="44"/>
      <c r="M11" s="44"/>
    </row>
    <row r="12" spans="1:13" ht="15" customHeight="1" x14ac:dyDescent="0.25">
      <c r="A12" s="16"/>
      <c r="B12" s="2" t="s">
        <v>52</v>
      </c>
      <c r="C12" s="44">
        <f>'1'!EBITDA_LTM</f>
        <v>1310</v>
      </c>
      <c r="D12" s="44">
        <f>'1'!EBITDA_CY2</f>
        <v>2334.0547945205481</v>
      </c>
      <c r="F12" s="44"/>
      <c r="G12" s="44"/>
      <c r="H12" s="44"/>
      <c r="I12" s="44"/>
      <c r="J12" s="44"/>
      <c r="K12" s="44"/>
      <c r="L12" s="44"/>
      <c r="M12" s="44"/>
    </row>
    <row r="13" spans="1:13" ht="15" customHeight="1" x14ac:dyDescent="0.25">
      <c r="A13" s="16"/>
      <c r="G13" s="44"/>
      <c r="H13" s="44"/>
      <c r="I13" s="44"/>
      <c r="J13" s="44"/>
      <c r="K13" s="44"/>
      <c r="L13" s="44"/>
      <c r="M13" s="44"/>
    </row>
    <row r="14" spans="1:13" ht="15" customHeight="1" x14ac:dyDescent="0.25">
      <c r="A14" s="16" t="s">
        <v>223</v>
      </c>
      <c r="B14" s="44"/>
      <c r="C14" s="44"/>
      <c r="D14" s="44"/>
      <c r="F14" s="44"/>
      <c r="G14" s="44"/>
      <c r="H14" s="44"/>
      <c r="I14" s="44"/>
      <c r="J14" s="44"/>
      <c r="K14" s="44"/>
      <c r="L14" s="44"/>
      <c r="M14" s="44"/>
    </row>
    <row r="15" spans="1:13" ht="15" customHeight="1" x14ac:dyDescent="0.25">
      <c r="A15" s="16"/>
      <c r="B15" s="44"/>
      <c r="C15" s="58" t="s">
        <v>636</v>
      </c>
      <c r="D15" s="58" t="s">
        <v>637</v>
      </c>
      <c r="F15" s="44"/>
      <c r="G15" s="44"/>
      <c r="H15" s="44"/>
      <c r="I15" s="44"/>
      <c r="J15" s="44"/>
      <c r="K15" s="44"/>
      <c r="L15" s="44"/>
      <c r="M15" s="44"/>
    </row>
    <row r="16" spans="1:13" ht="15" customHeight="1" x14ac:dyDescent="0.25">
      <c r="A16" s="16"/>
      <c r="B16" s="44"/>
      <c r="C16" s="53" t="s">
        <v>408</v>
      </c>
      <c r="D16" s="53" t="s">
        <v>427</v>
      </c>
      <c r="F16" s="44"/>
      <c r="G16" s="44"/>
      <c r="H16" s="44"/>
      <c r="I16" s="44"/>
      <c r="J16" s="44"/>
      <c r="K16" s="44"/>
      <c r="L16" s="44"/>
      <c r="M16" s="44"/>
    </row>
    <row r="17" spans="1:13" ht="15" customHeight="1" x14ac:dyDescent="0.25">
      <c r="A17" s="16"/>
      <c r="B17" s="2" t="s">
        <v>638</v>
      </c>
      <c r="C17" s="133">
        <f ca="1">OFFSET(Trading_comps!$W$8,MATCH(C16,Trading_comps!$C$9:$C$21,0),)</f>
        <v>4.6173272945382289</v>
      </c>
      <c r="D17" s="133">
        <f ca="1">OFFSET(Trading_comps!$W$8,MATCH(D16,Trading_comps!$C$9:$C$21,0),)</f>
        <v>4.7321846254987596</v>
      </c>
      <c r="F17" s="44"/>
      <c r="G17" s="44"/>
      <c r="H17" s="44"/>
      <c r="I17" s="2"/>
      <c r="J17" s="44"/>
      <c r="K17" s="44"/>
      <c r="L17" s="44"/>
      <c r="M17" s="44"/>
    </row>
    <row r="18" spans="1:13" ht="15" customHeight="1" x14ac:dyDescent="0.25">
      <c r="A18" s="16"/>
      <c r="B18" s="2" t="s">
        <v>435</v>
      </c>
      <c r="C18" s="44">
        <f ca="1">C17*$D$11</f>
        <v>40498.640951453635</v>
      </c>
      <c r="D18" s="44">
        <f ca="1">D17*$D$11</f>
        <v>41506.056174696547</v>
      </c>
      <c r="F18" s="44"/>
      <c r="G18" s="44"/>
      <c r="H18" s="44"/>
      <c r="I18" s="44"/>
      <c r="J18" s="44"/>
      <c r="K18" s="44"/>
      <c r="L18" s="44"/>
      <c r="M18" s="44"/>
    </row>
    <row r="19" spans="1:13" ht="15" customHeight="1" x14ac:dyDescent="0.25">
      <c r="A19" s="16"/>
      <c r="B19" s="44" t="s">
        <v>438</v>
      </c>
      <c r="C19" s="44">
        <f ca="1">(C18-$C$5+$C$6)/$C$7</f>
        <v>160.24010270828833</v>
      </c>
      <c r="D19" s="44">
        <f ca="1">(D18-$C$5+$C$6)/$C$7</f>
        <v>164.13006910577062</v>
      </c>
      <c r="F19" s="44"/>
      <c r="G19" s="44"/>
      <c r="H19" s="44"/>
      <c r="I19" s="44"/>
      <c r="J19" s="44"/>
      <c r="K19" s="44"/>
      <c r="L19" s="44"/>
      <c r="M19" s="44"/>
    </row>
    <row r="20" spans="1:13" ht="15" customHeight="1" x14ac:dyDescent="0.25">
      <c r="A20" s="16"/>
      <c r="B20" s="44"/>
      <c r="C20" s="44"/>
      <c r="D20" s="44"/>
      <c r="F20" s="44"/>
      <c r="G20" s="44"/>
      <c r="H20" s="44"/>
      <c r="I20" s="44"/>
      <c r="J20" s="44"/>
      <c r="K20" s="44"/>
      <c r="L20" s="44"/>
      <c r="M20" s="44"/>
    </row>
    <row r="21" spans="1:13" ht="15" customHeight="1" x14ac:dyDescent="0.25">
      <c r="A21" s="16"/>
      <c r="B21" s="44"/>
      <c r="C21" s="58" t="s">
        <v>636</v>
      </c>
      <c r="D21" s="58" t="s">
        <v>637</v>
      </c>
      <c r="F21" s="44"/>
      <c r="G21" s="44"/>
      <c r="H21" s="44"/>
      <c r="I21" s="44"/>
      <c r="J21" s="44"/>
      <c r="K21" s="44"/>
      <c r="L21" s="44"/>
      <c r="M21" s="44"/>
    </row>
    <row r="22" spans="1:13" ht="15" customHeight="1" x14ac:dyDescent="0.25">
      <c r="A22" s="16"/>
      <c r="B22" s="44"/>
      <c r="C22" s="53" t="s">
        <v>415</v>
      </c>
      <c r="D22" s="53" t="s">
        <v>408</v>
      </c>
      <c r="F22" s="44"/>
      <c r="G22" s="44"/>
      <c r="H22" s="44"/>
      <c r="I22" s="44"/>
      <c r="J22" s="44"/>
      <c r="K22" s="44"/>
      <c r="L22" s="44"/>
      <c r="M22" s="44"/>
    </row>
    <row r="23" spans="1:13" ht="15" customHeight="1" x14ac:dyDescent="0.25">
      <c r="A23" s="16"/>
      <c r="B23" s="2" t="s">
        <v>863</v>
      </c>
      <c r="C23" s="133">
        <f ca="1">OFFSET(Trading_comps!$AA$8,MATCH(C22,Trading_comps!$C$9:$C$21,0),)</f>
        <v>14.379149041594452</v>
      </c>
      <c r="D23" s="133">
        <f ca="1">OFFSET(Trading_comps!$AA$8,MATCH(D22,Trading_comps!$C$9:$C$21,0),)</f>
        <v>19.800044789572571</v>
      </c>
      <c r="F23" s="44"/>
      <c r="G23" s="44"/>
      <c r="H23" s="44"/>
      <c r="I23" s="44"/>
      <c r="J23" s="44"/>
      <c r="K23" s="44"/>
      <c r="L23" s="44"/>
      <c r="M23" s="44"/>
    </row>
    <row r="24" spans="1:13" ht="15" customHeight="1" x14ac:dyDescent="0.25">
      <c r="A24" s="16"/>
      <c r="B24" s="2" t="s">
        <v>435</v>
      </c>
      <c r="C24" s="44">
        <f ca="1">C23*$D$12</f>
        <v>33561.721761659071</v>
      </c>
      <c r="D24" s="44">
        <f ca="1">D23*$D$12</f>
        <v>46214.389472823452</v>
      </c>
      <c r="F24" s="44"/>
      <c r="G24" s="44"/>
      <c r="H24" s="44"/>
      <c r="I24" s="44"/>
      <c r="J24" s="44"/>
      <c r="K24" s="44"/>
      <c r="L24" s="44"/>
      <c r="M24" s="44"/>
    </row>
    <row r="25" spans="1:13" ht="15.75" customHeight="1" x14ac:dyDescent="0.25">
      <c r="A25" s="16"/>
      <c r="B25" s="44" t="s">
        <v>438</v>
      </c>
      <c r="C25" s="44">
        <f ca="1">(C24-$C$5+$C$6)/$C$7</f>
        <v>133.45434254924774</v>
      </c>
      <c r="D25" s="44">
        <f ca="1">(D24-$C$5+$C$6)/$C$7</f>
        <v>182.31051535602984</v>
      </c>
      <c r="F25" s="44"/>
      <c r="G25" s="44"/>
      <c r="H25" s="44"/>
      <c r="I25" s="44"/>
      <c r="J25" s="44"/>
      <c r="K25" s="44"/>
      <c r="L25" s="44"/>
      <c r="M25" s="44"/>
    </row>
    <row r="26" spans="1:13" ht="15.75" customHeight="1" x14ac:dyDescent="0.25">
      <c r="A26" s="16"/>
      <c r="B26" s="44"/>
      <c r="C26" s="44"/>
      <c r="D26" s="44"/>
      <c r="E26" s="44"/>
      <c r="F26" s="44"/>
      <c r="G26" s="44"/>
      <c r="H26" s="44"/>
      <c r="I26" s="44"/>
      <c r="J26" s="44"/>
      <c r="K26" s="44"/>
      <c r="L26" s="44"/>
      <c r="M26" s="44"/>
    </row>
    <row r="27" spans="1:13" ht="15" customHeight="1" x14ac:dyDescent="0.25">
      <c r="A27" s="16" t="s">
        <v>28</v>
      </c>
      <c r="B27" s="44"/>
      <c r="C27" s="44"/>
      <c r="D27" s="44"/>
      <c r="E27" s="44"/>
      <c r="F27" s="44"/>
      <c r="G27" s="44"/>
      <c r="H27" s="44"/>
      <c r="I27" s="44"/>
      <c r="J27" s="44"/>
      <c r="K27" s="44"/>
      <c r="L27" s="44"/>
      <c r="M27" s="44"/>
    </row>
    <row r="28" spans="1:13" ht="15" customHeight="1" x14ac:dyDescent="0.25">
      <c r="A28" s="16"/>
      <c r="B28" s="44"/>
      <c r="C28" s="58" t="s">
        <v>636</v>
      </c>
      <c r="D28" s="58" t="s">
        <v>637</v>
      </c>
      <c r="E28" s="44"/>
      <c r="F28" s="44"/>
      <c r="G28" s="44"/>
      <c r="H28" s="44"/>
      <c r="I28" s="44"/>
      <c r="J28" s="44"/>
      <c r="K28" s="44"/>
      <c r="L28" s="44"/>
      <c r="M28" s="44"/>
    </row>
    <row r="29" spans="1:13" ht="15" customHeight="1" x14ac:dyDescent="0.25">
      <c r="A29" s="16"/>
      <c r="B29" s="44"/>
      <c r="C29" s="143" t="str">
        <f ca="1">"WACC "&amp;TEXT(DCF!$G$69,"0.0%")&amp;" and LT growth "&amp;TEXT(DCF!$H$68,"0.0%")</f>
        <v>WACC 8.5% and LT growth 2.8%</v>
      </c>
      <c r="D29" s="143" t="str">
        <f ca="1">"WACC "&amp;TEXT(DCF!$G$73,"0.0%")&amp;" and LT growth "&amp;TEXT(DCF!$L$68,"0.0%")</f>
        <v>WACC 7.7% and LT growth 3.2%</v>
      </c>
      <c r="H29" s="44"/>
      <c r="I29" s="44"/>
      <c r="J29" s="44"/>
      <c r="K29" s="44"/>
      <c r="L29" s="44"/>
      <c r="M29" s="44"/>
    </row>
    <row r="30" spans="1:13" ht="15" customHeight="1" x14ac:dyDescent="0.25">
      <c r="A30" s="16"/>
      <c r="B30" s="2" t="s">
        <v>435</v>
      </c>
      <c r="C30" s="44">
        <f>DCF!H69</f>
        <v>38679.482453071956</v>
      </c>
      <c r="D30" s="44">
        <f>DCF!L73</f>
        <v>47972.872805504405</v>
      </c>
      <c r="H30" s="44"/>
      <c r="I30" s="44"/>
      <c r="J30" s="44"/>
      <c r="K30" s="44"/>
      <c r="L30" s="44"/>
      <c r="M30" s="44"/>
    </row>
    <row r="31" spans="1:13" ht="15" customHeight="1" x14ac:dyDescent="0.25">
      <c r="A31" s="16"/>
      <c r="B31" s="2" t="s">
        <v>438</v>
      </c>
      <c r="C31" s="44">
        <f>(C30-$C$5+$C$6)/$C$7</f>
        <v>153.21572460963338</v>
      </c>
      <c r="D31" s="44">
        <f>(D30-$C$5+$C$6)/$C$7</f>
        <v>189.10060638983606</v>
      </c>
      <c r="H31" s="44"/>
      <c r="I31" s="44"/>
      <c r="J31" s="44"/>
      <c r="K31" s="44"/>
      <c r="L31" s="44"/>
      <c r="M31" s="44"/>
    </row>
    <row r="32" spans="1:13" ht="15" customHeight="1" x14ac:dyDescent="0.25">
      <c r="A32" s="16"/>
      <c r="B32" s="44"/>
      <c r="C32" s="44"/>
      <c r="D32" s="44"/>
      <c r="H32" s="44"/>
      <c r="I32" s="44"/>
      <c r="J32" s="44"/>
      <c r="K32" s="44"/>
      <c r="L32" s="44"/>
      <c r="M32" s="44"/>
    </row>
    <row r="33" spans="1:13" ht="15" customHeight="1" x14ac:dyDescent="0.25">
      <c r="A33" s="16"/>
      <c r="B33" s="2" t="s">
        <v>639</v>
      </c>
      <c r="C33" s="140">
        <f>Synergies!E12</f>
        <v>4.4874861099469379E-2</v>
      </c>
      <c r="D33" s="140">
        <f>C33</f>
        <v>4.4874861099469379E-2</v>
      </c>
      <c r="H33" s="44"/>
      <c r="I33" s="44"/>
      <c r="J33" s="44"/>
      <c r="K33" s="44"/>
      <c r="L33" s="44"/>
      <c r="M33" s="44"/>
    </row>
    <row r="34" spans="1:13" ht="15" customHeight="1" x14ac:dyDescent="0.25">
      <c r="A34" s="16"/>
      <c r="B34" s="2" t="s">
        <v>640</v>
      </c>
      <c r="C34" s="44">
        <f ca="1">Synergies!$E$36</f>
        <v>4816.1230083298879</v>
      </c>
      <c r="D34" s="44">
        <f ca="1">Synergies!$E$36</f>
        <v>4816.1230083298879</v>
      </c>
      <c r="H34" s="44"/>
      <c r="I34" s="44"/>
      <c r="J34" s="44"/>
      <c r="K34" s="44"/>
      <c r="L34" s="44"/>
      <c r="M34" s="44"/>
    </row>
    <row r="35" spans="1:13" ht="15" customHeight="1" x14ac:dyDescent="0.25">
      <c r="A35" s="16"/>
      <c r="B35" s="2" t="s">
        <v>641</v>
      </c>
      <c r="C35" s="44">
        <f ca="1">C30+C34</f>
        <v>43495.605461401843</v>
      </c>
      <c r="D35" s="44">
        <f ca="1">D30+D34</f>
        <v>52788.995813834292</v>
      </c>
      <c r="H35" s="44"/>
      <c r="I35" s="44"/>
      <c r="J35" s="44"/>
      <c r="K35" s="44"/>
      <c r="L35" s="44"/>
      <c r="M35" s="44"/>
    </row>
    <row r="36" spans="1:13" ht="15" customHeight="1" x14ac:dyDescent="0.25">
      <c r="A36" s="16"/>
      <c r="B36" s="2" t="s">
        <v>612</v>
      </c>
      <c r="C36" s="44">
        <f ca="1">(C35-$C$5+$C$6)/$C$7</f>
        <v>171.81238290534316</v>
      </c>
      <c r="D36" s="44">
        <f ca="1">(D35-$C$5+$C$6)/$C$7</f>
        <v>207.69726468554583</v>
      </c>
      <c r="H36" s="44"/>
      <c r="I36" s="44"/>
      <c r="J36" s="44"/>
      <c r="K36" s="44"/>
      <c r="L36" s="44"/>
      <c r="M36" s="44"/>
    </row>
    <row r="37" spans="1:13" ht="15" customHeight="1" x14ac:dyDescent="0.25">
      <c r="A37" s="16"/>
      <c r="B37" s="44"/>
      <c r="C37" s="44"/>
      <c r="D37" s="44"/>
      <c r="H37" s="44"/>
      <c r="I37" s="44"/>
      <c r="J37" s="44"/>
      <c r="K37" s="44"/>
      <c r="L37" s="44"/>
      <c r="M37" s="44"/>
    </row>
    <row r="38" spans="1:13" ht="15" customHeight="1" x14ac:dyDescent="0.25">
      <c r="A38" s="16" t="s">
        <v>642</v>
      </c>
      <c r="B38" s="44"/>
      <c r="C38" s="44"/>
      <c r="D38" s="44"/>
      <c r="H38" s="44"/>
      <c r="I38" s="44"/>
      <c r="J38" s="44"/>
      <c r="K38" s="44"/>
      <c r="L38" s="44"/>
      <c r="M38" s="44"/>
    </row>
    <row r="39" spans="1:13" ht="15" customHeight="1" x14ac:dyDescent="0.25">
      <c r="A39" s="16"/>
      <c r="B39" s="44"/>
      <c r="C39" s="58" t="s">
        <v>643</v>
      </c>
      <c r="D39" s="58" t="s">
        <v>644</v>
      </c>
      <c r="H39" s="44"/>
      <c r="I39" s="44"/>
      <c r="J39" s="44"/>
      <c r="K39" s="44"/>
      <c r="L39" s="44"/>
      <c r="M39" s="44"/>
    </row>
    <row r="40" spans="1:13" ht="15" customHeight="1" x14ac:dyDescent="0.25">
      <c r="A40" s="16"/>
      <c r="B40" s="2" t="s">
        <v>271</v>
      </c>
      <c r="C40" s="133">
        <f>QUARTILE(Transaction_comps!L30:L38,1)</f>
        <v>16.998661112764061</v>
      </c>
      <c r="D40" s="133">
        <f>QUARTILE(Transaction_comps!L30:L38,3)</f>
        <v>24.2</v>
      </c>
      <c r="H40" s="44"/>
      <c r="I40" s="44"/>
      <c r="J40" s="44"/>
      <c r="K40" s="44"/>
      <c r="L40" s="44"/>
      <c r="M40" s="44"/>
    </row>
    <row r="41" spans="1:13" ht="15" customHeight="1" x14ac:dyDescent="0.25">
      <c r="A41" s="16"/>
      <c r="B41" s="2" t="s">
        <v>435</v>
      </c>
      <c r="C41" s="44">
        <f>$C$12*C40</f>
        <v>22268.24605772092</v>
      </c>
      <c r="D41" s="44">
        <f>$C$12*D40</f>
        <v>31702</v>
      </c>
      <c r="H41" s="44"/>
      <c r="I41" s="44"/>
      <c r="J41" s="44"/>
      <c r="K41" s="44"/>
      <c r="L41" s="44"/>
      <c r="M41" s="44"/>
    </row>
    <row r="42" spans="1:13" ht="15" customHeight="1" x14ac:dyDescent="0.25">
      <c r="A42" s="16"/>
      <c r="B42" s="2" t="s">
        <v>612</v>
      </c>
      <c r="C42" s="44">
        <f>(C41-$C$5+$C$6)/$C$7</f>
        <v>89.846463706911379</v>
      </c>
      <c r="D42" s="44">
        <f>(D41-$C$5+$C$6)/$C$7</f>
        <v>126.27333615326238</v>
      </c>
      <c r="H42" s="44"/>
      <c r="I42" s="44"/>
      <c r="J42" s="44"/>
      <c r="K42" s="44"/>
      <c r="L42" s="44"/>
      <c r="M42" s="44"/>
    </row>
    <row r="43" spans="1:13" ht="15" customHeight="1" x14ac:dyDescent="0.25">
      <c r="A43" s="16"/>
      <c r="B43" s="44"/>
      <c r="C43" s="44"/>
      <c r="D43" s="44"/>
      <c r="H43" s="44"/>
      <c r="I43" s="44"/>
      <c r="J43" s="44"/>
      <c r="K43" s="44"/>
      <c r="L43" s="44"/>
      <c r="M43" s="44"/>
    </row>
    <row r="44" spans="1:13" ht="15" customHeight="1" x14ac:dyDescent="0.25">
      <c r="A44" s="16" t="s">
        <v>645</v>
      </c>
      <c r="B44" s="44"/>
      <c r="C44" s="44"/>
      <c r="D44" s="44"/>
      <c r="H44" s="44"/>
      <c r="I44" s="44"/>
      <c r="J44" s="44"/>
      <c r="K44" s="44"/>
      <c r="L44" s="44"/>
      <c r="M44" s="44"/>
    </row>
    <row r="45" spans="1:13" ht="15" customHeight="1" x14ac:dyDescent="0.25">
      <c r="A45" s="16"/>
      <c r="B45" s="2" t="s">
        <v>646</v>
      </c>
      <c r="C45" s="17">
        <v>0.2</v>
      </c>
      <c r="D45" s="17">
        <v>0.15</v>
      </c>
      <c r="H45" s="44"/>
      <c r="I45" s="44"/>
      <c r="J45" s="44"/>
      <c r="K45" s="44"/>
      <c r="L45" s="44"/>
      <c r="M45" s="44"/>
    </row>
    <row r="46" spans="1:13" ht="15" customHeight="1" x14ac:dyDescent="0.25">
      <c r="A46" s="16"/>
      <c r="B46" s="2" t="s">
        <v>647</v>
      </c>
      <c r="C46" s="146" t="e">
        <f ca="1">OFFSET(LBO!$E$112,MATCH(C45,LBO!$G$113:$G$133,-1),0)</f>
        <v>#N/A</v>
      </c>
      <c r="D46" s="146" t="e">
        <f ca="1">OFFSET(LBO!$E$112,MATCH(D45,LBO!$G$113:$G$133,-1),0)</f>
        <v>#N/A</v>
      </c>
      <c r="H46" s="44"/>
      <c r="I46" s="44"/>
      <c r="J46" s="44"/>
      <c r="K46" s="44"/>
      <c r="L46" s="44"/>
      <c r="M46" s="44"/>
    </row>
    <row r="47" spans="1:13" ht="15" customHeight="1" x14ac:dyDescent="0.25">
      <c r="A47" s="16"/>
      <c r="B47" s="2" t="s">
        <v>612</v>
      </c>
      <c r="C47" s="44" t="e">
        <f ca="1">LBO!$E$11*(1+Valuation_summary!C46)</f>
        <v>#N/A</v>
      </c>
      <c r="D47" s="44" t="e">
        <f ca="1">LBO!$E$11*(1+Valuation_summary!D46)</f>
        <v>#N/A</v>
      </c>
      <c r="H47" s="44"/>
      <c r="I47" s="44"/>
      <c r="J47" s="44"/>
      <c r="K47" s="44"/>
      <c r="L47" s="44"/>
      <c r="M47" s="44"/>
    </row>
    <row r="48" spans="1:13" ht="15" customHeight="1" x14ac:dyDescent="0.25">
      <c r="A48" s="16"/>
      <c r="B48" s="44"/>
      <c r="C48" s="44"/>
      <c r="D48" s="44"/>
      <c r="E48" s="44"/>
      <c r="F48" s="44"/>
      <c r="G48" s="44"/>
      <c r="H48" s="44"/>
      <c r="I48" s="44"/>
      <c r="J48" s="44"/>
      <c r="K48" s="44"/>
      <c r="L48" s="44"/>
      <c r="M48" s="44"/>
    </row>
    <row r="49" spans="1:13" ht="15" customHeight="1" x14ac:dyDescent="0.25">
      <c r="A49" s="16" t="s">
        <v>648</v>
      </c>
      <c r="B49" s="44"/>
      <c r="C49" s="44"/>
      <c r="D49" s="44"/>
      <c r="E49" s="44"/>
      <c r="F49" s="44"/>
      <c r="G49" s="44"/>
      <c r="H49" s="44"/>
      <c r="I49" s="44"/>
      <c r="J49" s="44"/>
      <c r="K49" s="44"/>
      <c r="L49" s="44"/>
      <c r="M49" s="44"/>
    </row>
    <row r="50" spans="1:13" ht="15" customHeight="1" x14ac:dyDescent="0.25">
      <c r="A50" s="16"/>
      <c r="B50" s="44"/>
      <c r="C50" s="44"/>
      <c r="D50" s="44"/>
      <c r="E50" s="44"/>
      <c r="F50" s="44"/>
      <c r="G50" s="44"/>
      <c r="H50" s="44"/>
      <c r="I50" s="44"/>
      <c r="J50" s="44"/>
      <c r="K50" s="44"/>
      <c r="L50" s="44"/>
      <c r="M50" s="44"/>
    </row>
    <row r="51" spans="1:13" ht="15" customHeight="1" x14ac:dyDescent="0.25">
      <c r="A51" s="16"/>
      <c r="B51" s="2" t="s">
        <v>649</v>
      </c>
      <c r="C51" s="2" t="s">
        <v>636</v>
      </c>
      <c r="D51" s="2" t="s">
        <v>650</v>
      </c>
      <c r="E51" t="s">
        <v>651</v>
      </c>
      <c r="F51" s="2" t="s">
        <v>637</v>
      </c>
      <c r="G51" s="44"/>
      <c r="H51" s="44"/>
      <c r="I51" s="44"/>
      <c r="J51" s="44"/>
      <c r="K51" s="44"/>
      <c r="L51" s="44"/>
      <c r="M51" s="44"/>
    </row>
    <row r="52" spans="1:13" ht="15" customHeight="1" x14ac:dyDescent="0.25">
      <c r="A52" s="16"/>
      <c r="B52" s="2" t="str">
        <f>B17</f>
        <v>EV / CY2 Revenue</v>
      </c>
      <c r="C52" s="44">
        <f ca="1">C19</f>
        <v>160.24010270828833</v>
      </c>
      <c r="D52" s="44">
        <f t="shared" ref="D52:D57" ca="1" si="0">F52-C52</f>
        <v>3.8899663974822829</v>
      </c>
      <c r="F52" s="44">
        <f ca="1">D19</f>
        <v>164.13006910577062</v>
      </c>
      <c r="G52" s="44"/>
      <c r="H52" s="44"/>
      <c r="I52" s="44"/>
      <c r="J52" s="44"/>
      <c r="K52" s="44"/>
      <c r="L52" s="44"/>
      <c r="M52" s="44"/>
    </row>
    <row r="53" spans="1:13" ht="15" customHeight="1" x14ac:dyDescent="0.25">
      <c r="A53" s="16"/>
      <c r="B53" s="2" t="str">
        <f>B23</f>
        <v>EV / CY2 EBITDA</v>
      </c>
      <c r="C53" s="44">
        <f ca="1">C25</f>
        <v>133.45434254924774</v>
      </c>
      <c r="D53" s="44">
        <f t="shared" ca="1" si="0"/>
        <v>48.856172806782098</v>
      </c>
      <c r="F53" s="44">
        <f ca="1">D25</f>
        <v>182.31051535602984</v>
      </c>
      <c r="G53" s="44"/>
      <c r="H53" s="44"/>
      <c r="I53" s="44"/>
      <c r="J53" s="44"/>
      <c r="K53" s="44"/>
      <c r="L53" s="44"/>
      <c r="M53" s="44"/>
    </row>
    <row r="54" spans="1:13" ht="15" customHeight="1" x14ac:dyDescent="0.25">
      <c r="A54" s="16"/>
      <c r="B54" s="2" t="str">
        <f ca="1">A27&amp;" WACC "&amp;TEXT(DCF!G73,"0.0%")&amp;" - "&amp;TEXT(DCF!G69,"0.0%")&amp;", LT growth "&amp;TEXT(DCF!H68,"0.0%")&amp;" - "&amp;TEXT(DCF!L68,"0.0%")</f>
        <v>DCF WACC 7.7% - 8.5%, LT growth 2.8% - 3.2%</v>
      </c>
      <c r="C54" s="44">
        <f>C31</f>
        <v>153.21572460963338</v>
      </c>
      <c r="D54" s="44">
        <f t="shared" si="0"/>
        <v>35.884881780202676</v>
      </c>
      <c r="F54" s="44">
        <f>D31</f>
        <v>189.10060638983606</v>
      </c>
      <c r="G54" s="44"/>
      <c r="H54" s="44"/>
      <c r="I54" s="44"/>
      <c r="J54" s="44"/>
      <c r="K54" s="44"/>
      <c r="L54" s="44"/>
      <c r="M54" s="44"/>
    </row>
    <row r="55" spans="1:13" ht="15" customHeight="1" x14ac:dyDescent="0.25">
      <c r="A55" s="16"/>
      <c r="B55" s="2" t="str">
        <f>A27&amp;" with synergies "&amp;TEXT(C33,"0.0%")&amp;" of revenue"</f>
        <v>DCF with synergies 4.5% of revenue</v>
      </c>
      <c r="C55" s="44">
        <f ca="1">C36</f>
        <v>171.81238290534316</v>
      </c>
      <c r="D55" s="44">
        <f t="shared" ca="1" si="0"/>
        <v>35.884881780202676</v>
      </c>
      <c r="F55" s="44">
        <f ca="1">D36</f>
        <v>207.69726468554583</v>
      </c>
      <c r="G55" s="44"/>
      <c r="H55" s="44"/>
      <c r="I55" s="44"/>
      <c r="J55" s="44"/>
      <c r="K55" s="44"/>
      <c r="L55" s="44"/>
      <c r="M55" s="44"/>
    </row>
    <row r="56" spans="1:13" ht="15" customHeight="1" x14ac:dyDescent="0.25">
      <c r="A56" s="16"/>
      <c r="B56" s="2" t="s">
        <v>652</v>
      </c>
      <c r="C56" s="44">
        <f>C42</f>
        <v>89.846463706911379</v>
      </c>
      <c r="D56" s="44">
        <f t="shared" si="0"/>
        <v>36.426872446350998</v>
      </c>
      <c r="F56" s="44">
        <f>D42</f>
        <v>126.27333615326238</v>
      </c>
      <c r="G56" s="44"/>
      <c r="H56" s="44"/>
      <c r="I56" s="44"/>
      <c r="J56" s="44"/>
      <c r="K56" s="44"/>
      <c r="L56" s="44"/>
      <c r="M56" s="44"/>
    </row>
    <row r="57" spans="1:13" ht="15" customHeight="1" x14ac:dyDescent="0.25">
      <c r="A57" s="16"/>
      <c r="B57" s="2" t="str">
        <f>A44&amp;", IRR "&amp;TEXT(C45,"0.0%")&amp;" to "&amp;TEXT(D45,"0.0%")</f>
        <v>LBO (6yr exit), IRR 20.0% to 15.0%</v>
      </c>
      <c r="C57" s="44" t="e">
        <f ca="1">C47</f>
        <v>#N/A</v>
      </c>
      <c r="D57" s="44" t="e">
        <f t="shared" ca="1" si="0"/>
        <v>#N/A</v>
      </c>
      <c r="F57" s="44" t="e">
        <f ca="1">D47</f>
        <v>#N/A</v>
      </c>
      <c r="G57" s="44"/>
      <c r="H57" s="44"/>
      <c r="I57" s="44"/>
      <c r="J57" s="44"/>
      <c r="K57" s="44"/>
      <c r="L57" s="44"/>
      <c r="M57" s="44"/>
    </row>
    <row r="58" spans="1:13" ht="15" customHeight="1" x14ac:dyDescent="0.25">
      <c r="A58" s="16"/>
      <c r="B58" s="44"/>
      <c r="C58" s="44"/>
      <c r="D58" s="44"/>
      <c r="F58" s="44"/>
      <c r="G58" s="44"/>
      <c r="H58" s="44" t="s">
        <v>653</v>
      </c>
      <c r="I58" s="44"/>
      <c r="J58" s="44"/>
      <c r="K58" s="44"/>
      <c r="L58" s="44"/>
      <c r="M58" s="44"/>
    </row>
    <row r="59" spans="1:13" ht="15" customHeight="1" x14ac:dyDescent="0.25">
      <c r="A59" s="16"/>
      <c r="B59" s="44"/>
      <c r="C59" s="44"/>
      <c r="D59" s="44"/>
      <c r="E59" s="44"/>
      <c r="F59" s="44"/>
      <c r="G59" s="44"/>
      <c r="H59" s="58" t="s">
        <v>654</v>
      </c>
      <c r="I59" s="58" t="s">
        <v>655</v>
      </c>
      <c r="K59" s="44"/>
      <c r="L59" s="44"/>
      <c r="M59" s="44"/>
    </row>
    <row r="60" spans="1:13" ht="15" customHeight="1" x14ac:dyDescent="0.25">
      <c r="B60" s="44"/>
      <c r="C60" s="44"/>
      <c r="D60" s="44"/>
      <c r="E60" s="44"/>
      <c r="F60" s="44"/>
      <c r="G60" s="44"/>
      <c r="H60" s="1">
        <v>0</v>
      </c>
      <c r="I60" s="1">
        <f>'1'!COMP_SHAREPRICE</f>
        <v>200.76</v>
      </c>
      <c r="M60" s="44"/>
    </row>
    <row r="61" spans="1:13" ht="15" customHeight="1" x14ac:dyDescent="0.25">
      <c r="A61" s="14"/>
      <c r="B61" s="44"/>
      <c r="C61" s="44"/>
      <c r="D61" s="44"/>
      <c r="E61" s="44"/>
      <c r="F61" s="44"/>
      <c r="G61" s="44"/>
      <c r="H61" s="44">
        <f ca="1">COUNTA($B$52:$B$57)</f>
        <v>6</v>
      </c>
      <c r="I61" s="1">
        <f>I60</f>
        <v>200.76</v>
      </c>
      <c r="K61" s="44"/>
      <c r="M61" s="44"/>
    </row>
    <row r="62" spans="1:13" ht="15" customHeight="1" x14ac:dyDescent="0.25">
      <c r="A62" s="14"/>
      <c r="B62" s="44"/>
      <c r="C62" s="44"/>
      <c r="D62" s="44"/>
      <c r="E62" s="44"/>
      <c r="F62" s="44"/>
      <c r="G62" s="44"/>
      <c r="H62" s="44"/>
      <c r="I62" s="44"/>
      <c r="K62" s="44"/>
      <c r="M62" s="44"/>
    </row>
    <row r="63" spans="1:13" ht="15" customHeight="1" x14ac:dyDescent="0.25">
      <c r="A63" s="14"/>
      <c r="B63" s="44"/>
      <c r="C63" s="44"/>
      <c r="D63" s="44"/>
      <c r="E63" s="44"/>
      <c r="F63" s="44"/>
      <c r="H63" t="s">
        <v>656</v>
      </c>
      <c r="I63" s="58"/>
      <c r="K63" s="44"/>
      <c r="M63" s="44"/>
    </row>
    <row r="64" spans="1:13" ht="15" customHeight="1" x14ac:dyDescent="0.25">
      <c r="A64" s="14"/>
      <c r="B64" s="44"/>
      <c r="C64" s="44"/>
      <c r="D64" s="44"/>
      <c r="E64" s="44"/>
      <c r="F64" s="44"/>
      <c r="G64" s="44"/>
      <c r="H64" s="58" t="s">
        <v>654</v>
      </c>
      <c r="I64" s="58" t="s">
        <v>655</v>
      </c>
      <c r="K64" s="44"/>
      <c r="M64" s="44"/>
    </row>
    <row r="65" spans="1:13" ht="15" customHeight="1" x14ac:dyDescent="0.25">
      <c r="A65" s="14"/>
      <c r="B65" s="44"/>
      <c r="C65" s="44"/>
      <c r="D65" s="44"/>
      <c r="E65" s="44"/>
      <c r="F65" s="44"/>
      <c r="G65" s="44"/>
      <c r="H65" s="1">
        <v>0</v>
      </c>
      <c r="I65" s="1">
        <v>168.3</v>
      </c>
      <c r="J65" s="44"/>
      <c r="K65" s="44"/>
      <c r="L65" s="44"/>
      <c r="M65" s="44"/>
    </row>
    <row r="66" spans="1:13" ht="15" customHeight="1" x14ac:dyDescent="0.25">
      <c r="A66" s="14"/>
      <c r="B66" s="44"/>
      <c r="C66" s="44"/>
      <c r="D66" s="44"/>
      <c r="E66" s="44"/>
      <c r="F66" s="44"/>
      <c r="G66" s="44"/>
      <c r="H66" s="44">
        <f ca="1">COUNTA($B$52:$B$57)</f>
        <v>6</v>
      </c>
      <c r="I66" s="1">
        <v>168.3</v>
      </c>
      <c r="J66" s="44"/>
      <c r="K66" s="44"/>
      <c r="L66" s="44"/>
      <c r="M66" s="44"/>
    </row>
    <row r="67" spans="1:13" ht="15" customHeight="1" x14ac:dyDescent="0.25">
      <c r="A67" s="14"/>
      <c r="B67" s="44"/>
      <c r="C67" s="44"/>
      <c r="D67" s="44"/>
      <c r="E67" s="44"/>
      <c r="F67" s="44"/>
      <c r="G67" s="44"/>
      <c r="H67" s="44"/>
      <c r="I67" s="44"/>
      <c r="J67" s="44"/>
      <c r="K67" s="44"/>
      <c r="L67" s="44"/>
      <c r="M67" s="44"/>
    </row>
    <row r="68" spans="1:13" ht="15" customHeight="1" x14ac:dyDescent="0.25">
      <c r="A68" s="14"/>
      <c r="B68" s="44"/>
      <c r="C68" s="44"/>
      <c r="D68" s="44"/>
      <c r="E68" s="44"/>
      <c r="F68" s="44"/>
      <c r="G68" s="44"/>
      <c r="H68" s="44"/>
      <c r="I68" s="44"/>
      <c r="J68" s="44"/>
      <c r="K68" s="44"/>
      <c r="L68" s="44"/>
      <c r="M68" s="44"/>
    </row>
    <row r="69" spans="1:13" ht="15" customHeight="1" x14ac:dyDescent="0.25">
      <c r="A69" s="14"/>
      <c r="B69" s="44"/>
      <c r="C69" s="44"/>
      <c r="D69" s="44"/>
      <c r="E69" s="44"/>
      <c r="F69" s="44"/>
      <c r="G69" s="44"/>
      <c r="H69" s="44"/>
      <c r="I69" s="44"/>
      <c r="J69" s="44"/>
      <c r="K69" s="44"/>
      <c r="L69" s="44"/>
      <c r="M69" s="44"/>
    </row>
    <row r="70" spans="1:13" ht="15" customHeight="1" x14ac:dyDescent="0.25">
      <c r="A70" s="14"/>
      <c r="B70" s="44"/>
      <c r="C70" s="44"/>
      <c r="D70" s="44"/>
      <c r="E70" s="44"/>
      <c r="F70" s="44"/>
      <c r="G70" s="44"/>
      <c r="H70" s="44"/>
      <c r="I70" s="44"/>
      <c r="J70" s="44"/>
      <c r="K70" s="44"/>
      <c r="L70" s="44"/>
      <c r="M70" s="44"/>
    </row>
    <row r="71" spans="1:13" ht="15.75" customHeight="1" x14ac:dyDescent="0.25">
      <c r="A71" s="14"/>
    </row>
    <row r="72" spans="1:13" ht="15.75" customHeight="1" x14ac:dyDescent="0.25">
      <c r="A72" s="14"/>
    </row>
    <row r="73" spans="1:13" ht="15.75" customHeight="1" x14ac:dyDescent="0.25">
      <c r="A73" s="14"/>
    </row>
    <row r="74" spans="1:13" ht="15.75" customHeight="1" x14ac:dyDescent="0.25"/>
    <row r="89" spans="1:1" ht="15" customHeight="1" x14ac:dyDescent="0.25">
      <c r="A89" s="16" t="s">
        <v>137</v>
      </c>
    </row>
  </sheetData>
  <printOptions headings="1" gridLines="1"/>
  <pageMargins left="0.70866141732283472" right="0.70866141732283472" top="0.74803149606299213" bottom="0.74803149606299213" header="0" footer="0"/>
  <pageSetup paperSize="9" scale="65" fitToHeight="0" orientation="landscape" r:id="rId1"/>
  <headerFooter>
    <oddHeader>&amp;R&amp;F  &amp;A</oddHeader>
    <oddFooter>&amp;L© 2016&amp;CPage &amp;P of</oddFooter>
  </headerFooter>
  <rowBreaks count="1" manualBreakCount="1">
    <brk id="42" max="10" man="1"/>
  </rowBreaks>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44FE39F-4DAB-47F8-84C9-0B5C6EB915D3}">
          <x14:formula1>
            <xm:f>Trading_comps!$C$9:$C$21</xm:f>
          </x14:formula1>
          <xm:sqref>C16:D16 C22:D22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pageSetUpPr fitToPage="1"/>
  </sheetPr>
  <dimension ref="A1:Q198"/>
  <sheetViews>
    <sheetView tabSelected="1" topLeftCell="A142" workbookViewId="0">
      <selection activeCell="F177" sqref="F177"/>
    </sheetView>
  </sheetViews>
  <sheetFormatPr defaultColWidth="12.5703125" defaultRowHeight="15" customHeight="1" x14ac:dyDescent="0.25"/>
  <cols>
    <col min="1" max="1" width="1.140625" customWidth="1"/>
    <col min="2" max="2" width="41.5703125" customWidth="1"/>
    <col min="3" max="3" width="11.7109375" bestFit="1" customWidth="1"/>
    <col min="4" max="12" width="10.28515625" customWidth="1"/>
    <col min="13" max="13" width="10.85546875" customWidth="1"/>
    <col min="14" max="16" width="10.28515625" customWidth="1"/>
  </cols>
  <sheetData>
    <row r="1" spans="1:17" ht="45" customHeight="1" x14ac:dyDescent="0.45">
      <c r="A1" s="68" t="str">
        <f>"M&amp;A analysis for "&amp;C7</f>
        <v>M&amp;A analysis for Electronic Arts</v>
      </c>
      <c r="B1" s="68"/>
      <c r="C1" s="68"/>
      <c r="D1" s="68"/>
      <c r="E1" s="68"/>
      <c r="F1" s="68"/>
      <c r="G1" s="68"/>
      <c r="H1" s="68"/>
      <c r="I1" s="68"/>
      <c r="J1" s="68"/>
      <c r="K1" s="68"/>
      <c r="L1" s="68"/>
      <c r="M1" s="68"/>
      <c r="N1" s="68"/>
      <c r="O1" s="68"/>
      <c r="P1" s="68"/>
    </row>
    <row r="2" spans="1:17" ht="15" customHeight="1" x14ac:dyDescent="0.25">
      <c r="A2" t="s">
        <v>501</v>
      </c>
      <c r="C2" s="44"/>
      <c r="D2" t="s">
        <v>228</v>
      </c>
      <c r="E2" s="44"/>
      <c r="F2" s="201">
        <f>Info!N7</f>
        <v>46086</v>
      </c>
      <c r="G2" s="44"/>
      <c r="H2" s="44"/>
      <c r="I2" s="44"/>
      <c r="J2" s="44"/>
      <c r="K2" s="44"/>
      <c r="L2" s="44"/>
      <c r="M2" s="44"/>
      <c r="N2" s="44"/>
      <c r="O2" s="44"/>
      <c r="P2" s="44"/>
      <c r="Q2" s="44"/>
    </row>
    <row r="3" spans="1:17" ht="15" customHeight="1" x14ac:dyDescent="0.25">
      <c r="A3" t="s">
        <v>657</v>
      </c>
      <c r="B3" s="44"/>
      <c r="C3" s="44"/>
      <c r="G3" s="44"/>
      <c r="H3" s="44"/>
      <c r="J3" s="44"/>
      <c r="K3" s="44"/>
      <c r="L3" s="44"/>
      <c r="M3" s="44"/>
      <c r="N3" s="44"/>
      <c r="O3" s="44"/>
      <c r="P3" s="44"/>
      <c r="Q3" s="44"/>
    </row>
    <row r="4" spans="1:17" ht="15" customHeight="1" x14ac:dyDescent="0.25">
      <c r="B4" s="44"/>
      <c r="C4" s="44"/>
      <c r="G4" s="44"/>
      <c r="H4" s="44"/>
      <c r="J4" s="44"/>
      <c r="K4" s="44"/>
      <c r="L4" s="44"/>
      <c r="M4" s="44"/>
      <c r="N4" s="44"/>
      <c r="O4" s="44"/>
      <c r="P4" s="44"/>
      <c r="Q4" s="44"/>
    </row>
    <row r="5" spans="1:17" ht="15" customHeight="1" x14ac:dyDescent="0.25">
      <c r="A5" s="16" t="s">
        <v>13</v>
      </c>
      <c r="B5" s="44"/>
      <c r="C5" s="44"/>
      <c r="D5" s="44"/>
      <c r="E5" s="44"/>
      <c r="F5" s="44"/>
      <c r="G5" s="44"/>
      <c r="H5" s="44"/>
      <c r="I5" s="44"/>
      <c r="J5" s="44"/>
      <c r="K5" s="44"/>
      <c r="L5" s="44"/>
      <c r="M5" s="44"/>
      <c r="N5" s="44"/>
      <c r="O5" s="44"/>
      <c r="P5" s="44"/>
      <c r="Q5" s="44"/>
    </row>
    <row r="6" spans="1:17" ht="15" customHeight="1" x14ac:dyDescent="0.25">
      <c r="A6" s="16"/>
      <c r="B6" s="194" t="s">
        <v>526</v>
      </c>
      <c r="C6" s="44"/>
      <c r="D6" s="44"/>
      <c r="E6" s="44"/>
      <c r="F6" s="44"/>
      <c r="G6" s="44"/>
      <c r="H6" s="44"/>
      <c r="I6" s="44"/>
      <c r="N6" s="44"/>
      <c r="O6" s="44"/>
      <c r="P6" s="44"/>
      <c r="Q6" s="44"/>
    </row>
    <row r="7" spans="1:17" ht="15" customHeight="1" x14ac:dyDescent="0.25">
      <c r="A7" s="16"/>
      <c r="B7" t="s">
        <v>8</v>
      </c>
      <c r="C7" t="s">
        <v>9</v>
      </c>
      <c r="D7" s="44"/>
      <c r="E7" s="44"/>
      <c r="F7" s="44"/>
      <c r="N7" s="44"/>
      <c r="O7" s="44"/>
      <c r="P7" s="44"/>
      <c r="Q7" s="44"/>
    </row>
    <row r="8" spans="1:17" ht="15" customHeight="1" x14ac:dyDescent="0.25">
      <c r="A8" s="16"/>
      <c r="B8" t="s">
        <v>658</v>
      </c>
      <c r="C8" s="169">
        <f>'1'!C11</f>
        <v>45747</v>
      </c>
      <c r="D8" s="44"/>
      <c r="E8" s="44"/>
      <c r="F8" s="44"/>
      <c r="N8" s="44"/>
      <c r="O8" s="44"/>
      <c r="P8" s="44"/>
      <c r="Q8" s="44"/>
    </row>
    <row r="9" spans="1:17" ht="15" customHeight="1" x14ac:dyDescent="0.25">
      <c r="A9" s="16"/>
      <c r="B9" t="s">
        <v>659</v>
      </c>
      <c r="C9">
        <f>'1'!COMP_SHAREPRICE</f>
        <v>200.76</v>
      </c>
      <c r="E9" s="44"/>
      <c r="F9" s="44"/>
      <c r="N9" s="44"/>
      <c r="O9" s="44"/>
      <c r="P9" s="44"/>
      <c r="Q9" s="44"/>
    </row>
    <row r="10" spans="1:17" ht="15" customHeight="1" x14ac:dyDescent="0.25">
      <c r="A10" s="16"/>
      <c r="B10" t="s">
        <v>660</v>
      </c>
      <c r="C10" s="238">
        <v>1</v>
      </c>
      <c r="E10" s="44"/>
      <c r="F10" s="44"/>
      <c r="N10" s="44"/>
      <c r="O10" s="44"/>
      <c r="P10" s="44"/>
      <c r="Q10" s="44"/>
    </row>
    <row r="11" spans="1:17" ht="15" customHeight="1" x14ac:dyDescent="0.25">
      <c r="A11" s="16"/>
      <c r="B11" t="s">
        <v>661</v>
      </c>
      <c r="C11">
        <f>C9*C10</f>
        <v>200.76</v>
      </c>
      <c r="E11" s="44"/>
      <c r="F11" s="44"/>
      <c r="N11" s="44"/>
      <c r="O11" s="44"/>
      <c r="P11" s="44"/>
      <c r="Q11" s="44"/>
    </row>
    <row r="12" spans="1:17" ht="15" customHeight="1" x14ac:dyDescent="0.25">
      <c r="A12" s="16"/>
      <c r="B12" t="s">
        <v>147</v>
      </c>
      <c r="C12" s="59">
        <f>'1'!COMP_MTR</f>
        <v>0.219</v>
      </c>
      <c r="E12" s="44"/>
      <c r="F12" s="44"/>
      <c r="N12" s="44"/>
      <c r="Q12" s="44"/>
    </row>
    <row r="13" spans="1:17" ht="15" customHeight="1" x14ac:dyDescent="0.25">
      <c r="A13" s="16"/>
      <c r="B13" t="s">
        <v>662</v>
      </c>
      <c r="C13" s="184">
        <v>0.2</v>
      </c>
      <c r="E13" s="44"/>
      <c r="F13" s="44"/>
      <c r="J13" s="44"/>
      <c r="K13" s="44"/>
      <c r="L13" s="44"/>
      <c r="M13" s="44"/>
      <c r="N13" s="44"/>
      <c r="Q13" s="44"/>
    </row>
    <row r="14" spans="1:17" ht="15" customHeight="1" x14ac:dyDescent="0.25">
      <c r="A14" s="16"/>
      <c r="B14" t="s">
        <v>663</v>
      </c>
      <c r="C14">
        <f>(1+C13)*C11</f>
        <v>240.91199999999998</v>
      </c>
      <c r="E14" s="44"/>
      <c r="F14" s="44"/>
      <c r="J14" s="44"/>
      <c r="K14" s="44"/>
      <c r="L14" s="44"/>
      <c r="M14" s="44"/>
      <c r="N14" s="44"/>
      <c r="Q14" s="44"/>
    </row>
    <row r="15" spans="1:17" ht="15" customHeight="1" x14ac:dyDescent="0.25">
      <c r="A15" s="16"/>
      <c r="B15" t="s">
        <v>664</v>
      </c>
      <c r="C15">
        <f>'1'!D30</f>
        <v>250.253713</v>
      </c>
      <c r="E15" s="44"/>
      <c r="F15" s="44"/>
      <c r="J15" s="44"/>
      <c r="K15" s="44"/>
      <c r="L15" s="44"/>
      <c r="M15" s="44"/>
      <c r="N15" s="44"/>
      <c r="Q15" s="44"/>
    </row>
    <row r="16" spans="1:17" ht="15" customHeight="1" x14ac:dyDescent="0.25">
      <c r="A16" s="16"/>
      <c r="B16" s="44"/>
      <c r="C16" s="44"/>
      <c r="D16" s="44"/>
      <c r="E16" s="44"/>
      <c r="F16" s="44"/>
      <c r="G16" s="44"/>
      <c r="H16" s="44"/>
      <c r="J16" s="44"/>
      <c r="K16" s="44"/>
      <c r="L16" s="44"/>
      <c r="M16" s="44"/>
      <c r="N16" s="44"/>
      <c r="O16" s="44"/>
      <c r="P16" s="44"/>
      <c r="Q16" s="44"/>
    </row>
    <row r="17" spans="1:17" ht="15" customHeight="1" x14ac:dyDescent="0.25">
      <c r="A17" s="16"/>
      <c r="C17" t="s">
        <v>334</v>
      </c>
      <c r="D17" t="s">
        <v>665</v>
      </c>
      <c r="E17" t="s">
        <v>666</v>
      </c>
      <c r="F17" t="s">
        <v>667</v>
      </c>
      <c r="H17" s="44"/>
      <c r="J17" s="44"/>
      <c r="K17" s="44"/>
      <c r="L17" s="44"/>
      <c r="M17" s="44"/>
      <c r="N17" s="44"/>
      <c r="O17" s="44"/>
      <c r="P17" s="44"/>
      <c r="Q17" s="44"/>
    </row>
    <row r="18" spans="1:17" ht="15" customHeight="1" x14ac:dyDescent="0.25">
      <c r="A18" s="16"/>
      <c r="B18" t="str">
        <f>'1'!M28</f>
        <v>Options</v>
      </c>
      <c r="C18" s="282">
        <f>'1'!N28</f>
        <v>3.0000000000000001E-3</v>
      </c>
      <c r="D18">
        <f>'1'!O28</f>
        <v>56.22</v>
      </c>
      <c r="E18">
        <f t="shared" ref="E18:E21" si="0">$C$10*D18</f>
        <v>56.22</v>
      </c>
      <c r="F18">
        <f t="shared" ref="F18:F21" si="1">MAX(($C$14-E18)*C18/$C$14,0)</f>
        <v>2.2999103407053195E-3</v>
      </c>
      <c r="H18" s="44"/>
      <c r="J18" s="44"/>
      <c r="K18" s="44"/>
      <c r="L18" s="44"/>
      <c r="M18" s="44"/>
      <c r="N18" s="44"/>
      <c r="O18" s="44"/>
      <c r="P18" s="44"/>
      <c r="Q18" s="44"/>
    </row>
    <row r="19" spans="1:17" ht="15" customHeight="1" x14ac:dyDescent="0.25">
      <c r="A19" s="16"/>
      <c r="B19" t="str">
        <f>'1'!M29</f>
        <v>Restricted stock units (RSUs)</v>
      </c>
      <c r="C19">
        <f>'1'!N29</f>
        <v>6.7610000000000001</v>
      </c>
      <c r="D19">
        <f>'1'!O29</f>
        <v>0</v>
      </c>
      <c r="E19">
        <f t="shared" si="0"/>
        <v>0</v>
      </c>
      <c r="F19">
        <f t="shared" si="1"/>
        <v>6.7610000000000001</v>
      </c>
      <c r="H19" s="44"/>
      <c r="J19" s="44"/>
      <c r="K19" s="44"/>
      <c r="L19" s="44"/>
      <c r="M19" s="44"/>
      <c r="N19" s="44"/>
      <c r="O19" s="44"/>
      <c r="P19" s="44"/>
      <c r="Q19" s="44"/>
    </row>
    <row r="20" spans="1:17" ht="15" customHeight="1" x14ac:dyDescent="0.25">
      <c r="A20" s="16"/>
      <c r="B20" t="str">
        <f>'1'!M30</f>
        <v>RSUs - performance based</v>
      </c>
      <c r="C20">
        <f>'1'!N30</f>
        <v>1.071</v>
      </c>
      <c r="D20">
        <f>'1'!O30</f>
        <v>0</v>
      </c>
      <c r="E20">
        <f t="shared" si="0"/>
        <v>0</v>
      </c>
      <c r="F20">
        <f t="shared" si="1"/>
        <v>1.071</v>
      </c>
      <c r="H20" s="44"/>
      <c r="J20" s="44"/>
      <c r="K20" s="44"/>
      <c r="L20" s="44"/>
      <c r="M20" s="44"/>
      <c r="N20" s="44"/>
      <c r="O20" s="44"/>
      <c r="P20" s="44"/>
      <c r="Q20" s="44"/>
    </row>
    <row r="21" spans="1:17" ht="15" customHeight="1" x14ac:dyDescent="0.25">
      <c r="A21" s="16"/>
      <c r="B21" t="str">
        <f>'1'!M31</f>
        <v>RSUs - market based</v>
      </c>
      <c r="C21">
        <f>'1'!N31</f>
        <v>0.89</v>
      </c>
      <c r="D21">
        <f>'1'!O31</f>
        <v>0</v>
      </c>
      <c r="E21">
        <f t="shared" si="0"/>
        <v>0</v>
      </c>
      <c r="F21">
        <f t="shared" si="1"/>
        <v>0.89</v>
      </c>
      <c r="H21" s="44"/>
      <c r="J21" s="44"/>
      <c r="K21" s="44"/>
      <c r="L21" s="44"/>
      <c r="M21" s="44"/>
      <c r="N21" s="44"/>
      <c r="O21" s="44"/>
      <c r="P21" s="44"/>
      <c r="Q21" s="44"/>
    </row>
    <row r="22" spans="1:17" ht="15" customHeight="1" x14ac:dyDescent="0.25">
      <c r="A22" s="16"/>
      <c r="B22" t="s">
        <v>349</v>
      </c>
      <c r="F22">
        <f>SUM(F18:F21)</f>
        <v>8.7242999103407062</v>
      </c>
      <c r="H22" s="44"/>
      <c r="J22" s="44"/>
      <c r="K22" s="44"/>
      <c r="L22" s="44"/>
      <c r="M22" s="44"/>
      <c r="N22" s="44"/>
      <c r="O22" s="44"/>
      <c r="P22" s="44"/>
      <c r="Q22" s="44"/>
    </row>
    <row r="23" spans="1:17" ht="15" customHeight="1" x14ac:dyDescent="0.25">
      <c r="A23" s="16"/>
      <c r="C23" s="144"/>
      <c r="D23" s="44"/>
      <c r="E23" s="44"/>
      <c r="G23" s="44"/>
      <c r="H23" s="44"/>
      <c r="K23" s="44"/>
      <c r="L23" s="44"/>
      <c r="M23" s="44"/>
      <c r="N23" s="44"/>
      <c r="O23" s="44"/>
      <c r="P23" s="44"/>
      <c r="Q23" s="44"/>
    </row>
    <row r="24" spans="1:17" ht="15" customHeight="1" x14ac:dyDescent="0.25">
      <c r="A24" s="16"/>
      <c r="B24" t="s">
        <v>253</v>
      </c>
      <c r="C24">
        <f>C15+F22</f>
        <v>258.97801291034074</v>
      </c>
      <c r="E24" s="44"/>
      <c r="F24" s="232"/>
      <c r="G24" s="44"/>
      <c r="H24" s="44"/>
      <c r="N24" s="44"/>
      <c r="O24" s="44"/>
      <c r="P24" s="44"/>
      <c r="Q24" s="44"/>
    </row>
    <row r="25" spans="1:17" ht="15" customHeight="1" x14ac:dyDescent="0.25">
      <c r="A25" s="16"/>
      <c r="B25" t="s">
        <v>668</v>
      </c>
      <c r="C25">
        <f>C24*C14</f>
        <v>62390.911046255998</v>
      </c>
      <c r="E25" s="44"/>
      <c r="F25" s="44"/>
      <c r="G25" s="44"/>
      <c r="H25" s="44"/>
      <c r="N25" s="44"/>
      <c r="O25" s="44"/>
      <c r="P25" s="44"/>
      <c r="Q25" s="44"/>
    </row>
    <row r="26" spans="1:17" ht="15" customHeight="1" x14ac:dyDescent="0.25">
      <c r="A26" s="16"/>
      <c r="B26" t="s">
        <v>669</v>
      </c>
      <c r="C26">
        <f>'1'!G37*'M&amp;A'!C10</f>
        <v>1899</v>
      </c>
      <c r="E26" s="44"/>
      <c r="F26" s="44"/>
      <c r="G26" s="44"/>
      <c r="H26" s="44"/>
      <c r="N26" s="44"/>
      <c r="O26" s="44"/>
      <c r="P26" s="44"/>
      <c r="Q26" s="44"/>
    </row>
    <row r="27" spans="1:17" ht="15" customHeight="1" x14ac:dyDescent="0.25">
      <c r="A27" s="16"/>
      <c r="B27" t="s">
        <v>670</v>
      </c>
      <c r="C27">
        <f>'1'!J37*'M&amp;A'!C10</f>
        <v>2899</v>
      </c>
      <c r="E27" s="44"/>
      <c r="F27" s="44"/>
      <c r="G27" s="44"/>
      <c r="H27" s="44"/>
      <c r="N27" s="44"/>
      <c r="O27" s="44"/>
      <c r="P27" s="44"/>
      <c r="Q27" s="44"/>
    </row>
    <row r="28" spans="1:17" ht="15" customHeight="1" x14ac:dyDescent="0.25">
      <c r="A28" s="16"/>
      <c r="B28" s="44"/>
      <c r="C28" s="44"/>
      <c r="D28" s="44"/>
      <c r="E28" s="44"/>
      <c r="F28" s="44"/>
      <c r="G28" s="44"/>
      <c r="H28" s="44"/>
      <c r="J28" s="44"/>
      <c r="K28" s="44"/>
      <c r="L28" s="44"/>
      <c r="M28" s="52"/>
      <c r="N28" s="44"/>
      <c r="O28" s="44"/>
      <c r="P28" s="44"/>
      <c r="Q28" s="44"/>
    </row>
    <row r="29" spans="1:17" ht="15" customHeight="1" x14ac:dyDescent="0.25">
      <c r="A29" s="16"/>
      <c r="B29" s="2" t="s">
        <v>671</v>
      </c>
      <c r="C29" s="44">
        <f>C25+C26-C27</f>
        <v>61390.911046255998</v>
      </c>
      <c r="D29" s="44"/>
      <c r="E29" s="44"/>
      <c r="F29" s="44"/>
      <c r="G29" s="44"/>
      <c r="H29" s="44"/>
      <c r="J29" s="2"/>
      <c r="K29" s="44"/>
      <c r="L29" s="44"/>
      <c r="M29" s="44"/>
      <c r="N29" s="44"/>
      <c r="O29" s="44"/>
      <c r="P29" s="44"/>
      <c r="Q29" s="44"/>
    </row>
    <row r="30" spans="1:17" ht="15" customHeight="1" x14ac:dyDescent="0.25">
      <c r="A30" s="16"/>
      <c r="B30" s="2"/>
      <c r="C30" s="44"/>
      <c r="D30" s="44"/>
      <c r="E30" s="44"/>
      <c r="F30" s="44"/>
      <c r="G30" s="44"/>
      <c r="H30" s="44"/>
      <c r="J30" s="2"/>
      <c r="K30" s="44"/>
      <c r="L30" s="44"/>
      <c r="M30" s="44"/>
      <c r="N30" s="44"/>
      <c r="O30" s="44"/>
      <c r="P30" s="44"/>
      <c r="Q30" s="44"/>
    </row>
    <row r="31" spans="1:17" ht="15" customHeight="1" x14ac:dyDescent="0.25">
      <c r="A31" s="16"/>
      <c r="B31" s="194" t="s">
        <v>521</v>
      </c>
      <c r="C31" s="44"/>
      <c r="D31" s="44"/>
      <c r="E31" s="44"/>
      <c r="F31" s="44"/>
      <c r="G31" s="44"/>
      <c r="H31" s="44"/>
      <c r="J31" s="2"/>
      <c r="K31" s="44"/>
      <c r="L31" s="44"/>
      <c r="M31" s="44"/>
      <c r="N31" s="44"/>
      <c r="O31" s="44"/>
      <c r="P31" s="44"/>
      <c r="Q31" s="44"/>
    </row>
    <row r="32" spans="1:17" ht="15" customHeight="1" x14ac:dyDescent="0.25">
      <c r="A32" s="16"/>
      <c r="B32" t="s">
        <v>8</v>
      </c>
      <c r="C32" t="s">
        <v>672</v>
      </c>
      <c r="D32" s="44"/>
      <c r="F32" s="44"/>
      <c r="G32" s="44"/>
      <c r="H32" s="44"/>
      <c r="J32" s="2"/>
      <c r="K32" s="44"/>
      <c r="L32" s="44"/>
      <c r="M32" s="44"/>
      <c r="N32" s="44"/>
      <c r="O32" s="44"/>
      <c r="P32" s="44"/>
      <c r="Q32" s="44"/>
    </row>
    <row r="33" spans="1:17" ht="15" customHeight="1" x14ac:dyDescent="0.25">
      <c r="A33" s="16"/>
      <c r="B33" t="s">
        <v>658</v>
      </c>
      <c r="C33" s="239">
        <v>46022</v>
      </c>
      <c r="D33" s="44"/>
      <c r="F33" s="44"/>
      <c r="G33" s="44"/>
      <c r="H33" s="44"/>
      <c r="J33" s="2"/>
      <c r="K33" s="44"/>
      <c r="L33" s="44"/>
      <c r="M33" s="44"/>
      <c r="N33" s="44"/>
      <c r="O33" s="44"/>
      <c r="P33" s="44"/>
      <c r="Q33" s="44"/>
    </row>
    <row r="34" spans="1:17" ht="15" customHeight="1" x14ac:dyDescent="0.25">
      <c r="A34" s="16"/>
      <c r="B34" t="s">
        <v>659</v>
      </c>
      <c r="C34" s="170">
        <v>3346</v>
      </c>
      <c r="D34" s="44"/>
      <c r="F34" s="44"/>
      <c r="G34" s="44"/>
      <c r="H34" s="44"/>
      <c r="J34" s="2"/>
      <c r="K34" s="44"/>
      <c r="L34" s="44"/>
      <c r="M34" s="44"/>
      <c r="N34" s="44"/>
      <c r="O34" s="44"/>
      <c r="P34" s="44"/>
      <c r="Q34" s="44"/>
    </row>
    <row r="35" spans="1:17" ht="15" customHeight="1" x14ac:dyDescent="0.25">
      <c r="A35" s="16"/>
      <c r="B35" t="s">
        <v>673</v>
      </c>
      <c r="C35" s="283">
        <v>6.3E-3</v>
      </c>
      <c r="D35" s="44"/>
      <c r="F35" s="44"/>
      <c r="G35" s="44"/>
      <c r="H35" s="44"/>
      <c r="J35" s="2"/>
      <c r="K35" s="44"/>
      <c r="L35" s="44"/>
      <c r="M35" s="44"/>
      <c r="N35" s="44"/>
      <c r="O35" s="44"/>
      <c r="P35" s="44"/>
      <c r="Q35" s="44"/>
    </row>
    <row r="36" spans="1:17" ht="15" customHeight="1" x14ac:dyDescent="0.25">
      <c r="A36" s="16"/>
      <c r="B36" t="s">
        <v>661</v>
      </c>
      <c r="C36">
        <f>C34*C35</f>
        <v>21.079799999999999</v>
      </c>
      <c r="D36" s="44"/>
      <c r="F36" s="44"/>
      <c r="G36" s="44"/>
      <c r="H36" s="44"/>
      <c r="J36" s="2"/>
      <c r="K36" s="44"/>
      <c r="L36" s="44"/>
      <c r="M36" s="44"/>
      <c r="N36" s="44"/>
      <c r="O36" s="44"/>
      <c r="P36" s="44"/>
      <c r="Q36" s="44"/>
    </row>
    <row r="37" spans="1:17" ht="15" customHeight="1" x14ac:dyDescent="0.25">
      <c r="A37" s="16"/>
      <c r="B37" t="str">
        <f>B12</f>
        <v>Marginal tax rate</v>
      </c>
      <c r="C37" s="249">
        <v>0.23200000000000001</v>
      </c>
      <c r="D37" s="44"/>
      <c r="F37" s="44"/>
      <c r="G37" s="44"/>
      <c r="H37" s="44"/>
      <c r="J37" s="2"/>
      <c r="K37" s="44"/>
      <c r="L37" s="44"/>
      <c r="M37" s="44"/>
      <c r="N37" s="44"/>
      <c r="O37" s="44"/>
      <c r="P37" s="44"/>
      <c r="Q37" s="44"/>
    </row>
    <row r="38" spans="1:17" ht="15" customHeight="1" x14ac:dyDescent="0.25">
      <c r="A38" s="16"/>
      <c r="B38" s="2"/>
      <c r="C38" s="44"/>
      <c r="D38" s="44"/>
      <c r="E38" s="44"/>
      <c r="F38" s="44"/>
      <c r="G38" s="44"/>
      <c r="H38" s="44"/>
      <c r="J38" s="2"/>
      <c r="K38" s="44"/>
      <c r="L38" s="44"/>
      <c r="M38" s="44"/>
      <c r="N38" s="44"/>
      <c r="O38" s="44"/>
      <c r="P38" s="44"/>
      <c r="Q38" s="44"/>
    </row>
    <row r="39" spans="1:17" ht="15" customHeight="1" x14ac:dyDescent="0.25">
      <c r="A39" s="16"/>
      <c r="B39" t="s">
        <v>253</v>
      </c>
      <c r="C39" s="52">
        <v>6131.9</v>
      </c>
      <c r="F39" s="44"/>
      <c r="G39" s="44"/>
      <c r="H39" s="44"/>
      <c r="J39" s="2"/>
      <c r="K39" s="44"/>
      <c r="L39" s="44"/>
      <c r="M39" s="44"/>
      <c r="N39" s="44"/>
      <c r="O39" s="44"/>
      <c r="P39" s="44"/>
      <c r="Q39" s="44"/>
    </row>
    <row r="40" spans="1:17" ht="15" customHeight="1" x14ac:dyDescent="0.25">
      <c r="A40" s="16"/>
      <c r="C40" s="44"/>
      <c r="F40" s="44"/>
    </row>
    <row r="41" spans="1:17" ht="15" customHeight="1" x14ac:dyDescent="0.25">
      <c r="A41" s="16"/>
      <c r="B41" t="s">
        <v>674</v>
      </c>
      <c r="C41" s="52">
        <f>1030870*C35</f>
        <v>6494.4809999999998</v>
      </c>
      <c r="F41" s="44"/>
    </row>
    <row r="42" spans="1:17" ht="15" customHeight="1" x14ac:dyDescent="0.25">
      <c r="A42" s="16"/>
      <c r="B42" t="s">
        <v>675</v>
      </c>
      <c r="C42" s="52">
        <f>(2086500+559083)*C35</f>
        <v>16667.172900000001</v>
      </c>
      <c r="F42" s="44"/>
    </row>
    <row r="43" spans="1:17" ht="15" customHeight="1" x14ac:dyDescent="0.25">
      <c r="A43" s="16"/>
      <c r="B43" s="2"/>
      <c r="C43" s="44"/>
      <c r="D43" s="44"/>
      <c r="E43" s="44"/>
      <c r="F43" s="44"/>
    </row>
    <row r="44" spans="1:17" ht="15" customHeight="1" x14ac:dyDescent="0.25">
      <c r="A44" s="16" t="s">
        <v>676</v>
      </c>
      <c r="B44" s="44"/>
    </row>
    <row r="45" spans="1:17" ht="15" customHeight="1" x14ac:dyDescent="0.25">
      <c r="A45" s="16"/>
      <c r="B45" s="246" t="s">
        <v>526</v>
      </c>
      <c r="C45" s="193"/>
      <c r="D45" s="193">
        <v>46112</v>
      </c>
      <c r="E45" s="193">
        <f t="shared" ref="E45:F45" si="2">EDATE(D45,12)</f>
        <v>46477</v>
      </c>
      <c r="F45" s="193">
        <f t="shared" si="2"/>
        <v>46843</v>
      </c>
    </row>
    <row r="46" spans="1:17" ht="15" customHeight="1" x14ac:dyDescent="0.25">
      <c r="A46" s="16"/>
      <c r="B46" t="s">
        <v>233</v>
      </c>
      <c r="C46" t="s">
        <v>267</v>
      </c>
      <c r="D46" t="s">
        <v>677</v>
      </c>
      <c r="E46" t="s">
        <v>678</v>
      </c>
      <c r="F46" t="s">
        <v>679</v>
      </c>
    </row>
    <row r="47" spans="1:17" ht="15" customHeight="1" x14ac:dyDescent="0.25">
      <c r="A47" s="16"/>
      <c r="B47" t="s">
        <v>175</v>
      </c>
      <c r="C47">
        <f>'1'!G42</f>
        <v>7306</v>
      </c>
      <c r="D47">
        <f>'1'!I42</f>
        <v>8146</v>
      </c>
      <c r="E47">
        <f>'1'!J42</f>
        <v>8438</v>
      </c>
      <c r="F47">
        <f>'1'!K42</f>
        <v>8880</v>
      </c>
    </row>
    <row r="48" spans="1:17" ht="15" customHeight="1" x14ac:dyDescent="0.25">
      <c r="A48" s="16"/>
      <c r="B48" t="s">
        <v>52</v>
      </c>
      <c r="C48">
        <f>'1'!G53</f>
        <v>1310</v>
      </c>
      <c r="D48">
        <f>'1'!I53</f>
        <v>1486</v>
      </c>
      <c r="E48">
        <f>'1'!J53</f>
        <v>2212</v>
      </c>
      <c r="F48">
        <f>'1'!K53</f>
        <v>2374</v>
      </c>
    </row>
    <row r="49" spans="1:6" ht="15" customHeight="1" x14ac:dyDescent="0.25">
      <c r="A49" s="16"/>
      <c r="B49" t="s">
        <v>308</v>
      </c>
      <c r="D49" s="70">
        <f>'1'!I54</f>
        <v>8.59</v>
      </c>
      <c r="E49" s="70">
        <f>'1'!J54</f>
        <v>9.32</v>
      </c>
      <c r="F49" s="70">
        <f>'1'!K54</f>
        <v>10.09</v>
      </c>
    </row>
    <row r="50" spans="1:6" ht="15" customHeight="1" x14ac:dyDescent="0.25">
      <c r="A50" s="16"/>
      <c r="B50" s="2"/>
      <c r="C50" s="235"/>
      <c r="D50" s="235"/>
      <c r="E50" s="235"/>
      <c r="F50" s="235"/>
    </row>
    <row r="51" spans="1:6" ht="15" customHeight="1" x14ac:dyDescent="0.25">
      <c r="B51" s="57" t="s">
        <v>521</v>
      </c>
      <c r="D51" s="193">
        <f>D45</f>
        <v>46112</v>
      </c>
      <c r="E51" s="193">
        <f t="shared" ref="E51:F51" si="3">E45</f>
        <v>46477</v>
      </c>
      <c r="F51" s="193">
        <f t="shared" si="3"/>
        <v>46843</v>
      </c>
    </row>
    <row r="52" spans="1:6" ht="15" customHeight="1" x14ac:dyDescent="0.25">
      <c r="B52" s="2" t="s">
        <v>233</v>
      </c>
      <c r="C52" s="2" t="s">
        <v>267</v>
      </c>
      <c r="D52" t="s">
        <v>677</v>
      </c>
      <c r="E52" t="s">
        <v>678</v>
      </c>
      <c r="F52" t="s">
        <v>679</v>
      </c>
    </row>
    <row r="53" spans="1:6" ht="15" customHeight="1" x14ac:dyDescent="0.25">
      <c r="B53" s="2" t="s">
        <v>175</v>
      </c>
      <c r="C53" s="52">
        <v>88553</v>
      </c>
      <c r="D53" s="52">
        <v>78282</v>
      </c>
      <c r="E53" s="52">
        <v>81685</v>
      </c>
      <c r="F53" s="52">
        <v>82300</v>
      </c>
    </row>
    <row r="54" spans="1:6" ht="15" customHeight="1" x14ac:dyDescent="0.25">
      <c r="B54" s="2" t="s">
        <v>52</v>
      </c>
      <c r="C54" s="52">
        <v>14238</v>
      </c>
      <c r="D54" s="52">
        <v>14453</v>
      </c>
      <c r="E54" s="52">
        <v>15279</v>
      </c>
      <c r="F54" s="52">
        <v>16071</v>
      </c>
    </row>
    <row r="55" spans="1:6" ht="15" customHeight="1" x14ac:dyDescent="0.25">
      <c r="B55" s="2" t="s">
        <v>308</v>
      </c>
      <c r="C55" s="44"/>
      <c r="D55" s="170">
        <v>1.22</v>
      </c>
      <c r="E55" s="170">
        <v>1.31</v>
      </c>
      <c r="F55" s="170">
        <v>1.42</v>
      </c>
    </row>
    <row r="56" spans="1:6" ht="15" customHeight="1" x14ac:dyDescent="0.25">
      <c r="B56" s="2"/>
      <c r="C56" s="44"/>
      <c r="D56" s="44"/>
      <c r="E56" s="44"/>
      <c r="F56" s="170"/>
    </row>
    <row r="57" spans="1:6" ht="15" customHeight="1" x14ac:dyDescent="0.25">
      <c r="A57" s="16" t="s">
        <v>680</v>
      </c>
      <c r="B57" s="44"/>
      <c r="C57" s="44"/>
      <c r="D57" s="44"/>
      <c r="E57" s="44"/>
      <c r="F57" s="44"/>
    </row>
    <row r="58" spans="1:6" ht="15" customHeight="1" x14ac:dyDescent="0.25">
      <c r="A58" s="16"/>
      <c r="B58" t="s">
        <v>681</v>
      </c>
      <c r="C58" s="45">
        <v>5.0000000000000001E-3</v>
      </c>
      <c r="D58" s="44"/>
      <c r="E58" s="44"/>
      <c r="F58" s="44"/>
    </row>
    <row r="59" spans="1:6" ht="15" customHeight="1" x14ac:dyDescent="0.25">
      <c r="A59" s="16"/>
      <c r="B59" t="s">
        <v>682</v>
      </c>
      <c r="C59" s="53">
        <v>1000</v>
      </c>
      <c r="D59" s="44"/>
      <c r="E59" s="44"/>
      <c r="F59" s="44"/>
    </row>
    <row r="60" spans="1:6" ht="15" customHeight="1" x14ac:dyDescent="0.25">
      <c r="A60" s="16"/>
      <c r="B60" t="s">
        <v>683</v>
      </c>
      <c r="C60" s="45">
        <v>0.05</v>
      </c>
      <c r="D60" s="44"/>
      <c r="E60" s="44"/>
      <c r="F60" s="137"/>
    </row>
    <row r="61" spans="1:6" ht="15" customHeight="1" x14ac:dyDescent="0.25">
      <c r="A61" s="16"/>
      <c r="B61" t="s">
        <v>158</v>
      </c>
      <c r="C61" s="71">
        <v>0.02</v>
      </c>
    </row>
    <row r="62" spans="1:6" ht="15" customHeight="1" x14ac:dyDescent="0.25">
      <c r="A62" s="16"/>
      <c r="B62" s="2"/>
      <c r="D62" t="s">
        <v>677</v>
      </c>
      <c r="E62" t="s">
        <v>678</v>
      </c>
      <c r="F62" t="s">
        <v>679</v>
      </c>
    </row>
    <row r="63" spans="1:6" ht="15" customHeight="1" x14ac:dyDescent="0.25">
      <c r="A63" s="16"/>
      <c r="B63" t="s">
        <v>684</v>
      </c>
      <c r="C63" s="44"/>
      <c r="D63" s="59">
        <f>Synergies!$E$12</f>
        <v>4.4874861099469379E-2</v>
      </c>
      <c r="E63" s="59">
        <f>Synergies!$E$12</f>
        <v>4.4874861099469379E-2</v>
      </c>
      <c r="F63" s="59">
        <f>Synergies!$E$12</f>
        <v>4.4874861099469379E-2</v>
      </c>
    </row>
    <row r="64" spans="1:6" ht="15" customHeight="1" x14ac:dyDescent="0.25">
      <c r="A64" s="16"/>
      <c r="B64" t="s">
        <v>685</v>
      </c>
      <c r="C64" s="44"/>
      <c r="D64" s="59">
        <f>Synergies!F21</f>
        <v>0.2</v>
      </c>
      <c r="E64" s="59">
        <f>Synergies!G21</f>
        <v>0.5</v>
      </c>
      <c r="F64" s="59">
        <f>Synergies!H21</f>
        <v>1</v>
      </c>
    </row>
    <row r="65" spans="1:6" ht="15" customHeight="1" x14ac:dyDescent="0.25">
      <c r="A65" s="16"/>
      <c r="C65" s="44"/>
      <c r="D65" s="59"/>
      <c r="E65" s="59"/>
      <c r="F65" s="59"/>
    </row>
    <row r="66" spans="1:6" ht="15" customHeight="1" x14ac:dyDescent="0.25">
      <c r="A66" s="16" t="s">
        <v>686</v>
      </c>
      <c r="B66" s="44"/>
      <c r="C66" s="44"/>
      <c r="D66" s="44"/>
      <c r="E66" s="44"/>
      <c r="F66" s="44"/>
    </row>
    <row r="67" spans="1:6" ht="15" customHeight="1" x14ac:dyDescent="0.25">
      <c r="A67" s="16"/>
      <c r="C67" t="s">
        <v>267</v>
      </c>
      <c r="D67" t="s">
        <v>677</v>
      </c>
      <c r="E67" t="s">
        <v>678</v>
      </c>
      <c r="F67" t="s">
        <v>679</v>
      </c>
    </row>
    <row r="68" spans="1:6" ht="15" customHeight="1" x14ac:dyDescent="0.25">
      <c r="A68" s="16"/>
      <c r="B68" t="s">
        <v>687</v>
      </c>
    </row>
    <row r="69" spans="1:6" ht="15" customHeight="1" x14ac:dyDescent="0.25">
      <c r="A69" s="16"/>
      <c r="B69" t="s">
        <v>688</v>
      </c>
    </row>
    <row r="70" spans="1:6" ht="15" customHeight="1" x14ac:dyDescent="0.25">
      <c r="A70" s="16"/>
      <c r="B70" t="s">
        <v>689</v>
      </c>
      <c r="C70" s="60"/>
      <c r="D70" s="60"/>
      <c r="E70" s="60"/>
      <c r="F70" s="60"/>
    </row>
    <row r="71" spans="1:6" ht="15" customHeight="1" x14ac:dyDescent="0.25">
      <c r="A71" s="16"/>
      <c r="C71" s="60"/>
      <c r="D71" s="60"/>
      <c r="E71" s="60"/>
      <c r="F71" s="60"/>
    </row>
    <row r="72" spans="1:6" ht="15" customHeight="1" x14ac:dyDescent="0.25">
      <c r="A72" s="16"/>
      <c r="B72" t="s">
        <v>690</v>
      </c>
    </row>
    <row r="73" spans="1:6" ht="15" customHeight="1" x14ac:dyDescent="0.25">
      <c r="A73" s="16"/>
      <c r="B73" t="s">
        <v>691</v>
      </c>
    </row>
    <row r="74" spans="1:6" ht="15" customHeight="1" x14ac:dyDescent="0.25">
      <c r="A74" s="16"/>
      <c r="B74" t="s">
        <v>692</v>
      </c>
      <c r="C74" s="60"/>
      <c r="D74" s="60"/>
      <c r="E74" s="60"/>
      <c r="F74" s="60"/>
    </row>
    <row r="75" spans="1:6" ht="15" customHeight="1" x14ac:dyDescent="0.25">
      <c r="A75" s="16"/>
      <c r="C75" s="60"/>
      <c r="D75" s="60"/>
      <c r="E75" s="60"/>
      <c r="F75" s="60"/>
    </row>
    <row r="76" spans="1:6" ht="15" customHeight="1" x14ac:dyDescent="0.25">
      <c r="A76" s="16"/>
      <c r="B76" t="s">
        <v>693</v>
      </c>
      <c r="D76" s="60"/>
      <c r="E76" s="60"/>
      <c r="F76" s="60"/>
    </row>
    <row r="77" spans="1:6" ht="15" customHeight="1" x14ac:dyDescent="0.25">
      <c r="A77" s="16"/>
      <c r="B77" t="s">
        <v>694</v>
      </c>
      <c r="D77" s="60"/>
      <c r="E77" s="60"/>
      <c r="F77" s="60"/>
    </row>
    <row r="78" spans="1:6" ht="15" customHeight="1" x14ac:dyDescent="0.25">
      <c r="A78" s="16"/>
      <c r="B78" t="s">
        <v>695</v>
      </c>
      <c r="D78" s="60"/>
      <c r="E78" s="60"/>
      <c r="F78" s="60"/>
    </row>
    <row r="79" spans="1:6" ht="15" customHeight="1" x14ac:dyDescent="0.25">
      <c r="A79" s="16"/>
      <c r="B79" t="s">
        <v>696</v>
      </c>
    </row>
    <row r="80" spans="1:6" ht="15" customHeight="1" x14ac:dyDescent="0.25">
      <c r="A80" s="16"/>
      <c r="B80" t="s">
        <v>697</v>
      </c>
      <c r="C80" s="60"/>
    </row>
    <row r="81" spans="1:10" ht="15" customHeight="1" x14ac:dyDescent="0.25">
      <c r="A81" s="16"/>
      <c r="B81" t="s">
        <v>698</v>
      </c>
      <c r="C81" s="55">
        <v>2.5</v>
      </c>
      <c r="D81" s="60"/>
      <c r="E81" s="60"/>
      <c r="F81" s="60"/>
    </row>
    <row r="82" spans="1:10" ht="15" customHeight="1" x14ac:dyDescent="0.25">
      <c r="A82" s="16"/>
      <c r="B82" t="s">
        <v>699</v>
      </c>
      <c r="C82" s="60"/>
      <c r="D82" s="60"/>
      <c r="E82" s="60"/>
      <c r="F82" s="60"/>
    </row>
    <row r="83" spans="1:10" ht="15" customHeight="1" x14ac:dyDescent="0.25">
      <c r="A83" s="16"/>
      <c r="B83" t="s">
        <v>700</v>
      </c>
      <c r="D83" s="60"/>
      <c r="E83" s="60"/>
      <c r="F83" s="60"/>
    </row>
    <row r="84" spans="1:10" ht="15" customHeight="1" x14ac:dyDescent="0.25">
      <c r="A84" s="16"/>
    </row>
    <row r="85" spans="1:10" ht="15" customHeight="1" x14ac:dyDescent="0.25">
      <c r="A85" s="16"/>
      <c r="B85" t="s">
        <v>701</v>
      </c>
    </row>
    <row r="86" spans="1:10" ht="15" customHeight="1" x14ac:dyDescent="0.25">
      <c r="A86" s="16"/>
      <c r="B86" t="s">
        <v>702</v>
      </c>
    </row>
    <row r="87" spans="1:10" ht="15" customHeight="1" x14ac:dyDescent="0.25">
      <c r="A87" s="16"/>
      <c r="B87" t="s">
        <v>703</v>
      </c>
    </row>
    <row r="88" spans="1:10" ht="15" customHeight="1" x14ac:dyDescent="0.25">
      <c r="A88" s="16"/>
      <c r="B88" t="s">
        <v>704</v>
      </c>
    </row>
    <row r="89" spans="1:10" ht="15" customHeight="1" x14ac:dyDescent="0.25">
      <c r="A89" s="16"/>
      <c r="B89" t="s">
        <v>705</v>
      </c>
      <c r="C89" s="60"/>
      <c r="D89" s="60"/>
      <c r="E89" s="60"/>
      <c r="F89" s="60"/>
    </row>
    <row r="90" spans="1:10" ht="15" customHeight="1" x14ac:dyDescent="0.25">
      <c r="A90" s="16"/>
    </row>
    <row r="91" spans="1:10" ht="15" customHeight="1" x14ac:dyDescent="0.25">
      <c r="A91" s="16"/>
      <c r="B91" t="s">
        <v>706</v>
      </c>
      <c r="C91" s="52" t="s">
        <v>707</v>
      </c>
    </row>
    <row r="92" spans="1:10" ht="15" customHeight="1" x14ac:dyDescent="0.25">
      <c r="A92" s="16"/>
      <c r="H92" s="44"/>
      <c r="I92" s="44"/>
      <c r="J92" s="44"/>
    </row>
    <row r="93" spans="1:10" ht="15" customHeight="1" x14ac:dyDescent="0.25">
      <c r="A93" s="16" t="s">
        <v>708</v>
      </c>
      <c r="B93" s="44"/>
      <c r="C93" s="44"/>
      <c r="D93" s="44"/>
      <c r="E93" s="44"/>
      <c r="J93" s="44"/>
    </row>
    <row r="94" spans="1:10" ht="15" customHeight="1" x14ac:dyDescent="0.25">
      <c r="A94" s="16"/>
      <c r="B94" t="s">
        <v>709</v>
      </c>
      <c r="C94">
        <f>C25</f>
        <v>62390.911046255998</v>
      </c>
      <c r="F94" t="s">
        <v>710</v>
      </c>
      <c r="H94">
        <f>C27-C26</f>
        <v>1000</v>
      </c>
      <c r="J94" s="44"/>
    </row>
    <row r="95" spans="1:10" ht="15" customHeight="1" x14ac:dyDescent="0.25">
      <c r="A95" s="16"/>
      <c r="B95" t="s">
        <v>711</v>
      </c>
      <c r="C95">
        <f>C58*C29+C59</f>
        <v>1306.95455523128</v>
      </c>
      <c r="F95" t="s">
        <v>712</v>
      </c>
      <c r="H95">
        <f>MAX(H97-H96-H94,0)</f>
        <v>0</v>
      </c>
      <c r="J95" s="44"/>
    </row>
    <row r="96" spans="1:10" ht="15" customHeight="1" x14ac:dyDescent="0.25">
      <c r="A96" s="16"/>
      <c r="F96" t="s">
        <v>713</v>
      </c>
      <c r="H96">
        <f>MIN(C83,C97-H94)</f>
        <v>62697.865601487276</v>
      </c>
      <c r="J96" s="44"/>
    </row>
    <row r="97" spans="1:10" ht="15" customHeight="1" x14ac:dyDescent="0.25">
      <c r="A97" s="16"/>
      <c r="B97" t="s">
        <v>714</v>
      </c>
      <c r="C97">
        <f>SUM(C94:C96)</f>
        <v>63697.865601487276</v>
      </c>
      <c r="F97" t="s">
        <v>715</v>
      </c>
      <c r="H97">
        <f>C97</f>
        <v>63697.865601487276</v>
      </c>
      <c r="J97" s="44"/>
    </row>
    <row r="98" spans="1:10" ht="15" customHeight="1" x14ac:dyDescent="0.25">
      <c r="A98" s="16"/>
      <c r="J98" s="44"/>
    </row>
    <row r="99" spans="1:10" ht="15" customHeight="1" x14ac:dyDescent="0.25">
      <c r="A99" s="16" t="s">
        <v>716</v>
      </c>
      <c r="D99" t="s">
        <v>677</v>
      </c>
      <c r="E99" t="s">
        <v>678</v>
      </c>
      <c r="F99" t="s">
        <v>679</v>
      </c>
      <c r="J99" s="44"/>
    </row>
    <row r="100" spans="1:10" ht="15" customHeight="1" x14ac:dyDescent="0.25">
      <c r="A100" s="16"/>
      <c r="B100" t="s">
        <v>717</v>
      </c>
      <c r="D100">
        <f>D54</f>
        <v>14453</v>
      </c>
      <c r="E100">
        <f>E54</f>
        <v>15279</v>
      </c>
      <c r="F100">
        <f>F54</f>
        <v>16071</v>
      </c>
      <c r="J100" s="44"/>
    </row>
    <row r="101" spans="1:10" ht="15" customHeight="1" x14ac:dyDescent="0.25">
      <c r="A101" s="16"/>
      <c r="B101" t="s">
        <v>609</v>
      </c>
      <c r="D101">
        <f t="shared" ref="D101:F101" si="4">D48</f>
        <v>1486</v>
      </c>
      <c r="E101">
        <f t="shared" si="4"/>
        <v>2212</v>
      </c>
      <c r="F101">
        <f t="shared" si="4"/>
        <v>2374</v>
      </c>
      <c r="J101" s="44"/>
    </row>
    <row r="102" spans="1:10" ht="15" customHeight="1" x14ac:dyDescent="0.25">
      <c r="A102" s="16"/>
      <c r="B102" t="s">
        <v>534</v>
      </c>
      <c r="D102">
        <f>D63*D64*$C$47</f>
        <v>65.571147038544666</v>
      </c>
      <c r="E102">
        <f t="shared" ref="E102:F102" si="5">E63*E64*$C$47</f>
        <v>163.92786759636164</v>
      </c>
      <c r="F102">
        <f t="shared" si="5"/>
        <v>327.85573519272327</v>
      </c>
      <c r="J102" s="44"/>
    </row>
    <row r="103" spans="1:10" ht="15" customHeight="1" x14ac:dyDescent="0.25">
      <c r="A103" s="16"/>
      <c r="B103" t="s">
        <v>718</v>
      </c>
      <c r="D103">
        <f>SUM(D100:D102)</f>
        <v>16004.571147038545</v>
      </c>
      <c r="E103">
        <f>SUM(E100:E102)</f>
        <v>17654.927867596361</v>
      </c>
      <c r="F103">
        <f>SUM(F100:F102)</f>
        <v>18772.855735192723</v>
      </c>
      <c r="J103" s="44"/>
    </row>
    <row r="104" spans="1:10" ht="15.75" customHeight="1" x14ac:dyDescent="0.25">
      <c r="A104" s="16"/>
      <c r="J104" s="44"/>
    </row>
    <row r="105" spans="1:10" ht="15" customHeight="1" x14ac:dyDescent="0.25">
      <c r="A105" s="16"/>
      <c r="B105" t="s">
        <v>719</v>
      </c>
      <c r="D105">
        <f>$C$39*D55</f>
        <v>7480.9179999999997</v>
      </c>
      <c r="E105">
        <f>$C$39*E55</f>
        <v>8032.7889999999998</v>
      </c>
      <c r="F105">
        <f>$C$39*F55</f>
        <v>8707.2979999999989</v>
      </c>
      <c r="J105" s="44"/>
    </row>
    <row r="106" spans="1:10" ht="15" customHeight="1" x14ac:dyDescent="0.25">
      <c r="A106" s="16"/>
      <c r="B106" t="s">
        <v>720</v>
      </c>
      <c r="D106">
        <f>$C$24*D49</f>
        <v>2224.6211308998268</v>
      </c>
      <c r="E106">
        <f>$C$24*E49</f>
        <v>2413.6750803243758</v>
      </c>
      <c r="F106">
        <f>$C$24*F49</f>
        <v>2613.0881502653378</v>
      </c>
      <c r="J106" s="44"/>
    </row>
    <row r="107" spans="1:10" ht="15" customHeight="1" x14ac:dyDescent="0.25">
      <c r="A107" s="16"/>
      <c r="B107" t="s">
        <v>721</v>
      </c>
      <c r="D107">
        <f>D102*(1-$C$12)</f>
        <v>51.211065837103384</v>
      </c>
      <c r="E107">
        <f t="shared" ref="E107:F107" si="6">E102*(1-$C$12)</f>
        <v>128.02766459275844</v>
      </c>
      <c r="F107">
        <f t="shared" si="6"/>
        <v>256.05532918551688</v>
      </c>
      <c r="J107" s="44"/>
    </row>
    <row r="108" spans="1:10" ht="15" customHeight="1" x14ac:dyDescent="0.25">
      <c r="A108" s="16"/>
      <c r="B108" t="s">
        <v>722</v>
      </c>
      <c r="D108">
        <f>-$C$60*$H$96*(1-$C$37)</f>
        <v>-2407.5980390971117</v>
      </c>
      <c r="E108">
        <f>-$C$60*$H$96*(1-$C$37)</f>
        <v>-2407.5980390971117</v>
      </c>
      <c r="F108">
        <f>-$C$60*$H$96*(1-$C$37)</f>
        <v>-2407.5980390971117</v>
      </c>
      <c r="J108" s="44"/>
    </row>
    <row r="109" spans="1:10" ht="15" customHeight="1" x14ac:dyDescent="0.25">
      <c r="A109" s="16"/>
      <c r="B109" t="s">
        <v>723</v>
      </c>
      <c r="D109">
        <f>$C$26*$C$60*(1-$C$12)</f>
        <v>74.155950000000004</v>
      </c>
      <c r="E109">
        <f>$C$26*$C$60*(1-$C$12)</f>
        <v>74.155950000000004</v>
      </c>
      <c r="F109">
        <f>$C$26*$C$60*(1-$C$12)</f>
        <v>74.155950000000004</v>
      </c>
      <c r="J109" s="44"/>
    </row>
    <row r="110" spans="1:10" ht="15" customHeight="1" x14ac:dyDescent="0.25">
      <c r="A110" s="16"/>
      <c r="B110" t="s">
        <v>724</v>
      </c>
      <c r="D110">
        <f>$C$27*$C$61*(1-$C$12)*-1</f>
        <v>-45.282380000000003</v>
      </c>
      <c r="E110">
        <f>$C$27*$C$61*(1-$C$12)*-1</f>
        <v>-45.282380000000003</v>
      </c>
      <c r="F110">
        <f>$C$27*$C$61*(1-$C$12)*-1</f>
        <v>-45.282380000000003</v>
      </c>
      <c r="J110" s="44"/>
    </row>
    <row r="111" spans="1:10" ht="15" customHeight="1" x14ac:dyDescent="0.25">
      <c r="A111" s="16"/>
      <c r="B111" t="s">
        <v>725</v>
      </c>
      <c r="D111">
        <f>SUM(D105:D110)</f>
        <v>7378.0257276398188</v>
      </c>
      <c r="E111">
        <f>SUM(E105:E110)</f>
        <v>8195.7672758200206</v>
      </c>
      <c r="F111">
        <f>SUM(F105:F110)</f>
        <v>9197.7170103537428</v>
      </c>
      <c r="J111" s="44"/>
    </row>
    <row r="112" spans="1:10" ht="15" customHeight="1" x14ac:dyDescent="0.25">
      <c r="A112" s="16"/>
      <c r="J112" s="44"/>
    </row>
    <row r="113" spans="1:10" ht="15" customHeight="1" x14ac:dyDescent="0.25">
      <c r="A113" s="16"/>
      <c r="B113" t="s">
        <v>726</v>
      </c>
      <c r="D113">
        <f>$C$39</f>
        <v>6131.9</v>
      </c>
      <c r="E113">
        <f>$C$39</f>
        <v>6131.9</v>
      </c>
      <c r="F113">
        <f>$C$39</f>
        <v>6131.9</v>
      </c>
      <c r="J113" s="44"/>
    </row>
    <row r="114" spans="1:10" ht="15" customHeight="1" x14ac:dyDescent="0.25">
      <c r="A114" s="16"/>
      <c r="B114" t="s">
        <v>727</v>
      </c>
      <c r="D114">
        <f>$H$95/$C$36</f>
        <v>0</v>
      </c>
      <c r="E114">
        <f>$H$95/$C$36</f>
        <v>0</v>
      </c>
      <c r="F114">
        <f>$H$95/$C$36</f>
        <v>0</v>
      </c>
      <c r="J114" s="44"/>
    </row>
    <row r="115" spans="1:10" ht="15" customHeight="1" x14ac:dyDescent="0.25">
      <c r="A115" s="16"/>
      <c r="B115" t="s">
        <v>728</v>
      </c>
      <c r="D115">
        <f>SUM(D113:D114)</f>
        <v>6131.9</v>
      </c>
      <c r="E115">
        <f>SUM(E113:E114)</f>
        <v>6131.9</v>
      </c>
      <c r="F115">
        <f>SUM(F113:F114)</f>
        <v>6131.9</v>
      </c>
      <c r="J115" s="44"/>
    </row>
    <row r="116" spans="1:10" ht="15" customHeight="1" x14ac:dyDescent="0.25">
      <c r="A116" s="16"/>
      <c r="J116" s="44"/>
    </row>
    <row r="117" spans="1:10" ht="15" customHeight="1" x14ac:dyDescent="0.25">
      <c r="A117" s="16"/>
      <c r="B117" t="s">
        <v>729</v>
      </c>
      <c r="D117" s="70">
        <f>D55</f>
        <v>1.22</v>
      </c>
      <c r="E117" s="70">
        <f>E55</f>
        <v>1.31</v>
      </c>
      <c r="F117" s="70">
        <f>F55</f>
        <v>1.42</v>
      </c>
      <c r="J117" s="44"/>
    </row>
    <row r="118" spans="1:10" ht="15" customHeight="1" x14ac:dyDescent="0.25">
      <c r="A118" s="16"/>
      <c r="B118" t="s">
        <v>730</v>
      </c>
      <c r="D118" s="70">
        <f>D111/D115</f>
        <v>1.2032201646536667</v>
      </c>
      <c r="E118" s="70">
        <f>E111/E115</f>
        <v>1.3365787563104456</v>
      </c>
      <c r="F118" s="70">
        <f>F111/F115</f>
        <v>1.4999783118370722</v>
      </c>
      <c r="J118" s="44"/>
    </row>
    <row r="119" spans="1:10" ht="15" customHeight="1" x14ac:dyDescent="0.25">
      <c r="A119" s="16"/>
      <c r="B119" t="s">
        <v>731</v>
      </c>
      <c r="D119" s="59">
        <f>D118/D117-1</f>
        <v>-1.3753963398633884E-2</v>
      </c>
      <c r="E119" s="59">
        <f>E118/E117-1</f>
        <v>2.0289126954538661E-2</v>
      </c>
      <c r="F119" s="59">
        <f>F118/F117-1</f>
        <v>5.6322754814839726E-2</v>
      </c>
      <c r="J119" s="44"/>
    </row>
    <row r="120" spans="1:10" ht="15" customHeight="1" x14ac:dyDescent="0.25">
      <c r="A120" s="16"/>
      <c r="B120" t="s">
        <v>732</v>
      </c>
      <c r="D120">
        <f>(D117-D118)*D115/(1-$C$12)</f>
        <v>131.74426678640364</v>
      </c>
      <c r="E120">
        <f t="shared" ref="E120:F120" si="7">(E117-E118)*E115/(1-$C$12)</f>
        <v>-208.67897032012974</v>
      </c>
      <c r="F120">
        <f t="shared" si="7"/>
        <v>-627.93727318020922</v>
      </c>
      <c r="J120" s="44"/>
    </row>
    <row r="121" spans="1:10" ht="15" customHeight="1" x14ac:dyDescent="0.25">
      <c r="A121" s="16"/>
      <c r="J121" s="44"/>
    </row>
    <row r="122" spans="1:10" ht="15" customHeight="1" x14ac:dyDescent="0.25">
      <c r="A122" s="16" t="s">
        <v>492</v>
      </c>
      <c r="J122" s="44"/>
    </row>
    <row r="123" spans="1:10" ht="15" customHeight="1" x14ac:dyDescent="0.25">
      <c r="A123" s="16"/>
      <c r="B123" t="s">
        <v>733</v>
      </c>
      <c r="J123" s="44"/>
    </row>
    <row r="124" spans="1:10" ht="15" customHeight="1" x14ac:dyDescent="0.25">
      <c r="A124" s="16"/>
      <c r="B124" s="44"/>
      <c r="C124" s="44"/>
      <c r="D124" s="44"/>
      <c r="E124" s="44"/>
      <c r="F124" s="44"/>
      <c r="G124" s="44"/>
      <c r="H124" s="44"/>
      <c r="I124" s="44"/>
      <c r="J124" s="44"/>
    </row>
    <row r="125" spans="1:10" ht="15" customHeight="1" x14ac:dyDescent="0.25">
      <c r="A125" s="16"/>
      <c r="B125" s="44"/>
      <c r="C125" s="44"/>
      <c r="D125" s="44"/>
      <c r="E125" s="44"/>
      <c r="F125" t="s">
        <v>734</v>
      </c>
      <c r="G125" s="44"/>
      <c r="H125" s="44"/>
      <c r="I125" s="44"/>
      <c r="J125" s="44"/>
    </row>
    <row r="126" spans="1:10" ht="15" customHeight="1" x14ac:dyDescent="0.25">
      <c r="A126" s="16"/>
      <c r="B126" s="44"/>
      <c r="D126" s="59">
        <f>F119</f>
        <v>5.6322754814839726E-2</v>
      </c>
      <c r="E126" s="284">
        <f>F126-0.5</f>
        <v>1.5</v>
      </c>
      <c r="F126" s="284">
        <f>G126-0.5</f>
        <v>2</v>
      </c>
      <c r="G126" s="284">
        <v>2.5</v>
      </c>
      <c r="H126" s="284">
        <f>G126+0.5</f>
        <v>3</v>
      </c>
      <c r="I126" s="284">
        <f>H126+0.5</f>
        <v>3.5</v>
      </c>
      <c r="J126" s="44"/>
    </row>
    <row r="127" spans="1:10" ht="15" customHeight="1" x14ac:dyDescent="0.25">
      <c r="A127" s="16"/>
      <c r="B127" s="44"/>
      <c r="C127" s="290" t="str">
        <f>"$"&amp;ROUND($C$11*(1+D127),0)</f>
        <v>$181</v>
      </c>
      <c r="D127" s="185">
        <f>D128-0.05</f>
        <v>-0.1</v>
      </c>
      <c r="E127" s="59">
        <f t="dataTable" ref="E127:I133" dt2D="1" dtr="1" r1="C81" r2="C13"/>
        <v>0.12545404931872239</v>
      </c>
      <c r="F127" s="59">
        <v>0.12545404931872239</v>
      </c>
      <c r="G127" s="59">
        <v>0.12545404931872239</v>
      </c>
      <c r="H127" s="59">
        <v>0.12545404931872239</v>
      </c>
      <c r="I127" s="59">
        <v>0.12545404931872239</v>
      </c>
      <c r="J127" s="44"/>
    </row>
    <row r="128" spans="1:10" ht="15" customHeight="1" x14ac:dyDescent="0.25">
      <c r="A128" s="16"/>
      <c r="B128" s="44"/>
      <c r="C128" s="290" t="str">
        <f t="shared" ref="C128:C133" si="8">"$"&amp;ROUND($C$11*(1+D128),0)</f>
        <v>$191</v>
      </c>
      <c r="D128" s="185">
        <f>D129-0.05</f>
        <v>-0.05</v>
      </c>
      <c r="E128" s="59">
        <v>0.11393217876197204</v>
      </c>
      <c r="F128" s="59">
        <v>0.11393217876197204</v>
      </c>
      <c r="G128" s="59">
        <v>0.11393217876197204</v>
      </c>
      <c r="H128" s="59">
        <v>0.11393217876197204</v>
      </c>
      <c r="I128" s="59">
        <v>0.11393217876197204</v>
      </c>
      <c r="J128" s="44"/>
    </row>
    <row r="129" spans="1:10" ht="15" customHeight="1" x14ac:dyDescent="0.25">
      <c r="A129" s="16"/>
      <c r="B129" t="s">
        <v>735</v>
      </c>
      <c r="C129" s="290" t="str">
        <f t="shared" si="8"/>
        <v>$201</v>
      </c>
      <c r="D129" s="185">
        <f>D130-0.05</f>
        <v>0</v>
      </c>
      <c r="E129" s="59">
        <v>0.10241030251215122</v>
      </c>
      <c r="F129" s="59">
        <v>0.10241030251215122</v>
      </c>
      <c r="G129" s="59">
        <v>0.10241030251215122</v>
      </c>
      <c r="H129" s="59">
        <v>0.10241030251215122</v>
      </c>
      <c r="I129" s="59">
        <v>0.10241030251215122</v>
      </c>
      <c r="J129" s="44"/>
    </row>
    <row r="130" spans="1:10" ht="15" customHeight="1" x14ac:dyDescent="0.25">
      <c r="A130" s="16"/>
      <c r="B130" s="44"/>
      <c r="C130" s="290" t="str">
        <f t="shared" si="8"/>
        <v>$211</v>
      </c>
      <c r="D130" s="185">
        <f>D131-0.05</f>
        <v>0.05</v>
      </c>
      <c r="E130" s="59">
        <v>9.0888421382555595E-2</v>
      </c>
      <c r="F130" s="59">
        <v>9.0888421382555595E-2</v>
      </c>
      <c r="G130" s="59">
        <v>9.0888421382555595E-2</v>
      </c>
      <c r="H130" s="59">
        <v>9.0888421382555595E-2</v>
      </c>
      <c r="I130" s="59">
        <v>9.0888421382555595E-2</v>
      </c>
      <c r="J130" s="44"/>
    </row>
    <row r="131" spans="1:10" ht="15" customHeight="1" x14ac:dyDescent="0.25">
      <c r="A131" s="16"/>
      <c r="B131" s="44"/>
      <c r="C131" s="290" t="str">
        <f t="shared" si="8"/>
        <v>$221</v>
      </c>
      <c r="D131" s="185">
        <v>0.1</v>
      </c>
      <c r="E131" s="59">
        <v>7.9366536038609325E-2</v>
      </c>
      <c r="F131" s="59">
        <v>7.9366536038609325E-2</v>
      </c>
      <c r="G131" s="59">
        <v>7.9366536038609325E-2</v>
      </c>
      <c r="H131" s="59">
        <v>7.9366536038609325E-2</v>
      </c>
      <c r="I131" s="59">
        <v>7.9366536038609325E-2</v>
      </c>
      <c r="J131" s="44"/>
    </row>
    <row r="132" spans="1:10" ht="15" customHeight="1" x14ac:dyDescent="0.25">
      <c r="A132" s="16"/>
      <c r="B132" s="44"/>
      <c r="C132" s="290" t="str">
        <f t="shared" si="8"/>
        <v>$231</v>
      </c>
      <c r="D132" s="185">
        <f t="shared" ref="D132:D133" si="9">D131+0.05</f>
        <v>0.15000000000000002</v>
      </c>
      <c r="E132" s="59">
        <v>6.7844647030010252E-2</v>
      </c>
      <c r="F132" s="59">
        <v>6.7844647030010252E-2</v>
      </c>
      <c r="G132" s="59">
        <v>6.7844647030010252E-2</v>
      </c>
      <c r="H132" s="59">
        <v>6.7844647030010252E-2</v>
      </c>
      <c r="I132" s="59">
        <v>6.7844647030010252E-2</v>
      </c>
      <c r="J132" s="44"/>
    </row>
    <row r="133" spans="1:10" ht="15" customHeight="1" x14ac:dyDescent="0.25">
      <c r="A133" s="16"/>
      <c r="B133" s="44"/>
      <c r="C133" s="290" t="str">
        <f t="shared" si="8"/>
        <v>$241</v>
      </c>
      <c r="D133" s="185">
        <f t="shared" si="9"/>
        <v>0.2</v>
      </c>
      <c r="E133" s="59">
        <v>5.6322754814839726E-2</v>
      </c>
      <c r="F133" s="59">
        <v>5.6322754814839726E-2</v>
      </c>
      <c r="G133" s="59">
        <v>5.6322754814839726E-2</v>
      </c>
      <c r="H133" s="59">
        <v>5.6322754814839726E-2</v>
      </c>
      <c r="I133" s="59">
        <v>5.6322754814839726E-2</v>
      </c>
      <c r="J133" s="44"/>
    </row>
    <row r="134" spans="1:10" ht="15" customHeight="1" x14ac:dyDescent="0.25">
      <c r="A134" s="16"/>
      <c r="B134" s="44"/>
      <c r="C134" s="44"/>
      <c r="D134" s="44"/>
      <c r="E134" s="44"/>
      <c r="F134" s="44"/>
      <c r="G134" s="44"/>
      <c r="H134" s="44"/>
      <c r="I134" s="44"/>
      <c r="J134" s="44"/>
    </row>
    <row r="135" spans="1:10" ht="15" customHeight="1" x14ac:dyDescent="0.25">
      <c r="A135" s="16" t="s">
        <v>736</v>
      </c>
      <c r="D135" t="s">
        <v>677</v>
      </c>
      <c r="E135" t="s">
        <v>678</v>
      </c>
      <c r="F135" t="s">
        <v>679</v>
      </c>
      <c r="J135" s="44"/>
    </row>
    <row r="136" spans="1:10" ht="15" customHeight="1" x14ac:dyDescent="0.25">
      <c r="A136" s="16"/>
      <c r="B136" t="s">
        <v>737</v>
      </c>
      <c r="D136" s="60"/>
      <c r="E136" s="60"/>
      <c r="F136" s="60"/>
      <c r="J136" s="44"/>
    </row>
    <row r="137" spans="1:10" ht="15" customHeight="1" x14ac:dyDescent="0.25">
      <c r="A137" s="16"/>
      <c r="B137" t="s">
        <v>738</v>
      </c>
      <c r="D137" s="60"/>
      <c r="E137" s="60"/>
      <c r="F137" s="60"/>
      <c r="J137" s="44"/>
    </row>
    <row r="138" spans="1:10" ht="15" customHeight="1" x14ac:dyDescent="0.25">
      <c r="A138" s="16"/>
      <c r="B138" t="s">
        <v>739</v>
      </c>
      <c r="D138" s="60"/>
      <c r="E138" s="60"/>
      <c r="F138" s="60"/>
      <c r="J138" s="44"/>
    </row>
    <row r="139" spans="1:10" ht="15" customHeight="1" x14ac:dyDescent="0.25">
      <c r="A139" s="16"/>
      <c r="J139" s="44"/>
    </row>
    <row r="140" spans="1:10" ht="15" customHeight="1" x14ac:dyDescent="0.25">
      <c r="A140" s="16" t="s">
        <v>740</v>
      </c>
      <c r="D140" t="s">
        <v>677</v>
      </c>
      <c r="J140" s="44"/>
    </row>
    <row r="141" spans="1:10" ht="15" customHeight="1" x14ac:dyDescent="0.25">
      <c r="A141" s="16"/>
      <c r="B141" t="s">
        <v>709</v>
      </c>
      <c r="D141">
        <f>$C$94</f>
        <v>62390.911046255998</v>
      </c>
      <c r="J141" s="44"/>
    </row>
    <row r="142" spans="1:10" ht="15" customHeight="1" x14ac:dyDescent="0.25">
      <c r="A142" s="16"/>
      <c r="B142" t="s">
        <v>711</v>
      </c>
      <c r="D142">
        <f>$C$95</f>
        <v>1306.95455523128</v>
      </c>
      <c r="J142" s="44"/>
    </row>
    <row r="143" spans="1:10" ht="15" customHeight="1" x14ac:dyDescent="0.25">
      <c r="A143" s="16"/>
      <c r="B143" t="s">
        <v>96</v>
      </c>
      <c r="D143">
        <f>$C$26-$C$27</f>
        <v>-1000</v>
      </c>
      <c r="J143" s="44"/>
    </row>
    <row r="144" spans="1:10" ht="15" customHeight="1" x14ac:dyDescent="0.25">
      <c r="A144" s="16"/>
      <c r="B144" t="s">
        <v>105</v>
      </c>
      <c r="D144">
        <f>SUM(D141:D143)</f>
        <v>62697.865601487276</v>
      </c>
      <c r="J144" s="44"/>
    </row>
    <row r="145" spans="1:10" ht="15" customHeight="1" x14ac:dyDescent="0.25">
      <c r="A145" s="16"/>
      <c r="J145" s="44"/>
    </row>
    <row r="146" spans="1:10" ht="15" customHeight="1" x14ac:dyDescent="0.25">
      <c r="A146" s="16"/>
      <c r="D146" t="s">
        <v>677</v>
      </c>
      <c r="E146" t="s">
        <v>678</v>
      </c>
      <c r="F146" t="s">
        <v>679</v>
      </c>
      <c r="J146" s="44"/>
    </row>
    <row r="147" spans="1:10" ht="15" customHeight="1" x14ac:dyDescent="0.25">
      <c r="A147" s="16"/>
      <c r="B147" t="s">
        <v>741</v>
      </c>
      <c r="D147">
        <f>Model!E56</f>
        <v>2000.8973120000001</v>
      </c>
      <c r="E147">
        <f>Model!F56</f>
        <v>2184.2965611040004</v>
      </c>
      <c r="F147">
        <f>Model!G56</f>
        <v>2378.9893856288004</v>
      </c>
      <c r="J147" s="44"/>
    </row>
    <row r="148" spans="1:10" ht="15" customHeight="1" x14ac:dyDescent="0.25">
      <c r="A148" s="16"/>
      <c r="B148" t="s">
        <v>534</v>
      </c>
      <c r="D148">
        <f>D102</f>
        <v>65.571147038544666</v>
      </c>
      <c r="E148">
        <f>E102</f>
        <v>163.92786759636164</v>
      </c>
      <c r="F148">
        <f>F102</f>
        <v>327.85573519272327</v>
      </c>
      <c r="J148" s="44"/>
    </row>
    <row r="149" spans="1:10" ht="15" customHeight="1" x14ac:dyDescent="0.25">
      <c r="A149" s="16"/>
      <c r="B149" t="s">
        <v>742</v>
      </c>
      <c r="D149">
        <f>(D147+D148)*(1-$C$12)</f>
        <v>1613.9118665091034</v>
      </c>
      <c r="E149">
        <f>(E147+E148)*(1-$C$12)</f>
        <v>1833.9632788149827</v>
      </c>
      <c r="F149">
        <f t="shared" ref="F149" si="10">(F147+F148)*(1-$C$12)</f>
        <v>2114.0460393616099</v>
      </c>
      <c r="J149" s="44"/>
    </row>
    <row r="150" spans="1:10" ht="15" customHeight="1" x14ac:dyDescent="0.25">
      <c r="A150" s="16"/>
      <c r="J150" s="44"/>
    </row>
    <row r="151" spans="1:10" ht="15" customHeight="1" x14ac:dyDescent="0.25">
      <c r="A151" s="16"/>
      <c r="B151" t="s">
        <v>322</v>
      </c>
      <c r="D151" s="59">
        <f>D149/$D$144</f>
        <v>2.5741097420560667E-2</v>
      </c>
      <c r="E151" s="59">
        <f>E149/$D$144</f>
        <v>2.9250808799007644E-2</v>
      </c>
      <c r="F151" s="59">
        <f>F149/$D$144</f>
        <v>3.3717990542112837E-2</v>
      </c>
      <c r="J151" s="44"/>
    </row>
    <row r="152" spans="1:10" ht="15" customHeight="1" x14ac:dyDescent="0.25">
      <c r="A152" s="16"/>
      <c r="B152" t="s">
        <v>475</v>
      </c>
      <c r="D152" s="59">
        <f ca="1">WACC</f>
        <v>8.1027263625874063E-2</v>
      </c>
      <c r="J152" s="44"/>
    </row>
    <row r="153" spans="1:10" ht="15" customHeight="1" x14ac:dyDescent="0.25">
      <c r="A153" s="14"/>
      <c r="B153" s="44"/>
      <c r="C153" s="44"/>
      <c r="D153" s="44"/>
      <c r="E153" s="44"/>
      <c r="F153" s="44"/>
      <c r="G153" s="44"/>
      <c r="H153" s="44"/>
      <c r="I153" s="44"/>
      <c r="J153" s="44"/>
    </row>
    <row r="154" spans="1:10" ht="15" customHeight="1" x14ac:dyDescent="0.25">
      <c r="A154" s="16" t="s">
        <v>743</v>
      </c>
      <c r="B154" s="44"/>
      <c r="C154" s="44"/>
      <c r="D154" s="44"/>
      <c r="E154" s="44"/>
      <c r="F154" s="44"/>
      <c r="G154" s="44"/>
      <c r="H154" s="44"/>
      <c r="I154" s="44"/>
      <c r="J154" s="44"/>
    </row>
    <row r="155" spans="1:10" ht="15" customHeight="1" x14ac:dyDescent="0.25">
      <c r="A155" s="16"/>
      <c r="B155" s="186"/>
      <c r="C155" s="186"/>
      <c r="D155" s="186" t="s">
        <v>744</v>
      </c>
      <c r="E155" s="186"/>
      <c r="F155" s="186"/>
      <c r="G155" s="186" t="s">
        <v>677</v>
      </c>
      <c r="H155" s="186" t="s">
        <v>745</v>
      </c>
      <c r="I155" s="44"/>
      <c r="J155" s="44"/>
    </row>
    <row r="156" spans="1:10" ht="15" customHeight="1" x14ac:dyDescent="0.25">
      <c r="A156" s="16"/>
      <c r="B156" s="186" t="s">
        <v>746</v>
      </c>
      <c r="C156" s="186" t="s">
        <v>248</v>
      </c>
      <c r="D156" s="186" t="s">
        <v>747</v>
      </c>
      <c r="E156" s="186" t="s">
        <v>748</v>
      </c>
      <c r="F156" s="186" t="s">
        <v>259</v>
      </c>
      <c r="G156" s="186" t="s">
        <v>52</v>
      </c>
      <c r="H156" s="186" t="s">
        <v>749</v>
      </c>
      <c r="I156" s="44"/>
    </row>
    <row r="157" spans="1:10" ht="15" customHeight="1" x14ac:dyDescent="0.25">
      <c r="A157" s="16"/>
      <c r="B157" s="146">
        <v>-0.2</v>
      </c>
      <c r="C157">
        <f>$C$11*(1+B157)</f>
        <v>160.608</v>
      </c>
      <c r="D157">
        <f>$C$24</f>
        <v>258.97801291034074</v>
      </c>
      <c r="E157">
        <f>C157*D157</f>
        <v>41593.940697504004</v>
      </c>
      <c r="F157">
        <f t="shared" ref="F157:F170" si="11">E157+$D$143</f>
        <v>40593.940697504004</v>
      </c>
      <c r="G157">
        <f t="shared" ref="G157:G170" si="12">$D$101</f>
        <v>1486</v>
      </c>
      <c r="H157" s="60">
        <f>F157/G157</f>
        <v>27.317591317297445</v>
      </c>
      <c r="I157" s="44"/>
      <c r="J157" s="44"/>
    </row>
    <row r="158" spans="1:10" ht="15" customHeight="1" x14ac:dyDescent="0.25">
      <c r="A158" s="16"/>
      <c r="B158" s="59">
        <f>B157+0.05</f>
        <v>-0.15000000000000002</v>
      </c>
      <c r="C158">
        <f t="shared" ref="C158:C170" si="13">$C$11*(1+B158)</f>
        <v>170.64599999999999</v>
      </c>
      <c r="D158">
        <f t="shared" ref="D158:D170" si="14">$C$24</f>
        <v>258.97801291034074</v>
      </c>
      <c r="E158">
        <f t="shared" ref="E158:E170" si="15">C158*D158</f>
        <v>44193.561991098002</v>
      </c>
      <c r="F158">
        <f t="shared" si="11"/>
        <v>43193.561991098002</v>
      </c>
      <c r="G158">
        <f t="shared" si="12"/>
        <v>1486</v>
      </c>
      <c r="H158" s="60">
        <f t="shared" ref="H158:H170" si="16">F158/G158</f>
        <v>29.066999994009421</v>
      </c>
      <c r="I158" s="44"/>
      <c r="J158" s="44"/>
    </row>
    <row r="159" spans="1:10" ht="15" customHeight="1" x14ac:dyDescent="0.25">
      <c r="A159" s="16"/>
      <c r="B159" s="59">
        <f t="shared" ref="B159:B170" si="17">B158+0.05</f>
        <v>-0.10000000000000002</v>
      </c>
      <c r="C159">
        <f t="shared" si="13"/>
        <v>180.684</v>
      </c>
      <c r="D159">
        <f t="shared" si="14"/>
        <v>258.97801291034074</v>
      </c>
      <c r="E159">
        <f t="shared" si="15"/>
        <v>46793.183284692008</v>
      </c>
      <c r="F159">
        <f t="shared" si="11"/>
        <v>45793.183284692008</v>
      </c>
      <c r="G159">
        <f t="shared" si="12"/>
        <v>1486</v>
      </c>
      <c r="H159" s="60">
        <f t="shared" si="16"/>
        <v>30.816408670721405</v>
      </c>
      <c r="I159" s="44"/>
      <c r="J159" s="44"/>
    </row>
    <row r="160" spans="1:10" ht="15" customHeight="1" x14ac:dyDescent="0.25">
      <c r="A160" s="16"/>
      <c r="B160" s="59">
        <f t="shared" si="17"/>
        <v>-5.0000000000000017E-2</v>
      </c>
      <c r="C160">
        <f t="shared" si="13"/>
        <v>190.72199999999998</v>
      </c>
      <c r="D160">
        <f t="shared" si="14"/>
        <v>258.97801291034074</v>
      </c>
      <c r="E160">
        <f t="shared" si="15"/>
        <v>49392.804578285999</v>
      </c>
      <c r="F160">
        <f t="shared" si="11"/>
        <v>48392.804578285999</v>
      </c>
      <c r="G160">
        <f t="shared" si="12"/>
        <v>1486</v>
      </c>
      <c r="H160" s="60">
        <f t="shared" si="16"/>
        <v>32.565817347433381</v>
      </c>
      <c r="I160" s="44"/>
      <c r="J160" s="44"/>
    </row>
    <row r="161" spans="1:17" ht="15" customHeight="1" x14ac:dyDescent="0.25">
      <c r="A161" s="16"/>
      <c r="B161" s="59">
        <f t="shared" si="17"/>
        <v>0</v>
      </c>
      <c r="C161">
        <f t="shared" si="13"/>
        <v>200.76</v>
      </c>
      <c r="D161">
        <f t="shared" si="14"/>
        <v>258.97801291034074</v>
      </c>
      <c r="E161">
        <f t="shared" si="15"/>
        <v>51992.425871880005</v>
      </c>
      <c r="F161">
        <f t="shared" si="11"/>
        <v>50992.425871880005</v>
      </c>
      <c r="G161">
        <f t="shared" si="12"/>
        <v>1486</v>
      </c>
      <c r="H161" s="60">
        <f t="shared" si="16"/>
        <v>34.31522602414536</v>
      </c>
      <c r="I161" s="44"/>
      <c r="J161" s="44"/>
      <c r="K161" s="44"/>
      <c r="L161" s="44"/>
      <c r="M161" s="44"/>
      <c r="N161" s="44"/>
      <c r="O161" s="44"/>
      <c r="P161" s="44"/>
      <c r="Q161" s="44"/>
    </row>
    <row r="162" spans="1:17" ht="15" customHeight="1" x14ac:dyDescent="0.25">
      <c r="A162" s="16"/>
      <c r="B162" s="59">
        <f t="shared" si="17"/>
        <v>0.05</v>
      </c>
      <c r="C162">
        <f t="shared" si="13"/>
        <v>210.798</v>
      </c>
      <c r="D162">
        <f t="shared" si="14"/>
        <v>258.97801291034074</v>
      </c>
      <c r="E162">
        <f t="shared" si="15"/>
        <v>54592.04716547401</v>
      </c>
      <c r="F162">
        <f t="shared" si="11"/>
        <v>53592.04716547401</v>
      </c>
      <c r="G162">
        <f t="shared" si="12"/>
        <v>1486</v>
      </c>
      <c r="H162" s="60">
        <f t="shared" si="16"/>
        <v>36.06463470085734</v>
      </c>
      <c r="I162" s="44"/>
      <c r="J162" s="44"/>
      <c r="K162" s="44"/>
      <c r="L162" s="44"/>
      <c r="M162" s="44"/>
      <c r="N162" s="44"/>
      <c r="O162" s="44"/>
      <c r="P162" s="44"/>
      <c r="Q162" s="44"/>
    </row>
    <row r="163" spans="1:17" ht="15" customHeight="1" x14ac:dyDescent="0.25">
      <c r="A163" s="16"/>
      <c r="B163" s="59">
        <f t="shared" si="17"/>
        <v>0.1</v>
      </c>
      <c r="C163">
        <f t="shared" si="13"/>
        <v>220.83600000000001</v>
      </c>
      <c r="D163">
        <f t="shared" si="14"/>
        <v>258.97801291034074</v>
      </c>
      <c r="E163">
        <f t="shared" si="15"/>
        <v>57191.668459068009</v>
      </c>
      <c r="F163">
        <f t="shared" si="11"/>
        <v>56191.668459068009</v>
      </c>
      <c r="G163">
        <f t="shared" si="12"/>
        <v>1486</v>
      </c>
      <c r="H163" s="60">
        <f t="shared" si="16"/>
        <v>37.81404337756932</v>
      </c>
      <c r="I163" s="44"/>
      <c r="J163" s="44"/>
      <c r="K163" s="44"/>
      <c r="L163" s="44"/>
      <c r="M163" s="44"/>
      <c r="N163" s="44"/>
      <c r="O163" s="44"/>
      <c r="P163" s="44"/>
      <c r="Q163" s="44"/>
    </row>
    <row r="164" spans="1:17" ht="15" customHeight="1" x14ac:dyDescent="0.25">
      <c r="A164" s="14"/>
      <c r="B164" s="59">
        <f t="shared" si="17"/>
        <v>0.15000000000000002</v>
      </c>
      <c r="C164">
        <f t="shared" si="13"/>
        <v>230.87399999999997</v>
      </c>
      <c r="D164">
        <f t="shared" si="14"/>
        <v>258.97801291034074</v>
      </c>
      <c r="E164">
        <f t="shared" si="15"/>
        <v>59791.289752662</v>
      </c>
      <c r="F164">
        <f t="shared" si="11"/>
        <v>58791.289752662</v>
      </c>
      <c r="G164">
        <f t="shared" si="12"/>
        <v>1486</v>
      </c>
      <c r="H164" s="60">
        <f t="shared" si="16"/>
        <v>39.563452054281292</v>
      </c>
      <c r="I164" s="44"/>
      <c r="J164" s="44"/>
      <c r="K164" s="44"/>
      <c r="L164" s="44"/>
      <c r="M164" s="44"/>
      <c r="N164" s="44"/>
      <c r="O164" s="44"/>
      <c r="P164" s="44"/>
      <c r="Q164" s="44"/>
    </row>
    <row r="165" spans="1:17" ht="15" customHeight="1" x14ac:dyDescent="0.25">
      <c r="A165" s="14"/>
      <c r="B165" s="59">
        <f t="shared" si="17"/>
        <v>0.2</v>
      </c>
      <c r="C165">
        <f t="shared" si="13"/>
        <v>240.91199999999998</v>
      </c>
      <c r="D165">
        <f t="shared" si="14"/>
        <v>258.97801291034074</v>
      </c>
      <c r="E165">
        <f t="shared" si="15"/>
        <v>62390.911046255998</v>
      </c>
      <c r="F165">
        <f t="shared" si="11"/>
        <v>61390.911046255998</v>
      </c>
      <c r="G165">
        <f t="shared" si="12"/>
        <v>1486</v>
      </c>
      <c r="H165" s="60">
        <f t="shared" si="16"/>
        <v>41.312860730993272</v>
      </c>
      <c r="I165" s="44"/>
      <c r="J165" s="44"/>
      <c r="K165" s="44"/>
      <c r="L165" s="44"/>
      <c r="M165" s="44"/>
      <c r="N165" s="44"/>
      <c r="O165" s="44"/>
      <c r="P165" s="44"/>
      <c r="Q165" s="44"/>
    </row>
    <row r="166" spans="1:17" ht="15" customHeight="1" x14ac:dyDescent="0.25">
      <c r="A166" s="14"/>
      <c r="B166" s="59">
        <f t="shared" si="17"/>
        <v>0.25</v>
      </c>
      <c r="C166">
        <f t="shared" si="13"/>
        <v>250.95</v>
      </c>
      <c r="D166">
        <f t="shared" si="14"/>
        <v>258.97801291034074</v>
      </c>
      <c r="E166">
        <f t="shared" si="15"/>
        <v>64990.532339850004</v>
      </c>
      <c r="F166">
        <f t="shared" si="11"/>
        <v>63990.532339850004</v>
      </c>
      <c r="G166">
        <f t="shared" si="12"/>
        <v>1486</v>
      </c>
      <c r="H166" s="60">
        <f t="shared" si="16"/>
        <v>43.062269407705251</v>
      </c>
      <c r="I166" s="44"/>
      <c r="J166" s="44"/>
      <c r="K166" s="44"/>
      <c r="L166" s="44"/>
      <c r="M166" s="44"/>
      <c r="N166" s="44"/>
      <c r="O166" s="44"/>
      <c r="P166" s="44"/>
      <c r="Q166" s="44"/>
    </row>
    <row r="167" spans="1:17" ht="15" customHeight="1" x14ac:dyDescent="0.25">
      <c r="A167" s="14"/>
      <c r="B167" s="59">
        <f t="shared" si="17"/>
        <v>0.3</v>
      </c>
      <c r="C167">
        <f t="shared" si="13"/>
        <v>260.988</v>
      </c>
      <c r="D167">
        <f t="shared" si="14"/>
        <v>258.97801291034074</v>
      </c>
      <c r="E167">
        <f t="shared" si="15"/>
        <v>67590.153633444002</v>
      </c>
      <c r="F167">
        <f t="shared" si="11"/>
        <v>66590.153633444002</v>
      </c>
      <c r="G167">
        <f t="shared" si="12"/>
        <v>1486</v>
      </c>
      <c r="H167" s="60">
        <f t="shared" si="16"/>
        <v>44.811678084417231</v>
      </c>
      <c r="I167" s="44"/>
      <c r="J167" s="44"/>
      <c r="K167" s="44"/>
      <c r="L167" s="44"/>
      <c r="M167" s="44"/>
      <c r="N167" s="44"/>
      <c r="O167" s="44"/>
      <c r="P167" s="44"/>
      <c r="Q167" s="44"/>
    </row>
    <row r="168" spans="1:17" ht="15" customHeight="1" x14ac:dyDescent="0.25">
      <c r="A168" s="14"/>
      <c r="B168" s="59">
        <f t="shared" si="17"/>
        <v>0.35</v>
      </c>
      <c r="C168">
        <f t="shared" si="13"/>
        <v>271.02600000000001</v>
      </c>
      <c r="D168">
        <f t="shared" si="14"/>
        <v>258.97801291034074</v>
      </c>
      <c r="E168">
        <f t="shared" si="15"/>
        <v>70189.774927038015</v>
      </c>
      <c r="F168">
        <f t="shared" si="11"/>
        <v>69189.774927038015</v>
      </c>
      <c r="G168">
        <f t="shared" si="12"/>
        <v>1486</v>
      </c>
      <c r="H168" s="60">
        <f t="shared" si="16"/>
        <v>46.561086761129218</v>
      </c>
      <c r="I168" s="44"/>
      <c r="J168" s="44"/>
      <c r="K168" s="44"/>
      <c r="L168" s="44"/>
      <c r="M168" s="44"/>
      <c r="N168" s="44"/>
      <c r="O168" s="44"/>
      <c r="P168" s="44"/>
      <c r="Q168" s="44"/>
    </row>
    <row r="169" spans="1:17" ht="15" customHeight="1" x14ac:dyDescent="0.25">
      <c r="A169" s="14"/>
      <c r="B169" s="59">
        <f t="shared" si="17"/>
        <v>0.39999999999999997</v>
      </c>
      <c r="C169">
        <f t="shared" si="13"/>
        <v>281.06399999999996</v>
      </c>
      <c r="D169">
        <f t="shared" si="14"/>
        <v>258.97801291034074</v>
      </c>
      <c r="E169">
        <f t="shared" si="15"/>
        <v>72789.396220631999</v>
      </c>
      <c r="F169">
        <f t="shared" si="11"/>
        <v>71789.396220631999</v>
      </c>
      <c r="G169">
        <f t="shared" si="12"/>
        <v>1486</v>
      </c>
      <c r="H169" s="60">
        <f t="shared" si="16"/>
        <v>48.310495437841183</v>
      </c>
      <c r="I169" s="44"/>
      <c r="J169" s="44"/>
      <c r="K169" s="44"/>
      <c r="L169" s="44"/>
      <c r="M169" s="44"/>
      <c r="N169" s="44"/>
      <c r="O169" s="44"/>
      <c r="P169" s="44"/>
      <c r="Q169" s="44"/>
    </row>
    <row r="170" spans="1:17" ht="15" customHeight="1" x14ac:dyDescent="0.25">
      <c r="A170" s="14"/>
      <c r="B170" s="59">
        <f t="shared" si="17"/>
        <v>0.44999999999999996</v>
      </c>
      <c r="C170">
        <f t="shared" si="13"/>
        <v>291.10199999999998</v>
      </c>
      <c r="D170">
        <f t="shared" si="14"/>
        <v>258.97801291034074</v>
      </c>
      <c r="E170">
        <f t="shared" si="15"/>
        <v>75389.017514225998</v>
      </c>
      <c r="F170">
        <f t="shared" si="11"/>
        <v>74389.017514225998</v>
      </c>
      <c r="G170">
        <f t="shared" si="12"/>
        <v>1486</v>
      </c>
      <c r="H170" s="60">
        <f t="shared" si="16"/>
        <v>50.059904114553163</v>
      </c>
      <c r="I170" s="44"/>
      <c r="J170" s="44"/>
      <c r="K170" s="44"/>
      <c r="L170" s="44"/>
      <c r="M170" s="44"/>
      <c r="N170" s="44"/>
      <c r="O170" s="44"/>
      <c r="P170" s="44"/>
      <c r="Q170" s="44"/>
    </row>
    <row r="171" spans="1:17" ht="15" customHeight="1" x14ac:dyDescent="0.25">
      <c r="A171" s="14"/>
      <c r="B171" s="44"/>
      <c r="C171" s="44"/>
      <c r="D171" s="44"/>
      <c r="E171" s="44"/>
      <c r="F171" s="44"/>
      <c r="G171" s="44"/>
      <c r="H171" s="44"/>
      <c r="I171" s="44"/>
      <c r="J171" s="44"/>
      <c r="K171" s="44"/>
      <c r="L171" s="44"/>
      <c r="M171" s="44"/>
      <c r="N171" s="44"/>
      <c r="O171" s="44"/>
      <c r="P171" s="44"/>
      <c r="Q171" s="44"/>
    </row>
    <row r="172" spans="1:17" ht="15" customHeight="1" x14ac:dyDescent="0.25">
      <c r="A172" s="16" t="s">
        <v>750</v>
      </c>
      <c r="B172" s="44"/>
      <c r="C172" s="72" t="s">
        <v>751</v>
      </c>
      <c r="D172" s="72" t="s">
        <v>752</v>
      </c>
      <c r="E172" s="44"/>
      <c r="F172" s="44"/>
      <c r="G172" s="44"/>
      <c r="H172" s="44"/>
      <c r="I172" s="44"/>
      <c r="J172" s="44"/>
      <c r="K172" s="44"/>
      <c r="L172" s="44"/>
      <c r="M172" s="44"/>
      <c r="N172" s="44"/>
      <c r="O172" s="44"/>
      <c r="P172" s="44"/>
      <c r="Q172" s="44"/>
    </row>
    <row r="173" spans="1:17" ht="15" customHeight="1" x14ac:dyDescent="0.25">
      <c r="A173" s="16"/>
      <c r="B173" t="s">
        <v>753</v>
      </c>
      <c r="D173" s="59"/>
      <c r="F173" s="44"/>
      <c r="G173" s="44"/>
      <c r="H173" s="44"/>
      <c r="I173" s="44"/>
      <c r="J173" s="44"/>
      <c r="K173" s="44"/>
      <c r="L173" s="44"/>
      <c r="M173" s="44"/>
      <c r="N173" s="44"/>
      <c r="O173" s="44"/>
      <c r="P173" s="44"/>
      <c r="Q173" s="44"/>
    </row>
    <row r="174" spans="1:17" ht="15" customHeight="1" x14ac:dyDescent="0.25">
      <c r="A174" s="16"/>
      <c r="B174" t="s">
        <v>727</v>
      </c>
      <c r="D174" s="59"/>
      <c r="F174" s="44"/>
      <c r="G174" s="44"/>
      <c r="H174" s="44"/>
      <c r="I174" s="44"/>
      <c r="J174" s="44"/>
      <c r="K174" s="44"/>
      <c r="L174" s="44"/>
      <c r="M174" s="44"/>
      <c r="N174" s="44"/>
      <c r="O174" s="44"/>
      <c r="P174" s="44"/>
      <c r="Q174" s="44"/>
    </row>
    <row r="175" spans="1:17" ht="15" customHeight="1" x14ac:dyDescent="0.25">
      <c r="A175" s="16"/>
      <c r="B175" t="s">
        <v>754</v>
      </c>
      <c r="F175" s="44"/>
      <c r="G175" s="44"/>
      <c r="H175" s="44"/>
      <c r="I175" s="44"/>
      <c r="J175" s="44"/>
      <c r="K175" s="44"/>
      <c r="L175" s="44"/>
      <c r="M175" s="44"/>
      <c r="N175" s="44"/>
      <c r="O175" s="44"/>
      <c r="P175" s="44"/>
      <c r="Q175" s="44"/>
    </row>
    <row r="176" spans="1:17" ht="15" customHeight="1" x14ac:dyDescent="0.25">
      <c r="A176" s="16"/>
      <c r="B176" t="s">
        <v>755</v>
      </c>
      <c r="C176" s="70"/>
      <c r="F176" s="44"/>
      <c r="G176" s="144"/>
      <c r="H176" s="44"/>
      <c r="I176" s="44"/>
      <c r="J176" s="44"/>
      <c r="K176" s="44"/>
      <c r="L176" s="44"/>
      <c r="M176" s="44"/>
      <c r="N176" s="44"/>
      <c r="O176" s="44"/>
      <c r="P176" s="44"/>
      <c r="Q176" s="44"/>
    </row>
    <row r="177" spans="1:17" ht="15" customHeight="1" x14ac:dyDescent="0.25">
      <c r="A177" s="16"/>
      <c r="B177" t="s">
        <v>756</v>
      </c>
      <c r="F177" s="44"/>
      <c r="G177" s="44"/>
      <c r="H177" s="44"/>
      <c r="I177" s="44"/>
      <c r="J177" s="44"/>
      <c r="K177" s="44"/>
      <c r="L177" s="44"/>
      <c r="M177" s="44"/>
      <c r="N177" s="44"/>
      <c r="O177" s="44"/>
      <c r="P177" s="44"/>
      <c r="Q177" s="44"/>
    </row>
    <row r="178" spans="1:17" ht="15" customHeight="1" x14ac:dyDescent="0.25">
      <c r="A178" s="16"/>
      <c r="F178" s="44"/>
      <c r="G178" s="44"/>
      <c r="H178" s="44"/>
      <c r="I178" s="44"/>
      <c r="J178" s="44"/>
      <c r="K178" s="44"/>
      <c r="L178" s="44"/>
      <c r="M178" s="44"/>
      <c r="N178" s="44"/>
      <c r="O178" s="44"/>
      <c r="P178" s="44"/>
      <c r="Q178" s="44"/>
    </row>
    <row r="179" spans="1:17" ht="15" customHeight="1" x14ac:dyDescent="0.25">
      <c r="A179" s="16" t="s">
        <v>757</v>
      </c>
      <c r="B179" s="44"/>
      <c r="C179" s="44"/>
      <c r="D179" s="44"/>
      <c r="E179" s="44"/>
      <c r="F179" s="44"/>
      <c r="G179" s="44"/>
      <c r="H179" s="44"/>
      <c r="I179" s="44"/>
      <c r="J179" s="44"/>
      <c r="K179" s="44"/>
      <c r="L179" s="44"/>
      <c r="M179" s="44"/>
      <c r="N179" s="44"/>
      <c r="O179" s="44"/>
      <c r="P179" s="44"/>
      <c r="Q179" s="44"/>
    </row>
    <row r="180" spans="1:17" ht="15" customHeight="1" x14ac:dyDescent="0.25">
      <c r="A180" s="16"/>
      <c r="B180" s="2" t="s">
        <v>628</v>
      </c>
      <c r="C180" s="292">
        <v>2.5000000000000001E-2</v>
      </c>
      <c r="D180" s="44"/>
      <c r="F180" s="44"/>
      <c r="G180" s="44"/>
      <c r="H180" s="44"/>
      <c r="I180" s="44"/>
      <c r="J180" s="44"/>
      <c r="K180" s="44"/>
      <c r="L180" s="44"/>
      <c r="M180" s="44"/>
      <c r="N180" s="44"/>
      <c r="O180" s="44"/>
      <c r="P180" s="44"/>
      <c r="Q180" s="44"/>
    </row>
    <row r="181" spans="1:17" ht="15" customHeight="1" x14ac:dyDescent="0.25">
      <c r="A181" s="16"/>
      <c r="B181" s="44"/>
      <c r="C181" s="44"/>
      <c r="D181" s="44"/>
      <c r="E181" s="44"/>
      <c r="F181" s="44"/>
      <c r="G181" s="44"/>
      <c r="H181" s="44"/>
      <c r="I181" s="44"/>
      <c r="J181" s="44"/>
      <c r="K181" s="44"/>
      <c r="L181" s="44"/>
      <c r="M181" s="44"/>
      <c r="N181" s="44"/>
      <c r="O181" s="44"/>
      <c r="P181" s="44"/>
      <c r="Q181" s="44"/>
    </row>
    <row r="182" spans="1:17" ht="15" customHeight="1" x14ac:dyDescent="0.25">
      <c r="A182" s="16"/>
      <c r="B182" t="s">
        <v>709</v>
      </c>
      <c r="C182">
        <f>C94</f>
        <v>62390.911046255998</v>
      </c>
      <c r="H182" s="44"/>
      <c r="I182" s="44"/>
      <c r="J182" s="44"/>
      <c r="K182" s="44"/>
      <c r="L182" s="44"/>
      <c r="M182" s="44"/>
      <c r="N182" s="44"/>
      <c r="O182" s="44"/>
      <c r="P182" s="44"/>
      <c r="Q182" s="44"/>
    </row>
    <row r="183" spans="1:17" ht="15" customHeight="1" x14ac:dyDescent="0.25">
      <c r="A183" s="16"/>
      <c r="B183" t="s">
        <v>711</v>
      </c>
      <c r="C183">
        <f>C95</f>
        <v>1306.95455523128</v>
      </c>
      <c r="H183" s="44"/>
      <c r="I183" s="44"/>
      <c r="J183" s="44"/>
      <c r="K183" s="44"/>
      <c r="L183" s="44"/>
      <c r="M183" s="44"/>
      <c r="N183" s="44"/>
      <c r="O183" s="44"/>
      <c r="P183" s="44"/>
      <c r="Q183" s="44"/>
    </row>
    <row r="184" spans="1:17" ht="15" customHeight="1" x14ac:dyDescent="0.25">
      <c r="A184" s="16"/>
      <c r="B184" t="s">
        <v>758</v>
      </c>
      <c r="C184">
        <f ca="1">Trading_comps!G9*'M&amp;A'!C10</f>
        <v>51992.397761880005</v>
      </c>
      <c r="I184" s="44"/>
      <c r="J184" s="44"/>
      <c r="K184" s="44"/>
      <c r="L184" s="44"/>
      <c r="M184" s="44"/>
      <c r="N184" s="44"/>
      <c r="O184" s="44"/>
      <c r="P184" s="44"/>
      <c r="Q184" s="44"/>
    </row>
    <row r="185" spans="1:17" ht="15" customHeight="1" x14ac:dyDescent="0.25">
      <c r="A185" s="16"/>
      <c r="B185" t="s">
        <v>662</v>
      </c>
      <c r="C185">
        <f ca="1">SUM(C182:C183)-C184</f>
        <v>11705.46783960727</v>
      </c>
      <c r="I185" s="44"/>
      <c r="J185" s="44"/>
      <c r="K185" s="44"/>
      <c r="L185" s="44"/>
      <c r="M185" s="44"/>
      <c r="N185" s="44"/>
      <c r="O185" s="44"/>
      <c r="P185" s="44"/>
      <c r="Q185" s="44"/>
    </row>
    <row r="186" spans="1:17" ht="15" customHeight="1" x14ac:dyDescent="0.25">
      <c r="A186" s="16"/>
      <c r="I186" s="44"/>
      <c r="J186" s="44"/>
      <c r="K186" s="44"/>
      <c r="L186" s="44"/>
      <c r="M186" s="44"/>
      <c r="N186" s="44"/>
      <c r="O186" s="44"/>
      <c r="P186" s="44"/>
      <c r="Q186" s="44"/>
    </row>
    <row r="187" spans="1:17" ht="15" customHeight="1" x14ac:dyDescent="0.25">
      <c r="A187" s="16"/>
      <c r="B187" t="s">
        <v>627</v>
      </c>
      <c r="C187" s="59">
        <f ca="1">WACC</f>
        <v>8.1027263625874063E-2</v>
      </c>
      <c r="I187" s="44"/>
      <c r="J187" s="44"/>
      <c r="K187" s="44"/>
      <c r="L187" s="44"/>
      <c r="M187" s="44"/>
      <c r="N187" s="44"/>
      <c r="O187" s="44"/>
      <c r="P187" s="44"/>
      <c r="Q187" s="44"/>
    </row>
    <row r="188" spans="1:17" ht="15" customHeight="1" x14ac:dyDescent="0.25">
      <c r="A188" s="16"/>
      <c r="B188" t="s">
        <v>721</v>
      </c>
      <c r="D188">
        <f>D107</f>
        <v>51.211065837103384</v>
      </c>
      <c r="E188">
        <f>E107</f>
        <v>128.02766459275844</v>
      </c>
      <c r="F188">
        <f>F107</f>
        <v>256.05532918551688</v>
      </c>
      <c r="I188" s="44"/>
      <c r="J188" s="44"/>
      <c r="K188" s="44"/>
      <c r="L188" s="44"/>
      <c r="M188" s="44"/>
      <c r="N188" s="44"/>
      <c r="O188" s="44"/>
      <c r="P188" s="44"/>
      <c r="Q188" s="44"/>
    </row>
    <row r="189" spans="1:17" ht="15" customHeight="1" x14ac:dyDescent="0.25">
      <c r="A189" s="16"/>
      <c r="B189" t="s">
        <v>759</v>
      </c>
      <c r="F189">
        <f ca="1">F188*(1+C180)/(C187-C180)</f>
        <v>4684.4463825277571</v>
      </c>
      <c r="I189" s="44"/>
      <c r="J189" s="44"/>
      <c r="K189" s="44"/>
      <c r="L189" s="44"/>
      <c r="M189" s="44"/>
      <c r="N189" s="44"/>
      <c r="O189" s="44"/>
      <c r="P189" s="44"/>
      <c r="Q189" s="44"/>
    </row>
    <row r="190" spans="1:17" ht="15" customHeight="1" x14ac:dyDescent="0.25">
      <c r="A190" s="16"/>
      <c r="I190" s="44"/>
      <c r="J190" s="44"/>
      <c r="K190" s="44"/>
      <c r="L190" s="44"/>
      <c r="M190" s="44"/>
      <c r="N190" s="44"/>
      <c r="O190" s="44"/>
      <c r="P190" s="44"/>
      <c r="Q190" s="44"/>
    </row>
    <row r="191" spans="1:17" ht="15" customHeight="1" x14ac:dyDescent="0.25">
      <c r="A191" s="16"/>
      <c r="B191" t="s">
        <v>482</v>
      </c>
      <c r="D191" s="52">
        <v>0.5</v>
      </c>
      <c r="E191">
        <f>D191+1</f>
        <v>1.5</v>
      </c>
      <c r="F191">
        <f>E191+1</f>
        <v>2.5</v>
      </c>
      <c r="I191" s="44"/>
      <c r="J191" s="44"/>
      <c r="K191" s="44"/>
      <c r="L191" s="44"/>
      <c r="M191" s="44"/>
      <c r="N191" s="44"/>
      <c r="O191" s="44"/>
      <c r="P191" s="44"/>
      <c r="Q191" s="44"/>
    </row>
    <row r="192" spans="1:17" ht="15" customHeight="1" x14ac:dyDescent="0.25">
      <c r="A192" s="16"/>
      <c r="B192" t="s">
        <v>760</v>
      </c>
      <c r="D192" s="59">
        <f ca="1">1/(1+$C$187)^D191</f>
        <v>0.96179314296397755</v>
      </c>
      <c r="E192" s="59">
        <f t="shared" ref="E192:F192" ca="1" si="18">1/(1+$C$187)^E191</f>
        <v>0.88970294767407321</v>
      </c>
      <c r="F192" s="59">
        <f t="shared" ca="1" si="18"/>
        <v>0.82301619728805009</v>
      </c>
      <c r="I192" s="44"/>
      <c r="J192" s="44"/>
      <c r="K192" s="44"/>
      <c r="L192" s="44"/>
      <c r="M192" s="44"/>
      <c r="N192" s="44"/>
      <c r="O192" s="44"/>
      <c r="P192" s="44"/>
      <c r="Q192" s="44"/>
    </row>
    <row r="193" spans="1:17" ht="15" customHeight="1" x14ac:dyDescent="0.25">
      <c r="B193" t="s">
        <v>629</v>
      </c>
      <c r="D193">
        <f ca="1">SUM(D188:D189)*D192</f>
        <v>49.25445196600284</v>
      </c>
      <c r="E193">
        <f t="shared" ref="E193:F193" ca="1" si="19">SUM(E188:E189)*E192</f>
        <v>113.90659057200476</v>
      </c>
      <c r="F193">
        <f t="shared" ca="1" si="19"/>
        <v>4066.1129314693608</v>
      </c>
      <c r="I193" s="44"/>
      <c r="J193" s="44"/>
      <c r="K193" s="44"/>
      <c r="L193" s="44"/>
      <c r="M193" s="44"/>
      <c r="N193" s="44"/>
      <c r="O193" s="44"/>
      <c r="P193" s="44"/>
      <c r="Q193" s="44"/>
    </row>
    <row r="194" spans="1:17" ht="15" customHeight="1" x14ac:dyDescent="0.25">
      <c r="B194" t="s">
        <v>621</v>
      </c>
      <c r="C194">
        <f ca="1">SUM(D193:F193)</f>
        <v>4229.2739740073685</v>
      </c>
    </row>
    <row r="196" spans="1:17" ht="15" customHeight="1" x14ac:dyDescent="0.25">
      <c r="B196" t="s">
        <v>761</v>
      </c>
      <c r="C196">
        <f ca="1">C194-C185</f>
        <v>-7476.193865599902</v>
      </c>
    </row>
    <row r="198" spans="1:17" ht="15" customHeight="1" x14ac:dyDescent="0.25">
      <c r="A198" s="16" t="s">
        <v>137</v>
      </c>
    </row>
  </sheetData>
  <printOptions headings="1" gridLines="1"/>
  <pageMargins left="0.70866141732283472" right="0.70866141732283472" top="0.74803149606299213" bottom="0.74803149606299213" header="0" footer="0"/>
  <pageSetup paperSize="9" scale="51" fitToHeight="0" orientation="landscape" r:id="rId1"/>
  <headerFooter>
    <oddHeader>&amp;R&amp;F  &amp;A</oddHeader>
    <oddFooter>&amp;L© 2016&amp;CPage &amp;P of</oddFooter>
  </headerFooter>
  <rowBreaks count="2" manualBreakCount="2">
    <brk id="98" max="20" man="1"/>
    <brk id="134" max="20"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pageSetUpPr fitToPage="1"/>
  </sheetPr>
  <dimension ref="A1:N166"/>
  <sheetViews>
    <sheetView zoomScaleNormal="100" workbookViewId="0"/>
  </sheetViews>
  <sheetFormatPr defaultColWidth="12.5703125" defaultRowHeight="15" customHeight="1" outlineLevelCol="1" x14ac:dyDescent="0.25"/>
  <cols>
    <col min="1" max="1" width="1.140625" customWidth="1"/>
    <col min="2" max="2" width="33.28515625" customWidth="1"/>
    <col min="3" max="4" width="10.28515625" hidden="1" customWidth="1" outlineLevel="1"/>
    <col min="5" max="5" width="10.28515625" customWidth="1" collapsed="1"/>
    <col min="6" max="13" width="10.28515625" customWidth="1"/>
    <col min="14" max="14" width="29" bestFit="1" customWidth="1"/>
  </cols>
  <sheetData>
    <row r="1" spans="1:14" ht="45" customHeight="1" x14ac:dyDescent="0.45">
      <c r="A1" s="68" t="str">
        <f>"LBO valuation for "&amp;Info!N5</f>
        <v>LBO valuation for Electronic Arts</v>
      </c>
      <c r="B1" s="68"/>
      <c r="C1" s="68"/>
      <c r="D1" s="68"/>
      <c r="E1" s="68"/>
      <c r="F1" s="68"/>
      <c r="G1" s="68"/>
      <c r="H1" s="68"/>
      <c r="I1" s="68"/>
      <c r="J1" s="68"/>
      <c r="K1" s="68"/>
      <c r="L1" s="68"/>
      <c r="M1" s="68"/>
      <c r="N1" s="18"/>
    </row>
    <row r="2" spans="1:14" ht="15" customHeight="1" x14ac:dyDescent="0.3">
      <c r="A2" s="72"/>
      <c r="B2" s="72"/>
      <c r="C2" s="72" t="str">
        <f>Model!C2</f>
        <v>Actual</v>
      </c>
      <c r="D2" s="72" t="str">
        <f>Model!D2</f>
        <v>Actual</v>
      </c>
      <c r="E2" s="72" t="s">
        <v>394</v>
      </c>
      <c r="F2" s="72" t="str">
        <f>Model!F2</f>
        <v>Projected</v>
      </c>
      <c r="G2" s="72" t="str">
        <f>Model!G2</f>
        <v>Projected</v>
      </c>
      <c r="H2" s="72" t="str">
        <f>Model!H2</f>
        <v>Projected</v>
      </c>
      <c r="I2" s="72" t="str">
        <f>Model!I2</f>
        <v>Projected</v>
      </c>
      <c r="J2" s="72" t="str">
        <f>Model!J2</f>
        <v>Projected</v>
      </c>
      <c r="K2" s="72" t="str">
        <f>Model!K2</f>
        <v>Projected</v>
      </c>
      <c r="L2" s="72" t="str">
        <f>Model!L2</f>
        <v>Projected</v>
      </c>
      <c r="M2" s="72" t="str">
        <f>Model!M2</f>
        <v>Projected</v>
      </c>
      <c r="N2" s="19"/>
    </row>
    <row r="3" spans="1:14" ht="15" customHeight="1" x14ac:dyDescent="0.25">
      <c r="A3" s="72"/>
      <c r="B3" s="72"/>
      <c r="C3" s="131">
        <f>Model!C3</f>
        <v>45382</v>
      </c>
      <c r="D3" s="131">
        <f>Model!D3</f>
        <v>45747</v>
      </c>
      <c r="E3" s="131">
        <f>Model!E3</f>
        <v>46112</v>
      </c>
      <c r="F3" s="131">
        <f>Model!F3</f>
        <v>46477</v>
      </c>
      <c r="G3" s="131">
        <f>Model!G3</f>
        <v>46843</v>
      </c>
      <c r="H3" s="131">
        <f>Model!H3</f>
        <v>47208</v>
      </c>
      <c r="I3" s="131">
        <f>Model!I3</f>
        <v>47573</v>
      </c>
      <c r="J3" s="131">
        <f>Model!J3</f>
        <v>47938</v>
      </c>
      <c r="K3" s="131">
        <f>Model!K3</f>
        <v>48304</v>
      </c>
      <c r="L3" s="131">
        <f>Model!L3</f>
        <v>48669</v>
      </c>
      <c r="M3" s="131">
        <f>Model!M3</f>
        <v>49034</v>
      </c>
    </row>
    <row r="4" spans="1:14" ht="15" customHeight="1" x14ac:dyDescent="0.25">
      <c r="A4" s="2" t="s">
        <v>140</v>
      </c>
      <c r="B4" s="44"/>
      <c r="C4" s="44"/>
      <c r="D4" s="44"/>
      <c r="E4" s="44"/>
      <c r="F4" s="44"/>
      <c r="G4" s="44"/>
      <c r="H4" s="44"/>
      <c r="I4" s="44"/>
      <c r="J4" s="44"/>
      <c r="K4" s="44"/>
      <c r="L4" s="44"/>
      <c r="M4" s="44"/>
      <c r="N4" s="44"/>
    </row>
    <row r="5" spans="1:14" ht="15" customHeight="1" x14ac:dyDescent="0.25">
      <c r="B5" s="44"/>
      <c r="C5" s="44"/>
      <c r="D5" s="44"/>
      <c r="E5" s="44"/>
      <c r="F5" s="44"/>
      <c r="G5" s="44"/>
      <c r="H5" s="44"/>
      <c r="I5" s="44"/>
      <c r="J5" s="44"/>
      <c r="K5" s="44"/>
      <c r="L5" s="44"/>
      <c r="M5" s="44"/>
      <c r="N5" s="44"/>
    </row>
    <row r="6" spans="1:14" ht="15" customHeight="1" x14ac:dyDescent="0.25">
      <c r="A6" s="16" t="s">
        <v>141</v>
      </c>
      <c r="B6" s="44"/>
      <c r="C6" s="44"/>
    </row>
    <row r="7" spans="1:14" ht="15" customHeight="1" x14ac:dyDescent="0.25">
      <c r="A7" s="16"/>
      <c r="B7" s="44" t="s">
        <v>12</v>
      </c>
      <c r="C7" s="44"/>
      <c r="E7" s="169">
        <v>45719</v>
      </c>
    </row>
    <row r="8" spans="1:14" ht="15" customHeight="1" x14ac:dyDescent="0.25">
      <c r="A8" s="16"/>
      <c r="B8" s="44" t="s">
        <v>762</v>
      </c>
      <c r="C8" s="44"/>
      <c r="E8" s="169">
        <v>46112</v>
      </c>
    </row>
    <row r="9" spans="1:14" ht="15" customHeight="1" x14ac:dyDescent="0.25">
      <c r="A9" s="16"/>
      <c r="B9" s="2" t="s">
        <v>403</v>
      </c>
      <c r="C9" s="58"/>
    </row>
    <row r="10" spans="1:14" ht="15" customHeight="1" x14ac:dyDescent="0.25">
      <c r="A10" s="16"/>
      <c r="B10" s="2" t="s">
        <v>763</v>
      </c>
      <c r="C10" s="44"/>
      <c r="E10" s="60"/>
    </row>
    <row r="11" spans="1:14" ht="15" customHeight="1" x14ac:dyDescent="0.25">
      <c r="A11" s="16"/>
      <c r="B11" s="2" t="s">
        <v>653</v>
      </c>
      <c r="C11" s="44"/>
      <c r="E11" s="52">
        <v>168.32</v>
      </c>
    </row>
    <row r="12" spans="1:14" ht="15" customHeight="1" x14ac:dyDescent="0.25">
      <c r="A12" s="16"/>
      <c r="B12" s="2" t="s">
        <v>647</v>
      </c>
      <c r="C12" s="44"/>
      <c r="E12" s="264">
        <v>0.25</v>
      </c>
    </row>
    <row r="13" spans="1:14" ht="15" customHeight="1" x14ac:dyDescent="0.25">
      <c r="A13" s="16"/>
      <c r="B13" s="2" t="s">
        <v>764</v>
      </c>
      <c r="C13" s="44"/>
    </row>
    <row r="14" spans="1:14" ht="15" customHeight="1" x14ac:dyDescent="0.25">
      <c r="A14" s="16"/>
      <c r="B14" s="2" t="s">
        <v>253</v>
      </c>
      <c r="C14" s="44"/>
    </row>
    <row r="15" spans="1:14" ht="15" customHeight="1" x14ac:dyDescent="0.25">
      <c r="A15" s="16"/>
      <c r="B15" s="2" t="s">
        <v>709</v>
      </c>
      <c r="C15" s="44"/>
    </row>
    <row r="16" spans="1:14" ht="15" customHeight="1" x14ac:dyDescent="0.25">
      <c r="A16" s="16"/>
      <c r="B16" s="2" t="s">
        <v>96</v>
      </c>
      <c r="C16" s="44"/>
    </row>
    <row r="17" spans="1:14" ht="15" customHeight="1" x14ac:dyDescent="0.25">
      <c r="A17" s="16"/>
      <c r="B17" s="2" t="s">
        <v>765</v>
      </c>
      <c r="C17" s="44"/>
    </row>
    <row r="18" spans="1:14" ht="15" customHeight="1" x14ac:dyDescent="0.25">
      <c r="A18" s="16"/>
      <c r="B18" s="44" t="s">
        <v>766</v>
      </c>
      <c r="C18" s="133"/>
      <c r="E18" s="60"/>
    </row>
    <row r="19" spans="1:14" ht="15" customHeight="1" x14ac:dyDescent="0.25">
      <c r="A19" s="16"/>
      <c r="B19" s="44" t="s">
        <v>767</v>
      </c>
      <c r="C19" s="133"/>
      <c r="E19" s="264">
        <v>0.6</v>
      </c>
    </row>
    <row r="20" spans="1:14" ht="15" customHeight="1" x14ac:dyDescent="0.25">
      <c r="A20" s="16"/>
      <c r="B20" s="44" t="s">
        <v>768</v>
      </c>
      <c r="C20" s="133"/>
      <c r="E20" s="293">
        <v>25</v>
      </c>
    </row>
    <row r="21" spans="1:14" ht="15" customHeight="1" x14ac:dyDescent="0.25">
      <c r="A21" s="16"/>
      <c r="B21" s="44" t="s">
        <v>769</v>
      </c>
      <c r="E21" s="60"/>
      <c r="F21" s="44"/>
      <c r="G21" s="44"/>
      <c r="H21" s="44"/>
      <c r="N21" s="44"/>
    </row>
    <row r="22" spans="1:14" ht="15" customHeight="1" x14ac:dyDescent="0.25">
      <c r="A22" s="16"/>
      <c r="B22" s="44"/>
      <c r="C22" s="44"/>
      <c r="E22" s="44"/>
      <c r="N22" s="44"/>
    </row>
    <row r="23" spans="1:14" ht="15" customHeight="1" x14ac:dyDescent="0.25">
      <c r="A23" s="16"/>
      <c r="B23" s="2" t="s">
        <v>770</v>
      </c>
      <c r="E23" s="48">
        <v>2.5399999999999999E-2</v>
      </c>
      <c r="F23" s="44"/>
      <c r="G23" s="44"/>
      <c r="H23" s="44"/>
      <c r="N23" s="44"/>
    </row>
    <row r="24" spans="1:14" ht="15" customHeight="1" x14ac:dyDescent="0.25">
      <c r="A24" s="16"/>
      <c r="B24" s="2" t="s">
        <v>508</v>
      </c>
      <c r="E24" s="145"/>
      <c r="F24" s="44"/>
      <c r="G24" s="44"/>
      <c r="H24" s="44"/>
      <c r="N24" s="44"/>
    </row>
    <row r="25" spans="1:14" ht="15" customHeight="1" x14ac:dyDescent="0.25">
      <c r="A25" s="16"/>
      <c r="B25" s="2" t="s">
        <v>771</v>
      </c>
      <c r="E25" s="145"/>
      <c r="F25" s="44"/>
      <c r="G25" s="44"/>
      <c r="H25" s="44"/>
      <c r="N25" s="44"/>
    </row>
    <row r="26" spans="1:14" ht="15" customHeight="1" x14ac:dyDescent="0.25">
      <c r="A26" s="16"/>
      <c r="B26" s="44" t="s">
        <v>772</v>
      </c>
      <c r="E26" s="48">
        <v>0.1</v>
      </c>
      <c r="G26" s="44"/>
      <c r="H26" s="44"/>
      <c r="N26" s="44"/>
    </row>
    <row r="27" spans="1:14" ht="15" customHeight="1" x14ac:dyDescent="0.25">
      <c r="A27" s="16"/>
      <c r="B27" s="44" t="s">
        <v>158</v>
      </c>
      <c r="E27" s="48">
        <v>0.02</v>
      </c>
      <c r="G27" s="44"/>
      <c r="H27" s="44"/>
      <c r="N27" s="44"/>
    </row>
    <row r="28" spans="1:14" ht="15" customHeight="1" x14ac:dyDescent="0.25">
      <c r="A28" s="16"/>
      <c r="B28" s="2" t="s">
        <v>773</v>
      </c>
      <c r="E28" s="48">
        <v>0.01</v>
      </c>
      <c r="F28" s="44"/>
      <c r="G28" s="44"/>
      <c r="H28" s="44"/>
      <c r="N28" s="44"/>
    </row>
    <row r="29" spans="1:14" ht="15" customHeight="1" x14ac:dyDescent="0.25">
      <c r="A29" s="16"/>
      <c r="B29" s="2" t="s">
        <v>774</v>
      </c>
      <c r="E29" s="20">
        <v>6</v>
      </c>
      <c r="F29" s="44"/>
      <c r="G29" s="44"/>
      <c r="H29" s="44"/>
      <c r="N29" s="44"/>
    </row>
    <row r="31" spans="1:14" ht="15" customHeight="1" x14ac:dyDescent="0.25">
      <c r="A31" s="16" t="s">
        <v>708</v>
      </c>
      <c r="C31" s="44"/>
      <c r="D31" s="44"/>
      <c r="F31" s="44"/>
    </row>
    <row r="32" spans="1:14" ht="15" customHeight="1" x14ac:dyDescent="0.25">
      <c r="B32" s="2" t="s">
        <v>489</v>
      </c>
      <c r="E32" s="44"/>
      <c r="F32" s="44"/>
    </row>
    <row r="33" spans="1:13" ht="15" customHeight="1" x14ac:dyDescent="0.25">
      <c r="B33" s="2" t="s">
        <v>711</v>
      </c>
      <c r="E33" s="44"/>
      <c r="F33" s="44"/>
    </row>
    <row r="34" spans="1:13" ht="15" customHeight="1" x14ac:dyDescent="0.25">
      <c r="B34" s="2" t="s">
        <v>714</v>
      </c>
      <c r="E34" s="44"/>
      <c r="F34" s="44"/>
    </row>
    <row r="36" spans="1:13" ht="15" customHeight="1" x14ac:dyDescent="0.25">
      <c r="B36" s="44"/>
      <c r="E36" s="2" t="s">
        <v>775</v>
      </c>
    </row>
    <row r="37" spans="1:13" ht="15" customHeight="1" x14ac:dyDescent="0.25">
      <c r="B37" s="2" t="s">
        <v>776</v>
      </c>
      <c r="E37" s="46">
        <v>8</v>
      </c>
      <c r="F37" s="44"/>
      <c r="G37" s="44"/>
    </row>
    <row r="38" spans="1:13" ht="15" customHeight="1" x14ac:dyDescent="0.25">
      <c r="B38" s="44" t="s">
        <v>777</v>
      </c>
      <c r="E38" s="55">
        <v>5.5</v>
      </c>
      <c r="F38" s="44"/>
      <c r="G38" s="44"/>
    </row>
    <row r="39" spans="1:13" ht="15" customHeight="1" x14ac:dyDescent="0.25">
      <c r="B39" s="2" t="s">
        <v>166</v>
      </c>
      <c r="E39" s="44"/>
      <c r="F39" s="44"/>
      <c r="G39" s="44"/>
    </row>
    <row r="40" spans="1:13" ht="15" customHeight="1" x14ac:dyDescent="0.25">
      <c r="B40" s="2" t="s">
        <v>715</v>
      </c>
      <c r="E40" s="44"/>
      <c r="F40" s="44"/>
      <c r="G40" s="44"/>
    </row>
    <row r="42" spans="1:13" ht="15" customHeight="1" x14ac:dyDescent="0.25">
      <c r="A42" s="16" t="s">
        <v>778</v>
      </c>
      <c r="B42" s="44"/>
      <c r="C42" s="44"/>
      <c r="D42" s="44"/>
      <c r="E42" s="44"/>
      <c r="F42" s="44"/>
      <c r="G42" s="44"/>
      <c r="H42" s="44"/>
      <c r="I42" s="44"/>
      <c r="J42" s="44"/>
      <c r="K42" s="44"/>
      <c r="L42" s="44"/>
      <c r="M42" s="44"/>
    </row>
    <row r="43" spans="1:13" ht="15" customHeight="1" x14ac:dyDescent="0.25">
      <c r="A43" s="16"/>
      <c r="B43" s="44" t="s">
        <v>175</v>
      </c>
      <c r="C43" s="44"/>
      <c r="D43" s="44"/>
      <c r="E43" s="44"/>
      <c r="F43" s="44"/>
      <c r="G43" s="44"/>
      <c r="H43" s="44"/>
      <c r="I43" s="44"/>
      <c r="J43" s="44"/>
      <c r="K43" s="44"/>
      <c r="L43" s="44"/>
      <c r="M43" s="44"/>
    </row>
    <row r="44" spans="1:13" ht="15" customHeight="1" x14ac:dyDescent="0.25">
      <c r="A44" s="16"/>
      <c r="B44" s="44" t="s">
        <v>779</v>
      </c>
      <c r="C44" s="44"/>
      <c r="D44" s="44"/>
      <c r="E44" s="237"/>
      <c r="F44" s="237">
        <v>0.01</v>
      </c>
      <c r="G44" s="237">
        <v>0.02</v>
      </c>
      <c r="H44" s="237">
        <v>0.03</v>
      </c>
      <c r="I44" s="237">
        <f>H44</f>
        <v>0.03</v>
      </c>
      <c r="J44" s="237">
        <f t="shared" ref="J44:M44" si="0">I44</f>
        <v>0.03</v>
      </c>
      <c r="K44" s="237">
        <f t="shared" si="0"/>
        <v>0.03</v>
      </c>
      <c r="L44" s="237">
        <f t="shared" si="0"/>
        <v>0.03</v>
      </c>
      <c r="M44" s="237">
        <f t="shared" si="0"/>
        <v>0.03</v>
      </c>
    </row>
    <row r="45" spans="1:13" ht="15" customHeight="1" x14ac:dyDescent="0.25">
      <c r="A45" s="16"/>
      <c r="B45" s="44" t="s">
        <v>780</v>
      </c>
      <c r="C45" s="44"/>
      <c r="D45" s="44"/>
      <c r="E45" s="44"/>
      <c r="F45" s="44"/>
      <c r="G45" s="44"/>
      <c r="H45" s="44"/>
      <c r="I45" s="44"/>
      <c r="J45" s="44"/>
      <c r="K45" s="44"/>
      <c r="L45" s="44"/>
      <c r="M45" s="44"/>
    </row>
    <row r="46" spans="1:13" ht="15" customHeight="1" x14ac:dyDescent="0.25">
      <c r="A46" s="16"/>
      <c r="B46" s="44" t="s">
        <v>864</v>
      </c>
      <c r="C46" s="44"/>
      <c r="D46" s="44"/>
      <c r="E46" s="44"/>
      <c r="F46" s="44"/>
      <c r="G46" s="44"/>
      <c r="H46" s="44"/>
      <c r="I46" s="44"/>
      <c r="J46" s="44"/>
      <c r="K46" s="44"/>
      <c r="L46" s="44"/>
      <c r="M46" s="44"/>
    </row>
    <row r="47" spans="1:13" ht="15" customHeight="1" x14ac:dyDescent="0.25">
      <c r="A47" s="16"/>
      <c r="B47" s="2" t="s">
        <v>865</v>
      </c>
      <c r="C47" s="44"/>
      <c r="D47" s="44"/>
      <c r="E47" s="44"/>
      <c r="F47" s="44"/>
      <c r="G47" s="44"/>
      <c r="H47" s="44"/>
      <c r="I47" s="44"/>
      <c r="J47" s="44"/>
      <c r="K47" s="44"/>
      <c r="L47" s="44"/>
      <c r="M47" s="44"/>
    </row>
    <row r="48" spans="1:13" ht="15" customHeight="1" x14ac:dyDescent="0.25">
      <c r="A48" s="16"/>
      <c r="B48" s="2" t="s">
        <v>465</v>
      </c>
      <c r="C48" s="44"/>
      <c r="D48" s="128"/>
      <c r="E48" s="128"/>
      <c r="F48" s="128"/>
      <c r="G48" s="128"/>
      <c r="H48" s="128"/>
      <c r="I48" s="128"/>
      <c r="J48" s="128"/>
      <c r="K48" s="128"/>
      <c r="L48" s="128"/>
      <c r="M48" s="128"/>
    </row>
    <row r="49" spans="1:13" ht="15" customHeight="1" x14ac:dyDescent="0.25">
      <c r="A49" s="16"/>
      <c r="B49" s="44"/>
      <c r="C49" s="44"/>
      <c r="D49" s="44"/>
      <c r="E49" s="44"/>
      <c r="F49" s="44"/>
      <c r="G49" s="44"/>
      <c r="H49" s="44"/>
      <c r="I49" s="44"/>
      <c r="J49" s="44"/>
      <c r="K49" s="44"/>
      <c r="L49" s="44"/>
      <c r="M49" s="44"/>
    </row>
    <row r="50" spans="1:13" ht="15" customHeight="1" x14ac:dyDescent="0.25">
      <c r="A50" s="16" t="s">
        <v>174</v>
      </c>
      <c r="B50" s="44"/>
      <c r="C50" s="44"/>
      <c r="D50" s="44"/>
      <c r="E50" s="44"/>
      <c r="F50" s="44"/>
      <c r="G50" s="44"/>
      <c r="H50" s="44"/>
      <c r="I50" s="44"/>
      <c r="J50" s="44"/>
      <c r="K50" s="44"/>
      <c r="L50" s="44"/>
      <c r="M50" s="44"/>
    </row>
    <row r="51" spans="1:13" ht="15" customHeight="1" x14ac:dyDescent="0.25">
      <c r="A51" s="16"/>
      <c r="B51" s="2" t="s">
        <v>175</v>
      </c>
      <c r="C51" s="44"/>
      <c r="D51" s="2"/>
      <c r="E51" s="44"/>
      <c r="F51" s="44"/>
      <c r="G51" s="44"/>
      <c r="H51" s="44"/>
      <c r="I51" s="44"/>
      <c r="J51" s="44"/>
      <c r="K51" s="44"/>
      <c r="L51" s="44"/>
      <c r="M51" s="44"/>
    </row>
    <row r="52" spans="1:13" ht="15" customHeight="1" x14ac:dyDescent="0.25">
      <c r="A52" s="16"/>
      <c r="B52" s="2" t="s">
        <v>781</v>
      </c>
      <c r="C52" s="44"/>
      <c r="D52" s="2"/>
      <c r="E52" s="44"/>
      <c r="F52" s="44"/>
      <c r="G52" s="44"/>
      <c r="H52" s="44"/>
      <c r="I52" s="44"/>
      <c r="J52" s="44"/>
      <c r="K52" s="44"/>
      <c r="L52" s="44"/>
      <c r="M52" s="44"/>
    </row>
    <row r="53" spans="1:13" ht="15" customHeight="1" x14ac:dyDescent="0.25">
      <c r="A53" s="16"/>
      <c r="B53" s="44" t="s">
        <v>780</v>
      </c>
      <c r="C53" s="44"/>
      <c r="D53" s="44"/>
      <c r="E53" s="44"/>
      <c r="F53" s="44"/>
      <c r="G53" s="44"/>
      <c r="H53" s="44"/>
      <c r="I53" s="44"/>
      <c r="J53" s="44"/>
      <c r="K53" s="44"/>
      <c r="L53" s="44"/>
      <c r="M53" s="44"/>
    </row>
    <row r="54" spans="1:13" ht="15" customHeight="1" x14ac:dyDescent="0.25">
      <c r="A54" s="16"/>
      <c r="B54" s="2" t="s">
        <v>180</v>
      </c>
      <c r="C54" s="44"/>
      <c r="D54" s="44"/>
      <c r="E54" s="44"/>
      <c r="F54" s="44"/>
      <c r="G54" s="44"/>
      <c r="H54" s="44"/>
      <c r="I54" s="44"/>
      <c r="J54" s="44"/>
      <c r="K54" s="44"/>
      <c r="L54" s="44"/>
      <c r="M54" s="44"/>
    </row>
    <row r="55" spans="1:13" ht="15" customHeight="1" x14ac:dyDescent="0.25">
      <c r="A55" s="16"/>
      <c r="B55" s="2" t="s">
        <v>179</v>
      </c>
      <c r="C55" s="44"/>
      <c r="D55" s="44"/>
      <c r="E55" s="44"/>
      <c r="F55" s="44"/>
      <c r="G55" s="44"/>
      <c r="H55" s="44"/>
      <c r="I55" s="44"/>
      <c r="J55" s="44"/>
      <c r="K55" s="44"/>
      <c r="L55" s="44"/>
      <c r="M55" s="44"/>
    </row>
    <row r="56" spans="1:13" ht="15" customHeight="1" x14ac:dyDescent="0.25">
      <c r="A56" s="16"/>
      <c r="B56" s="2" t="s">
        <v>181</v>
      </c>
      <c r="C56" s="44"/>
      <c r="D56" s="2"/>
      <c r="E56" s="44"/>
      <c r="F56" s="44"/>
      <c r="G56" s="44"/>
      <c r="H56" s="44"/>
      <c r="I56" s="44"/>
      <c r="J56" s="44"/>
      <c r="K56" s="44"/>
      <c r="L56" s="44"/>
      <c r="M56" s="44"/>
    </row>
    <row r="57" spans="1:13" ht="15" customHeight="1" x14ac:dyDescent="0.25">
      <c r="A57" s="16"/>
      <c r="B57" s="2" t="s">
        <v>182</v>
      </c>
      <c r="C57" s="44"/>
      <c r="D57" s="2"/>
      <c r="E57" s="44"/>
      <c r="F57" s="44"/>
      <c r="G57" s="44"/>
      <c r="H57" s="44"/>
      <c r="I57" s="44"/>
      <c r="J57" s="44"/>
      <c r="K57" s="44"/>
      <c r="L57" s="44"/>
      <c r="M57" s="44"/>
    </row>
    <row r="58" spans="1:13" ht="15" customHeight="1" x14ac:dyDescent="0.25">
      <c r="A58" s="16"/>
      <c r="B58" s="2" t="s">
        <v>167</v>
      </c>
      <c r="C58" s="44"/>
      <c r="D58" s="2"/>
      <c r="E58" s="44"/>
      <c r="F58" s="44"/>
      <c r="G58" s="44"/>
      <c r="H58" s="44"/>
      <c r="I58" s="44"/>
      <c r="J58" s="44"/>
      <c r="K58" s="44"/>
      <c r="L58" s="44"/>
      <c r="M58" s="44"/>
    </row>
    <row r="59" spans="1:13" ht="15" customHeight="1" x14ac:dyDescent="0.25">
      <c r="A59" s="16"/>
      <c r="B59" s="44"/>
      <c r="C59" s="44"/>
      <c r="D59" s="44"/>
      <c r="E59" s="44"/>
      <c r="F59" s="44"/>
      <c r="G59" s="44"/>
      <c r="H59" s="44"/>
      <c r="I59" s="44"/>
      <c r="J59" s="44"/>
      <c r="K59" s="44"/>
      <c r="L59" s="44"/>
      <c r="M59" s="44"/>
    </row>
    <row r="60" spans="1:13" ht="15" customHeight="1" x14ac:dyDescent="0.25">
      <c r="A60" s="16" t="s">
        <v>782</v>
      </c>
      <c r="B60" s="44"/>
      <c r="C60" s="44"/>
      <c r="D60" s="44"/>
      <c r="E60" s="44"/>
      <c r="F60" s="44"/>
      <c r="G60" s="44"/>
      <c r="H60" s="44"/>
      <c r="I60" s="44"/>
      <c r="J60" s="44"/>
      <c r="K60" s="44"/>
      <c r="L60" s="44"/>
      <c r="M60" s="44"/>
    </row>
    <row r="61" spans="1:13" ht="15" customHeight="1" x14ac:dyDescent="0.25">
      <c r="A61" s="16"/>
      <c r="B61" s="2" t="s">
        <v>167</v>
      </c>
      <c r="C61" s="44"/>
      <c r="D61" s="2"/>
      <c r="E61" s="44"/>
      <c r="F61" s="44"/>
      <c r="G61" s="44"/>
      <c r="H61" s="44"/>
      <c r="I61" s="44"/>
      <c r="J61" s="44"/>
      <c r="K61" s="44"/>
      <c r="L61" s="44"/>
      <c r="M61" s="44"/>
    </row>
    <row r="62" spans="1:13" ht="15" customHeight="1" x14ac:dyDescent="0.25">
      <c r="A62" s="16"/>
      <c r="B62" s="2" t="s">
        <v>165</v>
      </c>
      <c r="C62" s="44"/>
      <c r="D62" s="2"/>
      <c r="E62" s="44"/>
      <c r="F62" s="44"/>
      <c r="G62" s="44"/>
      <c r="H62" s="44"/>
      <c r="I62" s="44"/>
      <c r="J62" s="44"/>
      <c r="K62" s="44"/>
      <c r="L62" s="44"/>
      <c r="M62" s="44"/>
    </row>
    <row r="63" spans="1:13" ht="15" customHeight="1" x14ac:dyDescent="0.25">
      <c r="A63" s="16"/>
      <c r="B63" s="2" t="s">
        <v>783</v>
      </c>
      <c r="C63" s="44"/>
      <c r="D63" s="44"/>
      <c r="E63" s="44"/>
      <c r="F63" s="44"/>
      <c r="G63" s="44"/>
      <c r="H63" s="44"/>
      <c r="I63" s="44"/>
      <c r="J63" s="44"/>
      <c r="K63" s="44"/>
      <c r="L63" s="44"/>
      <c r="M63" s="44"/>
    </row>
    <row r="64" spans="1:13" ht="15" customHeight="1" x14ac:dyDescent="0.25">
      <c r="A64" s="16"/>
      <c r="B64" s="2" t="s">
        <v>784</v>
      </c>
      <c r="C64" s="44"/>
      <c r="D64" s="44"/>
      <c r="E64" s="44"/>
      <c r="F64" s="44"/>
      <c r="G64" s="44"/>
      <c r="H64" s="44"/>
      <c r="I64" s="44"/>
      <c r="J64" s="44"/>
      <c r="K64" s="44"/>
      <c r="L64" s="44"/>
      <c r="M64" s="44"/>
    </row>
    <row r="65" spans="1:13" ht="15" customHeight="1" x14ac:dyDescent="0.25">
      <c r="A65" s="16"/>
      <c r="B65" s="2" t="s">
        <v>785</v>
      </c>
      <c r="C65" s="44"/>
      <c r="D65" s="44"/>
      <c r="E65" s="44"/>
      <c r="F65" s="44"/>
      <c r="G65" s="44"/>
      <c r="H65" s="44"/>
      <c r="I65" s="44"/>
      <c r="J65" s="44"/>
      <c r="K65" s="44"/>
      <c r="L65" s="44"/>
      <c r="M65" s="44"/>
    </row>
    <row r="66" spans="1:13" ht="15" customHeight="1" x14ac:dyDescent="0.25">
      <c r="A66" s="16"/>
      <c r="B66" s="2" t="s">
        <v>199</v>
      </c>
      <c r="C66" s="44"/>
      <c r="D66" s="2"/>
      <c r="E66" s="44"/>
      <c r="F66" s="44"/>
      <c r="G66" s="44"/>
      <c r="H66" s="44"/>
      <c r="I66" s="44"/>
      <c r="J66" s="44"/>
      <c r="K66" s="44"/>
      <c r="L66" s="44"/>
      <c r="M66" s="44"/>
    </row>
    <row r="67" spans="1:13" ht="15" customHeight="1" x14ac:dyDescent="0.25">
      <c r="A67" s="16"/>
      <c r="B67" s="44" t="s">
        <v>786</v>
      </c>
      <c r="C67" s="44"/>
      <c r="D67" s="2"/>
      <c r="E67" s="44"/>
      <c r="F67" s="44"/>
      <c r="G67" s="44"/>
      <c r="H67" s="44"/>
      <c r="I67" s="44"/>
      <c r="J67" s="44"/>
      <c r="K67" s="44"/>
      <c r="L67" s="44"/>
      <c r="M67" s="44"/>
    </row>
    <row r="68" spans="1:13" ht="15" customHeight="1" x14ac:dyDescent="0.25">
      <c r="A68" s="16"/>
      <c r="B68" s="44"/>
      <c r="C68" s="44"/>
      <c r="D68" s="2"/>
      <c r="E68" s="44"/>
      <c r="F68" s="44"/>
      <c r="G68" s="44"/>
      <c r="H68" s="44"/>
      <c r="I68" s="44"/>
      <c r="J68" s="44"/>
      <c r="K68" s="44"/>
      <c r="L68" s="44"/>
      <c r="M68" s="44"/>
    </row>
    <row r="69" spans="1:13" ht="15" customHeight="1" x14ac:dyDescent="0.25">
      <c r="A69" s="16"/>
      <c r="B69" s="44" t="s">
        <v>787</v>
      </c>
      <c r="C69" s="44"/>
      <c r="E69" s="44"/>
      <c r="F69" s="44"/>
      <c r="G69" s="44"/>
      <c r="H69" s="44"/>
      <c r="I69" s="44"/>
      <c r="J69" s="44"/>
      <c r="K69" s="44"/>
      <c r="L69" s="44"/>
      <c r="M69" s="44"/>
    </row>
    <row r="70" spans="1:13" ht="15" customHeight="1" x14ac:dyDescent="0.25">
      <c r="A70" s="16"/>
      <c r="B70" s="44" t="s">
        <v>788</v>
      </c>
      <c r="C70" s="44"/>
      <c r="D70" s="44"/>
      <c r="E70" s="44"/>
      <c r="F70" s="44"/>
      <c r="G70" s="44"/>
      <c r="H70" s="44"/>
      <c r="I70" s="44"/>
      <c r="J70" s="44"/>
      <c r="K70" s="44"/>
      <c r="L70" s="44"/>
      <c r="M70" s="44"/>
    </row>
    <row r="71" spans="1:13" ht="15" customHeight="1" x14ac:dyDescent="0.25">
      <c r="A71" s="16"/>
      <c r="B71" s="44"/>
      <c r="C71" s="44"/>
      <c r="D71" s="2"/>
      <c r="E71" s="44"/>
      <c r="F71" s="44"/>
      <c r="G71" s="44"/>
      <c r="H71" s="44"/>
      <c r="I71" s="44"/>
      <c r="J71" s="44"/>
      <c r="K71" s="44"/>
      <c r="L71" s="44"/>
      <c r="M71" s="44"/>
    </row>
    <row r="72" spans="1:13" ht="15" customHeight="1" x14ac:dyDescent="0.25">
      <c r="A72" s="16"/>
      <c r="B72" s="44" t="s">
        <v>789</v>
      </c>
      <c r="C72" s="44"/>
      <c r="D72" s="2"/>
      <c r="F72" s="61">
        <v>0.01</v>
      </c>
      <c r="G72" s="61">
        <v>0.01</v>
      </c>
      <c r="H72" s="61">
        <v>0.01</v>
      </c>
      <c r="I72" s="61">
        <v>0.01</v>
      </c>
      <c r="J72" s="61">
        <v>0.01</v>
      </c>
      <c r="K72" s="61">
        <v>0.01</v>
      </c>
      <c r="L72" s="61">
        <v>0.01</v>
      </c>
      <c r="M72" s="61">
        <v>0.01</v>
      </c>
    </row>
    <row r="73" spans="1:13" ht="15" customHeight="1" x14ac:dyDescent="0.25">
      <c r="A73" s="16"/>
      <c r="B73" s="44" t="s">
        <v>790</v>
      </c>
      <c r="C73" s="44"/>
      <c r="D73" s="2"/>
      <c r="E73" s="44"/>
      <c r="F73" s="44"/>
      <c r="G73" s="44"/>
      <c r="H73" s="44"/>
      <c r="I73" s="44"/>
      <c r="J73" s="44"/>
      <c r="K73" s="44"/>
      <c r="L73" s="44"/>
      <c r="M73" s="44"/>
    </row>
    <row r="74" spans="1:13" ht="15" customHeight="1" x14ac:dyDescent="0.25">
      <c r="A74" s="16"/>
      <c r="B74" s="44" t="s">
        <v>791</v>
      </c>
      <c r="C74" s="44"/>
      <c r="D74" s="2"/>
      <c r="E74" s="44"/>
      <c r="F74" s="44"/>
      <c r="G74" s="44"/>
      <c r="H74" s="44"/>
      <c r="I74" s="44"/>
      <c r="J74" s="44"/>
      <c r="K74" s="44"/>
      <c r="L74" s="44"/>
      <c r="M74" s="44"/>
    </row>
    <row r="75" spans="1:13" ht="15" customHeight="1" x14ac:dyDescent="0.25">
      <c r="A75" s="16"/>
      <c r="B75" s="44"/>
      <c r="C75" s="44"/>
      <c r="D75" s="44"/>
      <c r="E75" s="44"/>
      <c r="F75" s="44"/>
      <c r="G75" s="44"/>
      <c r="H75" s="44"/>
      <c r="I75" s="44"/>
      <c r="J75" s="44"/>
      <c r="K75" s="44"/>
      <c r="L75" s="44"/>
      <c r="M75" s="44"/>
    </row>
    <row r="76" spans="1:13" ht="15" customHeight="1" x14ac:dyDescent="0.25">
      <c r="A76" s="16" t="s">
        <v>792</v>
      </c>
      <c r="B76" s="44"/>
      <c r="C76" s="44"/>
      <c r="D76" s="44"/>
      <c r="E76" s="44"/>
      <c r="F76" s="44"/>
      <c r="G76" s="44"/>
      <c r="H76" s="44"/>
      <c r="I76" s="44"/>
      <c r="J76" s="44"/>
      <c r="K76" s="44"/>
      <c r="L76" s="44"/>
      <c r="M76" s="44"/>
    </row>
    <row r="77" spans="1:13" ht="15" customHeight="1" x14ac:dyDescent="0.25">
      <c r="A77" s="16"/>
      <c r="B77" s="2" t="s">
        <v>793</v>
      </c>
      <c r="C77" s="44"/>
      <c r="D77" s="44"/>
      <c r="E77" s="44"/>
      <c r="F77" s="44"/>
      <c r="G77" s="44"/>
      <c r="H77" s="44"/>
      <c r="I77" s="44"/>
      <c r="J77" s="44"/>
      <c r="K77" s="44"/>
      <c r="L77" s="44"/>
      <c r="M77" s="44"/>
    </row>
    <row r="78" spans="1:13" ht="15" customHeight="1" x14ac:dyDescent="0.25">
      <c r="A78" s="16"/>
      <c r="B78" s="2" t="s">
        <v>794</v>
      </c>
      <c r="C78" s="44"/>
      <c r="D78" s="44"/>
      <c r="E78" s="44"/>
      <c r="F78" s="44"/>
      <c r="G78" s="44"/>
      <c r="H78" s="44"/>
      <c r="I78" s="44"/>
      <c r="J78" s="44"/>
      <c r="K78" s="44"/>
      <c r="L78" s="44"/>
      <c r="M78" s="44"/>
    </row>
    <row r="79" spans="1:13" ht="15" customHeight="1" x14ac:dyDescent="0.25">
      <c r="A79" s="16"/>
      <c r="B79" s="2" t="s">
        <v>795</v>
      </c>
      <c r="C79" s="44"/>
      <c r="D79" s="44"/>
      <c r="E79" s="44"/>
      <c r="F79" s="44"/>
      <c r="G79" s="44"/>
      <c r="H79" s="44"/>
      <c r="I79" s="44"/>
      <c r="J79" s="44"/>
      <c r="K79" s="44"/>
      <c r="L79" s="44"/>
      <c r="M79" s="44"/>
    </row>
    <row r="80" spans="1:13" ht="15" customHeight="1" x14ac:dyDescent="0.25">
      <c r="A80" s="16"/>
      <c r="B80" s="2" t="s">
        <v>180</v>
      </c>
      <c r="C80" s="44"/>
      <c r="D80" s="44"/>
      <c r="E80" s="44"/>
      <c r="F80" s="44"/>
      <c r="G80" s="44"/>
      <c r="H80" s="44"/>
      <c r="I80" s="44"/>
      <c r="J80" s="44"/>
      <c r="K80" s="44"/>
      <c r="L80" s="44"/>
      <c r="M80" s="44"/>
    </row>
    <row r="81" spans="1:13" ht="15" customHeight="1" x14ac:dyDescent="0.25">
      <c r="A81" s="16"/>
      <c r="B81" s="44"/>
      <c r="C81" s="44"/>
      <c r="D81" s="44"/>
      <c r="E81" s="44"/>
      <c r="F81" s="44"/>
      <c r="G81" s="44"/>
      <c r="H81" s="44"/>
      <c r="I81" s="44"/>
      <c r="J81" s="44"/>
      <c r="K81" s="44"/>
      <c r="L81" s="44"/>
      <c r="M81" s="44"/>
    </row>
    <row r="82" spans="1:13" ht="15" customHeight="1" x14ac:dyDescent="0.25">
      <c r="A82" s="16"/>
      <c r="B82" s="44" t="s">
        <v>796</v>
      </c>
      <c r="E82" s="44"/>
      <c r="F82" s="44"/>
      <c r="G82" s="44"/>
      <c r="H82" s="44"/>
      <c r="I82" s="44"/>
      <c r="J82" s="44"/>
      <c r="K82" s="44"/>
      <c r="L82" s="44"/>
      <c r="M82" s="44"/>
    </row>
    <row r="83" spans="1:13" ht="15" customHeight="1" x14ac:dyDescent="0.25">
      <c r="A83" s="16"/>
      <c r="B83" s="44"/>
      <c r="C83" s="44"/>
      <c r="D83" s="44"/>
      <c r="E83" s="44"/>
      <c r="F83" s="44"/>
      <c r="G83" s="44"/>
      <c r="H83" s="44"/>
      <c r="I83" s="44"/>
      <c r="J83" s="44"/>
      <c r="K83" s="44"/>
      <c r="L83" s="44"/>
      <c r="M83" s="44"/>
    </row>
    <row r="84" spans="1:13" ht="15" customHeight="1" x14ac:dyDescent="0.25">
      <c r="A84" s="16"/>
      <c r="B84" s="44" t="s">
        <v>797</v>
      </c>
      <c r="C84" s="44"/>
      <c r="D84" s="44"/>
      <c r="E84" s="44"/>
      <c r="F84" s="44"/>
      <c r="G84" s="44"/>
      <c r="H84" s="44"/>
      <c r="I84" s="44"/>
      <c r="J84" s="44"/>
      <c r="K84" s="44"/>
      <c r="L84" s="44"/>
      <c r="M84" s="44"/>
    </row>
    <row r="85" spans="1:13" ht="15" customHeight="1" x14ac:dyDescent="0.25">
      <c r="A85" s="16"/>
      <c r="B85" s="44" t="s">
        <v>794</v>
      </c>
      <c r="C85" s="44"/>
      <c r="D85" s="44"/>
      <c r="E85" s="44"/>
      <c r="F85" s="44"/>
      <c r="G85" s="44"/>
      <c r="H85" s="44"/>
      <c r="I85" s="44"/>
      <c r="J85" s="44"/>
      <c r="K85" s="44"/>
      <c r="L85" s="44"/>
      <c r="M85" s="44"/>
    </row>
    <row r="86" spans="1:13" ht="15" customHeight="1" x14ac:dyDescent="0.25">
      <c r="A86" s="16"/>
      <c r="B86" s="44" t="s">
        <v>798</v>
      </c>
      <c r="C86" s="44"/>
      <c r="D86" s="44"/>
      <c r="E86" s="44"/>
      <c r="F86" s="44"/>
      <c r="G86" s="44"/>
      <c r="H86" s="44"/>
      <c r="I86" s="44"/>
      <c r="J86" s="44"/>
      <c r="K86" s="44"/>
      <c r="L86" s="44"/>
      <c r="M86" s="44"/>
    </row>
    <row r="87" spans="1:13" ht="15" customHeight="1" x14ac:dyDescent="0.25">
      <c r="A87" s="16"/>
      <c r="B87" s="44" t="s">
        <v>180</v>
      </c>
      <c r="C87" s="44"/>
      <c r="D87" s="44"/>
      <c r="E87" s="44"/>
      <c r="F87" s="44"/>
      <c r="G87" s="44"/>
      <c r="H87" s="44"/>
      <c r="I87" s="44"/>
      <c r="J87" s="44"/>
      <c r="K87" s="44"/>
      <c r="L87" s="44"/>
      <c r="M87" s="44"/>
    </row>
    <row r="88" spans="1:13" ht="15" customHeight="1" x14ac:dyDescent="0.25">
      <c r="A88" s="16"/>
      <c r="B88" s="44"/>
      <c r="C88" s="44"/>
      <c r="D88" s="44"/>
      <c r="E88" s="44"/>
      <c r="F88" s="44"/>
      <c r="G88" s="44"/>
      <c r="H88" s="44"/>
      <c r="I88" s="44"/>
      <c r="J88" s="44"/>
      <c r="K88" s="44"/>
      <c r="L88" s="44"/>
      <c r="M88" s="44"/>
    </row>
    <row r="89" spans="1:13" ht="15" customHeight="1" x14ac:dyDescent="0.25">
      <c r="A89" s="16"/>
      <c r="B89" s="44" t="s">
        <v>799</v>
      </c>
      <c r="C89" s="1"/>
      <c r="D89" s="1"/>
      <c r="E89" s="1">
        <v>0</v>
      </c>
      <c r="F89" s="44"/>
      <c r="G89" s="44"/>
      <c r="H89" s="44"/>
      <c r="I89" s="44"/>
      <c r="J89" s="44"/>
      <c r="K89" s="44"/>
      <c r="L89" s="44"/>
      <c r="M89" s="44"/>
    </row>
    <row r="90" spans="1:13" ht="15" customHeight="1" x14ac:dyDescent="0.25">
      <c r="A90" s="16"/>
      <c r="B90" s="44" t="s">
        <v>179</v>
      </c>
      <c r="C90" s="1"/>
      <c r="D90" s="44"/>
      <c r="E90" s="44"/>
      <c r="F90" s="44"/>
      <c r="G90" s="44"/>
      <c r="H90" s="44"/>
      <c r="I90" s="44"/>
      <c r="J90" s="44"/>
      <c r="K90" s="44"/>
      <c r="L90" s="44"/>
      <c r="M90" s="44"/>
    </row>
    <row r="91" spans="1:13" ht="15" customHeight="1" x14ac:dyDescent="0.25">
      <c r="A91" s="16"/>
      <c r="B91" s="44"/>
      <c r="C91" s="1"/>
      <c r="D91" s="44"/>
      <c r="E91" s="44"/>
      <c r="F91" s="44"/>
      <c r="G91" s="44"/>
      <c r="H91" s="44"/>
      <c r="I91" s="44"/>
      <c r="J91" s="44"/>
      <c r="K91" s="44"/>
      <c r="L91" s="44"/>
      <c r="M91" s="44"/>
    </row>
    <row r="92" spans="1:13" ht="15" customHeight="1" x14ac:dyDescent="0.25">
      <c r="A92" s="16"/>
      <c r="B92" s="44" t="s">
        <v>800</v>
      </c>
      <c r="C92" s="1"/>
      <c r="D92" s="44"/>
      <c r="E92" s="44"/>
      <c r="F92" s="44"/>
      <c r="G92" s="44"/>
      <c r="H92" s="44"/>
      <c r="I92" s="44"/>
      <c r="J92" s="44"/>
      <c r="K92" s="44"/>
      <c r="L92" s="44"/>
      <c r="M92" s="44"/>
    </row>
    <row r="93" spans="1:13" ht="15" customHeight="1" x14ac:dyDescent="0.25">
      <c r="A93" s="16"/>
      <c r="B93" s="44" t="s">
        <v>801</v>
      </c>
      <c r="C93" s="1"/>
      <c r="D93" s="44"/>
      <c r="E93" s="44"/>
      <c r="F93" s="44"/>
      <c r="G93" s="44"/>
      <c r="H93" s="44"/>
      <c r="I93" s="44"/>
      <c r="J93" s="44"/>
      <c r="K93" s="44"/>
      <c r="L93" s="44"/>
      <c r="M93" s="44"/>
    </row>
    <row r="94" spans="1:13" ht="15" customHeight="1" x14ac:dyDescent="0.25">
      <c r="A94" s="16"/>
      <c r="B94" s="44" t="s">
        <v>802</v>
      </c>
      <c r="C94" s="1"/>
      <c r="D94" s="44"/>
      <c r="E94" s="44"/>
      <c r="F94" s="44"/>
      <c r="G94" s="44"/>
      <c r="H94" s="44"/>
      <c r="I94" s="44"/>
      <c r="J94" s="44"/>
      <c r="K94" s="44"/>
      <c r="L94" s="44"/>
      <c r="M94" s="44"/>
    </row>
    <row r="95" spans="1:13" ht="15" customHeight="1" x14ac:dyDescent="0.25">
      <c r="A95" s="16"/>
      <c r="B95" s="44" t="s">
        <v>803</v>
      </c>
      <c r="C95" s="1"/>
      <c r="D95" s="52"/>
      <c r="E95" s="52">
        <v>0</v>
      </c>
      <c r="F95" s="44"/>
      <c r="G95" s="44"/>
      <c r="H95" s="44"/>
      <c r="I95" s="44"/>
      <c r="J95" s="44"/>
      <c r="K95" s="44"/>
      <c r="L95" s="44"/>
      <c r="M95" s="44"/>
    </row>
    <row r="96" spans="1:13" ht="15" customHeight="1" x14ac:dyDescent="0.25">
      <c r="A96" s="16"/>
      <c r="B96" s="44"/>
      <c r="C96" s="1"/>
      <c r="D96" s="44"/>
      <c r="E96" s="44"/>
      <c r="F96" s="44"/>
      <c r="G96" s="44"/>
      <c r="H96" s="44"/>
      <c r="I96" s="44"/>
      <c r="J96" s="44"/>
      <c r="K96" s="44"/>
      <c r="L96" s="44"/>
      <c r="M96" s="44"/>
    </row>
    <row r="97" spans="1:13" ht="15" customHeight="1" x14ac:dyDescent="0.25">
      <c r="A97" s="16"/>
      <c r="B97" s="44" t="s">
        <v>804</v>
      </c>
      <c r="C97" s="1"/>
      <c r="E97" s="44"/>
      <c r="F97" s="44"/>
      <c r="G97" s="44"/>
      <c r="H97" s="44"/>
      <c r="I97" s="44"/>
      <c r="J97" s="44"/>
      <c r="K97" s="44"/>
      <c r="L97" s="44"/>
      <c r="M97" s="44"/>
    </row>
    <row r="98" spans="1:13" ht="15" customHeight="1" x14ac:dyDescent="0.25">
      <c r="A98" s="16"/>
      <c r="B98" s="44" t="s">
        <v>805</v>
      </c>
      <c r="C98" s="1"/>
      <c r="D98" s="44"/>
      <c r="E98" s="146"/>
      <c r="F98" s="146"/>
      <c r="G98" s="146"/>
      <c r="H98" s="146"/>
      <c r="I98" s="146"/>
      <c r="J98" s="146"/>
      <c r="K98" s="146"/>
      <c r="L98" s="146"/>
      <c r="M98" s="146"/>
    </row>
    <row r="99" spans="1:13" ht="15" customHeight="1" x14ac:dyDescent="0.25">
      <c r="A99" s="16"/>
      <c r="B99" s="44"/>
      <c r="C99" s="44"/>
      <c r="D99" s="44"/>
      <c r="E99" s="44"/>
      <c r="F99" s="44"/>
      <c r="G99" s="44"/>
      <c r="H99" s="44"/>
      <c r="I99" s="44"/>
      <c r="J99" s="44"/>
      <c r="K99" s="44"/>
      <c r="L99" s="44"/>
      <c r="M99" s="44"/>
    </row>
    <row r="100" spans="1:13" ht="15" customHeight="1" x14ac:dyDescent="0.25">
      <c r="A100" s="16" t="s">
        <v>806</v>
      </c>
      <c r="B100" s="44"/>
      <c r="C100" s="44"/>
      <c r="D100" s="44"/>
      <c r="E100" s="44"/>
      <c r="F100" s="44"/>
      <c r="G100" s="44"/>
      <c r="H100" s="44"/>
      <c r="I100" s="44"/>
      <c r="J100" s="44"/>
      <c r="K100" s="44"/>
      <c r="L100" s="44"/>
      <c r="M100" s="44"/>
    </row>
    <row r="101" spans="1:13" ht="15" customHeight="1" x14ac:dyDescent="0.25">
      <c r="A101" s="16"/>
      <c r="B101" s="2" t="s">
        <v>807</v>
      </c>
      <c r="C101" s="44"/>
      <c r="E101" s="44"/>
      <c r="F101" s="44"/>
      <c r="G101" s="44"/>
      <c r="H101" s="44"/>
      <c r="I101" s="44"/>
      <c r="J101" s="44"/>
      <c r="K101" s="44"/>
      <c r="L101" s="44"/>
      <c r="M101" s="44"/>
    </row>
    <row r="102" spans="1:13" ht="15" customHeight="1" x14ac:dyDescent="0.25">
      <c r="A102" s="16"/>
      <c r="B102" s="2" t="s">
        <v>489</v>
      </c>
      <c r="C102" s="44"/>
      <c r="D102" s="2"/>
      <c r="E102" s="44"/>
      <c r="F102" s="44"/>
      <c r="G102" s="44"/>
      <c r="H102" s="44"/>
      <c r="I102" s="44"/>
      <c r="J102" s="44"/>
      <c r="K102" s="44"/>
      <c r="L102" s="44"/>
      <c r="M102" s="44"/>
    </row>
    <row r="103" spans="1:13" ht="15" customHeight="1" x14ac:dyDescent="0.25">
      <c r="A103" s="16"/>
      <c r="B103" s="2" t="s">
        <v>96</v>
      </c>
      <c r="C103" s="44"/>
      <c r="D103" s="44"/>
      <c r="E103" s="44"/>
      <c r="F103" s="44"/>
      <c r="G103" s="44"/>
      <c r="H103" s="44"/>
      <c r="I103" s="44"/>
      <c r="J103" s="44"/>
      <c r="K103" s="44"/>
      <c r="L103" s="44"/>
      <c r="M103" s="44"/>
    </row>
    <row r="104" spans="1:13" ht="15" customHeight="1" x14ac:dyDescent="0.25">
      <c r="A104" s="16"/>
      <c r="B104" s="2" t="s">
        <v>808</v>
      </c>
      <c r="C104" s="44"/>
      <c r="D104" s="44"/>
      <c r="E104" s="44"/>
      <c r="F104" s="44"/>
      <c r="G104" s="44"/>
      <c r="H104" s="44"/>
      <c r="I104" s="44"/>
      <c r="J104" s="44"/>
      <c r="K104" s="44"/>
      <c r="L104" s="44"/>
      <c r="M104" s="44"/>
    </row>
    <row r="105" spans="1:13" ht="15" customHeight="1" x14ac:dyDescent="0.25">
      <c r="A105" s="16"/>
      <c r="B105" s="44"/>
      <c r="C105" s="44"/>
      <c r="D105" s="44"/>
      <c r="E105" s="44"/>
      <c r="F105" s="44"/>
      <c r="G105" s="44"/>
      <c r="H105" s="44"/>
      <c r="I105" s="44"/>
      <c r="J105" s="44"/>
      <c r="K105" s="44"/>
      <c r="L105" s="44"/>
      <c r="M105" s="44"/>
    </row>
    <row r="106" spans="1:13" ht="15" customHeight="1" x14ac:dyDescent="0.25">
      <c r="A106" s="16"/>
      <c r="B106" s="2" t="s">
        <v>809</v>
      </c>
      <c r="C106" s="44"/>
      <c r="D106" s="44"/>
      <c r="E106" s="44"/>
      <c r="F106" s="44"/>
      <c r="G106" s="44"/>
      <c r="H106" s="44"/>
      <c r="I106" s="44"/>
      <c r="J106" s="44"/>
      <c r="K106" s="44"/>
      <c r="L106" s="44"/>
      <c r="M106" s="44"/>
    </row>
    <row r="107" spans="1:13" ht="15" customHeight="1" x14ac:dyDescent="0.25">
      <c r="A107" s="16"/>
      <c r="B107" s="2" t="s">
        <v>810</v>
      </c>
      <c r="D107" s="146"/>
      <c r="E107" s="146"/>
      <c r="F107" s="44"/>
      <c r="G107" s="44"/>
      <c r="H107" s="44"/>
      <c r="I107" s="44"/>
      <c r="J107" s="44"/>
      <c r="K107" s="44"/>
      <c r="L107" s="44"/>
      <c r="M107" s="44"/>
    </row>
    <row r="108" spans="1:13" ht="15" customHeight="1" x14ac:dyDescent="0.25">
      <c r="A108" s="16"/>
      <c r="B108" s="44"/>
      <c r="C108" s="44"/>
      <c r="D108" s="44"/>
      <c r="E108" s="44"/>
      <c r="F108" s="44"/>
      <c r="G108" s="44"/>
      <c r="H108" s="44"/>
      <c r="I108" s="44"/>
      <c r="J108" s="44"/>
      <c r="K108" s="44"/>
      <c r="L108" s="44"/>
      <c r="M108" s="44"/>
    </row>
    <row r="109" spans="1:13" ht="15" customHeight="1" x14ac:dyDescent="0.25">
      <c r="A109" s="16" t="s">
        <v>811</v>
      </c>
      <c r="B109" s="44"/>
      <c r="C109" s="44"/>
      <c r="D109" s="44"/>
      <c r="E109" s="44"/>
      <c r="F109" s="44"/>
      <c r="G109" s="44"/>
      <c r="H109" s="44"/>
      <c r="I109" s="44"/>
      <c r="J109" s="44"/>
      <c r="K109" s="44"/>
      <c r="L109" s="44"/>
      <c r="M109" s="44"/>
    </row>
    <row r="110" spans="1:13" ht="15" customHeight="1" x14ac:dyDescent="0.25">
      <c r="A110" s="16"/>
      <c r="B110" s="2" t="s">
        <v>812</v>
      </c>
      <c r="C110" s="44"/>
      <c r="D110" s="44"/>
      <c r="E110" s="44"/>
      <c r="F110" s="44"/>
      <c r="G110" s="44"/>
      <c r="H110" s="44"/>
      <c r="I110" s="44"/>
      <c r="J110" s="44"/>
      <c r="K110" s="44"/>
      <c r="L110" s="44"/>
      <c r="M110" s="44"/>
    </row>
    <row r="111" spans="1:13" ht="15" customHeight="1" x14ac:dyDescent="0.25">
      <c r="A111" s="16"/>
      <c r="B111" s="44"/>
      <c r="E111" s="44"/>
      <c r="F111" s="134" t="s">
        <v>774</v>
      </c>
      <c r="L111" s="44"/>
      <c r="M111" s="44"/>
    </row>
    <row r="112" spans="1:13" ht="15" customHeight="1" x14ac:dyDescent="0.25">
      <c r="A112" s="16"/>
      <c r="B112" s="44"/>
      <c r="E112" s="148"/>
      <c r="F112" s="147">
        <v>5</v>
      </c>
      <c r="G112" s="147">
        <v>6</v>
      </c>
      <c r="H112" s="147">
        <v>7</v>
      </c>
      <c r="I112" s="44"/>
      <c r="J112" s="148"/>
      <c r="K112" s="147">
        <v>5</v>
      </c>
      <c r="L112" s="147">
        <v>6</v>
      </c>
      <c r="M112" s="147">
        <v>7</v>
      </c>
    </row>
    <row r="113" spans="1:13" ht="15" customHeight="1" x14ac:dyDescent="0.25">
      <c r="A113" s="16"/>
      <c r="B113" s="44"/>
      <c r="E113" s="291">
        <v>-0.1</v>
      </c>
      <c r="F113" s="128"/>
      <c r="G113" s="128"/>
      <c r="H113" s="128"/>
      <c r="J113" s="284">
        <f t="shared" ref="J113:J131" si="1">J114-1</f>
        <v>20</v>
      </c>
      <c r="K113" s="128"/>
      <c r="L113" s="128"/>
      <c r="M113" s="128"/>
    </row>
    <row r="114" spans="1:13" ht="15" customHeight="1" x14ac:dyDescent="0.25">
      <c r="A114" s="16"/>
      <c r="B114" s="44"/>
      <c r="E114" s="291">
        <f>E113+0.05</f>
        <v>-0.05</v>
      </c>
      <c r="F114" s="128"/>
      <c r="G114" s="128"/>
      <c r="H114" s="128"/>
      <c r="I114" s="44"/>
      <c r="J114" s="284">
        <f t="shared" si="1"/>
        <v>21</v>
      </c>
      <c r="K114" s="128"/>
      <c r="L114" s="128"/>
      <c r="M114" s="128"/>
    </row>
    <row r="115" spans="1:13" ht="15" customHeight="1" x14ac:dyDescent="0.25">
      <c r="A115" s="16"/>
      <c r="B115" s="44"/>
      <c r="E115" s="291">
        <f t="shared" ref="E115:E133" si="2">E114+0.05</f>
        <v>0</v>
      </c>
      <c r="F115" s="128"/>
      <c r="G115" s="128"/>
      <c r="H115" s="128"/>
      <c r="I115" s="44"/>
      <c r="J115" s="284">
        <f t="shared" si="1"/>
        <v>22</v>
      </c>
      <c r="K115" s="128"/>
      <c r="L115" s="128"/>
      <c r="M115" s="128"/>
    </row>
    <row r="116" spans="1:13" ht="15" customHeight="1" x14ac:dyDescent="0.25">
      <c r="A116" s="16"/>
      <c r="B116" s="44"/>
      <c r="E116" s="291">
        <f t="shared" si="2"/>
        <v>0.05</v>
      </c>
      <c r="F116" s="128"/>
      <c r="G116" s="128"/>
      <c r="H116" s="128"/>
      <c r="I116" s="44"/>
      <c r="J116" s="284">
        <f t="shared" si="1"/>
        <v>23</v>
      </c>
      <c r="K116" s="128"/>
      <c r="L116" s="128"/>
      <c r="M116" s="128"/>
    </row>
    <row r="117" spans="1:13" ht="15" customHeight="1" x14ac:dyDescent="0.25">
      <c r="A117" s="16"/>
      <c r="B117" s="44"/>
      <c r="E117" s="291">
        <f t="shared" si="2"/>
        <v>0.1</v>
      </c>
      <c r="F117" s="128"/>
      <c r="G117" s="128"/>
      <c r="H117" s="128"/>
      <c r="I117" s="44"/>
      <c r="J117" s="284">
        <f t="shared" si="1"/>
        <v>24</v>
      </c>
      <c r="K117" s="128"/>
      <c r="L117" s="128"/>
      <c r="M117" s="128"/>
    </row>
    <row r="118" spans="1:13" ht="15" customHeight="1" x14ac:dyDescent="0.25">
      <c r="A118" s="16"/>
      <c r="B118" s="44"/>
      <c r="E118" s="291">
        <f t="shared" si="2"/>
        <v>0.15000000000000002</v>
      </c>
      <c r="F118" s="128"/>
      <c r="G118" s="128"/>
      <c r="H118" s="128"/>
      <c r="I118" s="44"/>
      <c r="J118" s="284">
        <f t="shared" si="1"/>
        <v>25</v>
      </c>
      <c r="K118" s="128"/>
      <c r="L118" s="128"/>
      <c r="M118" s="128"/>
    </row>
    <row r="119" spans="1:13" ht="15" customHeight="1" x14ac:dyDescent="0.25">
      <c r="A119" s="16"/>
      <c r="B119" s="2" t="s">
        <v>813</v>
      </c>
      <c r="E119" s="291">
        <f t="shared" si="2"/>
        <v>0.2</v>
      </c>
      <c r="F119" s="128"/>
      <c r="G119" s="128"/>
      <c r="H119" s="128"/>
      <c r="I119" s="44" t="s">
        <v>814</v>
      </c>
      <c r="J119" s="284">
        <f t="shared" si="1"/>
        <v>26</v>
      </c>
      <c r="K119" s="128"/>
      <c r="L119" s="128"/>
      <c r="M119" s="128"/>
    </row>
    <row r="120" spans="1:13" ht="15" customHeight="1" x14ac:dyDescent="0.25">
      <c r="A120" s="16"/>
      <c r="B120" s="44"/>
      <c r="E120" s="291">
        <f t="shared" si="2"/>
        <v>0.25</v>
      </c>
      <c r="F120" s="128"/>
      <c r="G120" s="128"/>
      <c r="H120" s="128"/>
      <c r="I120" s="44" t="s">
        <v>815</v>
      </c>
      <c r="J120" s="284">
        <f t="shared" si="1"/>
        <v>27</v>
      </c>
      <c r="K120" s="128"/>
      <c r="L120" s="128"/>
      <c r="M120" s="128"/>
    </row>
    <row r="121" spans="1:13" ht="15" customHeight="1" x14ac:dyDescent="0.25">
      <c r="A121" s="16"/>
      <c r="B121" s="44"/>
      <c r="E121" s="291">
        <f t="shared" si="2"/>
        <v>0.3</v>
      </c>
      <c r="F121" s="128"/>
      <c r="G121" s="128"/>
      <c r="H121" s="128"/>
      <c r="I121" s="44"/>
      <c r="J121" s="284">
        <f t="shared" si="1"/>
        <v>28</v>
      </c>
      <c r="K121" s="128"/>
      <c r="L121" s="128"/>
      <c r="M121" s="128"/>
    </row>
    <row r="122" spans="1:13" ht="15" customHeight="1" x14ac:dyDescent="0.25">
      <c r="A122" s="16"/>
      <c r="B122" s="44"/>
      <c r="E122" s="291">
        <f t="shared" si="2"/>
        <v>0.35</v>
      </c>
      <c r="F122" s="128"/>
      <c r="G122" s="128"/>
      <c r="H122" s="128"/>
      <c r="I122" s="44"/>
      <c r="J122" s="284">
        <f t="shared" si="1"/>
        <v>29</v>
      </c>
      <c r="K122" s="128"/>
      <c r="L122" s="128"/>
      <c r="M122" s="128"/>
    </row>
    <row r="123" spans="1:13" ht="15" customHeight="1" x14ac:dyDescent="0.25">
      <c r="A123" s="16"/>
      <c r="B123" s="44"/>
      <c r="E123" s="291">
        <f t="shared" si="2"/>
        <v>0.39999999999999997</v>
      </c>
      <c r="F123" s="128"/>
      <c r="G123" s="128"/>
      <c r="H123" s="128"/>
      <c r="I123" s="44"/>
      <c r="J123" s="284">
        <f t="shared" si="1"/>
        <v>30</v>
      </c>
      <c r="K123" s="128"/>
      <c r="L123" s="128"/>
      <c r="M123" s="128"/>
    </row>
    <row r="124" spans="1:13" ht="15" customHeight="1" x14ac:dyDescent="0.25">
      <c r="A124" s="16"/>
      <c r="B124" s="44"/>
      <c r="E124" s="291">
        <f t="shared" si="2"/>
        <v>0.44999999999999996</v>
      </c>
      <c r="F124" s="128"/>
      <c r="G124" s="128"/>
      <c r="H124" s="128"/>
      <c r="I124" s="44"/>
      <c r="J124" s="284">
        <f t="shared" si="1"/>
        <v>31</v>
      </c>
      <c r="K124" s="128"/>
      <c r="L124" s="128"/>
      <c r="M124" s="128"/>
    </row>
    <row r="125" spans="1:13" ht="15" customHeight="1" x14ac:dyDescent="0.25">
      <c r="A125" s="16"/>
      <c r="B125" s="44"/>
      <c r="E125" s="291">
        <f t="shared" si="2"/>
        <v>0.49999999999999994</v>
      </c>
      <c r="F125" s="128"/>
      <c r="G125" s="128"/>
      <c r="H125" s="128"/>
      <c r="I125" s="44"/>
      <c r="J125" s="284">
        <f t="shared" si="1"/>
        <v>32</v>
      </c>
      <c r="K125" s="128"/>
      <c r="L125" s="128"/>
      <c r="M125" s="128"/>
    </row>
    <row r="126" spans="1:13" ht="15" customHeight="1" x14ac:dyDescent="0.25">
      <c r="A126" s="16"/>
      <c r="B126" s="44"/>
      <c r="E126" s="291">
        <f t="shared" si="2"/>
        <v>0.54999999999999993</v>
      </c>
      <c r="F126" s="128"/>
      <c r="G126" s="128"/>
      <c r="H126" s="128"/>
      <c r="I126" s="44"/>
      <c r="J126" s="284">
        <f t="shared" si="1"/>
        <v>33</v>
      </c>
      <c r="K126" s="128"/>
      <c r="L126" s="128"/>
      <c r="M126" s="128"/>
    </row>
    <row r="127" spans="1:13" ht="15" customHeight="1" x14ac:dyDescent="0.25">
      <c r="A127" s="16"/>
      <c r="B127" s="44"/>
      <c r="E127" s="291">
        <f t="shared" si="2"/>
        <v>0.6</v>
      </c>
      <c r="F127" s="128"/>
      <c r="G127" s="128"/>
      <c r="H127" s="128"/>
      <c r="I127" s="44"/>
      <c r="J127" s="284">
        <f t="shared" si="1"/>
        <v>34</v>
      </c>
      <c r="K127" s="128"/>
      <c r="L127" s="128"/>
      <c r="M127" s="128"/>
    </row>
    <row r="128" spans="1:13" ht="15" customHeight="1" x14ac:dyDescent="0.25">
      <c r="A128" s="16"/>
      <c r="B128" s="44"/>
      <c r="E128" s="291">
        <f t="shared" si="2"/>
        <v>0.65</v>
      </c>
      <c r="F128" s="128"/>
      <c r="G128" s="128"/>
      <c r="H128" s="128"/>
      <c r="I128" s="44"/>
      <c r="J128" s="284">
        <f t="shared" si="1"/>
        <v>35</v>
      </c>
      <c r="K128" s="128"/>
      <c r="L128" s="128"/>
      <c r="M128" s="128"/>
    </row>
    <row r="129" spans="1:13" ht="15" customHeight="1" x14ac:dyDescent="0.25">
      <c r="A129" s="16"/>
      <c r="B129" s="44"/>
      <c r="E129" s="291">
        <f t="shared" si="2"/>
        <v>0.70000000000000007</v>
      </c>
      <c r="F129" s="128"/>
      <c r="G129" s="128"/>
      <c r="H129" s="128"/>
      <c r="I129" s="44"/>
      <c r="J129" s="284">
        <f t="shared" si="1"/>
        <v>36</v>
      </c>
      <c r="K129" s="128"/>
      <c r="L129" s="128"/>
      <c r="M129" s="128"/>
    </row>
    <row r="130" spans="1:13" ht="15" customHeight="1" x14ac:dyDescent="0.25">
      <c r="A130" s="16"/>
      <c r="B130" s="44"/>
      <c r="E130" s="291">
        <f t="shared" si="2"/>
        <v>0.75000000000000011</v>
      </c>
      <c r="F130" s="128"/>
      <c r="G130" s="128"/>
      <c r="H130" s="128"/>
      <c r="I130" s="44"/>
      <c r="J130" s="284">
        <f t="shared" si="1"/>
        <v>37</v>
      </c>
      <c r="K130" s="128"/>
      <c r="L130" s="128"/>
      <c r="M130" s="128"/>
    </row>
    <row r="131" spans="1:13" ht="15" customHeight="1" x14ac:dyDescent="0.25">
      <c r="A131" s="16"/>
      <c r="B131" s="44"/>
      <c r="C131" s="128"/>
      <c r="E131" s="291">
        <f t="shared" si="2"/>
        <v>0.80000000000000016</v>
      </c>
      <c r="F131" s="128"/>
      <c r="G131" s="128"/>
      <c r="H131" s="128"/>
      <c r="I131" s="44"/>
      <c r="J131" s="284">
        <f t="shared" si="1"/>
        <v>38</v>
      </c>
      <c r="K131" s="128"/>
      <c r="L131" s="128"/>
      <c r="M131" s="128"/>
    </row>
    <row r="132" spans="1:13" ht="15" customHeight="1" x14ac:dyDescent="0.25">
      <c r="B132" s="44"/>
      <c r="C132" s="44"/>
      <c r="E132" s="291">
        <f t="shared" si="2"/>
        <v>0.8500000000000002</v>
      </c>
      <c r="F132" s="128"/>
      <c r="G132" s="128"/>
      <c r="H132" s="128"/>
      <c r="I132" s="44"/>
      <c r="J132" s="284">
        <f>J133-1</f>
        <v>39</v>
      </c>
      <c r="K132" s="128"/>
      <c r="L132" s="128"/>
      <c r="M132" s="128"/>
    </row>
    <row r="133" spans="1:13" ht="15" customHeight="1" x14ac:dyDescent="0.25">
      <c r="E133" s="291">
        <f t="shared" si="2"/>
        <v>0.90000000000000024</v>
      </c>
      <c r="F133" s="128"/>
      <c r="G133" s="128"/>
      <c r="H133" s="128"/>
      <c r="J133" s="284">
        <v>40</v>
      </c>
      <c r="K133" s="128"/>
      <c r="L133" s="128"/>
      <c r="M133" s="128"/>
    </row>
    <row r="134" spans="1:13" ht="15" customHeight="1" x14ac:dyDescent="0.25">
      <c r="F134" s="128"/>
      <c r="G134" s="128"/>
      <c r="H134" s="128"/>
    </row>
    <row r="135" spans="1:13" ht="15" customHeight="1" x14ac:dyDescent="0.25">
      <c r="A135" s="16" t="s">
        <v>137</v>
      </c>
      <c r="F135" s="128"/>
      <c r="G135" s="128"/>
      <c r="H135" s="128"/>
    </row>
    <row r="136" spans="1:13" ht="15" customHeight="1" x14ac:dyDescent="0.25">
      <c r="F136" s="128"/>
      <c r="G136" s="128"/>
      <c r="H136" s="128"/>
    </row>
    <row r="137" spans="1:13" ht="15" customHeight="1" x14ac:dyDescent="0.25">
      <c r="F137" s="128"/>
      <c r="G137" s="128"/>
      <c r="H137" s="128"/>
    </row>
    <row r="138" spans="1:13" ht="15" customHeight="1" x14ac:dyDescent="0.25">
      <c r="F138" s="128"/>
      <c r="G138" s="128"/>
      <c r="H138" s="128"/>
    </row>
    <row r="139" spans="1:13" ht="15" customHeight="1" x14ac:dyDescent="0.25">
      <c r="F139" s="128"/>
      <c r="G139" s="128"/>
      <c r="H139" s="128"/>
    </row>
    <row r="140" spans="1:13" ht="15" customHeight="1" x14ac:dyDescent="0.25">
      <c r="F140" s="128"/>
      <c r="G140" s="128"/>
      <c r="H140" s="128"/>
    </row>
    <row r="141" spans="1:13" ht="15" customHeight="1" x14ac:dyDescent="0.25">
      <c r="F141" s="128"/>
      <c r="G141" s="128"/>
      <c r="H141" s="128"/>
    </row>
    <row r="142" spans="1:13" ht="15" customHeight="1" x14ac:dyDescent="0.25">
      <c r="F142" s="128"/>
      <c r="G142" s="128"/>
      <c r="H142" s="128"/>
    </row>
    <row r="143" spans="1:13" ht="15" customHeight="1" x14ac:dyDescent="0.25">
      <c r="F143" s="128"/>
      <c r="G143" s="128"/>
      <c r="H143" s="128"/>
    </row>
    <row r="144" spans="1:13" ht="15" customHeight="1" x14ac:dyDescent="0.25">
      <c r="F144" s="128"/>
      <c r="G144" s="128"/>
      <c r="H144" s="128"/>
    </row>
    <row r="145" spans="6:8" ht="15" customHeight="1" x14ac:dyDescent="0.25">
      <c r="F145" s="128"/>
      <c r="G145" s="128"/>
      <c r="H145" s="128"/>
    </row>
    <row r="146" spans="6:8" ht="15" customHeight="1" x14ac:dyDescent="0.25">
      <c r="F146" s="128"/>
      <c r="G146" s="128"/>
      <c r="H146" s="128"/>
    </row>
    <row r="147" spans="6:8" ht="15" customHeight="1" x14ac:dyDescent="0.25">
      <c r="F147" s="128"/>
      <c r="G147" s="128"/>
      <c r="H147" s="128"/>
    </row>
    <row r="148" spans="6:8" ht="15" customHeight="1" x14ac:dyDescent="0.25">
      <c r="F148" s="128"/>
      <c r="G148" s="128"/>
      <c r="H148" s="128"/>
    </row>
    <row r="149" spans="6:8" ht="15" customHeight="1" x14ac:dyDescent="0.25">
      <c r="F149" s="128"/>
      <c r="G149" s="128"/>
      <c r="H149" s="128"/>
    </row>
    <row r="150" spans="6:8" ht="15" customHeight="1" x14ac:dyDescent="0.25">
      <c r="F150" s="128"/>
      <c r="G150" s="128"/>
      <c r="H150" s="128"/>
    </row>
    <row r="151" spans="6:8" ht="15" customHeight="1" x14ac:dyDescent="0.25">
      <c r="F151" s="128"/>
      <c r="G151" s="128"/>
      <c r="H151" s="128"/>
    </row>
    <row r="152" spans="6:8" ht="15" customHeight="1" x14ac:dyDescent="0.25">
      <c r="F152" s="128"/>
      <c r="G152" s="128"/>
      <c r="H152" s="128"/>
    </row>
    <row r="153" spans="6:8" ht="15" customHeight="1" x14ac:dyDescent="0.25">
      <c r="F153" s="128"/>
      <c r="G153" s="128"/>
      <c r="H153" s="128"/>
    </row>
    <row r="154" spans="6:8" ht="15" customHeight="1" x14ac:dyDescent="0.25">
      <c r="F154" s="128"/>
      <c r="G154" s="128"/>
      <c r="H154" s="128"/>
    </row>
    <row r="155" spans="6:8" ht="15" customHeight="1" x14ac:dyDescent="0.25">
      <c r="F155" s="128"/>
      <c r="G155" s="128"/>
      <c r="H155" s="128"/>
    </row>
    <row r="156" spans="6:8" ht="15" customHeight="1" x14ac:dyDescent="0.25">
      <c r="F156" s="128"/>
      <c r="G156" s="128"/>
      <c r="H156" s="128"/>
    </row>
    <row r="157" spans="6:8" ht="15" customHeight="1" x14ac:dyDescent="0.25">
      <c r="F157" s="128"/>
      <c r="G157" s="128"/>
      <c r="H157" s="128"/>
    </row>
    <row r="158" spans="6:8" ht="15" customHeight="1" x14ac:dyDescent="0.25">
      <c r="F158" s="128"/>
      <c r="G158" s="128"/>
      <c r="H158" s="128"/>
    </row>
    <row r="159" spans="6:8" ht="15" customHeight="1" x14ac:dyDescent="0.25">
      <c r="F159" s="128"/>
      <c r="G159" s="128"/>
      <c r="H159" s="128"/>
    </row>
    <row r="160" spans="6:8" ht="15" customHeight="1" x14ac:dyDescent="0.25">
      <c r="F160" s="128"/>
      <c r="G160" s="128"/>
      <c r="H160" s="128"/>
    </row>
    <row r="161" spans="6:8" ht="15" customHeight="1" x14ac:dyDescent="0.25">
      <c r="F161" s="128"/>
      <c r="G161" s="128"/>
      <c r="H161" s="128"/>
    </row>
    <row r="162" spans="6:8" ht="15" customHeight="1" x14ac:dyDescent="0.25">
      <c r="F162" s="128"/>
      <c r="G162" s="128"/>
      <c r="H162" s="128"/>
    </row>
    <row r="163" spans="6:8" ht="15" customHeight="1" x14ac:dyDescent="0.25">
      <c r="F163" s="128"/>
      <c r="G163" s="128"/>
      <c r="H163" s="128"/>
    </row>
    <row r="164" spans="6:8" ht="15" customHeight="1" x14ac:dyDescent="0.25">
      <c r="F164" s="128"/>
      <c r="G164" s="128"/>
      <c r="H164" s="128"/>
    </row>
    <row r="165" spans="6:8" ht="15" customHeight="1" x14ac:dyDescent="0.25">
      <c r="F165" s="128"/>
      <c r="G165" s="128"/>
      <c r="H165" s="128"/>
    </row>
    <row r="166" spans="6:8" ht="15" customHeight="1" x14ac:dyDescent="0.25">
      <c r="F166" s="128"/>
      <c r="G166" s="128"/>
      <c r="H166" s="128"/>
    </row>
  </sheetData>
  <printOptions headings="1" gridLines="1"/>
  <pageMargins left="0.70866141732283472" right="0.70866141732283472" top="0.74803149606299213" bottom="0.74803149606299213" header="0" footer="0"/>
  <pageSetup paperSize="9" scale="77" fitToHeight="0" orientation="landscape" r:id="rId1"/>
  <headerFooter>
    <oddHeader>&amp;R&amp;F  &amp;A</oddHeader>
    <oddFooter>&amp;L© 2016&amp;CPage &amp;P of</oddFooter>
  </headerFooter>
  <rowBreaks count="2" manualBreakCount="2">
    <brk id="59" max="15" man="1"/>
    <brk id="99" max="15"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pageSetUpPr fitToPage="1"/>
  </sheetPr>
  <dimension ref="A1:Z42"/>
  <sheetViews>
    <sheetView workbookViewId="0"/>
  </sheetViews>
  <sheetFormatPr defaultColWidth="12.5703125" defaultRowHeight="15" customHeight="1" x14ac:dyDescent="0.25"/>
  <cols>
    <col min="1" max="1" width="1.140625" customWidth="1"/>
    <col min="2" max="2" width="24.28515625" customWidth="1"/>
    <col min="3" max="16" width="10.28515625" customWidth="1"/>
    <col min="17" max="26" width="8" customWidth="1"/>
  </cols>
  <sheetData>
    <row r="1" spans="1:26" ht="45" customHeight="1" x14ac:dyDescent="0.45">
      <c r="A1" s="68" t="s">
        <v>816</v>
      </c>
      <c r="B1" s="68"/>
      <c r="C1" s="68"/>
      <c r="D1" s="68"/>
      <c r="E1" s="68"/>
      <c r="F1" s="68"/>
      <c r="G1" s="68"/>
      <c r="H1" s="68"/>
      <c r="I1" s="68"/>
      <c r="J1" s="68"/>
      <c r="K1" s="68"/>
      <c r="L1" s="68"/>
      <c r="M1" s="68"/>
      <c r="N1" s="68"/>
      <c r="O1" s="68"/>
      <c r="P1" s="68"/>
      <c r="Q1" s="18"/>
      <c r="R1" s="18"/>
      <c r="S1" s="18"/>
      <c r="T1" s="18"/>
      <c r="U1" s="18"/>
      <c r="V1" s="18"/>
      <c r="W1" s="18"/>
      <c r="X1" s="18"/>
      <c r="Y1" s="18"/>
      <c r="Z1" s="18"/>
    </row>
    <row r="2" spans="1:26" ht="15" customHeight="1" x14ac:dyDescent="0.3">
      <c r="A2" s="44"/>
      <c r="B2" s="44"/>
      <c r="C2" s="44"/>
      <c r="D2" s="44"/>
      <c r="E2" s="44"/>
      <c r="F2" s="44"/>
      <c r="G2" s="44"/>
      <c r="H2" s="44"/>
      <c r="I2" s="44"/>
      <c r="J2" s="44"/>
      <c r="K2" s="44"/>
      <c r="L2" s="44"/>
      <c r="M2" s="44"/>
      <c r="N2" s="44"/>
      <c r="O2" s="44"/>
      <c r="P2" s="44"/>
      <c r="Q2" s="19"/>
      <c r="R2" s="19"/>
      <c r="S2" s="19"/>
      <c r="T2" s="19"/>
      <c r="U2" s="19"/>
      <c r="V2" s="19"/>
      <c r="W2" s="19"/>
      <c r="X2" s="19"/>
      <c r="Y2" s="19"/>
      <c r="Z2" s="19"/>
    </row>
    <row r="3" spans="1:26" ht="15" customHeight="1" x14ac:dyDescent="0.3">
      <c r="A3" s="44"/>
      <c r="B3" s="44"/>
      <c r="C3" s="44"/>
      <c r="D3" s="44"/>
      <c r="E3" s="44"/>
      <c r="F3" s="44"/>
      <c r="G3" s="44"/>
      <c r="H3" s="44"/>
      <c r="I3" s="44"/>
      <c r="J3" s="44"/>
      <c r="K3" s="44"/>
      <c r="L3" s="44"/>
      <c r="M3" s="44"/>
      <c r="N3" s="44"/>
      <c r="O3" s="44"/>
      <c r="P3" s="44"/>
      <c r="Q3" s="19"/>
      <c r="R3" s="19"/>
      <c r="S3" s="19"/>
      <c r="T3" s="19"/>
      <c r="U3" s="19"/>
      <c r="V3" s="19"/>
      <c r="W3" s="19"/>
      <c r="X3" s="19"/>
      <c r="Y3" s="19"/>
      <c r="Z3" s="19"/>
    </row>
    <row r="4" spans="1:26" ht="15" customHeight="1" x14ac:dyDescent="0.25">
      <c r="A4" s="44"/>
      <c r="B4" s="44"/>
      <c r="C4" s="44"/>
      <c r="D4" s="44"/>
      <c r="E4" s="44"/>
      <c r="F4" s="44"/>
      <c r="G4" s="44"/>
      <c r="H4" s="44"/>
      <c r="I4" s="44"/>
      <c r="J4" s="44"/>
      <c r="K4" s="44"/>
      <c r="L4" s="44"/>
      <c r="M4" s="44"/>
      <c r="N4" s="44"/>
      <c r="O4" s="44"/>
      <c r="P4" s="44"/>
    </row>
    <row r="5" spans="1:26" ht="15" customHeight="1" x14ac:dyDescent="0.25">
      <c r="A5" s="44"/>
      <c r="B5" s="44"/>
      <c r="C5" s="44"/>
      <c r="D5" s="44"/>
      <c r="E5" s="44"/>
      <c r="F5" s="44"/>
      <c r="G5" s="44"/>
      <c r="H5" s="44"/>
      <c r="I5" s="44"/>
      <c r="J5" s="44"/>
      <c r="K5" s="44"/>
      <c r="L5" s="44"/>
      <c r="M5" s="44"/>
      <c r="N5" s="44"/>
      <c r="O5" s="44"/>
      <c r="P5" s="44"/>
    </row>
    <row r="6" spans="1:26" ht="15" customHeight="1" x14ac:dyDescent="0.25">
      <c r="A6" s="44"/>
      <c r="B6" s="44"/>
      <c r="C6" s="44"/>
      <c r="D6" s="44"/>
      <c r="E6" s="44"/>
      <c r="F6" s="44"/>
      <c r="G6" s="44"/>
      <c r="H6" s="44"/>
      <c r="I6" s="44"/>
      <c r="J6" s="44"/>
      <c r="K6" s="44"/>
      <c r="L6" s="44"/>
      <c r="M6" s="44"/>
      <c r="N6" s="44"/>
      <c r="O6" s="44"/>
      <c r="P6" s="44"/>
    </row>
    <row r="7" spans="1:26" ht="15" customHeight="1" x14ac:dyDescent="0.25">
      <c r="A7" s="44"/>
      <c r="B7" s="44"/>
      <c r="C7" s="44"/>
      <c r="D7" s="44"/>
      <c r="E7" s="44"/>
      <c r="F7" s="44"/>
      <c r="G7" s="44"/>
      <c r="H7" s="44"/>
      <c r="I7" s="44"/>
      <c r="J7" s="44"/>
      <c r="K7" s="44"/>
      <c r="L7" s="44"/>
      <c r="M7" s="44"/>
      <c r="N7" s="44"/>
      <c r="O7" s="44"/>
      <c r="P7" s="44"/>
    </row>
    <row r="8" spans="1:26" ht="15" customHeight="1" x14ac:dyDescent="0.25">
      <c r="A8" s="44"/>
      <c r="B8" s="44"/>
      <c r="C8" s="44"/>
      <c r="D8" s="44"/>
      <c r="E8" s="44"/>
      <c r="F8" s="44"/>
      <c r="G8" s="44"/>
      <c r="H8" s="44"/>
      <c r="I8" s="44"/>
      <c r="J8" s="44"/>
      <c r="K8" s="44"/>
      <c r="L8" s="44"/>
      <c r="M8" s="44"/>
      <c r="N8" s="44"/>
      <c r="O8" s="44"/>
      <c r="P8" s="44"/>
    </row>
    <row r="9" spans="1:26" ht="15" customHeight="1" x14ac:dyDescent="0.25">
      <c r="A9" s="44"/>
      <c r="B9" s="44"/>
      <c r="C9" s="44"/>
      <c r="D9" s="44"/>
      <c r="E9" s="44"/>
      <c r="F9" s="44"/>
      <c r="G9" s="44"/>
      <c r="H9" s="44"/>
      <c r="I9" s="44"/>
      <c r="J9" s="44"/>
      <c r="K9" s="44"/>
      <c r="L9" s="44"/>
      <c r="M9" s="44"/>
      <c r="N9" s="44"/>
      <c r="O9" s="44"/>
      <c r="P9" s="44"/>
    </row>
    <row r="10" spans="1:26" ht="15" customHeight="1" x14ac:dyDescent="0.25">
      <c r="A10" s="44"/>
      <c r="B10" s="44"/>
      <c r="C10" s="44"/>
      <c r="D10" s="44"/>
      <c r="E10" s="44"/>
      <c r="F10" s="44"/>
      <c r="G10" s="44"/>
      <c r="H10" s="44"/>
      <c r="I10" s="44"/>
      <c r="J10" s="44"/>
      <c r="K10" s="44"/>
      <c r="L10" s="44"/>
      <c r="M10" s="44"/>
      <c r="N10" s="44"/>
      <c r="O10" s="44"/>
      <c r="P10" s="44"/>
    </row>
    <row r="11" spans="1:26" ht="15" customHeight="1" x14ac:dyDescent="0.25">
      <c r="A11" s="44"/>
      <c r="B11" s="44"/>
      <c r="C11" s="44"/>
      <c r="D11" s="44"/>
      <c r="E11" s="44"/>
      <c r="F11" s="44"/>
      <c r="G11" s="44"/>
      <c r="H11" s="44"/>
      <c r="I11" s="44"/>
      <c r="J11" s="44"/>
      <c r="K11" s="44"/>
      <c r="L11" s="44"/>
      <c r="M11" s="44"/>
      <c r="N11" s="44"/>
      <c r="O11" s="44"/>
      <c r="P11" s="44"/>
    </row>
    <row r="12" spans="1:26" ht="15" customHeight="1" x14ac:dyDescent="0.25">
      <c r="A12" s="44"/>
      <c r="B12" s="44"/>
      <c r="C12" s="44"/>
      <c r="D12" s="44"/>
      <c r="E12" s="44"/>
      <c r="F12" s="44"/>
      <c r="G12" s="44"/>
      <c r="H12" s="44"/>
      <c r="I12" s="44"/>
      <c r="J12" s="44"/>
      <c r="K12" s="44"/>
      <c r="L12" s="44"/>
      <c r="M12" s="44"/>
      <c r="N12" s="44"/>
      <c r="O12" s="44"/>
      <c r="P12" s="44"/>
    </row>
    <row r="13" spans="1:26" ht="15" customHeight="1" x14ac:dyDescent="0.25">
      <c r="A13" s="44"/>
      <c r="B13" s="44"/>
      <c r="C13" s="44"/>
      <c r="D13" s="44"/>
      <c r="E13" s="44"/>
      <c r="F13" s="44"/>
      <c r="G13" s="44"/>
      <c r="H13" s="44"/>
      <c r="I13" s="44"/>
      <c r="J13" s="44"/>
      <c r="K13" s="44"/>
      <c r="L13" s="44"/>
      <c r="M13" s="44"/>
      <c r="N13" s="44"/>
      <c r="O13" s="44"/>
      <c r="P13" s="44"/>
    </row>
    <row r="14" spans="1:26" ht="15" customHeight="1" x14ac:dyDescent="0.25">
      <c r="A14" s="44"/>
      <c r="B14" s="44"/>
      <c r="C14" s="44"/>
      <c r="D14" s="44"/>
      <c r="E14" s="44"/>
      <c r="F14" s="44"/>
      <c r="G14" s="44"/>
      <c r="H14" s="44"/>
      <c r="I14" s="44"/>
      <c r="J14" s="44"/>
      <c r="K14" s="44"/>
      <c r="L14" s="44"/>
      <c r="M14" s="44"/>
      <c r="N14" s="44"/>
      <c r="O14" s="44"/>
      <c r="P14" s="44"/>
    </row>
    <row r="15" spans="1:26" ht="15" customHeight="1" x14ac:dyDescent="0.25">
      <c r="A15" s="44"/>
      <c r="B15" s="44"/>
      <c r="C15" s="44"/>
      <c r="D15" s="44"/>
      <c r="E15" s="44"/>
      <c r="F15" s="44"/>
      <c r="G15" s="44"/>
      <c r="H15" s="44"/>
      <c r="I15" s="44"/>
      <c r="J15" s="44"/>
      <c r="K15" s="44"/>
      <c r="L15" s="44"/>
      <c r="M15" s="44"/>
      <c r="N15" s="44"/>
      <c r="O15" s="44"/>
      <c r="P15" s="44"/>
    </row>
    <row r="16" spans="1:26" ht="15" customHeight="1" x14ac:dyDescent="0.25">
      <c r="A16" s="44"/>
      <c r="B16" s="44"/>
      <c r="C16" s="44"/>
      <c r="D16" s="44"/>
      <c r="E16" s="44"/>
      <c r="F16" s="44"/>
      <c r="G16" s="44"/>
      <c r="H16" s="44"/>
      <c r="I16" s="44"/>
      <c r="J16" s="44"/>
      <c r="K16" s="44"/>
      <c r="L16" s="44"/>
      <c r="M16" s="44"/>
      <c r="N16" s="44"/>
      <c r="O16" s="44"/>
      <c r="P16" s="44"/>
    </row>
    <row r="17" spans="1:16" ht="15" customHeight="1" x14ac:dyDescent="0.25">
      <c r="A17" s="44"/>
      <c r="B17" s="44"/>
      <c r="C17" s="44"/>
      <c r="D17" s="44"/>
      <c r="E17" s="44"/>
      <c r="F17" s="44"/>
      <c r="G17" s="44"/>
      <c r="H17" s="44"/>
      <c r="I17" s="44"/>
      <c r="J17" s="44"/>
      <c r="K17" s="44"/>
      <c r="L17" s="44"/>
      <c r="M17" s="44"/>
      <c r="N17" s="44"/>
      <c r="O17" s="44"/>
      <c r="P17" s="44"/>
    </row>
    <row r="18" spans="1:16" ht="15" customHeight="1" x14ac:dyDescent="0.25">
      <c r="A18" s="44"/>
      <c r="B18" s="44"/>
      <c r="C18" s="44"/>
      <c r="D18" s="44"/>
      <c r="E18" s="44"/>
      <c r="F18" s="44"/>
      <c r="G18" s="44"/>
      <c r="H18" s="44"/>
      <c r="I18" s="44"/>
      <c r="J18" s="44"/>
      <c r="K18" s="44"/>
      <c r="L18" s="44"/>
      <c r="M18" s="44"/>
      <c r="N18" s="44"/>
      <c r="O18" s="44"/>
      <c r="P18" s="44"/>
    </row>
    <row r="19" spans="1:16" ht="15" customHeight="1" x14ac:dyDescent="0.25">
      <c r="A19" s="44"/>
      <c r="B19" s="44"/>
      <c r="C19" s="44"/>
      <c r="D19" s="44"/>
      <c r="E19" s="44"/>
      <c r="F19" s="44"/>
      <c r="G19" s="44"/>
      <c r="H19" s="44"/>
      <c r="I19" s="44"/>
      <c r="J19" s="44"/>
      <c r="K19" s="44"/>
      <c r="L19" s="44"/>
      <c r="M19" s="44"/>
      <c r="N19" s="44"/>
      <c r="O19" s="44"/>
      <c r="P19" s="44"/>
    </row>
    <row r="20" spans="1:16" ht="15" customHeight="1" x14ac:dyDescent="0.25">
      <c r="A20" s="44"/>
      <c r="B20" s="44"/>
      <c r="C20" s="44"/>
      <c r="D20" s="44"/>
      <c r="E20" s="44"/>
      <c r="F20" s="44"/>
      <c r="G20" s="44"/>
      <c r="H20" s="44"/>
      <c r="I20" s="44"/>
      <c r="J20" s="44"/>
      <c r="K20" s="44"/>
      <c r="L20" s="44"/>
      <c r="M20" s="44"/>
      <c r="N20" s="44"/>
      <c r="O20" s="44"/>
      <c r="P20" s="44"/>
    </row>
    <row r="21" spans="1:16" ht="15" customHeight="1" x14ac:dyDescent="0.25">
      <c r="A21" s="44"/>
      <c r="B21" s="44"/>
      <c r="C21" s="44"/>
      <c r="D21" s="44"/>
      <c r="E21" s="44"/>
      <c r="F21" s="44"/>
      <c r="G21" s="44"/>
      <c r="H21" s="44"/>
      <c r="I21" s="44"/>
      <c r="J21" s="44"/>
      <c r="K21" s="44"/>
      <c r="L21" s="44"/>
      <c r="M21" s="44"/>
      <c r="N21" s="44"/>
      <c r="O21" s="44"/>
      <c r="P21" s="44"/>
    </row>
    <row r="22" spans="1:16" ht="15" customHeight="1" x14ac:dyDescent="0.25">
      <c r="A22" s="44"/>
      <c r="B22" s="44"/>
      <c r="C22" s="44"/>
      <c r="D22" s="44"/>
      <c r="E22" s="44"/>
      <c r="F22" s="44"/>
      <c r="G22" s="44"/>
      <c r="H22" s="44"/>
      <c r="I22" s="44"/>
      <c r="J22" s="44"/>
      <c r="K22" s="44"/>
      <c r="L22" s="44"/>
      <c r="M22" s="44"/>
      <c r="N22" s="44"/>
      <c r="O22" s="44"/>
      <c r="P22" s="44"/>
    </row>
    <row r="23" spans="1:16" ht="15" customHeight="1" x14ac:dyDescent="0.25">
      <c r="A23" s="44"/>
      <c r="B23" s="44"/>
      <c r="C23" s="44"/>
      <c r="D23" s="44"/>
      <c r="E23" s="44"/>
      <c r="F23" s="44"/>
      <c r="G23" s="44"/>
      <c r="H23" s="44"/>
      <c r="I23" s="44"/>
      <c r="J23" s="44"/>
      <c r="K23" s="44"/>
      <c r="L23" s="44"/>
      <c r="M23" s="44"/>
      <c r="N23" s="44"/>
      <c r="O23" s="44"/>
      <c r="P23" s="44"/>
    </row>
    <row r="24" spans="1:16" ht="15" customHeight="1" x14ac:dyDescent="0.25">
      <c r="A24" s="44"/>
      <c r="B24" s="44"/>
      <c r="C24" s="44"/>
      <c r="D24" s="44"/>
      <c r="E24" s="44"/>
      <c r="F24" s="44"/>
      <c r="G24" s="44"/>
      <c r="H24" s="44"/>
      <c r="I24" s="44"/>
      <c r="J24" s="44"/>
      <c r="K24" s="44"/>
      <c r="L24" s="44"/>
      <c r="M24" s="44"/>
      <c r="N24" s="44"/>
      <c r="O24" s="44"/>
      <c r="P24" s="44"/>
    </row>
    <row r="25" spans="1:16" ht="15" customHeight="1" x14ac:dyDescent="0.25">
      <c r="A25" s="44"/>
      <c r="B25" s="44"/>
      <c r="C25" s="44"/>
      <c r="D25" s="44"/>
      <c r="E25" s="44"/>
      <c r="F25" s="44"/>
      <c r="G25" s="44"/>
      <c r="H25" s="44"/>
      <c r="I25" s="44"/>
      <c r="J25" s="44"/>
      <c r="K25" s="44"/>
      <c r="L25" s="44"/>
      <c r="M25" s="44"/>
      <c r="N25" s="44"/>
      <c r="O25" s="44"/>
      <c r="P25" s="44"/>
    </row>
    <row r="26" spans="1:16" ht="15" customHeight="1" x14ac:dyDescent="0.25">
      <c r="A26" s="44"/>
      <c r="B26" s="44"/>
      <c r="C26" s="44"/>
      <c r="D26" s="44"/>
      <c r="E26" s="44"/>
      <c r="F26" s="44"/>
      <c r="G26" s="44"/>
      <c r="H26" s="44"/>
      <c r="I26" s="44"/>
      <c r="J26" s="44"/>
      <c r="K26" s="44"/>
      <c r="L26" s="44"/>
      <c r="M26" s="44"/>
      <c r="N26" s="44"/>
      <c r="O26" s="44"/>
      <c r="P26" s="44"/>
    </row>
    <row r="27" spans="1:16" ht="15" customHeight="1" x14ac:dyDescent="0.25">
      <c r="A27" s="44"/>
      <c r="B27" s="44"/>
      <c r="C27" s="44"/>
      <c r="D27" s="44"/>
      <c r="E27" s="44"/>
      <c r="F27" s="44"/>
      <c r="G27" s="44"/>
      <c r="H27" s="44"/>
      <c r="I27" s="44"/>
      <c r="J27" s="44"/>
      <c r="K27" s="44"/>
      <c r="L27" s="44"/>
      <c r="M27" s="44"/>
      <c r="N27" s="44"/>
      <c r="O27" s="44"/>
      <c r="P27" s="44"/>
    </row>
    <row r="28" spans="1:16" ht="15" customHeight="1" x14ac:dyDescent="0.25">
      <c r="A28" s="44"/>
      <c r="B28" s="44"/>
      <c r="C28" s="44"/>
      <c r="D28" s="44"/>
      <c r="E28" s="44"/>
      <c r="F28" s="44"/>
      <c r="G28" s="44"/>
      <c r="H28" s="44"/>
      <c r="I28" s="44"/>
      <c r="J28" s="44"/>
      <c r="K28" s="44"/>
      <c r="L28" s="44"/>
      <c r="M28" s="44"/>
      <c r="N28" s="44"/>
      <c r="O28" s="44"/>
      <c r="P28" s="44"/>
    </row>
    <row r="29" spans="1:16" ht="15" customHeight="1" x14ac:dyDescent="0.25">
      <c r="A29" s="44"/>
      <c r="B29" s="44"/>
      <c r="C29" s="44"/>
      <c r="D29" s="44"/>
      <c r="E29" s="44"/>
      <c r="F29" s="44"/>
      <c r="G29" s="44"/>
      <c r="H29" s="44"/>
      <c r="I29" s="44"/>
      <c r="J29" s="44"/>
      <c r="K29" s="44"/>
      <c r="L29" s="44"/>
      <c r="M29" s="44"/>
      <c r="N29" s="44"/>
      <c r="O29" s="44"/>
      <c r="P29" s="44"/>
    </row>
    <row r="30" spans="1:16" ht="15" customHeight="1" x14ac:dyDescent="0.25">
      <c r="A30" s="44"/>
      <c r="B30" s="44"/>
      <c r="C30" s="44"/>
      <c r="D30" s="44"/>
      <c r="E30" s="44"/>
      <c r="F30" s="44"/>
      <c r="G30" s="44"/>
      <c r="H30" s="44"/>
      <c r="I30" s="44"/>
      <c r="J30" s="44"/>
      <c r="K30" s="44"/>
      <c r="L30" s="44"/>
      <c r="M30" s="44"/>
      <c r="N30" s="44"/>
      <c r="O30" s="44"/>
      <c r="P30" s="44"/>
    </row>
    <row r="31" spans="1:16" ht="15" customHeight="1" x14ac:dyDescent="0.25">
      <c r="A31" s="44"/>
      <c r="B31" s="44"/>
      <c r="C31" s="44"/>
      <c r="D31" s="44"/>
      <c r="E31" s="44"/>
      <c r="F31" s="44"/>
      <c r="G31" s="44"/>
      <c r="H31" s="44"/>
      <c r="I31" s="44"/>
      <c r="J31" s="44"/>
      <c r="K31" s="44"/>
      <c r="L31" s="44"/>
      <c r="M31" s="44"/>
      <c r="N31" s="44"/>
      <c r="O31" s="44"/>
      <c r="P31" s="44"/>
    </row>
    <row r="32" spans="1:16" ht="15" customHeight="1" x14ac:dyDescent="0.25">
      <c r="A32" s="44"/>
      <c r="B32" s="44"/>
      <c r="C32" s="44"/>
      <c r="D32" s="44"/>
      <c r="E32" s="44"/>
      <c r="F32" s="44"/>
      <c r="G32" s="44"/>
      <c r="H32" s="44"/>
      <c r="I32" s="44"/>
      <c r="J32" s="44"/>
      <c r="K32" s="44"/>
      <c r="L32" s="44"/>
      <c r="M32" s="44"/>
      <c r="N32" s="44"/>
      <c r="O32" s="44"/>
      <c r="P32" s="44"/>
    </row>
    <row r="33" spans="1:16" ht="15" customHeight="1" x14ac:dyDescent="0.25">
      <c r="A33" s="44"/>
      <c r="B33" s="44"/>
      <c r="C33" s="44"/>
      <c r="D33" s="44"/>
      <c r="E33" s="44"/>
      <c r="F33" s="44"/>
      <c r="G33" s="44"/>
      <c r="H33" s="44"/>
      <c r="I33" s="44"/>
      <c r="J33" s="44"/>
      <c r="K33" s="44"/>
      <c r="L33" s="44"/>
      <c r="M33" s="44"/>
      <c r="N33" s="44"/>
      <c r="O33" s="44"/>
      <c r="P33" s="44"/>
    </row>
    <row r="34" spans="1:16" ht="15" customHeight="1" x14ac:dyDescent="0.25">
      <c r="A34" s="44"/>
      <c r="B34" s="44"/>
      <c r="C34" s="44"/>
      <c r="D34" s="44"/>
      <c r="E34" s="44"/>
      <c r="F34" s="44"/>
      <c r="G34" s="44"/>
      <c r="H34" s="44"/>
      <c r="I34" s="44"/>
      <c r="J34" s="44"/>
      <c r="K34" s="44"/>
      <c r="L34" s="44"/>
      <c r="M34" s="44"/>
      <c r="N34" s="44"/>
      <c r="O34" s="44"/>
      <c r="P34" s="44"/>
    </row>
    <row r="35" spans="1:16" ht="15" customHeight="1" x14ac:dyDescent="0.25">
      <c r="A35" s="44"/>
      <c r="B35" s="44"/>
      <c r="C35" s="44"/>
      <c r="D35" s="44"/>
      <c r="E35" s="44"/>
      <c r="F35" s="44"/>
      <c r="G35" s="44"/>
      <c r="H35" s="44"/>
      <c r="I35" s="44"/>
      <c r="J35" s="44"/>
      <c r="K35" s="44"/>
      <c r="L35" s="44"/>
      <c r="M35" s="44"/>
      <c r="N35" s="44"/>
      <c r="O35" s="44"/>
      <c r="P35" s="44"/>
    </row>
    <row r="36" spans="1:16" ht="15" customHeight="1" x14ac:dyDescent="0.25">
      <c r="A36" s="44"/>
      <c r="B36" s="44"/>
      <c r="C36" s="44"/>
      <c r="D36" s="44"/>
      <c r="E36" s="44"/>
      <c r="F36" s="44"/>
      <c r="G36" s="44"/>
      <c r="H36" s="44"/>
      <c r="I36" s="44"/>
      <c r="J36" s="44"/>
      <c r="K36" s="44"/>
      <c r="L36" s="44"/>
      <c r="M36" s="44"/>
      <c r="N36" s="44"/>
      <c r="O36" s="44"/>
      <c r="P36" s="44"/>
    </row>
    <row r="37" spans="1:16" ht="15" customHeight="1" x14ac:dyDescent="0.25">
      <c r="A37" s="44"/>
      <c r="B37" s="44"/>
      <c r="C37" s="44"/>
      <c r="D37" s="44"/>
      <c r="E37" s="44"/>
      <c r="F37" s="44"/>
      <c r="G37" s="44"/>
      <c r="H37" s="44"/>
      <c r="I37" s="44"/>
      <c r="J37" s="44"/>
      <c r="K37" s="44"/>
      <c r="L37" s="44"/>
      <c r="M37" s="44"/>
      <c r="N37" s="44"/>
      <c r="O37" s="44"/>
      <c r="P37" s="44"/>
    </row>
    <row r="38" spans="1:16" ht="15" customHeight="1" x14ac:dyDescent="0.25">
      <c r="A38" s="44"/>
      <c r="B38" s="44"/>
      <c r="C38" s="44"/>
      <c r="D38" s="44"/>
      <c r="E38" s="44"/>
      <c r="F38" s="44"/>
      <c r="G38" s="44"/>
      <c r="H38" s="44"/>
      <c r="I38" s="44"/>
      <c r="J38" s="44"/>
      <c r="K38" s="44"/>
      <c r="L38" s="44"/>
      <c r="M38" s="44"/>
      <c r="N38" s="44"/>
      <c r="O38" s="44"/>
      <c r="P38" s="44"/>
    </row>
    <row r="39" spans="1:16" ht="15" customHeight="1" x14ac:dyDescent="0.25">
      <c r="A39" s="44"/>
      <c r="B39" s="44"/>
      <c r="C39" s="44"/>
      <c r="D39" s="44"/>
      <c r="E39" s="44"/>
      <c r="F39" s="44"/>
      <c r="G39" s="44"/>
      <c r="H39" s="44"/>
      <c r="I39" s="44"/>
      <c r="J39" s="44"/>
      <c r="K39" s="44"/>
      <c r="L39" s="44"/>
      <c r="M39" s="44"/>
      <c r="N39" s="44"/>
      <c r="O39" s="44"/>
      <c r="P39" s="44"/>
    </row>
    <row r="40" spans="1:16" ht="15" customHeight="1" x14ac:dyDescent="0.25">
      <c r="A40" s="44"/>
      <c r="B40" s="44"/>
      <c r="C40" s="44"/>
      <c r="D40" s="44"/>
      <c r="E40" s="44"/>
      <c r="F40" s="44"/>
      <c r="G40" s="44"/>
      <c r="H40" s="44"/>
      <c r="I40" s="44"/>
      <c r="J40" s="44"/>
      <c r="K40" s="44"/>
      <c r="L40" s="44"/>
      <c r="M40" s="44"/>
      <c r="N40" s="44"/>
      <c r="O40" s="44"/>
      <c r="P40" s="44"/>
    </row>
    <row r="41" spans="1:16" ht="15.75" customHeight="1" x14ac:dyDescent="0.25">
      <c r="A41" s="44"/>
      <c r="B41" s="44"/>
      <c r="C41" s="44"/>
      <c r="D41" s="44"/>
      <c r="E41" s="44"/>
      <c r="F41" s="44"/>
      <c r="G41" s="44"/>
      <c r="H41" s="44"/>
      <c r="I41" s="44"/>
      <c r="J41" s="44"/>
      <c r="K41" s="44"/>
      <c r="L41" s="44"/>
      <c r="M41" s="44"/>
      <c r="N41" s="44"/>
      <c r="O41" s="44"/>
      <c r="P41" s="44"/>
    </row>
    <row r="42" spans="1:16" ht="15" customHeight="1" x14ac:dyDescent="0.25">
      <c r="A42" s="44"/>
      <c r="B42" s="44"/>
      <c r="C42" s="44"/>
      <c r="D42" s="44"/>
      <c r="E42" s="44"/>
      <c r="F42" s="44"/>
      <c r="G42" s="44"/>
      <c r="H42" s="44"/>
      <c r="I42" s="44"/>
      <c r="J42" s="44"/>
      <c r="K42" s="44"/>
      <c r="L42" s="44"/>
      <c r="M42" s="44"/>
      <c r="N42" s="44"/>
      <c r="O42" s="44"/>
      <c r="P42" s="44"/>
    </row>
  </sheetData>
  <printOptions gridLines="1"/>
  <pageMargins left="0.70866141732283472" right="0.70866141732283472" top="0.74803149606299213" bottom="0.74803149606299213" header="0" footer="0"/>
  <pageSetup paperSize="9" scale="76" orientation="landscape" r:id="rId1"/>
  <headerFooter>
    <oddHeader>&amp;R&amp;F  &amp;A</oddHeader>
    <oddFooter>&amp;L© 2016&amp;CPage &amp;P of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Z1000"/>
  <sheetViews>
    <sheetView workbookViewId="0"/>
  </sheetViews>
  <sheetFormatPr defaultColWidth="12.5703125" defaultRowHeight="15" customHeight="1" x14ac:dyDescent="0.25"/>
  <cols>
    <col min="1" max="1" width="1.140625" customWidth="1"/>
    <col min="2" max="2" width="24.28515625" customWidth="1"/>
    <col min="3" max="3" width="2.140625" customWidth="1"/>
    <col min="4" max="4" width="9.5703125" customWidth="1"/>
    <col min="5" max="5" width="2.140625" customWidth="1"/>
    <col min="6" max="6" width="9.5703125" customWidth="1"/>
    <col min="7" max="7" width="2.140625" customWidth="1"/>
    <col min="8" max="8" width="9.5703125" customWidth="1"/>
    <col min="9" max="9" width="2.140625" customWidth="1"/>
    <col min="10" max="10" width="9.5703125" customWidth="1"/>
    <col min="11" max="11" width="2.140625" customWidth="1"/>
    <col min="12" max="12" width="8.5703125" customWidth="1"/>
    <col min="13" max="13" width="2.140625" customWidth="1"/>
    <col min="14" max="14" width="8.5703125" customWidth="1"/>
    <col min="15" max="15" width="2.140625" customWidth="1"/>
    <col min="16" max="16" width="8.5703125" customWidth="1"/>
    <col min="17" max="17" width="2.140625" customWidth="1"/>
    <col min="18" max="18" width="8" customWidth="1"/>
    <col min="19" max="19" width="2.140625" customWidth="1"/>
    <col min="20" max="20" width="8" customWidth="1"/>
    <col min="21" max="21" width="2.140625" customWidth="1"/>
    <col min="22" max="22" width="8" customWidth="1"/>
    <col min="23" max="23" width="2.140625" customWidth="1"/>
    <col min="24" max="26" width="8" customWidth="1"/>
  </cols>
  <sheetData>
    <row r="1" spans="1:26" ht="45" customHeight="1" x14ac:dyDescent="0.45">
      <c r="A1" s="68" t="s">
        <v>817</v>
      </c>
      <c r="B1" s="68"/>
      <c r="C1" s="68"/>
      <c r="D1" s="68"/>
      <c r="E1" s="68"/>
      <c r="F1" s="68"/>
      <c r="G1" s="68"/>
      <c r="H1" s="68"/>
      <c r="I1" s="68"/>
      <c r="J1" s="68"/>
      <c r="K1" s="68"/>
      <c r="L1" s="68"/>
      <c r="M1" s="68"/>
      <c r="N1" s="68"/>
      <c r="O1" s="68"/>
      <c r="P1" s="68"/>
      <c r="Q1" s="68"/>
      <c r="R1" s="68"/>
      <c r="S1" s="68"/>
      <c r="T1" s="68"/>
      <c r="U1" s="68"/>
      <c r="V1" s="68"/>
      <c r="W1" s="68"/>
      <c r="X1" s="68"/>
      <c r="Y1" s="18"/>
      <c r="Z1" s="18"/>
    </row>
    <row r="2" spans="1:26" ht="15" customHeight="1" x14ac:dyDescent="0.3">
      <c r="B2" s="12" t="s">
        <v>818</v>
      </c>
      <c r="D2" s="19"/>
      <c r="T2" s="19" t="s">
        <v>819</v>
      </c>
      <c r="U2" s="19"/>
      <c r="V2" s="19"/>
      <c r="W2" s="19"/>
      <c r="X2" s="19"/>
      <c r="Y2" s="19"/>
      <c r="Z2" s="19"/>
    </row>
    <row r="3" spans="1:26" ht="15" customHeight="1" x14ac:dyDescent="0.3">
      <c r="D3" s="19"/>
      <c r="T3" s="19"/>
      <c r="U3" s="19"/>
      <c r="V3" s="19"/>
      <c r="W3" s="19"/>
      <c r="X3" s="19"/>
      <c r="Y3" s="19"/>
      <c r="Z3" s="19"/>
    </row>
    <row r="4" spans="1:26" ht="15" customHeight="1" x14ac:dyDescent="0.25">
      <c r="A4" s="149" t="s">
        <v>286</v>
      </c>
      <c r="B4" s="149"/>
      <c r="C4" s="149"/>
      <c r="D4" s="149"/>
    </row>
    <row r="5" spans="1:26" ht="15" customHeight="1" x14ac:dyDescent="0.25">
      <c r="A5" s="14"/>
      <c r="B5" s="2" t="s">
        <v>288</v>
      </c>
      <c r="D5" s="58" t="s">
        <v>820</v>
      </c>
    </row>
    <row r="6" spans="1:26" ht="15" customHeight="1" x14ac:dyDescent="0.25">
      <c r="A6" s="14"/>
      <c r="B6" s="2" t="s">
        <v>290</v>
      </c>
      <c r="D6" s="2" t="s">
        <v>542</v>
      </c>
    </row>
    <row r="7" spans="1:26" ht="15" customHeight="1" x14ac:dyDescent="0.25">
      <c r="A7" s="14"/>
      <c r="B7" s="2" t="s">
        <v>12</v>
      </c>
      <c r="D7" s="150">
        <v>42482</v>
      </c>
    </row>
    <row r="8" spans="1:26" ht="15" customHeight="1" x14ac:dyDescent="0.25">
      <c r="A8" s="14"/>
      <c r="B8" s="2" t="s">
        <v>299</v>
      </c>
      <c r="D8" s="58" t="s">
        <v>821</v>
      </c>
    </row>
    <row r="9" spans="1:26" ht="15" customHeight="1" x14ac:dyDescent="0.25">
      <c r="A9" s="16"/>
      <c r="B9" s="2" t="s">
        <v>822</v>
      </c>
      <c r="D9" s="58" t="s">
        <v>823</v>
      </c>
    </row>
    <row r="10" spans="1:26" ht="15" customHeight="1" x14ac:dyDescent="0.25">
      <c r="A10" s="14"/>
      <c r="B10" s="2" t="s">
        <v>294</v>
      </c>
      <c r="D10" s="150">
        <v>42369</v>
      </c>
    </row>
    <row r="11" spans="1:26" ht="15" customHeight="1" x14ac:dyDescent="0.25">
      <c r="A11" s="14"/>
      <c r="B11" s="2" t="s">
        <v>304</v>
      </c>
      <c r="D11" s="58" t="s">
        <v>305</v>
      </c>
    </row>
    <row r="12" spans="1:26" ht="15" customHeight="1" x14ac:dyDescent="0.25">
      <c r="A12" s="14"/>
      <c r="B12" s="2" t="s">
        <v>824</v>
      </c>
      <c r="D12" s="58"/>
    </row>
    <row r="13" spans="1:26" ht="15" customHeight="1" x14ac:dyDescent="0.25">
      <c r="A13" s="14"/>
      <c r="B13" s="2" t="str">
        <f>"Closing price as at "&amp;TEXT(D7,"dd-mmm-yy")</f>
        <v>Closing price as at 22-Apr-16</v>
      </c>
      <c r="D13" s="58" t="e">
        <v>#N/A</v>
      </c>
    </row>
    <row r="14" spans="1:26" ht="15" customHeight="1" x14ac:dyDescent="0.25">
      <c r="A14" s="14"/>
      <c r="B14" s="2" t="s">
        <v>309</v>
      </c>
      <c r="D14" s="58" t="e">
        <v>#N/A</v>
      </c>
    </row>
    <row r="15" spans="1:26" ht="15" customHeight="1" x14ac:dyDescent="0.25">
      <c r="A15" s="14"/>
      <c r="B15" s="2" t="s">
        <v>310</v>
      </c>
      <c r="D15" s="58" t="e">
        <v>#N/A</v>
      </c>
    </row>
    <row r="16" spans="1:26" ht="15" customHeight="1" x14ac:dyDescent="0.25">
      <c r="A16" s="14"/>
      <c r="B16" s="2" t="s">
        <v>825</v>
      </c>
      <c r="D16" s="58" t="e">
        <v>#N/A</v>
      </c>
    </row>
    <row r="17" spans="1:4" ht="15" customHeight="1" x14ac:dyDescent="0.25">
      <c r="A17" s="14"/>
      <c r="B17" s="2" t="s">
        <v>826</v>
      </c>
      <c r="D17" s="58" t="s">
        <v>827</v>
      </c>
    </row>
    <row r="18" spans="1:4" ht="15" customHeight="1" x14ac:dyDescent="0.25">
      <c r="A18" s="14"/>
      <c r="B18" s="2" t="s">
        <v>828</v>
      </c>
      <c r="D18" s="58">
        <v>0.6389551</v>
      </c>
    </row>
    <row r="19" spans="1:4" ht="15" customHeight="1" x14ac:dyDescent="0.25">
      <c r="A19" s="14"/>
      <c r="B19" s="2" t="s">
        <v>147</v>
      </c>
      <c r="D19" s="140" t="e">
        <v>#N/A</v>
      </c>
    </row>
    <row r="20" spans="1:4" ht="15" customHeight="1" x14ac:dyDescent="0.25">
      <c r="A20" s="14"/>
      <c r="D20" s="58"/>
    </row>
    <row r="21" spans="1:4" ht="15" customHeight="1" x14ac:dyDescent="0.25">
      <c r="A21" s="14"/>
      <c r="B21" s="2" t="s">
        <v>312</v>
      </c>
      <c r="D21" s="58" t="s">
        <v>829</v>
      </c>
    </row>
    <row r="22" spans="1:4" ht="15" customHeight="1" x14ac:dyDescent="0.25">
      <c r="A22" s="14"/>
      <c r="B22" s="2" t="s">
        <v>317</v>
      </c>
      <c r="D22" s="140" t="s">
        <v>830</v>
      </c>
    </row>
    <row r="23" spans="1:4" ht="15" customHeight="1" x14ac:dyDescent="0.25">
      <c r="A23" s="14"/>
      <c r="D23" s="58"/>
    </row>
    <row r="24" spans="1:4" ht="15" customHeight="1" x14ac:dyDescent="0.25">
      <c r="A24" s="149" t="s">
        <v>831</v>
      </c>
      <c r="B24" s="149"/>
      <c r="C24" s="149"/>
      <c r="D24" s="149"/>
    </row>
    <row r="25" spans="1:4" ht="15" customHeight="1" x14ac:dyDescent="0.25">
      <c r="A25" s="14"/>
      <c r="B25" s="2" t="s">
        <v>832</v>
      </c>
      <c r="D25" s="151">
        <v>0</v>
      </c>
    </row>
    <row r="26" spans="1:4" ht="15" customHeight="1" x14ac:dyDescent="0.25">
      <c r="A26" s="14"/>
      <c r="B26" s="2" t="s">
        <v>833</v>
      </c>
      <c r="D26" s="151">
        <v>0</v>
      </c>
    </row>
    <row r="27" spans="1:4" ht="15" customHeight="1" x14ac:dyDescent="0.25">
      <c r="A27" s="14"/>
      <c r="B27" s="2" t="s">
        <v>245</v>
      </c>
      <c r="D27" s="151">
        <v>67.661361999999997</v>
      </c>
    </row>
    <row r="28" spans="1:4" ht="15" customHeight="1" x14ac:dyDescent="0.25">
      <c r="A28" s="14"/>
      <c r="B28" s="2" t="s">
        <v>346</v>
      </c>
      <c r="D28" s="151">
        <v>510.95299999999997</v>
      </c>
    </row>
    <row r="29" spans="1:4" ht="15" customHeight="1" x14ac:dyDescent="0.25">
      <c r="A29" s="14"/>
      <c r="B29" s="2" t="s">
        <v>834</v>
      </c>
      <c r="D29" s="151">
        <v>6.6109999999999998</v>
      </c>
    </row>
    <row r="30" spans="1:4" ht="15" customHeight="1" x14ac:dyDescent="0.25">
      <c r="A30" s="14"/>
      <c r="B30" s="2" t="s">
        <v>835</v>
      </c>
      <c r="D30" s="151">
        <v>0</v>
      </c>
    </row>
    <row r="31" spans="1:4" ht="15" customHeight="1" x14ac:dyDescent="0.25">
      <c r="A31" s="14"/>
      <c r="B31" s="2" t="s">
        <v>836</v>
      </c>
      <c r="D31" s="152">
        <v>0</v>
      </c>
    </row>
    <row r="32" spans="1:4" ht="15" customHeight="1" x14ac:dyDescent="0.25">
      <c r="A32" s="14"/>
      <c r="B32" s="2" t="s">
        <v>341</v>
      </c>
      <c r="D32" s="153">
        <v>0</v>
      </c>
    </row>
    <row r="33" spans="1:18" ht="15" customHeight="1" x14ac:dyDescent="0.25">
      <c r="A33" s="14"/>
      <c r="B33" s="2" t="s">
        <v>837</v>
      </c>
      <c r="D33" s="151">
        <v>113.08199999999999</v>
      </c>
    </row>
    <row r="34" spans="1:18" ht="15" customHeight="1" x14ac:dyDescent="0.25">
      <c r="A34" s="14"/>
      <c r="B34" s="2" t="s">
        <v>838</v>
      </c>
      <c r="D34" s="151">
        <v>0</v>
      </c>
    </row>
    <row r="35" spans="1:18" ht="15" customHeight="1" x14ac:dyDescent="0.25">
      <c r="A35" s="14"/>
      <c r="B35" s="2" t="s">
        <v>839</v>
      </c>
      <c r="D35" s="151">
        <v>1.84</v>
      </c>
    </row>
    <row r="36" spans="1:18" ht="15" customHeight="1" x14ac:dyDescent="0.25">
      <c r="A36" s="14"/>
      <c r="B36" s="2" t="s">
        <v>840</v>
      </c>
      <c r="D36" s="154">
        <v>0</v>
      </c>
    </row>
    <row r="37" spans="1:18" ht="15.75" customHeight="1" x14ac:dyDescent="0.25">
      <c r="A37" s="14"/>
    </row>
    <row r="38" spans="1:18" ht="15" customHeight="1" x14ac:dyDescent="0.25">
      <c r="A38" s="149" t="s">
        <v>841</v>
      </c>
      <c r="B38" s="149"/>
      <c r="C38" s="149"/>
      <c r="D38" s="149"/>
    </row>
    <row r="39" spans="1:18" ht="15.75" customHeight="1" x14ac:dyDescent="0.25">
      <c r="A39" s="14"/>
      <c r="D39" s="155" t="s">
        <v>842</v>
      </c>
      <c r="F39" s="156" t="s">
        <v>843</v>
      </c>
      <c r="G39" s="156"/>
      <c r="H39" s="156" t="s">
        <v>844</v>
      </c>
      <c r="I39" s="156"/>
      <c r="L39" s="58" t="s">
        <v>359</v>
      </c>
      <c r="N39" s="58" t="s">
        <v>360</v>
      </c>
      <c r="P39" s="58" t="s">
        <v>361</v>
      </c>
      <c r="R39" s="58" t="s">
        <v>362</v>
      </c>
    </row>
    <row r="40" spans="1:18" ht="15" customHeight="1" x14ac:dyDescent="0.25">
      <c r="A40" s="14"/>
      <c r="B40" s="2" t="s">
        <v>233</v>
      </c>
      <c r="D40" s="157" t="str">
        <f>D8</f>
        <v>31/12/2015</v>
      </c>
      <c r="F40" s="120">
        <f>EDATE(H40,-12)</f>
        <v>42094</v>
      </c>
      <c r="H40" s="158">
        <v>42460</v>
      </c>
      <c r="L40" s="120">
        <f>EDATE(D40,12)</f>
        <v>42735</v>
      </c>
      <c r="M40" s="120"/>
      <c r="N40" s="120">
        <f>EDATE(L40,12)</f>
        <v>43100</v>
      </c>
      <c r="O40" s="120"/>
      <c r="P40" s="120">
        <f>EDATE(N40,12)</f>
        <v>43465</v>
      </c>
      <c r="Q40" s="120"/>
      <c r="R40" s="120">
        <f>EDATE(P40,12)</f>
        <v>43830</v>
      </c>
    </row>
    <row r="41" spans="1:18" ht="15" customHeight="1" x14ac:dyDescent="0.25">
      <c r="A41" s="14"/>
      <c r="B41" s="2" t="s">
        <v>363</v>
      </c>
      <c r="D41" s="151">
        <v>547.65499999999997</v>
      </c>
      <c r="F41" s="151">
        <v>138.52000000000001</v>
      </c>
      <c r="H41" s="151">
        <v>147.517</v>
      </c>
      <c r="L41" s="151" t="e">
        <v>#N/A</v>
      </c>
      <c r="N41" s="151" t="e">
        <v>#N/A</v>
      </c>
      <c r="P41" s="151" t="e">
        <v>#N/A</v>
      </c>
      <c r="R41" s="151" t="e">
        <v>#N/A</v>
      </c>
    </row>
    <row r="42" spans="1:18" ht="15" customHeight="1" x14ac:dyDescent="0.25">
      <c r="A42" s="14"/>
      <c r="B42" s="2" t="s">
        <v>49</v>
      </c>
      <c r="D42" s="44">
        <v>100.14100000000001</v>
      </c>
      <c r="F42" s="44">
        <v>25.919</v>
      </c>
      <c r="H42" s="44">
        <v>22.268999999999998</v>
      </c>
      <c r="L42" s="151" t="e">
        <v>#N/A</v>
      </c>
      <c r="N42" s="151" t="e">
        <v>#N/A</v>
      </c>
      <c r="P42" s="151" t="e">
        <v>#N/A</v>
      </c>
      <c r="R42" s="151" t="e">
        <v>#N/A</v>
      </c>
    </row>
    <row r="43" spans="1:18" ht="15" customHeight="1" x14ac:dyDescent="0.25">
      <c r="A43" s="14"/>
      <c r="B43" s="2" t="s">
        <v>165</v>
      </c>
      <c r="D43" s="151">
        <v>21.494</v>
      </c>
      <c r="F43" s="151">
        <v>5.0670000000000002</v>
      </c>
      <c r="H43" s="151">
        <v>6.1520000000000001</v>
      </c>
      <c r="L43" s="44" t="e">
        <f>L44-L42</f>
        <v>#N/A</v>
      </c>
      <c r="N43" s="44" t="e">
        <f>N44-N42</f>
        <v>#N/A</v>
      </c>
      <c r="P43" s="44" t="e">
        <f>P44-P42</f>
        <v>#N/A</v>
      </c>
      <c r="R43" s="44" t="e">
        <f>R44-R42</f>
        <v>#N/A</v>
      </c>
    </row>
    <row r="44" spans="1:18" ht="15" customHeight="1" x14ac:dyDescent="0.25">
      <c r="A44" s="14"/>
      <c r="B44" s="2" t="s">
        <v>52</v>
      </c>
      <c r="D44" s="151">
        <f>D42+D43</f>
        <v>121.63500000000001</v>
      </c>
      <c r="F44" s="151">
        <f>F42+F43</f>
        <v>30.986000000000001</v>
      </c>
      <c r="H44" s="151">
        <f>H42+H43</f>
        <v>28.420999999999999</v>
      </c>
      <c r="L44" s="153" t="e">
        <v>#N/A</v>
      </c>
      <c r="N44" s="153" t="e">
        <v>#N/A</v>
      </c>
      <c r="P44" s="153" t="e">
        <v>#N/A</v>
      </c>
      <c r="R44" s="153" t="e">
        <v>#N/A</v>
      </c>
    </row>
    <row r="45" spans="1:18" ht="15" customHeight="1" x14ac:dyDescent="0.25">
      <c r="A45" s="14"/>
      <c r="B45" s="2" t="s">
        <v>845</v>
      </c>
      <c r="D45" s="151">
        <v>0.34699999999999998</v>
      </c>
      <c r="F45" s="151">
        <v>0.08</v>
      </c>
      <c r="H45" s="151">
        <v>0</v>
      </c>
      <c r="L45" s="151" t="e">
        <v>#N/A</v>
      </c>
      <c r="N45" s="151" t="e">
        <v>#N/A</v>
      </c>
      <c r="P45" s="151" t="e">
        <v>#N/A</v>
      </c>
      <c r="R45" s="151" t="e">
        <v>#N/A</v>
      </c>
    </row>
    <row r="46" spans="1:18" ht="15" customHeight="1" x14ac:dyDescent="0.25">
      <c r="A46" s="14"/>
      <c r="B46" s="2" t="s">
        <v>846</v>
      </c>
      <c r="D46" s="151">
        <v>50.619</v>
      </c>
      <c r="F46" s="151">
        <v>16.303000000000001</v>
      </c>
      <c r="H46" s="151">
        <v>50.619</v>
      </c>
      <c r="L46" s="151" t="e">
        <v>#N/A</v>
      </c>
      <c r="N46" s="151" t="e">
        <v>#N/A</v>
      </c>
      <c r="P46" s="151" t="e">
        <v>#N/A</v>
      </c>
      <c r="R46" s="151" t="e">
        <v>#N/A</v>
      </c>
    </row>
    <row r="47" spans="1:18" ht="15.75" customHeight="1" x14ac:dyDescent="0.25">
      <c r="A47" s="14"/>
    </row>
    <row r="48" spans="1:18" ht="15.75" customHeight="1" x14ac:dyDescent="0.25">
      <c r="A48" s="14"/>
    </row>
    <row r="49" spans="1:7" ht="15" customHeight="1" x14ac:dyDescent="0.25">
      <c r="A49" s="149" t="s">
        <v>847</v>
      </c>
      <c r="B49" s="149"/>
      <c r="C49" s="149"/>
      <c r="D49" s="149"/>
      <c r="E49" s="149"/>
      <c r="F49" s="149"/>
      <c r="G49" s="149"/>
    </row>
    <row r="50" spans="1:7" ht="15" customHeight="1" x14ac:dyDescent="0.25">
      <c r="A50" s="14"/>
      <c r="B50" s="2" t="s">
        <v>327</v>
      </c>
      <c r="D50" s="2" t="s">
        <v>328</v>
      </c>
      <c r="F50" s="2" t="s">
        <v>848</v>
      </c>
    </row>
    <row r="51" spans="1:7" ht="15" customHeight="1" x14ac:dyDescent="0.25">
      <c r="A51" s="14"/>
      <c r="B51" s="2" t="s">
        <v>849</v>
      </c>
      <c r="D51" s="152">
        <v>0</v>
      </c>
      <c r="F51" s="154">
        <v>0</v>
      </c>
    </row>
    <row r="52" spans="1:7" ht="15" customHeight="1" x14ac:dyDescent="0.25">
      <c r="A52" s="14"/>
      <c r="B52" s="2" t="s">
        <v>850</v>
      </c>
      <c r="D52" s="152">
        <v>0</v>
      </c>
      <c r="F52" s="154">
        <v>0</v>
      </c>
    </row>
    <row r="53" spans="1:7" ht="15" customHeight="1" x14ac:dyDescent="0.25">
      <c r="A53" s="14"/>
      <c r="B53" s="2" t="s">
        <v>851</v>
      </c>
      <c r="D53" s="152">
        <v>0</v>
      </c>
      <c r="F53" s="154">
        <v>0</v>
      </c>
    </row>
    <row r="54" spans="1:7" ht="15" customHeight="1" x14ac:dyDescent="0.25">
      <c r="A54" s="14"/>
      <c r="B54" s="2" t="s">
        <v>852</v>
      </c>
      <c r="D54" s="152">
        <v>0</v>
      </c>
      <c r="F54" s="154">
        <v>0</v>
      </c>
    </row>
    <row r="55" spans="1:7" ht="15" customHeight="1" x14ac:dyDescent="0.25">
      <c r="A55" s="14"/>
      <c r="B55" s="2" t="s">
        <v>853</v>
      </c>
      <c r="D55" s="152">
        <v>0</v>
      </c>
      <c r="F55" s="154">
        <v>0</v>
      </c>
    </row>
    <row r="56" spans="1:7" ht="15" customHeight="1" x14ac:dyDescent="0.25">
      <c r="A56" s="14"/>
      <c r="B56" s="2" t="s">
        <v>854</v>
      </c>
      <c r="D56" s="152">
        <v>0</v>
      </c>
      <c r="F56" s="154">
        <v>0</v>
      </c>
    </row>
    <row r="57" spans="1:7" ht="15" customHeight="1" x14ac:dyDescent="0.25">
      <c r="A57" s="14"/>
      <c r="B57" s="2" t="s">
        <v>855</v>
      </c>
      <c r="D57" s="152">
        <v>0</v>
      </c>
      <c r="F57" s="154">
        <v>0</v>
      </c>
    </row>
    <row r="58" spans="1:7" ht="15" customHeight="1" x14ac:dyDescent="0.25">
      <c r="A58" s="14"/>
      <c r="B58" s="2" t="s">
        <v>856</v>
      </c>
      <c r="D58" s="152">
        <v>0</v>
      </c>
      <c r="F58" s="154">
        <v>0</v>
      </c>
    </row>
    <row r="59" spans="1:7" ht="15" customHeight="1" x14ac:dyDescent="0.25">
      <c r="A59" s="14"/>
      <c r="B59" s="2" t="s">
        <v>349</v>
      </c>
    </row>
    <row r="60" spans="1:7" ht="15.75" customHeight="1" x14ac:dyDescent="0.25">
      <c r="A60" s="14"/>
    </row>
    <row r="61" spans="1:7" ht="15" customHeight="1" x14ac:dyDescent="0.25">
      <c r="B61" s="2" t="s">
        <v>857</v>
      </c>
      <c r="F61" s="154">
        <v>0</v>
      </c>
    </row>
    <row r="62" spans="1:7" ht="15" customHeight="1" x14ac:dyDescent="0.25">
      <c r="A62" s="14"/>
      <c r="B62" s="2" t="s">
        <v>858</v>
      </c>
      <c r="F62" s="154">
        <v>0</v>
      </c>
    </row>
    <row r="63" spans="1:7" ht="15" customHeight="1" x14ac:dyDescent="0.25">
      <c r="A63" s="14"/>
      <c r="B63" s="2" t="s">
        <v>859</v>
      </c>
      <c r="F63" s="154">
        <v>0</v>
      </c>
    </row>
    <row r="64" spans="1:7" ht="15" customHeight="1" x14ac:dyDescent="0.25">
      <c r="A64" s="14"/>
      <c r="B64" s="2" t="s">
        <v>860</v>
      </c>
      <c r="F64" s="154">
        <v>0</v>
      </c>
    </row>
    <row r="65" spans="1:6" ht="15" customHeight="1" x14ac:dyDescent="0.25">
      <c r="A65" s="14"/>
      <c r="B65" s="2" t="s">
        <v>180</v>
      </c>
      <c r="F65" s="154">
        <v>0</v>
      </c>
    </row>
    <row r="66" spans="1:6" ht="15" customHeight="1" x14ac:dyDescent="0.25">
      <c r="A66" s="14"/>
      <c r="B66" s="2" t="s">
        <v>861</v>
      </c>
      <c r="F66" s="154">
        <v>0</v>
      </c>
    </row>
    <row r="67" spans="1:6" ht="15" customHeight="1" x14ac:dyDescent="0.25">
      <c r="A67" s="14"/>
      <c r="B67" s="2" t="s">
        <v>862</v>
      </c>
      <c r="F67" s="154">
        <v>39.268000000000001</v>
      </c>
    </row>
    <row r="68" spans="1:6" ht="15.75" customHeight="1" x14ac:dyDescent="0.25">
      <c r="A68" s="14"/>
    </row>
    <row r="69" spans="1:6" ht="15.75" customHeight="1" x14ac:dyDescent="0.25">
      <c r="A69" s="14"/>
    </row>
    <row r="70" spans="1:6" ht="15.75" customHeight="1" x14ac:dyDescent="0.25">
      <c r="A70" s="14"/>
    </row>
    <row r="111" spans="1:1" ht="15.75" customHeight="1" x14ac:dyDescent="0.25">
      <c r="A111" s="14"/>
    </row>
    <row r="112" spans="1:1" ht="15.75" customHeight="1" x14ac:dyDescent="0.25">
      <c r="A112" s="14"/>
    </row>
    <row r="113" spans="1:1" ht="15.75" customHeight="1" x14ac:dyDescent="0.25">
      <c r="A113" s="14"/>
    </row>
    <row r="114" spans="1:1" ht="15.75" customHeight="1" x14ac:dyDescent="0.25">
      <c r="A114" s="14"/>
    </row>
    <row r="115" spans="1:1" ht="15.75" customHeight="1" x14ac:dyDescent="0.25">
      <c r="A115" s="14"/>
    </row>
    <row r="116" spans="1:1" ht="15.75" customHeight="1" x14ac:dyDescent="0.25">
      <c r="A116" s="14"/>
    </row>
    <row r="117" spans="1:1" ht="15.75" customHeight="1" x14ac:dyDescent="0.25">
      <c r="A117" s="14"/>
    </row>
    <row r="118" spans="1:1" ht="15.75" customHeight="1" x14ac:dyDescent="0.25">
      <c r="A118" s="14"/>
    </row>
    <row r="119" spans="1:1" ht="15.75" customHeight="1" x14ac:dyDescent="0.25">
      <c r="A119" s="14"/>
    </row>
    <row r="120" spans="1:1" ht="15.75" customHeight="1" x14ac:dyDescent="0.25">
      <c r="A120" s="14"/>
    </row>
    <row r="121" spans="1:1" ht="15.75" customHeight="1" x14ac:dyDescent="0.25">
      <c r="A121" s="14"/>
    </row>
    <row r="122" spans="1:1" ht="15.75" customHeight="1" x14ac:dyDescent="0.25">
      <c r="A122" s="14"/>
    </row>
    <row r="123" spans="1:1" ht="15.75" customHeight="1" x14ac:dyDescent="0.25">
      <c r="A123" s="14"/>
    </row>
    <row r="124" spans="1:1" ht="15.75" customHeight="1" x14ac:dyDescent="0.25">
      <c r="A124" s="14"/>
    </row>
    <row r="125" spans="1:1" ht="15.75" customHeight="1" x14ac:dyDescent="0.25">
      <c r="A125" s="14"/>
    </row>
    <row r="126" spans="1:1" ht="15.75" customHeight="1" x14ac:dyDescent="0.25">
      <c r="A126" s="14"/>
    </row>
    <row r="127" spans="1:1" ht="15.75" customHeight="1" x14ac:dyDescent="0.25">
      <c r="A127" s="14"/>
    </row>
    <row r="128" spans="1:1" ht="15.75" customHeight="1" x14ac:dyDescent="0.25">
      <c r="A128" s="14"/>
    </row>
    <row r="129" spans="1:1" ht="15.75" customHeight="1" x14ac:dyDescent="0.25">
      <c r="A129" s="14"/>
    </row>
    <row r="130" spans="1:1" ht="15.75" customHeight="1" x14ac:dyDescent="0.25">
      <c r="A130" s="14"/>
    </row>
    <row r="131" spans="1:1" ht="15.75" customHeight="1" x14ac:dyDescent="0.25">
      <c r="A131" s="14"/>
    </row>
    <row r="132" spans="1:1" ht="15.75" customHeight="1" x14ac:dyDescent="0.25">
      <c r="A132" s="14"/>
    </row>
    <row r="133" spans="1:1" ht="15.75" customHeight="1" x14ac:dyDescent="0.25">
      <c r="A133" s="14"/>
    </row>
    <row r="134" spans="1:1" ht="15.75" customHeight="1" x14ac:dyDescent="0.25">
      <c r="A134" s="14"/>
    </row>
    <row r="135" spans="1:1" ht="15.75" customHeight="1" x14ac:dyDescent="0.25">
      <c r="A135" s="14"/>
    </row>
    <row r="136" spans="1:1" ht="15.75" customHeight="1" x14ac:dyDescent="0.25">
      <c r="A136" s="14"/>
    </row>
    <row r="137" spans="1:1" ht="15.75" customHeight="1" x14ac:dyDescent="0.25">
      <c r="A137" s="14"/>
    </row>
    <row r="138" spans="1:1" ht="15.75" customHeight="1" x14ac:dyDescent="0.25">
      <c r="A138" s="14"/>
    </row>
    <row r="139" spans="1:1" ht="15.75" customHeight="1" x14ac:dyDescent="0.25">
      <c r="A139" s="14"/>
    </row>
    <row r="140" spans="1:1" ht="15.75" customHeight="1" x14ac:dyDescent="0.25">
      <c r="A140" s="14"/>
    </row>
    <row r="141" spans="1:1" ht="15.75" customHeight="1" x14ac:dyDescent="0.25">
      <c r="A141" s="14"/>
    </row>
    <row r="142" spans="1:1" ht="15.75" customHeight="1" x14ac:dyDescent="0.25">
      <c r="A142" s="14"/>
    </row>
    <row r="143" spans="1:1" ht="15.75" customHeight="1" x14ac:dyDescent="0.25">
      <c r="A143" s="14"/>
    </row>
    <row r="144" spans="1:1" ht="15.75" customHeight="1" x14ac:dyDescent="0.25">
      <c r="A144" s="14"/>
    </row>
    <row r="145" spans="1:1" ht="15.75" customHeight="1" x14ac:dyDescent="0.25">
      <c r="A145" s="14"/>
    </row>
    <row r="146" spans="1:1" ht="15.75" customHeight="1" x14ac:dyDescent="0.25">
      <c r="A146" s="14"/>
    </row>
    <row r="147" spans="1:1" ht="15.75" customHeight="1" x14ac:dyDescent="0.25">
      <c r="A147" s="14"/>
    </row>
    <row r="148" spans="1:1" ht="15.75" customHeight="1" x14ac:dyDescent="0.25">
      <c r="A148" s="14"/>
    </row>
    <row r="149" spans="1:1" ht="15.75" customHeight="1" x14ac:dyDescent="0.25">
      <c r="A149" s="14"/>
    </row>
    <row r="150" spans="1:1" ht="15.75" customHeight="1" x14ac:dyDescent="0.25">
      <c r="A150" s="14"/>
    </row>
    <row r="151" spans="1:1" ht="15.75" customHeight="1" x14ac:dyDescent="0.25">
      <c r="A151" s="14"/>
    </row>
    <row r="152" spans="1:1" ht="15.75" customHeight="1" x14ac:dyDescent="0.25">
      <c r="A152" s="14"/>
    </row>
    <row r="153" spans="1:1" ht="15.75" customHeight="1" x14ac:dyDescent="0.25">
      <c r="A153" s="14"/>
    </row>
    <row r="154" spans="1:1" ht="15.75" customHeight="1" x14ac:dyDescent="0.25">
      <c r="A154" s="14"/>
    </row>
    <row r="155" spans="1:1" ht="15.75" customHeight="1" x14ac:dyDescent="0.25">
      <c r="A155" s="14"/>
    </row>
    <row r="156" spans="1:1" ht="15.75" customHeight="1" x14ac:dyDescent="0.25">
      <c r="A156" s="14"/>
    </row>
    <row r="157" spans="1:1" ht="15.75" customHeight="1" x14ac:dyDescent="0.25">
      <c r="A157" s="14"/>
    </row>
    <row r="158" spans="1:1" ht="15.75" customHeight="1" x14ac:dyDescent="0.25">
      <c r="A158" s="14"/>
    </row>
    <row r="159" spans="1:1" ht="15.75" customHeight="1" x14ac:dyDescent="0.25">
      <c r="A159" s="14"/>
    </row>
    <row r="160" spans="1:1" ht="15.75" customHeight="1" x14ac:dyDescent="0.25">
      <c r="A160" s="14"/>
    </row>
    <row r="161" spans="1:1" ht="15.75" customHeight="1" x14ac:dyDescent="0.25">
      <c r="A161" s="14"/>
    </row>
    <row r="162" spans="1:1" ht="15.75" customHeight="1" x14ac:dyDescent="0.25">
      <c r="A162" s="14"/>
    </row>
    <row r="163" spans="1:1" ht="15.75" customHeight="1" x14ac:dyDescent="0.25">
      <c r="A163" s="14"/>
    </row>
    <row r="164" spans="1:1" ht="15.75" customHeight="1" x14ac:dyDescent="0.25">
      <c r="A164" s="14"/>
    </row>
    <row r="165" spans="1:1" ht="15.75" customHeight="1" x14ac:dyDescent="0.25">
      <c r="A165" s="14"/>
    </row>
    <row r="166" spans="1:1" ht="15.75" customHeight="1" x14ac:dyDescent="0.25">
      <c r="A166" s="14"/>
    </row>
    <row r="167" spans="1:1" ht="15.75" customHeight="1" x14ac:dyDescent="0.25">
      <c r="A167" s="14"/>
    </row>
    <row r="168" spans="1:1" ht="15.75" customHeight="1" x14ac:dyDescent="0.25">
      <c r="A168" s="14"/>
    </row>
    <row r="169" spans="1:1" ht="15.75" customHeight="1" x14ac:dyDescent="0.25">
      <c r="A169" s="14"/>
    </row>
    <row r="170" spans="1:1" ht="15.75" customHeight="1" x14ac:dyDescent="0.25">
      <c r="A170" s="14"/>
    </row>
    <row r="171" spans="1:1" ht="15.75" customHeight="1" x14ac:dyDescent="0.25">
      <c r="A171" s="14"/>
    </row>
    <row r="172" spans="1:1" ht="15.75" customHeight="1" x14ac:dyDescent="0.25">
      <c r="A172" s="14"/>
    </row>
    <row r="173" spans="1:1" ht="15.75" customHeight="1" x14ac:dyDescent="0.25">
      <c r="A173" s="14"/>
    </row>
    <row r="174" spans="1:1" ht="15.75" customHeight="1" x14ac:dyDescent="0.25">
      <c r="A174" s="14"/>
    </row>
    <row r="175" spans="1:1" ht="15.75" customHeight="1" x14ac:dyDescent="0.25">
      <c r="A175" s="14"/>
    </row>
    <row r="176" spans="1:1" ht="15.75" customHeight="1" x14ac:dyDescent="0.25">
      <c r="A176" s="14"/>
    </row>
    <row r="177" spans="1:1" ht="15.75" customHeight="1" x14ac:dyDescent="0.25">
      <c r="A177" s="14"/>
    </row>
    <row r="178" spans="1:1" ht="15.75" customHeight="1" x14ac:dyDescent="0.25">
      <c r="A178" s="14"/>
    </row>
    <row r="179" spans="1:1" ht="15.75" customHeight="1" x14ac:dyDescent="0.25">
      <c r="A179" s="14"/>
    </row>
    <row r="180" spans="1:1" ht="15.75" customHeight="1" x14ac:dyDescent="0.25">
      <c r="A180" s="14"/>
    </row>
    <row r="181" spans="1:1" ht="15.75" customHeight="1" x14ac:dyDescent="0.25">
      <c r="A181" s="14"/>
    </row>
    <row r="182" spans="1:1" ht="15.75" customHeight="1" x14ac:dyDescent="0.25">
      <c r="A182" s="14"/>
    </row>
    <row r="183" spans="1:1" ht="15.75" customHeight="1" x14ac:dyDescent="0.25">
      <c r="A183" s="14"/>
    </row>
    <row r="184" spans="1:1" ht="15.75" customHeight="1" x14ac:dyDescent="0.25">
      <c r="A184" s="14"/>
    </row>
    <row r="185" spans="1:1" ht="15.75" customHeight="1" x14ac:dyDescent="0.25">
      <c r="A185" s="14"/>
    </row>
    <row r="186" spans="1:1" ht="15.75" customHeight="1" x14ac:dyDescent="0.25">
      <c r="A186" s="14"/>
    </row>
    <row r="187" spans="1:1" ht="15.75" customHeight="1" x14ac:dyDescent="0.25">
      <c r="A187" s="14"/>
    </row>
    <row r="188" spans="1:1" ht="15.75" customHeight="1" x14ac:dyDescent="0.25">
      <c r="A188" s="14"/>
    </row>
    <row r="189" spans="1:1" ht="15.75" customHeight="1" x14ac:dyDescent="0.25">
      <c r="A189" s="14"/>
    </row>
    <row r="190" spans="1:1" ht="15.75" customHeight="1" x14ac:dyDescent="0.25">
      <c r="A190" s="14"/>
    </row>
    <row r="191" spans="1:1" ht="15.75" customHeight="1" x14ac:dyDescent="0.25">
      <c r="A191" s="14"/>
    </row>
    <row r="192" spans="1:1" ht="15.75" customHeight="1" x14ac:dyDescent="0.25">
      <c r="A192" s="14"/>
    </row>
    <row r="193" spans="1:1" ht="15.75" customHeight="1" x14ac:dyDescent="0.25">
      <c r="A193" s="14"/>
    </row>
    <row r="194" spans="1:1" ht="15.75" customHeight="1" x14ac:dyDescent="0.25">
      <c r="A194" s="14"/>
    </row>
    <row r="195" spans="1:1" ht="15.75" customHeight="1" x14ac:dyDescent="0.25">
      <c r="A195" s="14"/>
    </row>
    <row r="196" spans="1:1" ht="15.75" customHeight="1" x14ac:dyDescent="0.25">
      <c r="A196" s="14"/>
    </row>
    <row r="197" spans="1:1" ht="15.75" customHeight="1" x14ac:dyDescent="0.25">
      <c r="A197" s="14"/>
    </row>
    <row r="198" spans="1:1" ht="15.75" customHeight="1" x14ac:dyDescent="0.25">
      <c r="A198" s="14"/>
    </row>
    <row r="199" spans="1:1" ht="15.75" customHeight="1" x14ac:dyDescent="0.25">
      <c r="A199" s="14"/>
    </row>
    <row r="200" spans="1:1" ht="15.75" customHeight="1" x14ac:dyDescent="0.25">
      <c r="A200" s="14"/>
    </row>
    <row r="201" spans="1:1" ht="15.75" customHeight="1" x14ac:dyDescent="0.25">
      <c r="A201" s="14"/>
    </row>
    <row r="202" spans="1:1" ht="15.75" customHeight="1" x14ac:dyDescent="0.25">
      <c r="A202" s="14"/>
    </row>
    <row r="203" spans="1:1" ht="15.75" customHeight="1" x14ac:dyDescent="0.25">
      <c r="A203" s="14"/>
    </row>
    <row r="204" spans="1:1" ht="15.75" customHeight="1" x14ac:dyDescent="0.25">
      <c r="A204" s="14"/>
    </row>
    <row r="205" spans="1:1" ht="15.75" customHeight="1" x14ac:dyDescent="0.25">
      <c r="A205" s="14"/>
    </row>
    <row r="206" spans="1:1" ht="15.75" customHeight="1" x14ac:dyDescent="0.25">
      <c r="A206" s="14"/>
    </row>
    <row r="207" spans="1:1" ht="15.75" customHeight="1" x14ac:dyDescent="0.25">
      <c r="A207" s="14"/>
    </row>
    <row r="208" spans="1:1" ht="15.75" customHeight="1" x14ac:dyDescent="0.25">
      <c r="A208" s="14"/>
    </row>
    <row r="209" spans="1:1" ht="15.75" customHeight="1" x14ac:dyDescent="0.25">
      <c r="A209" s="14"/>
    </row>
    <row r="210" spans="1:1" ht="15.75" customHeight="1" x14ac:dyDescent="0.25">
      <c r="A210" s="14"/>
    </row>
    <row r="211" spans="1:1" ht="15.75" customHeight="1" x14ac:dyDescent="0.25">
      <c r="A211" s="14"/>
    </row>
    <row r="212" spans="1:1" ht="15.75" customHeight="1" x14ac:dyDescent="0.25">
      <c r="A212" s="14"/>
    </row>
    <row r="213" spans="1:1" ht="15.75" customHeight="1" x14ac:dyDescent="0.25">
      <c r="A213" s="14"/>
    </row>
    <row r="214" spans="1:1" ht="15.75" customHeight="1" x14ac:dyDescent="0.25">
      <c r="A214" s="14"/>
    </row>
    <row r="215" spans="1:1" ht="15.75" customHeight="1" x14ac:dyDescent="0.25">
      <c r="A215" s="14"/>
    </row>
    <row r="216" spans="1:1" ht="15.75" customHeight="1" x14ac:dyDescent="0.25">
      <c r="A216" s="14"/>
    </row>
    <row r="217" spans="1:1" ht="15.75" customHeight="1" x14ac:dyDescent="0.25">
      <c r="A217" s="14"/>
    </row>
    <row r="218" spans="1:1" ht="15.75" customHeight="1" x14ac:dyDescent="0.25">
      <c r="A218" s="14"/>
    </row>
    <row r="219" spans="1:1" ht="15.75" customHeight="1" x14ac:dyDescent="0.25">
      <c r="A219" s="14"/>
    </row>
    <row r="220" spans="1:1" ht="15.75" customHeight="1" x14ac:dyDescent="0.25">
      <c r="A220" s="14"/>
    </row>
    <row r="221" spans="1:1" ht="15.75" customHeight="1" x14ac:dyDescent="0.25">
      <c r="A221" s="14"/>
    </row>
    <row r="222" spans="1:1" ht="15.75" customHeight="1" x14ac:dyDescent="0.25">
      <c r="A222" s="14"/>
    </row>
    <row r="223" spans="1:1" ht="15.75" customHeight="1" x14ac:dyDescent="0.25">
      <c r="A223" s="14"/>
    </row>
    <row r="224" spans="1:1" ht="15.75" customHeight="1" x14ac:dyDescent="0.25">
      <c r="A224" s="14"/>
    </row>
    <row r="225" spans="1:1" ht="15.75" customHeight="1" x14ac:dyDescent="0.25">
      <c r="A225" s="14"/>
    </row>
    <row r="226" spans="1:1" ht="15.75" customHeight="1" x14ac:dyDescent="0.25">
      <c r="A226" s="14"/>
    </row>
    <row r="227" spans="1:1" ht="15.75" customHeight="1" x14ac:dyDescent="0.25">
      <c r="A227" s="14"/>
    </row>
    <row r="228" spans="1:1" ht="15.75" customHeight="1" x14ac:dyDescent="0.25">
      <c r="A228" s="14"/>
    </row>
    <row r="229" spans="1:1" ht="15.75" customHeight="1" x14ac:dyDescent="0.25">
      <c r="A229" s="14"/>
    </row>
    <row r="230" spans="1:1" ht="15.75" customHeight="1" x14ac:dyDescent="0.25">
      <c r="A230" s="14"/>
    </row>
    <row r="231" spans="1:1" ht="15.75" customHeight="1" x14ac:dyDescent="0.25">
      <c r="A231" s="14"/>
    </row>
    <row r="232" spans="1:1" ht="15.75" customHeight="1" x14ac:dyDescent="0.25">
      <c r="A232" s="14"/>
    </row>
    <row r="233" spans="1:1" ht="15.75" customHeight="1" x14ac:dyDescent="0.25">
      <c r="A233" s="14"/>
    </row>
    <row r="234" spans="1:1" ht="15.75" customHeight="1" x14ac:dyDescent="0.25">
      <c r="A234" s="14"/>
    </row>
    <row r="235" spans="1:1" ht="15.75" customHeight="1" x14ac:dyDescent="0.25">
      <c r="A235" s="14"/>
    </row>
    <row r="236" spans="1:1" ht="15.75" customHeight="1" x14ac:dyDescent="0.25">
      <c r="A236" s="14"/>
    </row>
    <row r="237" spans="1:1" ht="15.75" customHeight="1" x14ac:dyDescent="0.25">
      <c r="A237" s="14"/>
    </row>
    <row r="238" spans="1:1" ht="15.75" customHeight="1" x14ac:dyDescent="0.25">
      <c r="A238" s="14"/>
    </row>
    <row r="239" spans="1:1" ht="15.75" customHeight="1" x14ac:dyDescent="0.25">
      <c r="A239" s="14"/>
    </row>
    <row r="240" spans="1:1" ht="15.75" customHeight="1" x14ac:dyDescent="0.25">
      <c r="A240" s="14"/>
    </row>
    <row r="241" spans="1:1" ht="15.75" customHeight="1" x14ac:dyDescent="0.25">
      <c r="A241" s="14"/>
    </row>
    <row r="242" spans="1:1" ht="15.75" customHeight="1" x14ac:dyDescent="0.25">
      <c r="A242" s="14"/>
    </row>
    <row r="243" spans="1:1" ht="15.75" customHeight="1" x14ac:dyDescent="0.25">
      <c r="A243" s="14"/>
    </row>
    <row r="244" spans="1:1" ht="15.75" customHeight="1" x14ac:dyDescent="0.25">
      <c r="A244" s="14"/>
    </row>
    <row r="245" spans="1:1" ht="15.75" customHeight="1" x14ac:dyDescent="0.25">
      <c r="A245" s="14"/>
    </row>
    <row r="246" spans="1:1" ht="15.75" customHeight="1" x14ac:dyDescent="0.25">
      <c r="A246" s="14"/>
    </row>
    <row r="247" spans="1:1" ht="15.75" customHeight="1" x14ac:dyDescent="0.25">
      <c r="A247" s="14"/>
    </row>
    <row r="248" spans="1:1" ht="15.75" customHeight="1" x14ac:dyDescent="0.25">
      <c r="A248" s="14"/>
    </row>
    <row r="249" spans="1:1" ht="15.75" customHeight="1" x14ac:dyDescent="0.25">
      <c r="A249" s="14"/>
    </row>
    <row r="250" spans="1:1" ht="15.75" customHeight="1" x14ac:dyDescent="0.25">
      <c r="A250" s="14"/>
    </row>
    <row r="251" spans="1:1" ht="15.75" customHeight="1" x14ac:dyDescent="0.25">
      <c r="A251" s="14"/>
    </row>
    <row r="252" spans="1:1" ht="15.75" customHeight="1" x14ac:dyDescent="0.25">
      <c r="A252" s="14"/>
    </row>
    <row r="253" spans="1:1" ht="15.75" customHeight="1" x14ac:dyDescent="0.25">
      <c r="A253" s="14"/>
    </row>
    <row r="254" spans="1:1" ht="15.75" customHeight="1" x14ac:dyDescent="0.25">
      <c r="A254" s="14"/>
    </row>
    <row r="255" spans="1:1" ht="15.75" customHeight="1" x14ac:dyDescent="0.25">
      <c r="A255" s="14"/>
    </row>
    <row r="256" spans="1:1" ht="15.75" customHeight="1" x14ac:dyDescent="0.25">
      <c r="A256" s="14"/>
    </row>
    <row r="257" spans="1:1" ht="15.75" customHeight="1" x14ac:dyDescent="0.25">
      <c r="A257" s="14"/>
    </row>
    <row r="258" spans="1:1" ht="15.75" customHeight="1" x14ac:dyDescent="0.25">
      <c r="A258" s="14"/>
    </row>
    <row r="259" spans="1:1" ht="15.75" customHeight="1" x14ac:dyDescent="0.25">
      <c r="A259" s="14"/>
    </row>
    <row r="260" spans="1:1" ht="15.75" customHeight="1" x14ac:dyDescent="0.25">
      <c r="A260" s="14"/>
    </row>
    <row r="261" spans="1:1" ht="15.75" customHeight="1" x14ac:dyDescent="0.25">
      <c r="A261" s="14"/>
    </row>
    <row r="262" spans="1:1" ht="15.75" customHeight="1" x14ac:dyDescent="0.25">
      <c r="A262" s="14"/>
    </row>
    <row r="263" spans="1:1" ht="15.75" customHeight="1" x14ac:dyDescent="0.25">
      <c r="A263" s="14"/>
    </row>
    <row r="264" spans="1:1" ht="15.75" customHeight="1" x14ac:dyDescent="0.25">
      <c r="A264" s="14"/>
    </row>
    <row r="265" spans="1:1" ht="15.75" customHeight="1" x14ac:dyDescent="0.25">
      <c r="A265" s="14"/>
    </row>
    <row r="266" spans="1:1" ht="15.75" customHeight="1" x14ac:dyDescent="0.25">
      <c r="A266" s="14"/>
    </row>
    <row r="267" spans="1:1" ht="15.75" customHeight="1" x14ac:dyDescent="0.25">
      <c r="A267" s="14"/>
    </row>
    <row r="268" spans="1:1" ht="15.75" customHeight="1" x14ac:dyDescent="0.25">
      <c r="A268" s="14"/>
    </row>
    <row r="269" spans="1:1" ht="15.75" customHeight="1" x14ac:dyDescent="0.25">
      <c r="A269" s="14"/>
    </row>
    <row r="270" spans="1:1" ht="15.75" customHeight="1" x14ac:dyDescent="0.25">
      <c r="A270" s="14"/>
    </row>
    <row r="271" spans="1:1" ht="15.75" customHeight="1" x14ac:dyDescent="0.25">
      <c r="A271" s="14"/>
    </row>
    <row r="272" spans="1:1" ht="15.75" customHeight="1" x14ac:dyDescent="0.25">
      <c r="A272" s="14"/>
    </row>
    <row r="273" spans="1:1" ht="15.75" customHeight="1" x14ac:dyDescent="0.25">
      <c r="A273" s="14"/>
    </row>
    <row r="274" spans="1:1" ht="15.75" customHeight="1" x14ac:dyDescent="0.25">
      <c r="A274" s="14"/>
    </row>
    <row r="275" spans="1:1" ht="15.75" customHeight="1" x14ac:dyDescent="0.25">
      <c r="A275" s="14"/>
    </row>
    <row r="276" spans="1:1" ht="15.75" customHeight="1" x14ac:dyDescent="0.25">
      <c r="A276" s="14"/>
    </row>
    <row r="277" spans="1:1" ht="15.75" customHeight="1" x14ac:dyDescent="0.25">
      <c r="A277" s="14"/>
    </row>
    <row r="278" spans="1:1" ht="15.75" customHeight="1" x14ac:dyDescent="0.25">
      <c r="A278" s="14"/>
    </row>
    <row r="279" spans="1:1" ht="15.75" customHeight="1" x14ac:dyDescent="0.25">
      <c r="A279" s="14"/>
    </row>
    <row r="280" spans="1:1" ht="15.75" customHeight="1" x14ac:dyDescent="0.25">
      <c r="A280" s="14"/>
    </row>
    <row r="281" spans="1:1" ht="15.75" customHeight="1" x14ac:dyDescent="0.25">
      <c r="A281" s="14"/>
    </row>
    <row r="282" spans="1:1" ht="15.75" customHeight="1" x14ac:dyDescent="0.25">
      <c r="A282" s="14"/>
    </row>
    <row r="283" spans="1:1" ht="15.75" customHeight="1" x14ac:dyDescent="0.25">
      <c r="A283" s="14"/>
    </row>
    <row r="284" spans="1:1" ht="15.75" customHeight="1" x14ac:dyDescent="0.25">
      <c r="A284" s="14"/>
    </row>
    <row r="285" spans="1:1" ht="15.75" customHeight="1" x14ac:dyDescent="0.25">
      <c r="A285" s="14"/>
    </row>
    <row r="286" spans="1:1" ht="15.75" customHeight="1" x14ac:dyDescent="0.25">
      <c r="A286" s="14"/>
    </row>
    <row r="287" spans="1:1" ht="15.75" customHeight="1" x14ac:dyDescent="0.25">
      <c r="A287" s="14"/>
    </row>
    <row r="288" spans="1:1" ht="15.75" customHeight="1" x14ac:dyDescent="0.25">
      <c r="A288" s="14"/>
    </row>
    <row r="289" spans="1:1" ht="15.75" customHeight="1" x14ac:dyDescent="0.25">
      <c r="A289" s="14"/>
    </row>
    <row r="290" spans="1:1" ht="15.75" customHeight="1" x14ac:dyDescent="0.25">
      <c r="A290" s="14"/>
    </row>
    <row r="291" spans="1:1" ht="15.75" customHeight="1" x14ac:dyDescent="0.25">
      <c r="A291" s="14"/>
    </row>
    <row r="292" spans="1:1" ht="15.75" customHeight="1" x14ac:dyDescent="0.25">
      <c r="A292" s="14"/>
    </row>
    <row r="293" spans="1:1" ht="15.75" customHeight="1" x14ac:dyDescent="0.25">
      <c r="A293" s="14"/>
    </row>
    <row r="294" spans="1:1" ht="15.75" customHeight="1" x14ac:dyDescent="0.25">
      <c r="A294" s="14"/>
    </row>
    <row r="295" spans="1:1" ht="15.75" customHeight="1" x14ac:dyDescent="0.25">
      <c r="A295" s="14"/>
    </row>
    <row r="296" spans="1:1" ht="15.75" customHeight="1" x14ac:dyDescent="0.25">
      <c r="A296" s="14"/>
    </row>
    <row r="297" spans="1:1" ht="15.75" customHeight="1" x14ac:dyDescent="0.25">
      <c r="A297" s="14"/>
    </row>
    <row r="298" spans="1:1" ht="15.75" customHeight="1" x14ac:dyDescent="0.25">
      <c r="A298" s="14"/>
    </row>
    <row r="299" spans="1:1" ht="15.75" customHeight="1" x14ac:dyDescent="0.25">
      <c r="A299" s="14"/>
    </row>
    <row r="300" spans="1:1" ht="15.75" customHeight="1" x14ac:dyDescent="0.25">
      <c r="A300" s="14"/>
    </row>
    <row r="301" spans="1:1" ht="15.75" customHeight="1" x14ac:dyDescent="0.25">
      <c r="A301" s="14"/>
    </row>
    <row r="302" spans="1:1" ht="15.75" customHeight="1" x14ac:dyDescent="0.25">
      <c r="A302" s="14"/>
    </row>
    <row r="303" spans="1:1" ht="15.75" customHeight="1" x14ac:dyDescent="0.25">
      <c r="A303" s="14"/>
    </row>
    <row r="304" spans="1:1" ht="15.75" customHeight="1" x14ac:dyDescent="0.25">
      <c r="A304" s="14"/>
    </row>
    <row r="305" spans="1:1" ht="15.75" customHeight="1" x14ac:dyDescent="0.25">
      <c r="A305" s="14"/>
    </row>
    <row r="306" spans="1:1" ht="15.75" customHeight="1" x14ac:dyDescent="0.25">
      <c r="A306" s="14"/>
    </row>
    <row r="307" spans="1:1" ht="15.75" customHeight="1" x14ac:dyDescent="0.25">
      <c r="A307" s="14"/>
    </row>
    <row r="308" spans="1:1" ht="15.75" customHeight="1" x14ac:dyDescent="0.25">
      <c r="A308" s="14"/>
    </row>
    <row r="309" spans="1:1" ht="15.75" customHeight="1" x14ac:dyDescent="0.25">
      <c r="A309" s="14"/>
    </row>
    <row r="310" spans="1:1" ht="15.75" customHeight="1" x14ac:dyDescent="0.25">
      <c r="A310" s="14"/>
    </row>
    <row r="311" spans="1:1" ht="15.75" customHeight="1" x14ac:dyDescent="0.25">
      <c r="A311" s="14"/>
    </row>
    <row r="312" spans="1:1" ht="15.75" customHeight="1" x14ac:dyDescent="0.25">
      <c r="A312" s="14"/>
    </row>
    <row r="313" spans="1:1" ht="15.75" customHeight="1" x14ac:dyDescent="0.25">
      <c r="A313" s="14"/>
    </row>
    <row r="314" spans="1:1" ht="15.75" customHeight="1" x14ac:dyDescent="0.25">
      <c r="A314" s="14"/>
    </row>
    <row r="315" spans="1:1" ht="15.75" customHeight="1" x14ac:dyDescent="0.25">
      <c r="A315" s="14"/>
    </row>
    <row r="316" spans="1:1" ht="15.75" customHeight="1" x14ac:dyDescent="0.25">
      <c r="A316" s="14"/>
    </row>
    <row r="317" spans="1:1" ht="15.75" customHeight="1" x14ac:dyDescent="0.25">
      <c r="A317" s="14"/>
    </row>
    <row r="318" spans="1:1" ht="15.75" customHeight="1" x14ac:dyDescent="0.25">
      <c r="A318" s="14"/>
    </row>
    <row r="319" spans="1:1" ht="15.75" customHeight="1" x14ac:dyDescent="0.25">
      <c r="A319" s="14"/>
    </row>
    <row r="320" spans="1:1" ht="15.75" customHeight="1" x14ac:dyDescent="0.25">
      <c r="A320" s="14"/>
    </row>
    <row r="321" spans="1:1" ht="15.75" customHeight="1" x14ac:dyDescent="0.25">
      <c r="A321" s="14"/>
    </row>
    <row r="322" spans="1:1" ht="15.75" customHeight="1" x14ac:dyDescent="0.25">
      <c r="A322" s="14"/>
    </row>
    <row r="323" spans="1:1" ht="15.75" customHeight="1" x14ac:dyDescent="0.25">
      <c r="A323" s="14"/>
    </row>
    <row r="324" spans="1:1" ht="15.75" customHeight="1" x14ac:dyDescent="0.25">
      <c r="A324" s="14"/>
    </row>
    <row r="325" spans="1:1" ht="15.75" customHeight="1" x14ac:dyDescent="0.25">
      <c r="A325" s="14"/>
    </row>
    <row r="326" spans="1:1" ht="15.75" customHeight="1" x14ac:dyDescent="0.25">
      <c r="A326" s="14"/>
    </row>
    <row r="327" spans="1:1" ht="15.75" customHeight="1" x14ac:dyDescent="0.25">
      <c r="A327" s="14"/>
    </row>
    <row r="328" spans="1:1" ht="15.75" customHeight="1" x14ac:dyDescent="0.25">
      <c r="A328" s="14"/>
    </row>
    <row r="329" spans="1:1" ht="15.75" customHeight="1" x14ac:dyDescent="0.25">
      <c r="A329" s="14"/>
    </row>
    <row r="330" spans="1:1" ht="15.75" customHeight="1" x14ac:dyDescent="0.25">
      <c r="A330" s="14"/>
    </row>
    <row r="331" spans="1:1" ht="15.75" customHeight="1" x14ac:dyDescent="0.25">
      <c r="A331" s="14"/>
    </row>
    <row r="332" spans="1:1" ht="15.75" customHeight="1" x14ac:dyDescent="0.25">
      <c r="A332" s="14"/>
    </row>
    <row r="333" spans="1:1" ht="15.75" customHeight="1" x14ac:dyDescent="0.25">
      <c r="A333" s="14"/>
    </row>
    <row r="334" spans="1:1" ht="15.75" customHeight="1" x14ac:dyDescent="0.25">
      <c r="A334" s="14"/>
    </row>
    <row r="335" spans="1:1" ht="15.75" customHeight="1" x14ac:dyDescent="0.25">
      <c r="A335" s="14"/>
    </row>
    <row r="336" spans="1:1" ht="15.75" customHeight="1" x14ac:dyDescent="0.25">
      <c r="A336" s="14"/>
    </row>
    <row r="337" spans="1:1" ht="15.75" customHeight="1" x14ac:dyDescent="0.25">
      <c r="A337" s="14"/>
    </row>
    <row r="338" spans="1:1" ht="15.75" customHeight="1" x14ac:dyDescent="0.25">
      <c r="A338" s="14"/>
    </row>
    <row r="339" spans="1:1" ht="15.75" customHeight="1" x14ac:dyDescent="0.25">
      <c r="A339" s="14"/>
    </row>
    <row r="340" spans="1:1" ht="15.75" customHeight="1" x14ac:dyDescent="0.25">
      <c r="A340" s="14"/>
    </row>
    <row r="341" spans="1:1" ht="15.75" customHeight="1" x14ac:dyDescent="0.25">
      <c r="A341" s="14"/>
    </row>
    <row r="342" spans="1:1" ht="15.75" customHeight="1" x14ac:dyDescent="0.25">
      <c r="A342" s="14"/>
    </row>
    <row r="343" spans="1:1" ht="15.75" customHeight="1" x14ac:dyDescent="0.25">
      <c r="A343" s="14"/>
    </row>
    <row r="344" spans="1:1" ht="15.75" customHeight="1" x14ac:dyDescent="0.25">
      <c r="A344" s="14"/>
    </row>
    <row r="345" spans="1:1" ht="15.75" customHeight="1" x14ac:dyDescent="0.25">
      <c r="A345" s="14"/>
    </row>
    <row r="346" spans="1:1" ht="15.75" customHeight="1" x14ac:dyDescent="0.25">
      <c r="A346" s="14"/>
    </row>
    <row r="347" spans="1:1" ht="15.75" customHeight="1" x14ac:dyDescent="0.25">
      <c r="A347" s="14"/>
    </row>
    <row r="348" spans="1:1" ht="15.75" customHeight="1" x14ac:dyDescent="0.25">
      <c r="A348" s="14"/>
    </row>
    <row r="349" spans="1:1" ht="15.75" customHeight="1" x14ac:dyDescent="0.25">
      <c r="A349" s="14"/>
    </row>
    <row r="350" spans="1:1" ht="15.75" customHeight="1" x14ac:dyDescent="0.25">
      <c r="A350" s="14"/>
    </row>
    <row r="351" spans="1:1" ht="15.75" customHeight="1" x14ac:dyDescent="0.25">
      <c r="A351" s="14"/>
    </row>
    <row r="352" spans="1:1" ht="15.75" customHeight="1" x14ac:dyDescent="0.25">
      <c r="A352" s="14"/>
    </row>
    <row r="353" spans="1:1" ht="15.75" customHeight="1" x14ac:dyDescent="0.25">
      <c r="A353" s="14"/>
    </row>
    <row r="354" spans="1:1" ht="15.75" customHeight="1" x14ac:dyDescent="0.25">
      <c r="A354" s="14"/>
    </row>
    <row r="355" spans="1:1" ht="15.75" customHeight="1" x14ac:dyDescent="0.25">
      <c r="A355" s="14"/>
    </row>
    <row r="356" spans="1:1" ht="15.75" customHeight="1" x14ac:dyDescent="0.25">
      <c r="A356" s="14"/>
    </row>
    <row r="357" spans="1:1" ht="15.75" customHeight="1" x14ac:dyDescent="0.25">
      <c r="A357" s="14"/>
    </row>
    <row r="358" spans="1:1" ht="15.75" customHeight="1" x14ac:dyDescent="0.25">
      <c r="A358" s="14"/>
    </row>
    <row r="359" spans="1:1" ht="15.75" customHeight="1" x14ac:dyDescent="0.25">
      <c r="A359" s="14"/>
    </row>
    <row r="360" spans="1:1" ht="15.75" customHeight="1" x14ac:dyDescent="0.25">
      <c r="A360" s="14"/>
    </row>
    <row r="361" spans="1:1" ht="15.75" customHeight="1" x14ac:dyDescent="0.25">
      <c r="A361" s="14"/>
    </row>
    <row r="362" spans="1:1" ht="15.75" customHeight="1" x14ac:dyDescent="0.25">
      <c r="A362" s="14"/>
    </row>
    <row r="363" spans="1:1" ht="15.75" customHeight="1" x14ac:dyDescent="0.25">
      <c r="A363" s="14"/>
    </row>
    <row r="364" spans="1:1" ht="15.75" customHeight="1" x14ac:dyDescent="0.25">
      <c r="A364" s="14"/>
    </row>
    <row r="365" spans="1:1" ht="15.75" customHeight="1" x14ac:dyDescent="0.25">
      <c r="A365" s="14"/>
    </row>
    <row r="366" spans="1:1" ht="15.75" customHeight="1" x14ac:dyDescent="0.25">
      <c r="A366" s="14"/>
    </row>
    <row r="367" spans="1:1" ht="15.75" customHeight="1" x14ac:dyDescent="0.25">
      <c r="A367" s="14"/>
    </row>
    <row r="368" spans="1:1" ht="15.75" customHeight="1" x14ac:dyDescent="0.25">
      <c r="A368" s="14"/>
    </row>
    <row r="369" spans="1:1" ht="15.75" customHeight="1" x14ac:dyDescent="0.25">
      <c r="A369" s="14"/>
    </row>
    <row r="370" spans="1:1" ht="15.75" customHeight="1" x14ac:dyDescent="0.25">
      <c r="A370" s="14"/>
    </row>
    <row r="371" spans="1:1" ht="15.75" customHeight="1" x14ac:dyDescent="0.25">
      <c r="A371" s="14"/>
    </row>
    <row r="372" spans="1:1" ht="15.75" customHeight="1" x14ac:dyDescent="0.25">
      <c r="A372" s="14"/>
    </row>
    <row r="373" spans="1:1" ht="15.75" customHeight="1" x14ac:dyDescent="0.25">
      <c r="A373" s="14"/>
    </row>
    <row r="374" spans="1:1" ht="15.75" customHeight="1" x14ac:dyDescent="0.25">
      <c r="A374" s="14"/>
    </row>
    <row r="375" spans="1:1" ht="15.75" customHeight="1" x14ac:dyDescent="0.25">
      <c r="A375" s="14"/>
    </row>
    <row r="376" spans="1:1" ht="15.75" customHeight="1" x14ac:dyDescent="0.25">
      <c r="A376" s="14"/>
    </row>
    <row r="377" spans="1:1" ht="15.75" customHeight="1" x14ac:dyDescent="0.25">
      <c r="A377" s="14"/>
    </row>
    <row r="378" spans="1:1" ht="15.75" customHeight="1" x14ac:dyDescent="0.25">
      <c r="A378" s="14"/>
    </row>
    <row r="379" spans="1:1" ht="15.75" customHeight="1" x14ac:dyDescent="0.25">
      <c r="A379" s="14"/>
    </row>
    <row r="380" spans="1:1" ht="15.75" customHeight="1" x14ac:dyDescent="0.25">
      <c r="A380" s="14"/>
    </row>
    <row r="381" spans="1:1" ht="15.75" customHeight="1" x14ac:dyDescent="0.25">
      <c r="A381" s="14"/>
    </row>
    <row r="382" spans="1:1" ht="15.75" customHeight="1" x14ac:dyDescent="0.25">
      <c r="A382" s="14"/>
    </row>
    <row r="383" spans="1:1" ht="15.75" customHeight="1" x14ac:dyDescent="0.25">
      <c r="A383" s="14"/>
    </row>
    <row r="384" spans="1:1" ht="15.75" customHeight="1" x14ac:dyDescent="0.25">
      <c r="A384" s="14"/>
    </row>
    <row r="385" spans="1:1" ht="15.75" customHeight="1" x14ac:dyDescent="0.25">
      <c r="A385" s="14"/>
    </row>
    <row r="386" spans="1:1" ht="15.75" customHeight="1" x14ac:dyDescent="0.25">
      <c r="A386" s="14"/>
    </row>
    <row r="387" spans="1:1" ht="15.75" customHeight="1" x14ac:dyDescent="0.25">
      <c r="A387" s="14"/>
    </row>
    <row r="388" spans="1:1" ht="15.75" customHeight="1" x14ac:dyDescent="0.25">
      <c r="A388" s="14"/>
    </row>
    <row r="389" spans="1:1" ht="15.75" customHeight="1" x14ac:dyDescent="0.25">
      <c r="A389" s="14"/>
    </row>
    <row r="390" spans="1:1" ht="15.75" customHeight="1" x14ac:dyDescent="0.25">
      <c r="A390" s="14"/>
    </row>
    <row r="391" spans="1:1" ht="15.75" customHeight="1" x14ac:dyDescent="0.25">
      <c r="A391" s="14"/>
    </row>
    <row r="392" spans="1:1" ht="15.75" customHeight="1" x14ac:dyDescent="0.25">
      <c r="A392" s="14"/>
    </row>
    <row r="393" spans="1:1" ht="15.75" customHeight="1" x14ac:dyDescent="0.25">
      <c r="A393" s="14"/>
    </row>
    <row r="394" spans="1:1" ht="15.75" customHeight="1" x14ac:dyDescent="0.25">
      <c r="A394" s="14"/>
    </row>
    <row r="395" spans="1:1" ht="15.75" customHeight="1" x14ac:dyDescent="0.25">
      <c r="A395" s="14"/>
    </row>
    <row r="396" spans="1:1" ht="15.75" customHeight="1" x14ac:dyDescent="0.25">
      <c r="A396" s="14"/>
    </row>
    <row r="397" spans="1:1" ht="15.75" customHeight="1" x14ac:dyDescent="0.25">
      <c r="A397" s="14"/>
    </row>
    <row r="398" spans="1:1" ht="15.75" customHeight="1" x14ac:dyDescent="0.25">
      <c r="A398" s="14"/>
    </row>
    <row r="399" spans="1:1" ht="15.75" customHeight="1" x14ac:dyDescent="0.25">
      <c r="A399" s="14"/>
    </row>
    <row r="400" spans="1:1" ht="15.75" customHeight="1" x14ac:dyDescent="0.25">
      <c r="A400" s="14"/>
    </row>
    <row r="401" spans="1:1" ht="15.75" customHeight="1" x14ac:dyDescent="0.25">
      <c r="A401" s="14"/>
    </row>
    <row r="402" spans="1:1" ht="15.75" customHeight="1" x14ac:dyDescent="0.25">
      <c r="A402" s="14"/>
    </row>
    <row r="403" spans="1:1" ht="15.75" customHeight="1" x14ac:dyDescent="0.25">
      <c r="A403" s="14"/>
    </row>
    <row r="404" spans="1:1" ht="15.75" customHeight="1" x14ac:dyDescent="0.25">
      <c r="A404" s="14"/>
    </row>
    <row r="405" spans="1:1" ht="15.75" customHeight="1" x14ac:dyDescent="0.25">
      <c r="A405" s="14"/>
    </row>
    <row r="406" spans="1:1" ht="15.75" customHeight="1" x14ac:dyDescent="0.25">
      <c r="A406" s="14"/>
    </row>
    <row r="407" spans="1:1" ht="15.75" customHeight="1" x14ac:dyDescent="0.25">
      <c r="A407" s="14"/>
    </row>
    <row r="408" spans="1:1" ht="15.75" customHeight="1" x14ac:dyDescent="0.25">
      <c r="A408" s="14"/>
    </row>
    <row r="409" spans="1:1" ht="15.75" customHeight="1" x14ac:dyDescent="0.25">
      <c r="A409" s="14"/>
    </row>
    <row r="410" spans="1:1" ht="15.75" customHeight="1" x14ac:dyDescent="0.25">
      <c r="A410" s="14"/>
    </row>
    <row r="411" spans="1:1" ht="15.75" customHeight="1" x14ac:dyDescent="0.25">
      <c r="A411" s="14"/>
    </row>
    <row r="412" spans="1:1" ht="15.75" customHeight="1" x14ac:dyDescent="0.25">
      <c r="A412" s="14"/>
    </row>
    <row r="413" spans="1:1" ht="15.75" customHeight="1" x14ac:dyDescent="0.25">
      <c r="A413" s="14"/>
    </row>
    <row r="414" spans="1:1" ht="15.75" customHeight="1" x14ac:dyDescent="0.25">
      <c r="A414" s="14"/>
    </row>
    <row r="415" spans="1:1" ht="15.75" customHeight="1" x14ac:dyDescent="0.25">
      <c r="A415" s="14"/>
    </row>
    <row r="416" spans="1:1" ht="15.75" customHeight="1" x14ac:dyDescent="0.25">
      <c r="A416" s="14"/>
    </row>
    <row r="417" spans="1:1" ht="15.75" customHeight="1" x14ac:dyDescent="0.25">
      <c r="A417" s="14"/>
    </row>
    <row r="418" spans="1:1" ht="15.75" customHeight="1" x14ac:dyDescent="0.25">
      <c r="A418" s="14"/>
    </row>
    <row r="419" spans="1:1" ht="15.75" customHeight="1" x14ac:dyDescent="0.25">
      <c r="A419" s="14"/>
    </row>
    <row r="420" spans="1:1" ht="15.75" customHeight="1" x14ac:dyDescent="0.25">
      <c r="A420" s="14"/>
    </row>
    <row r="421" spans="1:1" ht="15.75" customHeight="1" x14ac:dyDescent="0.25">
      <c r="A421" s="14"/>
    </row>
    <row r="422" spans="1:1" ht="15.75" customHeight="1" x14ac:dyDescent="0.25">
      <c r="A422" s="14"/>
    </row>
    <row r="423" spans="1:1" ht="15.75" customHeight="1" x14ac:dyDescent="0.25">
      <c r="A423" s="14"/>
    </row>
    <row r="424" spans="1:1" ht="15.75" customHeight="1" x14ac:dyDescent="0.25">
      <c r="A424" s="14"/>
    </row>
    <row r="425" spans="1:1" ht="15.75" customHeight="1" x14ac:dyDescent="0.25">
      <c r="A425" s="14"/>
    </row>
    <row r="426" spans="1:1" ht="15.75" customHeight="1" x14ac:dyDescent="0.25">
      <c r="A426" s="14"/>
    </row>
    <row r="427" spans="1:1" ht="15.75" customHeight="1" x14ac:dyDescent="0.25">
      <c r="A427" s="14"/>
    </row>
    <row r="428" spans="1:1" ht="15.75" customHeight="1" x14ac:dyDescent="0.25">
      <c r="A428" s="14"/>
    </row>
    <row r="429" spans="1:1" ht="15.75" customHeight="1" x14ac:dyDescent="0.25">
      <c r="A429" s="14"/>
    </row>
    <row r="430" spans="1:1" ht="15.75" customHeight="1" x14ac:dyDescent="0.25">
      <c r="A430" s="14"/>
    </row>
    <row r="431" spans="1:1" ht="15.75" customHeight="1" x14ac:dyDescent="0.25">
      <c r="A431" s="14"/>
    </row>
    <row r="432" spans="1:1" ht="15.75" customHeight="1" x14ac:dyDescent="0.25">
      <c r="A432" s="14"/>
    </row>
    <row r="433" spans="1:1" ht="15.75" customHeight="1" x14ac:dyDescent="0.25">
      <c r="A433" s="14"/>
    </row>
    <row r="434" spans="1:1" ht="15.75" customHeight="1" x14ac:dyDescent="0.25">
      <c r="A434" s="14"/>
    </row>
    <row r="435" spans="1:1" ht="15.75" customHeight="1" x14ac:dyDescent="0.25">
      <c r="A435" s="14"/>
    </row>
    <row r="436" spans="1:1" ht="15.75" customHeight="1" x14ac:dyDescent="0.25">
      <c r="A436" s="14"/>
    </row>
    <row r="437" spans="1:1" ht="15.75" customHeight="1" x14ac:dyDescent="0.25">
      <c r="A437" s="14"/>
    </row>
    <row r="438" spans="1:1" ht="15.75" customHeight="1" x14ac:dyDescent="0.25">
      <c r="A438" s="14"/>
    </row>
    <row r="439" spans="1:1" ht="15.75" customHeight="1" x14ac:dyDescent="0.25">
      <c r="A439" s="14"/>
    </row>
    <row r="440" spans="1:1" ht="15.75" customHeight="1" x14ac:dyDescent="0.25">
      <c r="A440" s="14"/>
    </row>
    <row r="441" spans="1:1" ht="15.75" customHeight="1" x14ac:dyDescent="0.25">
      <c r="A441" s="14"/>
    </row>
    <row r="442" spans="1:1" ht="15.75" customHeight="1" x14ac:dyDescent="0.25">
      <c r="A442" s="14"/>
    </row>
    <row r="443" spans="1:1" ht="15.75" customHeight="1" x14ac:dyDescent="0.25">
      <c r="A443" s="14"/>
    </row>
    <row r="444" spans="1:1" ht="15.75" customHeight="1" x14ac:dyDescent="0.25">
      <c r="A444" s="14"/>
    </row>
    <row r="445" spans="1:1" ht="15.75" customHeight="1" x14ac:dyDescent="0.25">
      <c r="A445" s="14"/>
    </row>
    <row r="446" spans="1:1" ht="15.75" customHeight="1" x14ac:dyDescent="0.25">
      <c r="A446" s="14"/>
    </row>
    <row r="447" spans="1:1" ht="15.75" customHeight="1" x14ac:dyDescent="0.25">
      <c r="A447" s="14"/>
    </row>
    <row r="448" spans="1:1" ht="15.75" customHeight="1" x14ac:dyDescent="0.25">
      <c r="A448" s="14"/>
    </row>
    <row r="449" spans="1:1" ht="15.75" customHeight="1" x14ac:dyDescent="0.25">
      <c r="A449" s="14"/>
    </row>
    <row r="450" spans="1:1" ht="15.75" customHeight="1" x14ac:dyDescent="0.25">
      <c r="A450" s="14"/>
    </row>
    <row r="451" spans="1:1" ht="15.75" customHeight="1" x14ac:dyDescent="0.25">
      <c r="A451" s="14"/>
    </row>
    <row r="452" spans="1:1" ht="15.75" customHeight="1" x14ac:dyDescent="0.25">
      <c r="A452" s="14"/>
    </row>
    <row r="453" spans="1:1" ht="15.75" customHeight="1" x14ac:dyDescent="0.25">
      <c r="A453" s="14"/>
    </row>
    <row r="454" spans="1:1" ht="15.75" customHeight="1" x14ac:dyDescent="0.25">
      <c r="A454" s="14"/>
    </row>
    <row r="455" spans="1:1" ht="15.75" customHeight="1" x14ac:dyDescent="0.25">
      <c r="A455" s="14"/>
    </row>
    <row r="456" spans="1:1" ht="15.75" customHeight="1" x14ac:dyDescent="0.25">
      <c r="A456" s="14"/>
    </row>
    <row r="457" spans="1:1" ht="15.75" customHeight="1" x14ac:dyDescent="0.25">
      <c r="A457" s="14"/>
    </row>
    <row r="458" spans="1:1" ht="15.75" customHeight="1" x14ac:dyDescent="0.25">
      <c r="A458" s="14"/>
    </row>
    <row r="459" spans="1:1" ht="15.75" customHeight="1" x14ac:dyDescent="0.25">
      <c r="A459" s="14"/>
    </row>
    <row r="460" spans="1:1" ht="15.75" customHeight="1" x14ac:dyDescent="0.25">
      <c r="A460" s="14"/>
    </row>
    <row r="461" spans="1:1" ht="15.75" customHeight="1" x14ac:dyDescent="0.25">
      <c r="A461" s="14"/>
    </row>
    <row r="462" spans="1:1" ht="15.75" customHeight="1" x14ac:dyDescent="0.25">
      <c r="A462" s="14"/>
    </row>
    <row r="463" spans="1:1" ht="15.75" customHeight="1" x14ac:dyDescent="0.25">
      <c r="A463" s="14"/>
    </row>
    <row r="464" spans="1:1" ht="15.75" customHeight="1" x14ac:dyDescent="0.25">
      <c r="A464" s="14"/>
    </row>
    <row r="465" spans="1:1" ht="15.75" customHeight="1" x14ac:dyDescent="0.25">
      <c r="A465" s="14"/>
    </row>
    <row r="466" spans="1:1" ht="15.75" customHeight="1" x14ac:dyDescent="0.25">
      <c r="A466" s="14"/>
    </row>
    <row r="467" spans="1:1" ht="15.75" customHeight="1" x14ac:dyDescent="0.25">
      <c r="A467" s="14"/>
    </row>
    <row r="468" spans="1:1" ht="15.75" customHeight="1" x14ac:dyDescent="0.25">
      <c r="A468" s="14"/>
    </row>
    <row r="469" spans="1:1" ht="15.75" customHeight="1" x14ac:dyDescent="0.25">
      <c r="A469" s="14"/>
    </row>
    <row r="470" spans="1:1" ht="15.75" customHeight="1" x14ac:dyDescent="0.25">
      <c r="A470" s="14"/>
    </row>
    <row r="471" spans="1:1" ht="15.75" customHeight="1" x14ac:dyDescent="0.25">
      <c r="A471" s="14"/>
    </row>
    <row r="472" spans="1:1" ht="15.75" customHeight="1" x14ac:dyDescent="0.25">
      <c r="A472" s="14"/>
    </row>
    <row r="473" spans="1:1" ht="15.75" customHeight="1" x14ac:dyDescent="0.25">
      <c r="A473" s="14"/>
    </row>
    <row r="474" spans="1:1" ht="15.75" customHeight="1" x14ac:dyDescent="0.25">
      <c r="A474" s="14"/>
    </row>
    <row r="475" spans="1:1" ht="15.75" customHeight="1" x14ac:dyDescent="0.25">
      <c r="A475" s="14"/>
    </row>
    <row r="476" spans="1:1" ht="15.75" customHeight="1" x14ac:dyDescent="0.25">
      <c r="A476" s="14"/>
    </row>
    <row r="477" spans="1:1" ht="15.75" customHeight="1" x14ac:dyDescent="0.25">
      <c r="A477" s="14"/>
    </row>
    <row r="478" spans="1:1" ht="15.75" customHeight="1" x14ac:dyDescent="0.25">
      <c r="A478" s="14"/>
    </row>
    <row r="479" spans="1:1" ht="15.75" customHeight="1" x14ac:dyDescent="0.25">
      <c r="A479" s="14"/>
    </row>
    <row r="480" spans="1:1" ht="15.75" customHeight="1" x14ac:dyDescent="0.25">
      <c r="A480" s="14"/>
    </row>
    <row r="481" spans="1:1" ht="15.75" customHeight="1" x14ac:dyDescent="0.25">
      <c r="A481" s="14"/>
    </row>
    <row r="482" spans="1:1" ht="15.75" customHeight="1" x14ac:dyDescent="0.25">
      <c r="A482" s="14"/>
    </row>
    <row r="483" spans="1:1" ht="15.75" customHeight="1" x14ac:dyDescent="0.25">
      <c r="A483" s="14"/>
    </row>
    <row r="484" spans="1:1" ht="15.75" customHeight="1" x14ac:dyDescent="0.25">
      <c r="A484" s="14"/>
    </row>
    <row r="485" spans="1:1" ht="15.75" customHeight="1" x14ac:dyDescent="0.25">
      <c r="A485" s="14"/>
    </row>
    <row r="486" spans="1:1" ht="15.75" customHeight="1" x14ac:dyDescent="0.25">
      <c r="A486" s="14"/>
    </row>
    <row r="487" spans="1:1" ht="15.75" customHeight="1" x14ac:dyDescent="0.25">
      <c r="A487" s="14"/>
    </row>
    <row r="488" spans="1:1" ht="15.75" customHeight="1" x14ac:dyDescent="0.25">
      <c r="A488" s="14"/>
    </row>
    <row r="489" spans="1:1" ht="15.75" customHeight="1" x14ac:dyDescent="0.25">
      <c r="A489" s="14"/>
    </row>
    <row r="490" spans="1:1" ht="15.75" customHeight="1" x14ac:dyDescent="0.25">
      <c r="A490" s="14"/>
    </row>
    <row r="491" spans="1:1" ht="15.75" customHeight="1" x14ac:dyDescent="0.25">
      <c r="A491" s="14"/>
    </row>
    <row r="492" spans="1:1" ht="15.75" customHeight="1" x14ac:dyDescent="0.25">
      <c r="A492" s="14"/>
    </row>
    <row r="493" spans="1:1" ht="15.75" customHeight="1" x14ac:dyDescent="0.25">
      <c r="A493" s="14"/>
    </row>
    <row r="494" spans="1:1" ht="15.75" customHeight="1" x14ac:dyDescent="0.25">
      <c r="A494" s="14"/>
    </row>
    <row r="495" spans="1:1" ht="15.75" customHeight="1" x14ac:dyDescent="0.25">
      <c r="A495" s="14"/>
    </row>
    <row r="496" spans="1:1" ht="15.75" customHeight="1" x14ac:dyDescent="0.25">
      <c r="A496" s="14"/>
    </row>
    <row r="497" spans="1:1" ht="15.75" customHeight="1" x14ac:dyDescent="0.25">
      <c r="A497" s="14"/>
    </row>
    <row r="498" spans="1:1" ht="15.75" customHeight="1" x14ac:dyDescent="0.25">
      <c r="A498" s="14"/>
    </row>
    <row r="499" spans="1:1" ht="15.75" customHeight="1" x14ac:dyDescent="0.25">
      <c r="A499" s="14"/>
    </row>
    <row r="500" spans="1:1" ht="15.75" customHeight="1" x14ac:dyDescent="0.25">
      <c r="A500" s="14"/>
    </row>
    <row r="501" spans="1:1" ht="15.75" customHeight="1" x14ac:dyDescent="0.25">
      <c r="A501" s="14"/>
    </row>
    <row r="502" spans="1:1" ht="15.75" customHeight="1" x14ac:dyDescent="0.25">
      <c r="A502" s="14"/>
    </row>
    <row r="503" spans="1:1" ht="15.75" customHeight="1" x14ac:dyDescent="0.25">
      <c r="A503" s="14"/>
    </row>
    <row r="504" spans="1:1" ht="15.75" customHeight="1" x14ac:dyDescent="0.25">
      <c r="A504" s="14"/>
    </row>
    <row r="505" spans="1:1" ht="15.75" customHeight="1" x14ac:dyDescent="0.25">
      <c r="A505" s="14"/>
    </row>
    <row r="506" spans="1:1" ht="15.75" customHeight="1" x14ac:dyDescent="0.25">
      <c r="A506" s="14"/>
    </row>
    <row r="507" spans="1:1" ht="15.75" customHeight="1" x14ac:dyDescent="0.25">
      <c r="A507" s="14"/>
    </row>
    <row r="508" spans="1:1" ht="15.75" customHeight="1" x14ac:dyDescent="0.25">
      <c r="A508" s="14"/>
    </row>
    <row r="509" spans="1:1" ht="15.75" customHeight="1" x14ac:dyDescent="0.25">
      <c r="A509" s="14"/>
    </row>
    <row r="510" spans="1:1" ht="15.75" customHeight="1" x14ac:dyDescent="0.25">
      <c r="A510" s="14"/>
    </row>
    <row r="511" spans="1:1" ht="15.75" customHeight="1" x14ac:dyDescent="0.25">
      <c r="A511" s="14"/>
    </row>
    <row r="512" spans="1:1" ht="15.75" customHeight="1" x14ac:dyDescent="0.25">
      <c r="A512" s="14"/>
    </row>
    <row r="513" spans="1:1" ht="15.75" customHeight="1" x14ac:dyDescent="0.25">
      <c r="A513" s="14"/>
    </row>
    <row r="514" spans="1:1" ht="15.75" customHeight="1" x14ac:dyDescent="0.25">
      <c r="A514" s="14"/>
    </row>
    <row r="515" spans="1:1" ht="15.75" customHeight="1" x14ac:dyDescent="0.25">
      <c r="A515" s="14"/>
    </row>
    <row r="516" spans="1:1" ht="15.75" customHeight="1" x14ac:dyDescent="0.25">
      <c r="A516" s="14"/>
    </row>
    <row r="517" spans="1:1" ht="15.75" customHeight="1" x14ac:dyDescent="0.25">
      <c r="A517" s="14"/>
    </row>
    <row r="518" spans="1:1" ht="15.75" customHeight="1" x14ac:dyDescent="0.25">
      <c r="A518" s="14"/>
    </row>
    <row r="519" spans="1:1" ht="15.75" customHeight="1" x14ac:dyDescent="0.25">
      <c r="A519" s="14"/>
    </row>
    <row r="520" spans="1:1" ht="15.75" customHeight="1" x14ac:dyDescent="0.25">
      <c r="A520" s="14"/>
    </row>
    <row r="521" spans="1:1" ht="15.75" customHeight="1" x14ac:dyDescent="0.25">
      <c r="A521" s="14"/>
    </row>
    <row r="522" spans="1:1" ht="15.75" customHeight="1" x14ac:dyDescent="0.25">
      <c r="A522" s="14"/>
    </row>
    <row r="523" spans="1:1" ht="15.75" customHeight="1" x14ac:dyDescent="0.25">
      <c r="A523" s="14"/>
    </row>
    <row r="524" spans="1:1" ht="15.75" customHeight="1" x14ac:dyDescent="0.25">
      <c r="A524" s="14"/>
    </row>
    <row r="525" spans="1:1" ht="15.75" customHeight="1" x14ac:dyDescent="0.25">
      <c r="A525" s="14"/>
    </row>
    <row r="526" spans="1:1" ht="15.75" customHeight="1" x14ac:dyDescent="0.25">
      <c r="A526" s="14"/>
    </row>
    <row r="527" spans="1:1" ht="15.75" customHeight="1" x14ac:dyDescent="0.25">
      <c r="A527" s="14"/>
    </row>
    <row r="528" spans="1:1" ht="15.75" customHeight="1" x14ac:dyDescent="0.25">
      <c r="A528" s="14"/>
    </row>
    <row r="529" spans="1:1" ht="15.75" customHeight="1" x14ac:dyDescent="0.25">
      <c r="A529" s="14"/>
    </row>
    <row r="530" spans="1:1" ht="15.75" customHeight="1" x14ac:dyDescent="0.25">
      <c r="A530" s="14"/>
    </row>
    <row r="531" spans="1:1" ht="15.75" customHeight="1" x14ac:dyDescent="0.25">
      <c r="A531" s="14"/>
    </row>
    <row r="532" spans="1:1" ht="15.75" customHeight="1" x14ac:dyDescent="0.25">
      <c r="A532" s="14"/>
    </row>
    <row r="533" spans="1:1" ht="15.75" customHeight="1" x14ac:dyDescent="0.25">
      <c r="A533" s="14"/>
    </row>
    <row r="534" spans="1:1" ht="15.75" customHeight="1" x14ac:dyDescent="0.25">
      <c r="A534" s="14"/>
    </row>
    <row r="535" spans="1:1" ht="15.75" customHeight="1" x14ac:dyDescent="0.25">
      <c r="A535" s="14"/>
    </row>
    <row r="536" spans="1:1" ht="15.75" customHeight="1" x14ac:dyDescent="0.25">
      <c r="A536" s="14"/>
    </row>
    <row r="537" spans="1:1" ht="15.75" customHeight="1" x14ac:dyDescent="0.25">
      <c r="A537" s="14"/>
    </row>
    <row r="538" spans="1:1" ht="15.75" customHeight="1" x14ac:dyDescent="0.25">
      <c r="A538" s="14"/>
    </row>
    <row r="539" spans="1:1" ht="15.75" customHeight="1" x14ac:dyDescent="0.25">
      <c r="A539" s="14"/>
    </row>
    <row r="540" spans="1:1" ht="15.75" customHeight="1" x14ac:dyDescent="0.25">
      <c r="A540" s="14"/>
    </row>
    <row r="541" spans="1:1" ht="15.75" customHeight="1" x14ac:dyDescent="0.25">
      <c r="A541" s="14"/>
    </row>
    <row r="542" spans="1:1" ht="15.75" customHeight="1" x14ac:dyDescent="0.25">
      <c r="A542" s="14"/>
    </row>
    <row r="543" spans="1:1" ht="15.75" customHeight="1" x14ac:dyDescent="0.25">
      <c r="A543" s="14"/>
    </row>
    <row r="544" spans="1:1" ht="15.75" customHeight="1" x14ac:dyDescent="0.25">
      <c r="A544" s="14"/>
    </row>
    <row r="545" spans="1:1" ht="15.75" customHeight="1" x14ac:dyDescent="0.25">
      <c r="A545" s="14"/>
    </row>
    <row r="546" spans="1:1" ht="15.75" customHeight="1" x14ac:dyDescent="0.25">
      <c r="A546" s="14"/>
    </row>
    <row r="547" spans="1:1" ht="15.75" customHeight="1" x14ac:dyDescent="0.25">
      <c r="A547" s="14"/>
    </row>
    <row r="548" spans="1:1" ht="15.75" customHeight="1" x14ac:dyDescent="0.25">
      <c r="A548" s="14"/>
    </row>
    <row r="549" spans="1:1" ht="15.75" customHeight="1" x14ac:dyDescent="0.25">
      <c r="A549" s="14"/>
    </row>
    <row r="550" spans="1:1" ht="15.75" customHeight="1" x14ac:dyDescent="0.25">
      <c r="A550" s="14"/>
    </row>
    <row r="551" spans="1:1" ht="15.75" customHeight="1" x14ac:dyDescent="0.25">
      <c r="A551" s="14"/>
    </row>
    <row r="552" spans="1:1" ht="15.75" customHeight="1" x14ac:dyDescent="0.25">
      <c r="A552" s="14"/>
    </row>
    <row r="553" spans="1:1" ht="15.75" customHeight="1" x14ac:dyDescent="0.25">
      <c r="A553" s="14"/>
    </row>
    <row r="554" spans="1:1" ht="15.75" customHeight="1" x14ac:dyDescent="0.25">
      <c r="A554" s="14"/>
    </row>
    <row r="555" spans="1:1" ht="15.75" customHeight="1" x14ac:dyDescent="0.25">
      <c r="A555" s="14"/>
    </row>
    <row r="556" spans="1:1" ht="15.75" customHeight="1" x14ac:dyDescent="0.25">
      <c r="A556" s="14"/>
    </row>
    <row r="557" spans="1:1" ht="15.75" customHeight="1" x14ac:dyDescent="0.25">
      <c r="A557" s="14"/>
    </row>
    <row r="558" spans="1:1" ht="15.75" customHeight="1" x14ac:dyDescent="0.25">
      <c r="A558" s="14"/>
    </row>
    <row r="559" spans="1:1" ht="15.75" customHeight="1" x14ac:dyDescent="0.25">
      <c r="A559" s="14"/>
    </row>
    <row r="560" spans="1:1" ht="15.75" customHeight="1" x14ac:dyDescent="0.25">
      <c r="A560" s="14"/>
    </row>
    <row r="561" spans="1:1" ht="15.75" customHeight="1" x14ac:dyDescent="0.25">
      <c r="A561" s="14"/>
    </row>
    <row r="562" spans="1:1" ht="15.75" customHeight="1" x14ac:dyDescent="0.25">
      <c r="A562" s="14"/>
    </row>
    <row r="563" spans="1:1" ht="15.75" customHeight="1" x14ac:dyDescent="0.25">
      <c r="A563" s="14"/>
    </row>
    <row r="564" spans="1:1" ht="15.75" customHeight="1" x14ac:dyDescent="0.25">
      <c r="A564" s="14"/>
    </row>
    <row r="565" spans="1:1" ht="15.75" customHeight="1" x14ac:dyDescent="0.25">
      <c r="A565" s="14"/>
    </row>
    <row r="566" spans="1:1" ht="15.75" customHeight="1" x14ac:dyDescent="0.25">
      <c r="A566" s="14"/>
    </row>
    <row r="567" spans="1:1" ht="15.75" customHeight="1" x14ac:dyDescent="0.25">
      <c r="A567" s="14"/>
    </row>
    <row r="568" spans="1:1" ht="15.75" customHeight="1" x14ac:dyDescent="0.25">
      <c r="A568" s="14"/>
    </row>
    <row r="569" spans="1:1" ht="15.75" customHeight="1" x14ac:dyDescent="0.25">
      <c r="A569" s="14"/>
    </row>
    <row r="570" spans="1:1" ht="15.75" customHeight="1" x14ac:dyDescent="0.25">
      <c r="A570" s="14"/>
    </row>
    <row r="571" spans="1:1" ht="15.75" customHeight="1" x14ac:dyDescent="0.25">
      <c r="A571" s="14"/>
    </row>
    <row r="572" spans="1:1" ht="15.75" customHeight="1" x14ac:dyDescent="0.25">
      <c r="A572" s="14"/>
    </row>
    <row r="573" spans="1:1" ht="15.75" customHeight="1" x14ac:dyDescent="0.25">
      <c r="A573" s="14"/>
    </row>
    <row r="574" spans="1:1" ht="15.75" customHeight="1" x14ac:dyDescent="0.25">
      <c r="A574" s="14"/>
    </row>
    <row r="575" spans="1:1" ht="15.75" customHeight="1" x14ac:dyDescent="0.25">
      <c r="A575" s="14"/>
    </row>
    <row r="576" spans="1:1" ht="15.75" customHeight="1" x14ac:dyDescent="0.25">
      <c r="A576" s="14"/>
    </row>
    <row r="577" spans="1:1" ht="15.75" customHeight="1" x14ac:dyDescent="0.25">
      <c r="A577" s="14"/>
    </row>
    <row r="578" spans="1:1" ht="15.75" customHeight="1" x14ac:dyDescent="0.25">
      <c r="A578" s="14"/>
    </row>
    <row r="579" spans="1:1" ht="15.75" customHeight="1" x14ac:dyDescent="0.25">
      <c r="A579" s="14"/>
    </row>
    <row r="580" spans="1:1" ht="15.75" customHeight="1" x14ac:dyDescent="0.25">
      <c r="A580" s="14"/>
    </row>
    <row r="581" spans="1:1" ht="15.75" customHeight="1" x14ac:dyDescent="0.25">
      <c r="A581" s="14"/>
    </row>
    <row r="582" spans="1:1" ht="15.75" customHeight="1" x14ac:dyDescent="0.25">
      <c r="A582" s="14"/>
    </row>
    <row r="583" spans="1:1" ht="15.75" customHeight="1" x14ac:dyDescent="0.25">
      <c r="A583" s="14"/>
    </row>
    <row r="584" spans="1:1" ht="15.75" customHeight="1" x14ac:dyDescent="0.25">
      <c r="A584" s="14"/>
    </row>
    <row r="585" spans="1:1" ht="15.75" customHeight="1" x14ac:dyDescent="0.25">
      <c r="A585" s="14"/>
    </row>
    <row r="586" spans="1:1" ht="15.75" customHeight="1" x14ac:dyDescent="0.25">
      <c r="A586" s="14"/>
    </row>
    <row r="587" spans="1:1" ht="15.75" customHeight="1" x14ac:dyDescent="0.25">
      <c r="A587" s="14"/>
    </row>
    <row r="588" spans="1:1" ht="15.75" customHeight="1" x14ac:dyDescent="0.25">
      <c r="A588" s="14"/>
    </row>
    <row r="589" spans="1:1" ht="15.75" customHeight="1" x14ac:dyDescent="0.25">
      <c r="A589" s="14"/>
    </row>
    <row r="590" spans="1:1" ht="15.75" customHeight="1" x14ac:dyDescent="0.25">
      <c r="A590" s="14"/>
    </row>
    <row r="591" spans="1:1" ht="15.75" customHeight="1" x14ac:dyDescent="0.25">
      <c r="A591" s="14"/>
    </row>
    <row r="592" spans="1:1" ht="15.75" customHeight="1" x14ac:dyDescent="0.25">
      <c r="A592" s="14"/>
    </row>
    <row r="593" spans="1:1" ht="15.75" customHeight="1" x14ac:dyDescent="0.25">
      <c r="A593" s="14"/>
    </row>
    <row r="594" spans="1:1" ht="15.75" customHeight="1" x14ac:dyDescent="0.25">
      <c r="A594" s="14"/>
    </row>
    <row r="595" spans="1:1" ht="15.75" customHeight="1" x14ac:dyDescent="0.25">
      <c r="A595" s="14"/>
    </row>
    <row r="596" spans="1:1" ht="15.75" customHeight="1" x14ac:dyDescent="0.25">
      <c r="A596" s="14"/>
    </row>
    <row r="597" spans="1:1" ht="15.75" customHeight="1" x14ac:dyDescent="0.25">
      <c r="A597" s="14"/>
    </row>
    <row r="598" spans="1:1" ht="15.75" customHeight="1" x14ac:dyDescent="0.25">
      <c r="A598" s="14"/>
    </row>
    <row r="599" spans="1:1" ht="15.75" customHeight="1" x14ac:dyDescent="0.25">
      <c r="A599" s="14"/>
    </row>
    <row r="600" spans="1:1" ht="15.75" customHeight="1" x14ac:dyDescent="0.25">
      <c r="A600" s="14"/>
    </row>
    <row r="601" spans="1:1" ht="15.75" customHeight="1" x14ac:dyDescent="0.25">
      <c r="A601" s="14"/>
    </row>
    <row r="602" spans="1:1" ht="15.75" customHeight="1" x14ac:dyDescent="0.25">
      <c r="A602" s="14"/>
    </row>
    <row r="603" spans="1:1" ht="15.75" customHeight="1" x14ac:dyDescent="0.25">
      <c r="A603" s="14"/>
    </row>
    <row r="604" spans="1:1" ht="15.75" customHeight="1" x14ac:dyDescent="0.25">
      <c r="A604" s="14"/>
    </row>
    <row r="605" spans="1:1" ht="15.75" customHeight="1" x14ac:dyDescent="0.25">
      <c r="A605" s="14"/>
    </row>
    <row r="606" spans="1:1" ht="15.75" customHeight="1" x14ac:dyDescent="0.25">
      <c r="A606" s="14"/>
    </row>
    <row r="607" spans="1:1" ht="15.75" customHeight="1" x14ac:dyDescent="0.25">
      <c r="A607" s="14"/>
    </row>
    <row r="608" spans="1:1" ht="15.75" customHeight="1" x14ac:dyDescent="0.25">
      <c r="A608" s="14"/>
    </row>
    <row r="609" spans="1:1" ht="15.75" customHeight="1" x14ac:dyDescent="0.25">
      <c r="A609" s="14"/>
    </row>
    <row r="610" spans="1:1" ht="15.75" customHeight="1" x14ac:dyDescent="0.25">
      <c r="A610" s="14"/>
    </row>
    <row r="611" spans="1:1" ht="15.75" customHeight="1" x14ac:dyDescent="0.25">
      <c r="A611" s="14"/>
    </row>
    <row r="612" spans="1:1" ht="15.75" customHeight="1" x14ac:dyDescent="0.25">
      <c r="A612" s="14"/>
    </row>
    <row r="613" spans="1:1" ht="15.75" customHeight="1" x14ac:dyDescent="0.25">
      <c r="A613" s="14"/>
    </row>
    <row r="614" spans="1:1" ht="15.75" customHeight="1" x14ac:dyDescent="0.25">
      <c r="A614" s="14"/>
    </row>
    <row r="615" spans="1:1" ht="15.75" customHeight="1" x14ac:dyDescent="0.25">
      <c r="A615" s="14"/>
    </row>
    <row r="616" spans="1:1" ht="15.75" customHeight="1" x14ac:dyDescent="0.25">
      <c r="A616" s="14"/>
    </row>
    <row r="617" spans="1:1" ht="15.75" customHeight="1" x14ac:dyDescent="0.25">
      <c r="A617" s="14"/>
    </row>
    <row r="618" spans="1:1" ht="15.75" customHeight="1" x14ac:dyDescent="0.25">
      <c r="A618" s="14"/>
    </row>
    <row r="619" spans="1:1" ht="15.75" customHeight="1" x14ac:dyDescent="0.25">
      <c r="A619" s="14"/>
    </row>
    <row r="620" spans="1:1" ht="15.75" customHeight="1" x14ac:dyDescent="0.25">
      <c r="A620" s="14"/>
    </row>
    <row r="621" spans="1:1" ht="15.75" customHeight="1" x14ac:dyDescent="0.25">
      <c r="A621" s="14"/>
    </row>
    <row r="622" spans="1:1" ht="15.75" customHeight="1" x14ac:dyDescent="0.25">
      <c r="A622" s="14"/>
    </row>
    <row r="623" spans="1:1" ht="15.75" customHeight="1" x14ac:dyDescent="0.25">
      <c r="A623" s="14"/>
    </row>
    <row r="624" spans="1:1" ht="15.75" customHeight="1" x14ac:dyDescent="0.25">
      <c r="A624" s="14"/>
    </row>
    <row r="625" spans="1:1" ht="15.75" customHeight="1" x14ac:dyDescent="0.25">
      <c r="A625" s="14"/>
    </row>
    <row r="626" spans="1:1" ht="15.75" customHeight="1" x14ac:dyDescent="0.25">
      <c r="A626" s="14"/>
    </row>
    <row r="627" spans="1:1" ht="15.75" customHeight="1" x14ac:dyDescent="0.25">
      <c r="A627" s="14"/>
    </row>
    <row r="628" spans="1:1" ht="15.75" customHeight="1" x14ac:dyDescent="0.25">
      <c r="A628" s="14"/>
    </row>
    <row r="629" spans="1:1" ht="15.75" customHeight="1" x14ac:dyDescent="0.25">
      <c r="A629" s="14"/>
    </row>
    <row r="630" spans="1:1" ht="15.75" customHeight="1" x14ac:dyDescent="0.25">
      <c r="A630" s="14"/>
    </row>
    <row r="631" spans="1:1" ht="15.75" customHeight="1" x14ac:dyDescent="0.25">
      <c r="A631" s="14"/>
    </row>
    <row r="632" spans="1:1" ht="15.75" customHeight="1" x14ac:dyDescent="0.25">
      <c r="A632" s="14"/>
    </row>
    <row r="633" spans="1:1" ht="15.75" customHeight="1" x14ac:dyDescent="0.25">
      <c r="A633" s="14"/>
    </row>
    <row r="634" spans="1:1" ht="15.75" customHeight="1" x14ac:dyDescent="0.25">
      <c r="A634" s="14"/>
    </row>
    <row r="635" spans="1:1" ht="15.75" customHeight="1" x14ac:dyDescent="0.25">
      <c r="A635" s="14"/>
    </row>
    <row r="636" spans="1:1" ht="15.75" customHeight="1" x14ac:dyDescent="0.25">
      <c r="A636" s="14"/>
    </row>
    <row r="637" spans="1:1" ht="15.75" customHeight="1" x14ac:dyDescent="0.25">
      <c r="A637" s="14"/>
    </row>
    <row r="638" spans="1:1" ht="15.75" customHeight="1" x14ac:dyDescent="0.25">
      <c r="A638" s="14"/>
    </row>
    <row r="639" spans="1:1" ht="15.75" customHeight="1" x14ac:dyDescent="0.25">
      <c r="A639" s="14"/>
    </row>
    <row r="640" spans="1:1" ht="15.75" customHeight="1" x14ac:dyDescent="0.25">
      <c r="A640" s="14"/>
    </row>
    <row r="641" spans="1:1" ht="15.75" customHeight="1" x14ac:dyDescent="0.25">
      <c r="A641" s="14"/>
    </row>
    <row r="642" spans="1:1" ht="15.75" customHeight="1" x14ac:dyDescent="0.25">
      <c r="A642" s="14"/>
    </row>
    <row r="643" spans="1:1" ht="15.75" customHeight="1" x14ac:dyDescent="0.25">
      <c r="A643" s="14"/>
    </row>
    <row r="644" spans="1:1" ht="15.75" customHeight="1" x14ac:dyDescent="0.25">
      <c r="A644" s="14"/>
    </row>
    <row r="645" spans="1:1" ht="15.75" customHeight="1" x14ac:dyDescent="0.25">
      <c r="A645" s="14"/>
    </row>
    <row r="646" spans="1:1" ht="15.75" customHeight="1" x14ac:dyDescent="0.25">
      <c r="A646" s="14"/>
    </row>
    <row r="647" spans="1:1" ht="15.75" customHeight="1" x14ac:dyDescent="0.25">
      <c r="A647" s="14"/>
    </row>
    <row r="648" spans="1:1" ht="15.75" customHeight="1" x14ac:dyDescent="0.25">
      <c r="A648" s="14"/>
    </row>
    <row r="649" spans="1:1" ht="15.75" customHeight="1" x14ac:dyDescent="0.25">
      <c r="A649" s="14"/>
    </row>
    <row r="650" spans="1:1" ht="15.75" customHeight="1" x14ac:dyDescent="0.25">
      <c r="A650" s="14"/>
    </row>
    <row r="651" spans="1:1" ht="15.75" customHeight="1" x14ac:dyDescent="0.25">
      <c r="A651" s="14"/>
    </row>
    <row r="652" spans="1:1" ht="15.75" customHeight="1" x14ac:dyDescent="0.25">
      <c r="A652" s="14"/>
    </row>
    <row r="653" spans="1:1" ht="15.75" customHeight="1" x14ac:dyDescent="0.25">
      <c r="A653" s="14"/>
    </row>
    <row r="654" spans="1:1" ht="15.75" customHeight="1" x14ac:dyDescent="0.25">
      <c r="A654" s="14"/>
    </row>
    <row r="655" spans="1:1" ht="15.75" customHeight="1" x14ac:dyDescent="0.25">
      <c r="A655" s="14"/>
    </row>
    <row r="656" spans="1:1" ht="15.75" customHeight="1" x14ac:dyDescent="0.25">
      <c r="A656" s="14"/>
    </row>
    <row r="657" spans="1:1" ht="15.75" customHeight="1" x14ac:dyDescent="0.25">
      <c r="A657" s="14"/>
    </row>
    <row r="658" spans="1:1" ht="15.75" customHeight="1" x14ac:dyDescent="0.25">
      <c r="A658" s="14"/>
    </row>
    <row r="659" spans="1:1" ht="15.75" customHeight="1" x14ac:dyDescent="0.25">
      <c r="A659" s="14"/>
    </row>
    <row r="660" spans="1:1" ht="15.75" customHeight="1" x14ac:dyDescent="0.25">
      <c r="A660" s="14"/>
    </row>
    <row r="661" spans="1:1" ht="15.75" customHeight="1" x14ac:dyDescent="0.25">
      <c r="A661" s="14"/>
    </row>
    <row r="662" spans="1:1" ht="15.75" customHeight="1" x14ac:dyDescent="0.25">
      <c r="A662" s="14"/>
    </row>
    <row r="663" spans="1:1" ht="15.75" customHeight="1" x14ac:dyDescent="0.25">
      <c r="A663" s="14"/>
    </row>
    <row r="664" spans="1:1" ht="15.75" customHeight="1" x14ac:dyDescent="0.25">
      <c r="A664" s="14"/>
    </row>
    <row r="665" spans="1:1" ht="15.75" customHeight="1" x14ac:dyDescent="0.25">
      <c r="A665" s="14"/>
    </row>
    <row r="666" spans="1:1" ht="15.75" customHeight="1" x14ac:dyDescent="0.25">
      <c r="A666" s="14"/>
    </row>
    <row r="667" spans="1:1" ht="15.75" customHeight="1" x14ac:dyDescent="0.25">
      <c r="A667" s="14"/>
    </row>
    <row r="668" spans="1:1" ht="15.75" customHeight="1" x14ac:dyDescent="0.25">
      <c r="A668" s="14"/>
    </row>
    <row r="669" spans="1:1" ht="15.75" customHeight="1" x14ac:dyDescent="0.25">
      <c r="A669" s="14"/>
    </row>
    <row r="670" spans="1:1" ht="15.75" customHeight="1" x14ac:dyDescent="0.25">
      <c r="A670" s="14"/>
    </row>
    <row r="671" spans="1:1" ht="15.75" customHeight="1" x14ac:dyDescent="0.25">
      <c r="A671" s="14"/>
    </row>
    <row r="672" spans="1:1" ht="15.75" customHeight="1" x14ac:dyDescent="0.25">
      <c r="A672" s="14"/>
    </row>
    <row r="673" spans="1:1" ht="15.75" customHeight="1" x14ac:dyDescent="0.25">
      <c r="A673" s="14"/>
    </row>
    <row r="674" spans="1:1" ht="15.75" customHeight="1" x14ac:dyDescent="0.25">
      <c r="A674" s="14"/>
    </row>
    <row r="675" spans="1:1" ht="15.75" customHeight="1" x14ac:dyDescent="0.25">
      <c r="A675" s="14"/>
    </row>
    <row r="676" spans="1:1" ht="15.75" customHeight="1" x14ac:dyDescent="0.25">
      <c r="A676" s="14"/>
    </row>
    <row r="677" spans="1:1" ht="15.75" customHeight="1" x14ac:dyDescent="0.25">
      <c r="A677" s="14"/>
    </row>
    <row r="678" spans="1:1" ht="15.75" customHeight="1" x14ac:dyDescent="0.25">
      <c r="A678" s="14"/>
    </row>
    <row r="679" spans="1:1" ht="15.75" customHeight="1" x14ac:dyDescent="0.25">
      <c r="A679" s="14"/>
    </row>
    <row r="680" spans="1:1" ht="15.75" customHeight="1" x14ac:dyDescent="0.25">
      <c r="A680" s="14"/>
    </row>
    <row r="681" spans="1:1" ht="15.75" customHeight="1" x14ac:dyDescent="0.25">
      <c r="A681" s="14"/>
    </row>
    <row r="682" spans="1:1" ht="15.75" customHeight="1" x14ac:dyDescent="0.25">
      <c r="A682" s="14"/>
    </row>
    <row r="683" spans="1:1" ht="15.75" customHeight="1" x14ac:dyDescent="0.25">
      <c r="A683" s="14"/>
    </row>
    <row r="684" spans="1:1" ht="15.75" customHeight="1" x14ac:dyDescent="0.25">
      <c r="A684" s="14"/>
    </row>
    <row r="685" spans="1:1" ht="15.75" customHeight="1" x14ac:dyDescent="0.25">
      <c r="A685" s="14"/>
    </row>
    <row r="686" spans="1:1" ht="15.75" customHeight="1" x14ac:dyDescent="0.25">
      <c r="A686" s="14"/>
    </row>
    <row r="687" spans="1:1" ht="15.75" customHeight="1" x14ac:dyDescent="0.25">
      <c r="A687" s="14"/>
    </row>
    <row r="688" spans="1:1" ht="15.75" customHeight="1" x14ac:dyDescent="0.25">
      <c r="A688" s="14"/>
    </row>
    <row r="689" spans="1:1" ht="15.75" customHeight="1" x14ac:dyDescent="0.25">
      <c r="A689" s="14"/>
    </row>
    <row r="690" spans="1:1" ht="15.75" customHeight="1" x14ac:dyDescent="0.25">
      <c r="A690" s="14"/>
    </row>
    <row r="691" spans="1:1" ht="15.75" customHeight="1" x14ac:dyDescent="0.25">
      <c r="A691" s="14"/>
    </row>
    <row r="692" spans="1:1" ht="15.75" customHeight="1" x14ac:dyDescent="0.25">
      <c r="A692" s="14"/>
    </row>
    <row r="693" spans="1:1" ht="15.75" customHeight="1" x14ac:dyDescent="0.25">
      <c r="A693" s="14"/>
    </row>
    <row r="694" spans="1:1" ht="15.75" customHeight="1" x14ac:dyDescent="0.25">
      <c r="A694" s="14"/>
    </row>
    <row r="695" spans="1:1" ht="15.75" customHeight="1" x14ac:dyDescent="0.25">
      <c r="A695" s="14"/>
    </row>
    <row r="696" spans="1:1" ht="15.75" customHeight="1" x14ac:dyDescent="0.25">
      <c r="A696" s="14"/>
    </row>
    <row r="697" spans="1:1" ht="15.75" customHeight="1" x14ac:dyDescent="0.25">
      <c r="A697" s="14"/>
    </row>
    <row r="698" spans="1:1" ht="15.75" customHeight="1" x14ac:dyDescent="0.25">
      <c r="A698" s="14"/>
    </row>
    <row r="699" spans="1:1" ht="15.75" customHeight="1" x14ac:dyDescent="0.25">
      <c r="A699" s="14"/>
    </row>
    <row r="700" spans="1:1" ht="15.75" customHeight="1" x14ac:dyDescent="0.25">
      <c r="A700" s="14"/>
    </row>
    <row r="701" spans="1:1" ht="15.75" customHeight="1" x14ac:dyDescent="0.25">
      <c r="A701" s="14"/>
    </row>
    <row r="702" spans="1:1" ht="15.75" customHeight="1" x14ac:dyDescent="0.25">
      <c r="A702" s="14"/>
    </row>
    <row r="703" spans="1:1" ht="15.75" customHeight="1" x14ac:dyDescent="0.25">
      <c r="A703" s="14"/>
    </row>
    <row r="704" spans="1:1" ht="15.75" customHeight="1" x14ac:dyDescent="0.25">
      <c r="A704" s="14"/>
    </row>
    <row r="705" spans="1:1" ht="15.75" customHeight="1" x14ac:dyDescent="0.25">
      <c r="A705" s="14"/>
    </row>
    <row r="706" spans="1:1" ht="15.75" customHeight="1" x14ac:dyDescent="0.25">
      <c r="A706" s="14"/>
    </row>
    <row r="707" spans="1:1" ht="15.75" customHeight="1" x14ac:dyDescent="0.25">
      <c r="A707" s="14"/>
    </row>
    <row r="708" spans="1:1" ht="15.75" customHeight="1" x14ac:dyDescent="0.25">
      <c r="A708" s="14"/>
    </row>
    <row r="709" spans="1:1" ht="15.75" customHeight="1" x14ac:dyDescent="0.25">
      <c r="A709" s="14"/>
    </row>
    <row r="710" spans="1:1" ht="15.75" customHeight="1" x14ac:dyDescent="0.25">
      <c r="A710" s="14"/>
    </row>
    <row r="711" spans="1:1" ht="15.75" customHeight="1" x14ac:dyDescent="0.25">
      <c r="A711" s="14"/>
    </row>
    <row r="712" spans="1:1" ht="15.75" customHeight="1" x14ac:dyDescent="0.25">
      <c r="A712" s="14"/>
    </row>
    <row r="713" spans="1:1" ht="15.75" customHeight="1" x14ac:dyDescent="0.25">
      <c r="A713" s="14"/>
    </row>
    <row r="714" spans="1:1" ht="15.75" customHeight="1" x14ac:dyDescent="0.25">
      <c r="A714" s="14"/>
    </row>
    <row r="715" spans="1:1" ht="15.75" customHeight="1" x14ac:dyDescent="0.25">
      <c r="A715" s="14"/>
    </row>
    <row r="716" spans="1:1" ht="15.75" customHeight="1" x14ac:dyDescent="0.25">
      <c r="A716" s="14"/>
    </row>
    <row r="717" spans="1:1" ht="15.75" customHeight="1" x14ac:dyDescent="0.25">
      <c r="A717" s="14"/>
    </row>
    <row r="718" spans="1:1" ht="15.75" customHeight="1" x14ac:dyDescent="0.25">
      <c r="A718" s="14"/>
    </row>
    <row r="719" spans="1:1" ht="15.75" customHeight="1" x14ac:dyDescent="0.25">
      <c r="A719" s="14"/>
    </row>
    <row r="720" spans="1:1" ht="15.75" customHeight="1" x14ac:dyDescent="0.25">
      <c r="A720" s="14"/>
    </row>
    <row r="721" spans="1:1" ht="15.75" customHeight="1" x14ac:dyDescent="0.25">
      <c r="A721" s="14"/>
    </row>
    <row r="722" spans="1:1" ht="15.75" customHeight="1" x14ac:dyDescent="0.25">
      <c r="A722" s="14"/>
    </row>
    <row r="723" spans="1:1" ht="15.75" customHeight="1" x14ac:dyDescent="0.25">
      <c r="A723" s="14"/>
    </row>
    <row r="724" spans="1:1" ht="15.75" customHeight="1" x14ac:dyDescent="0.25">
      <c r="A724" s="14"/>
    </row>
    <row r="725" spans="1:1" ht="15.75" customHeight="1" x14ac:dyDescent="0.25">
      <c r="A725" s="14"/>
    </row>
    <row r="726" spans="1:1" ht="15.75" customHeight="1" x14ac:dyDescent="0.25">
      <c r="A726" s="14"/>
    </row>
    <row r="727" spans="1:1" ht="15.75" customHeight="1" x14ac:dyDescent="0.25">
      <c r="A727" s="14"/>
    </row>
    <row r="728" spans="1:1" ht="15.75" customHeight="1" x14ac:dyDescent="0.25">
      <c r="A728" s="14"/>
    </row>
    <row r="729" spans="1:1" ht="15.75" customHeight="1" x14ac:dyDescent="0.25">
      <c r="A729" s="14"/>
    </row>
    <row r="730" spans="1:1" ht="15.75" customHeight="1" x14ac:dyDescent="0.25">
      <c r="A730" s="14"/>
    </row>
    <row r="731" spans="1:1" ht="15.75" customHeight="1" x14ac:dyDescent="0.25">
      <c r="A731" s="14"/>
    </row>
    <row r="732" spans="1:1" ht="15.75" customHeight="1" x14ac:dyDescent="0.25">
      <c r="A732" s="14"/>
    </row>
    <row r="733" spans="1:1" ht="15.75" customHeight="1" x14ac:dyDescent="0.25">
      <c r="A733" s="14"/>
    </row>
    <row r="734" spans="1:1" ht="15.75" customHeight="1" x14ac:dyDescent="0.25">
      <c r="A734" s="14"/>
    </row>
    <row r="735" spans="1:1" ht="15.75" customHeight="1" x14ac:dyDescent="0.25">
      <c r="A735" s="14"/>
    </row>
    <row r="736" spans="1:1" ht="15.75" customHeight="1" x14ac:dyDescent="0.25">
      <c r="A736" s="14"/>
    </row>
    <row r="737" spans="1:1" ht="15.75" customHeight="1" x14ac:dyDescent="0.25">
      <c r="A737" s="14"/>
    </row>
    <row r="738" spans="1:1" ht="15.75" customHeight="1" x14ac:dyDescent="0.25">
      <c r="A738" s="14"/>
    </row>
    <row r="739" spans="1:1" ht="15.75" customHeight="1" x14ac:dyDescent="0.25">
      <c r="A739" s="14"/>
    </row>
    <row r="740" spans="1:1" ht="15.75" customHeight="1" x14ac:dyDescent="0.25">
      <c r="A740" s="14"/>
    </row>
    <row r="741" spans="1:1" ht="15.75" customHeight="1" x14ac:dyDescent="0.25">
      <c r="A741" s="14"/>
    </row>
    <row r="742" spans="1:1" ht="15.75" customHeight="1" x14ac:dyDescent="0.25">
      <c r="A742" s="14"/>
    </row>
    <row r="743" spans="1:1" ht="15.75" customHeight="1" x14ac:dyDescent="0.25">
      <c r="A743" s="14"/>
    </row>
    <row r="744" spans="1:1" ht="15.75" customHeight="1" x14ac:dyDescent="0.25">
      <c r="A744" s="14"/>
    </row>
    <row r="745" spans="1:1" ht="15.75" customHeight="1" x14ac:dyDescent="0.25">
      <c r="A745" s="14"/>
    </row>
    <row r="746" spans="1:1" ht="15.75" customHeight="1" x14ac:dyDescent="0.25">
      <c r="A746" s="14"/>
    </row>
    <row r="747" spans="1:1" ht="15.75" customHeight="1" x14ac:dyDescent="0.25">
      <c r="A747" s="14"/>
    </row>
    <row r="748" spans="1:1" ht="15.75" customHeight="1" x14ac:dyDescent="0.25">
      <c r="A748" s="14"/>
    </row>
    <row r="749" spans="1:1" ht="15.75" customHeight="1" x14ac:dyDescent="0.25">
      <c r="A749" s="14"/>
    </row>
    <row r="750" spans="1:1" ht="15.75" customHeight="1" x14ac:dyDescent="0.25">
      <c r="A750" s="14"/>
    </row>
    <row r="751" spans="1:1" ht="15.75" customHeight="1" x14ac:dyDescent="0.25">
      <c r="A751" s="14"/>
    </row>
    <row r="752" spans="1:1" ht="15.75" customHeight="1" x14ac:dyDescent="0.25">
      <c r="A752" s="14"/>
    </row>
    <row r="753" spans="1:1" ht="15.75" customHeight="1" x14ac:dyDescent="0.25">
      <c r="A753" s="14"/>
    </row>
    <row r="754" spans="1:1" ht="15.75" customHeight="1" x14ac:dyDescent="0.25">
      <c r="A754" s="14"/>
    </row>
    <row r="755" spans="1:1" ht="15.75" customHeight="1" x14ac:dyDescent="0.25">
      <c r="A755" s="14"/>
    </row>
    <row r="756" spans="1:1" ht="15.75" customHeight="1" x14ac:dyDescent="0.25">
      <c r="A756" s="14"/>
    </row>
    <row r="757" spans="1:1" ht="15.75" customHeight="1" x14ac:dyDescent="0.25">
      <c r="A757" s="14"/>
    </row>
    <row r="758" spans="1:1" ht="15.75" customHeight="1" x14ac:dyDescent="0.25">
      <c r="A758" s="14"/>
    </row>
    <row r="759" spans="1:1" ht="15.75" customHeight="1" x14ac:dyDescent="0.25">
      <c r="A759" s="14"/>
    </row>
    <row r="760" spans="1:1" ht="15.75" customHeight="1" x14ac:dyDescent="0.25">
      <c r="A760" s="14"/>
    </row>
    <row r="761" spans="1:1" ht="15.75" customHeight="1" x14ac:dyDescent="0.25">
      <c r="A761" s="14"/>
    </row>
    <row r="762" spans="1:1" ht="15.75" customHeight="1" x14ac:dyDescent="0.25">
      <c r="A762" s="14"/>
    </row>
    <row r="763" spans="1:1" ht="15.75" customHeight="1" x14ac:dyDescent="0.25">
      <c r="A763" s="14"/>
    </row>
    <row r="764" spans="1:1" ht="15.75" customHeight="1" x14ac:dyDescent="0.25">
      <c r="A764" s="14"/>
    </row>
    <row r="765" spans="1:1" ht="15.75" customHeight="1" x14ac:dyDescent="0.25">
      <c r="A765" s="14"/>
    </row>
    <row r="766" spans="1:1" ht="15.75" customHeight="1" x14ac:dyDescent="0.25">
      <c r="A766" s="14"/>
    </row>
    <row r="767" spans="1:1" ht="15.75" customHeight="1" x14ac:dyDescent="0.25">
      <c r="A767" s="14"/>
    </row>
    <row r="768" spans="1:1" ht="15.75" customHeight="1" x14ac:dyDescent="0.25">
      <c r="A768" s="14"/>
    </row>
    <row r="769" spans="1:1" ht="15.75" customHeight="1" x14ac:dyDescent="0.25">
      <c r="A769" s="14"/>
    </row>
    <row r="770" spans="1:1" ht="15.75" customHeight="1" x14ac:dyDescent="0.25">
      <c r="A770" s="14"/>
    </row>
    <row r="771" spans="1:1" ht="15.75" customHeight="1" x14ac:dyDescent="0.25">
      <c r="A771" s="14"/>
    </row>
    <row r="772" spans="1:1" ht="15.75" customHeight="1" x14ac:dyDescent="0.25">
      <c r="A772" s="14"/>
    </row>
    <row r="773" spans="1:1" ht="15.75" customHeight="1" x14ac:dyDescent="0.25">
      <c r="A773" s="14"/>
    </row>
    <row r="774" spans="1:1" ht="15.75" customHeight="1" x14ac:dyDescent="0.25">
      <c r="A774" s="14"/>
    </row>
    <row r="775" spans="1:1" ht="15.75" customHeight="1" x14ac:dyDescent="0.25">
      <c r="A775" s="14"/>
    </row>
    <row r="776" spans="1:1" ht="15.75" customHeight="1" x14ac:dyDescent="0.25">
      <c r="A776" s="14"/>
    </row>
    <row r="777" spans="1:1" ht="15.75" customHeight="1" x14ac:dyDescent="0.25">
      <c r="A777" s="14"/>
    </row>
    <row r="778" spans="1:1" ht="15.75" customHeight="1" x14ac:dyDescent="0.25">
      <c r="A778" s="14"/>
    </row>
    <row r="779" spans="1:1" ht="15.75" customHeight="1" x14ac:dyDescent="0.25">
      <c r="A779" s="14"/>
    </row>
    <row r="780" spans="1:1" ht="15.75" customHeight="1" x14ac:dyDescent="0.25">
      <c r="A780" s="14"/>
    </row>
    <row r="781" spans="1:1" ht="15.75" customHeight="1" x14ac:dyDescent="0.25">
      <c r="A781" s="14"/>
    </row>
    <row r="782" spans="1:1" ht="15.75" customHeight="1" x14ac:dyDescent="0.25">
      <c r="A782" s="14"/>
    </row>
    <row r="783" spans="1:1" ht="15.75" customHeight="1" x14ac:dyDescent="0.25">
      <c r="A783" s="14"/>
    </row>
    <row r="784" spans="1:1" ht="15.75" customHeight="1" x14ac:dyDescent="0.25">
      <c r="A784" s="14"/>
    </row>
    <row r="785" spans="1:1" ht="15.75" customHeight="1" x14ac:dyDescent="0.25">
      <c r="A785" s="14"/>
    </row>
    <row r="786" spans="1:1" ht="15.75" customHeight="1" x14ac:dyDescent="0.25">
      <c r="A786" s="14"/>
    </row>
    <row r="787" spans="1:1" ht="15.75" customHeight="1" x14ac:dyDescent="0.25">
      <c r="A787" s="14"/>
    </row>
    <row r="788" spans="1:1" ht="15.75" customHeight="1" x14ac:dyDescent="0.25">
      <c r="A788" s="14"/>
    </row>
    <row r="789" spans="1:1" ht="15.75" customHeight="1" x14ac:dyDescent="0.25">
      <c r="A789" s="14"/>
    </row>
    <row r="790" spans="1:1" ht="15.75" customHeight="1" x14ac:dyDescent="0.25">
      <c r="A790" s="14"/>
    </row>
    <row r="791" spans="1:1" ht="15.75" customHeight="1" x14ac:dyDescent="0.25">
      <c r="A791" s="14"/>
    </row>
    <row r="792" spans="1:1" ht="15.75" customHeight="1" x14ac:dyDescent="0.25">
      <c r="A792" s="14"/>
    </row>
    <row r="793" spans="1:1" ht="15.75" customHeight="1" x14ac:dyDescent="0.25">
      <c r="A793" s="14"/>
    </row>
    <row r="794" spans="1:1" ht="15.75" customHeight="1" x14ac:dyDescent="0.25">
      <c r="A794" s="14"/>
    </row>
    <row r="795" spans="1:1" ht="15.75" customHeight="1" x14ac:dyDescent="0.25">
      <c r="A795" s="14"/>
    </row>
    <row r="796" spans="1:1" ht="15.75" customHeight="1" x14ac:dyDescent="0.25">
      <c r="A796" s="14"/>
    </row>
    <row r="797" spans="1:1" ht="15.75" customHeight="1" x14ac:dyDescent="0.25">
      <c r="A797" s="14"/>
    </row>
    <row r="798" spans="1:1" ht="15.75" customHeight="1" x14ac:dyDescent="0.25">
      <c r="A798" s="14"/>
    </row>
    <row r="799" spans="1:1" ht="15.75" customHeight="1" x14ac:dyDescent="0.25">
      <c r="A799" s="14"/>
    </row>
    <row r="800" spans="1:1" ht="15.75" customHeight="1" x14ac:dyDescent="0.25">
      <c r="A800" s="14"/>
    </row>
    <row r="801" spans="1:1" ht="15.75" customHeight="1" x14ac:dyDescent="0.25">
      <c r="A801" s="14"/>
    </row>
    <row r="802" spans="1:1" ht="15.75" customHeight="1" x14ac:dyDescent="0.25">
      <c r="A802" s="14"/>
    </row>
    <row r="803" spans="1:1" ht="15.75" customHeight="1" x14ac:dyDescent="0.25">
      <c r="A803" s="14"/>
    </row>
    <row r="804" spans="1:1" ht="15.75" customHeight="1" x14ac:dyDescent="0.25">
      <c r="A804" s="14"/>
    </row>
    <row r="805" spans="1:1" ht="15.75" customHeight="1" x14ac:dyDescent="0.25">
      <c r="A805" s="14"/>
    </row>
    <row r="806" spans="1:1" ht="15.75" customHeight="1" x14ac:dyDescent="0.25">
      <c r="A806" s="14"/>
    </row>
    <row r="807" spans="1:1" ht="15.75" customHeight="1" x14ac:dyDescent="0.25">
      <c r="A807" s="14"/>
    </row>
    <row r="808" spans="1:1" ht="15.75" customHeight="1" x14ac:dyDescent="0.25">
      <c r="A808" s="14"/>
    </row>
    <row r="809" spans="1:1" ht="15.75" customHeight="1" x14ac:dyDescent="0.25">
      <c r="A809" s="14"/>
    </row>
    <row r="810" spans="1:1" ht="15.75" customHeight="1" x14ac:dyDescent="0.25">
      <c r="A810" s="14"/>
    </row>
    <row r="811" spans="1:1" ht="15.75" customHeight="1" x14ac:dyDescent="0.25">
      <c r="A811" s="14"/>
    </row>
    <row r="812" spans="1:1" ht="15.75" customHeight="1" x14ac:dyDescent="0.25">
      <c r="A812" s="14"/>
    </row>
    <row r="813" spans="1:1" ht="15.75" customHeight="1" x14ac:dyDescent="0.25">
      <c r="A813" s="14"/>
    </row>
    <row r="814" spans="1:1" ht="15.75" customHeight="1" x14ac:dyDescent="0.25">
      <c r="A814" s="14"/>
    </row>
    <row r="815" spans="1:1" ht="15.75" customHeight="1" x14ac:dyDescent="0.25">
      <c r="A815" s="14"/>
    </row>
    <row r="816" spans="1:1" ht="15.75" customHeight="1" x14ac:dyDescent="0.25">
      <c r="A816" s="14"/>
    </row>
    <row r="817" spans="1:1" ht="15.75" customHeight="1" x14ac:dyDescent="0.25">
      <c r="A817" s="14"/>
    </row>
    <row r="818" spans="1:1" ht="15.75" customHeight="1" x14ac:dyDescent="0.25">
      <c r="A818" s="14"/>
    </row>
    <row r="819" spans="1:1" ht="15.75" customHeight="1" x14ac:dyDescent="0.25">
      <c r="A819" s="14"/>
    </row>
    <row r="820" spans="1:1" ht="15.75" customHeight="1" x14ac:dyDescent="0.25">
      <c r="A820" s="14"/>
    </row>
    <row r="821" spans="1:1" ht="15.75" customHeight="1" x14ac:dyDescent="0.25">
      <c r="A821" s="14"/>
    </row>
    <row r="822" spans="1:1" ht="15.75" customHeight="1" x14ac:dyDescent="0.25">
      <c r="A822" s="14"/>
    </row>
    <row r="823" spans="1:1" ht="15.75" customHeight="1" x14ac:dyDescent="0.25">
      <c r="A823" s="14"/>
    </row>
    <row r="824" spans="1:1" ht="15.75" customHeight="1" x14ac:dyDescent="0.25">
      <c r="A824" s="14"/>
    </row>
    <row r="825" spans="1:1" ht="15.75" customHeight="1" x14ac:dyDescent="0.25">
      <c r="A825" s="14"/>
    </row>
    <row r="826" spans="1:1" ht="15.75" customHeight="1" x14ac:dyDescent="0.25">
      <c r="A826" s="14"/>
    </row>
    <row r="827" spans="1:1" ht="15.75" customHeight="1" x14ac:dyDescent="0.25">
      <c r="A827" s="14"/>
    </row>
    <row r="828" spans="1:1" ht="15.75" customHeight="1" x14ac:dyDescent="0.25">
      <c r="A828" s="14"/>
    </row>
    <row r="829" spans="1:1" ht="15.75" customHeight="1" x14ac:dyDescent="0.25">
      <c r="A829" s="14"/>
    </row>
    <row r="830" spans="1:1" ht="15.75" customHeight="1" x14ac:dyDescent="0.25">
      <c r="A830" s="14"/>
    </row>
    <row r="831" spans="1:1" ht="15.75" customHeight="1" x14ac:dyDescent="0.25">
      <c r="A831" s="14"/>
    </row>
    <row r="832" spans="1:1" ht="15.75" customHeight="1" x14ac:dyDescent="0.25">
      <c r="A832" s="14"/>
    </row>
    <row r="833" spans="1:1" ht="15.75" customHeight="1" x14ac:dyDescent="0.25">
      <c r="A833" s="14"/>
    </row>
    <row r="834" spans="1:1" ht="15.75" customHeight="1" x14ac:dyDescent="0.25">
      <c r="A834" s="14"/>
    </row>
    <row r="835" spans="1:1" ht="15.75" customHeight="1" x14ac:dyDescent="0.25">
      <c r="A835" s="14"/>
    </row>
    <row r="836" spans="1:1" ht="15.75" customHeight="1" x14ac:dyDescent="0.25">
      <c r="A836" s="14"/>
    </row>
    <row r="837" spans="1:1" ht="15.75" customHeight="1" x14ac:dyDescent="0.25">
      <c r="A837" s="14"/>
    </row>
    <row r="838" spans="1:1" ht="15.75" customHeight="1" x14ac:dyDescent="0.25">
      <c r="A838" s="14"/>
    </row>
    <row r="839" spans="1:1" ht="15.75" customHeight="1" x14ac:dyDescent="0.25">
      <c r="A839" s="14"/>
    </row>
    <row r="840" spans="1:1" ht="15.75" customHeight="1" x14ac:dyDescent="0.25">
      <c r="A840" s="14"/>
    </row>
    <row r="841" spans="1:1" ht="15.75" customHeight="1" x14ac:dyDescent="0.25">
      <c r="A841" s="14"/>
    </row>
    <row r="842" spans="1:1" ht="15.75" customHeight="1" x14ac:dyDescent="0.25">
      <c r="A842" s="14"/>
    </row>
    <row r="843" spans="1:1" ht="15.75" customHeight="1" x14ac:dyDescent="0.25">
      <c r="A843" s="14"/>
    </row>
    <row r="844" spans="1:1" ht="15.75" customHeight="1" x14ac:dyDescent="0.25">
      <c r="A844" s="14"/>
    </row>
    <row r="845" spans="1:1" ht="15.75" customHeight="1" x14ac:dyDescent="0.25">
      <c r="A845" s="14"/>
    </row>
    <row r="846" spans="1:1" ht="15.75" customHeight="1" x14ac:dyDescent="0.25">
      <c r="A846" s="14"/>
    </row>
    <row r="847" spans="1:1" ht="15.75" customHeight="1" x14ac:dyDescent="0.25">
      <c r="A847" s="14"/>
    </row>
    <row r="848" spans="1:1" ht="15.75" customHeight="1" x14ac:dyDescent="0.25">
      <c r="A848" s="14"/>
    </row>
    <row r="849" spans="1:1" ht="15.75" customHeight="1" x14ac:dyDescent="0.25">
      <c r="A849" s="14"/>
    </row>
    <row r="850" spans="1:1" ht="15.75" customHeight="1" x14ac:dyDescent="0.25">
      <c r="A850" s="14"/>
    </row>
    <row r="851" spans="1:1" ht="15.75" customHeight="1" x14ac:dyDescent="0.25">
      <c r="A851" s="14"/>
    </row>
    <row r="852" spans="1:1" ht="15.75" customHeight="1" x14ac:dyDescent="0.25">
      <c r="A852" s="14"/>
    </row>
    <row r="853" spans="1:1" ht="15.75" customHeight="1" x14ac:dyDescent="0.25">
      <c r="A853" s="14"/>
    </row>
    <row r="854" spans="1:1" ht="15.75" customHeight="1" x14ac:dyDescent="0.25">
      <c r="A854" s="14"/>
    </row>
    <row r="855" spans="1:1" ht="15.75" customHeight="1" x14ac:dyDescent="0.25">
      <c r="A855" s="14"/>
    </row>
    <row r="856" spans="1:1" ht="15.75" customHeight="1" x14ac:dyDescent="0.25">
      <c r="A856" s="14"/>
    </row>
    <row r="857" spans="1:1" ht="15.75" customHeight="1" x14ac:dyDescent="0.25">
      <c r="A857" s="14"/>
    </row>
    <row r="858" spans="1:1" ht="15.75" customHeight="1" x14ac:dyDescent="0.25">
      <c r="A858" s="14"/>
    </row>
    <row r="859" spans="1:1" ht="15.75" customHeight="1" x14ac:dyDescent="0.25">
      <c r="A859" s="14"/>
    </row>
    <row r="860" spans="1:1" ht="15.75" customHeight="1" x14ac:dyDescent="0.25">
      <c r="A860" s="14"/>
    </row>
    <row r="861" spans="1:1" ht="15.75" customHeight="1" x14ac:dyDescent="0.25">
      <c r="A861" s="14"/>
    </row>
    <row r="862" spans="1:1" ht="15.75" customHeight="1" x14ac:dyDescent="0.25">
      <c r="A862" s="14"/>
    </row>
    <row r="863" spans="1:1" ht="15.75" customHeight="1" x14ac:dyDescent="0.25">
      <c r="A863" s="14"/>
    </row>
    <row r="864" spans="1:1" ht="15.75" customHeight="1" x14ac:dyDescent="0.25">
      <c r="A864" s="14"/>
    </row>
    <row r="865" spans="1:1" ht="15.75" customHeight="1" x14ac:dyDescent="0.25">
      <c r="A865" s="14"/>
    </row>
    <row r="866" spans="1:1" ht="15.75" customHeight="1" x14ac:dyDescent="0.25">
      <c r="A866" s="14"/>
    </row>
    <row r="867" spans="1:1" ht="15.75" customHeight="1" x14ac:dyDescent="0.25">
      <c r="A867" s="14"/>
    </row>
    <row r="868" spans="1:1" ht="15.75" customHeight="1" x14ac:dyDescent="0.25">
      <c r="A868" s="14"/>
    </row>
    <row r="869" spans="1:1" ht="15.75" customHeight="1" x14ac:dyDescent="0.25">
      <c r="A869" s="14"/>
    </row>
    <row r="870" spans="1:1" ht="15.75" customHeight="1" x14ac:dyDescent="0.25">
      <c r="A870" s="14"/>
    </row>
    <row r="871" spans="1:1" ht="15.75" customHeight="1" x14ac:dyDescent="0.25">
      <c r="A871" s="14"/>
    </row>
    <row r="872" spans="1:1" ht="15.75" customHeight="1" x14ac:dyDescent="0.25">
      <c r="A872" s="14"/>
    </row>
    <row r="873" spans="1:1" ht="15.75" customHeight="1" x14ac:dyDescent="0.25">
      <c r="A873" s="14"/>
    </row>
    <row r="874" spans="1:1" ht="15.75" customHeight="1" x14ac:dyDescent="0.25">
      <c r="A874" s="14"/>
    </row>
    <row r="875" spans="1:1" ht="15.75" customHeight="1" x14ac:dyDescent="0.25">
      <c r="A875" s="14"/>
    </row>
    <row r="876" spans="1:1" ht="15.75" customHeight="1" x14ac:dyDescent="0.25">
      <c r="A876" s="14"/>
    </row>
    <row r="877" spans="1:1" ht="15.75" customHeight="1" x14ac:dyDescent="0.25">
      <c r="A877" s="14"/>
    </row>
    <row r="878" spans="1:1" ht="15.75" customHeight="1" x14ac:dyDescent="0.25">
      <c r="A878" s="14"/>
    </row>
    <row r="879" spans="1:1" ht="15.75" customHeight="1" x14ac:dyDescent="0.25">
      <c r="A879" s="14"/>
    </row>
    <row r="880" spans="1:1" ht="15.75" customHeight="1" x14ac:dyDescent="0.25">
      <c r="A880" s="14"/>
    </row>
    <row r="881" spans="1:1" ht="15.75" customHeight="1" x14ac:dyDescent="0.25">
      <c r="A881" s="14"/>
    </row>
    <row r="882" spans="1:1" ht="15.75" customHeight="1" x14ac:dyDescent="0.25">
      <c r="A882" s="14"/>
    </row>
    <row r="883" spans="1:1" ht="15.75" customHeight="1" x14ac:dyDescent="0.25">
      <c r="A883" s="14"/>
    </row>
    <row r="884" spans="1:1" ht="15.75" customHeight="1" x14ac:dyDescent="0.25">
      <c r="A884" s="14"/>
    </row>
    <row r="885" spans="1:1" ht="15.75" customHeight="1" x14ac:dyDescent="0.25">
      <c r="A885" s="14"/>
    </row>
    <row r="886" spans="1:1" ht="15.75" customHeight="1" x14ac:dyDescent="0.25">
      <c r="A886" s="14"/>
    </row>
    <row r="887" spans="1:1" ht="15.75" customHeight="1" x14ac:dyDescent="0.25">
      <c r="A887" s="14"/>
    </row>
    <row r="888" spans="1:1" ht="15.75" customHeight="1" x14ac:dyDescent="0.25">
      <c r="A888" s="14"/>
    </row>
    <row r="889" spans="1:1" ht="15.75" customHeight="1" x14ac:dyDescent="0.25">
      <c r="A889" s="14"/>
    </row>
    <row r="890" spans="1:1" ht="15.75" customHeight="1" x14ac:dyDescent="0.25">
      <c r="A890" s="14"/>
    </row>
    <row r="891" spans="1:1" ht="15.75" customHeight="1" x14ac:dyDescent="0.25">
      <c r="A891" s="14"/>
    </row>
    <row r="892" spans="1:1" ht="15.75" customHeight="1" x14ac:dyDescent="0.25">
      <c r="A892" s="14"/>
    </row>
    <row r="893" spans="1:1" ht="15.75" customHeight="1" x14ac:dyDescent="0.25">
      <c r="A893" s="14"/>
    </row>
    <row r="894" spans="1:1" ht="15.75" customHeight="1" x14ac:dyDescent="0.25">
      <c r="A894" s="14"/>
    </row>
    <row r="895" spans="1:1" ht="15.75" customHeight="1" x14ac:dyDescent="0.25">
      <c r="A895" s="14"/>
    </row>
    <row r="896" spans="1:1" ht="15.75" customHeight="1" x14ac:dyDescent="0.25">
      <c r="A896" s="14"/>
    </row>
    <row r="897" spans="1:1" ht="15.75" customHeight="1" x14ac:dyDescent="0.25">
      <c r="A897" s="14"/>
    </row>
    <row r="898" spans="1:1" ht="15.75" customHeight="1" x14ac:dyDescent="0.25">
      <c r="A898" s="14"/>
    </row>
    <row r="899" spans="1:1" ht="15.75" customHeight="1" x14ac:dyDescent="0.25">
      <c r="A899" s="14"/>
    </row>
    <row r="900" spans="1:1" ht="15.75" customHeight="1" x14ac:dyDescent="0.25">
      <c r="A900" s="14"/>
    </row>
    <row r="901" spans="1:1" ht="15.75" customHeight="1" x14ac:dyDescent="0.25">
      <c r="A901" s="14"/>
    </row>
    <row r="902" spans="1:1" ht="15.75" customHeight="1" x14ac:dyDescent="0.25">
      <c r="A902" s="14"/>
    </row>
    <row r="903" spans="1:1" ht="15.75" customHeight="1" x14ac:dyDescent="0.25">
      <c r="A903" s="14"/>
    </row>
    <row r="904" spans="1:1" ht="15.75" customHeight="1" x14ac:dyDescent="0.25">
      <c r="A904" s="14"/>
    </row>
    <row r="905" spans="1:1" ht="15.75" customHeight="1" x14ac:dyDescent="0.25">
      <c r="A905" s="14"/>
    </row>
    <row r="906" spans="1:1" ht="15.75" customHeight="1" x14ac:dyDescent="0.25">
      <c r="A906" s="14"/>
    </row>
    <row r="907" spans="1:1" ht="15.75" customHeight="1" x14ac:dyDescent="0.25">
      <c r="A907" s="14"/>
    </row>
    <row r="908" spans="1:1" ht="15.75" customHeight="1" x14ac:dyDescent="0.25">
      <c r="A908" s="14"/>
    </row>
    <row r="909" spans="1:1" ht="15.75" customHeight="1" x14ac:dyDescent="0.25">
      <c r="A909" s="14"/>
    </row>
    <row r="910" spans="1:1" ht="15.75" customHeight="1" x14ac:dyDescent="0.25">
      <c r="A910" s="14"/>
    </row>
    <row r="911" spans="1:1" ht="15.75" customHeight="1" x14ac:dyDescent="0.25">
      <c r="A911" s="14"/>
    </row>
    <row r="912" spans="1:1" ht="15.75" customHeight="1" x14ac:dyDescent="0.25">
      <c r="A912" s="14"/>
    </row>
    <row r="913" spans="1:1" ht="15.75" customHeight="1" x14ac:dyDescent="0.25">
      <c r="A913" s="14"/>
    </row>
    <row r="914" spans="1:1" ht="15.75" customHeight="1" x14ac:dyDescent="0.25">
      <c r="A914" s="14"/>
    </row>
    <row r="915" spans="1:1" ht="15.75" customHeight="1" x14ac:dyDescent="0.25">
      <c r="A915" s="14"/>
    </row>
    <row r="916" spans="1:1" ht="15.75" customHeight="1" x14ac:dyDescent="0.25">
      <c r="A916" s="14"/>
    </row>
    <row r="917" spans="1:1" ht="15.75" customHeight="1" x14ac:dyDescent="0.25">
      <c r="A917" s="14"/>
    </row>
    <row r="918" spans="1:1" ht="15.75" customHeight="1" x14ac:dyDescent="0.25">
      <c r="A918" s="14"/>
    </row>
    <row r="919" spans="1:1" ht="15.75" customHeight="1" x14ac:dyDescent="0.25">
      <c r="A919" s="14"/>
    </row>
    <row r="920" spans="1:1" ht="15.75" customHeight="1" x14ac:dyDescent="0.25">
      <c r="A920" s="14"/>
    </row>
    <row r="921" spans="1:1" ht="15.75" customHeight="1" x14ac:dyDescent="0.25">
      <c r="A921" s="14"/>
    </row>
    <row r="922" spans="1:1" ht="15.75" customHeight="1" x14ac:dyDescent="0.25">
      <c r="A922" s="14"/>
    </row>
    <row r="923" spans="1:1" ht="15.75" customHeight="1" x14ac:dyDescent="0.25">
      <c r="A923" s="14"/>
    </row>
    <row r="924" spans="1:1" ht="15.75" customHeight="1" x14ac:dyDescent="0.25">
      <c r="A924" s="14"/>
    </row>
    <row r="925" spans="1:1" ht="15.75" customHeight="1" x14ac:dyDescent="0.25">
      <c r="A925" s="14"/>
    </row>
    <row r="926" spans="1:1" ht="15.75" customHeight="1" x14ac:dyDescent="0.25">
      <c r="A926" s="14"/>
    </row>
    <row r="927" spans="1:1" ht="15.75" customHeight="1" x14ac:dyDescent="0.25">
      <c r="A927" s="14"/>
    </row>
    <row r="928" spans="1:1" ht="15.75" customHeight="1" x14ac:dyDescent="0.25">
      <c r="A928" s="14"/>
    </row>
    <row r="929" spans="1:1" ht="15.75" customHeight="1" x14ac:dyDescent="0.25">
      <c r="A929" s="14"/>
    </row>
    <row r="930" spans="1:1" ht="15.75" customHeight="1" x14ac:dyDescent="0.25">
      <c r="A930" s="14"/>
    </row>
    <row r="931" spans="1:1" ht="15.75" customHeight="1" x14ac:dyDescent="0.25">
      <c r="A931" s="14"/>
    </row>
    <row r="932" spans="1:1" ht="15.75" customHeight="1" x14ac:dyDescent="0.25">
      <c r="A932" s="14"/>
    </row>
    <row r="933" spans="1:1" ht="15.75" customHeight="1" x14ac:dyDescent="0.25">
      <c r="A933" s="14"/>
    </row>
    <row r="934" spans="1:1" ht="15.75" customHeight="1" x14ac:dyDescent="0.25">
      <c r="A934" s="14"/>
    </row>
    <row r="935" spans="1:1" ht="15.75" customHeight="1" x14ac:dyDescent="0.25">
      <c r="A935" s="14"/>
    </row>
    <row r="936" spans="1:1" ht="15.75" customHeight="1" x14ac:dyDescent="0.25">
      <c r="A936" s="14"/>
    </row>
    <row r="937" spans="1:1" ht="15.75" customHeight="1" x14ac:dyDescent="0.25">
      <c r="A937" s="14"/>
    </row>
    <row r="938" spans="1:1" ht="15.75" customHeight="1" x14ac:dyDescent="0.25">
      <c r="A938" s="14"/>
    </row>
    <row r="939" spans="1:1" ht="15.75" customHeight="1" x14ac:dyDescent="0.25">
      <c r="A939" s="14"/>
    </row>
    <row r="940" spans="1:1" ht="15.75" customHeight="1" x14ac:dyDescent="0.25">
      <c r="A940" s="14"/>
    </row>
    <row r="941" spans="1:1" ht="15.75" customHeight="1" x14ac:dyDescent="0.25">
      <c r="A941" s="14"/>
    </row>
    <row r="942" spans="1:1" ht="15.75" customHeight="1" x14ac:dyDescent="0.25">
      <c r="A942" s="14"/>
    </row>
    <row r="943" spans="1:1" ht="15.75" customHeight="1" x14ac:dyDescent="0.25">
      <c r="A943" s="14"/>
    </row>
    <row r="944" spans="1:1" ht="15.75" customHeight="1" x14ac:dyDescent="0.25">
      <c r="A944" s="14"/>
    </row>
    <row r="945" spans="1:1" ht="15.75" customHeight="1" x14ac:dyDescent="0.25">
      <c r="A945" s="14"/>
    </row>
    <row r="946" spans="1:1" ht="15.75" customHeight="1" x14ac:dyDescent="0.25">
      <c r="A946" s="14"/>
    </row>
    <row r="947" spans="1:1" ht="15.75" customHeight="1" x14ac:dyDescent="0.25">
      <c r="A947" s="14"/>
    </row>
    <row r="948" spans="1:1" ht="15.75" customHeight="1" x14ac:dyDescent="0.25">
      <c r="A948" s="14"/>
    </row>
    <row r="949" spans="1:1" ht="15.75" customHeight="1" x14ac:dyDescent="0.25">
      <c r="A949" s="14"/>
    </row>
    <row r="950" spans="1:1" ht="15.75" customHeight="1" x14ac:dyDescent="0.25">
      <c r="A950" s="14"/>
    </row>
    <row r="951" spans="1:1" ht="15.75" customHeight="1" x14ac:dyDescent="0.25">
      <c r="A951" s="14"/>
    </row>
    <row r="952" spans="1:1" ht="15.75" customHeight="1" x14ac:dyDescent="0.25">
      <c r="A952" s="14"/>
    </row>
    <row r="953" spans="1:1" ht="15.75" customHeight="1" x14ac:dyDescent="0.25">
      <c r="A953" s="14"/>
    </row>
    <row r="954" spans="1:1" ht="15.75" customHeight="1" x14ac:dyDescent="0.25">
      <c r="A954" s="14"/>
    </row>
    <row r="955" spans="1:1" ht="15.75" customHeight="1" x14ac:dyDescent="0.25">
      <c r="A955" s="14"/>
    </row>
    <row r="956" spans="1:1" ht="15.75" customHeight="1" x14ac:dyDescent="0.25">
      <c r="A956" s="14"/>
    </row>
    <row r="957" spans="1:1" ht="15.75" customHeight="1" x14ac:dyDescent="0.25">
      <c r="A957" s="14"/>
    </row>
    <row r="958" spans="1:1" ht="15.75" customHeight="1" x14ac:dyDescent="0.25">
      <c r="A958" s="14"/>
    </row>
    <row r="959" spans="1:1" ht="15.75" customHeight="1" x14ac:dyDescent="0.25">
      <c r="A959" s="14"/>
    </row>
    <row r="960" spans="1:1" ht="15.75" customHeight="1" x14ac:dyDescent="0.25">
      <c r="A960" s="14"/>
    </row>
    <row r="961" spans="1:1" ht="15.75" customHeight="1" x14ac:dyDescent="0.25">
      <c r="A961" s="14"/>
    </row>
    <row r="962" spans="1:1" ht="15.75" customHeight="1" x14ac:dyDescent="0.25">
      <c r="A962" s="14"/>
    </row>
    <row r="963" spans="1:1" ht="15.75" customHeight="1" x14ac:dyDescent="0.25">
      <c r="A963" s="14"/>
    </row>
    <row r="964" spans="1:1" ht="15.75" customHeight="1" x14ac:dyDescent="0.25">
      <c r="A964" s="14"/>
    </row>
    <row r="965" spans="1:1" ht="15.75" customHeight="1" x14ac:dyDescent="0.25">
      <c r="A965" s="14"/>
    </row>
    <row r="966" spans="1:1" ht="15.75" customHeight="1" x14ac:dyDescent="0.25">
      <c r="A966" s="14"/>
    </row>
    <row r="967" spans="1:1" ht="15.75" customHeight="1" x14ac:dyDescent="0.25">
      <c r="A967" s="14"/>
    </row>
    <row r="968" spans="1:1" ht="15.75" customHeight="1" x14ac:dyDescent="0.25">
      <c r="A968" s="14"/>
    </row>
    <row r="969" spans="1:1" ht="15.75" customHeight="1" x14ac:dyDescent="0.25">
      <c r="A969" s="14"/>
    </row>
    <row r="970" spans="1:1" ht="15.75" customHeight="1" x14ac:dyDescent="0.25">
      <c r="A970" s="14"/>
    </row>
    <row r="971" spans="1:1" ht="15.75" customHeight="1" x14ac:dyDescent="0.25">
      <c r="A971" s="14"/>
    </row>
    <row r="972" spans="1:1" ht="15.75" customHeight="1" x14ac:dyDescent="0.25">
      <c r="A972" s="14"/>
    </row>
    <row r="973" spans="1:1" ht="15.75" customHeight="1" x14ac:dyDescent="0.25">
      <c r="A973" s="14"/>
    </row>
    <row r="974" spans="1:1" ht="15.75" customHeight="1" x14ac:dyDescent="0.25">
      <c r="A974" s="14"/>
    </row>
    <row r="975" spans="1:1" ht="15.75" customHeight="1" x14ac:dyDescent="0.25">
      <c r="A975" s="14"/>
    </row>
    <row r="976" spans="1:1" ht="15.75" customHeight="1" x14ac:dyDescent="0.25">
      <c r="A976" s="14"/>
    </row>
    <row r="977" spans="1:1" ht="15.75" customHeight="1" x14ac:dyDescent="0.25">
      <c r="A977" s="14"/>
    </row>
    <row r="978" spans="1:1" ht="15.75" customHeight="1" x14ac:dyDescent="0.25">
      <c r="A978" s="14"/>
    </row>
    <row r="979" spans="1:1" ht="15.75" customHeight="1" x14ac:dyDescent="0.25">
      <c r="A979" s="14"/>
    </row>
    <row r="980" spans="1:1" ht="15.75" customHeight="1" x14ac:dyDescent="0.25">
      <c r="A980" s="14"/>
    </row>
    <row r="981" spans="1:1" ht="15.75" customHeight="1" x14ac:dyDescent="0.25">
      <c r="A981" s="14"/>
    </row>
    <row r="982" spans="1:1" ht="15.75" customHeight="1" x14ac:dyDescent="0.25">
      <c r="A982" s="14"/>
    </row>
    <row r="983" spans="1:1" ht="15.75" customHeight="1" x14ac:dyDescent="0.25">
      <c r="A983" s="14"/>
    </row>
    <row r="984" spans="1:1" ht="15.75" customHeight="1" x14ac:dyDescent="0.25">
      <c r="A984" s="14"/>
    </row>
    <row r="985" spans="1:1" ht="15.75" customHeight="1" x14ac:dyDescent="0.25">
      <c r="A985" s="14"/>
    </row>
    <row r="986" spans="1:1" ht="15.75" customHeight="1" x14ac:dyDescent="0.25">
      <c r="A986" s="14"/>
    </row>
    <row r="987" spans="1:1" ht="15.75" customHeight="1" x14ac:dyDescent="0.25">
      <c r="A987" s="14"/>
    </row>
    <row r="988" spans="1:1" ht="15.75" customHeight="1" x14ac:dyDescent="0.25">
      <c r="A988" s="14"/>
    </row>
    <row r="989" spans="1:1" ht="15.75" customHeight="1" x14ac:dyDescent="0.25">
      <c r="A989" s="14"/>
    </row>
    <row r="990" spans="1:1" ht="15.75" customHeight="1" x14ac:dyDescent="0.25">
      <c r="A990" s="14"/>
    </row>
    <row r="991" spans="1:1" ht="15.75" customHeight="1" x14ac:dyDescent="0.25">
      <c r="A991" s="14"/>
    </row>
    <row r="992" spans="1:1" ht="15.75" customHeight="1" x14ac:dyDescent="0.25">
      <c r="A992" s="14"/>
    </row>
    <row r="993" spans="1:1" ht="15.75" customHeight="1" x14ac:dyDescent="0.25">
      <c r="A993" s="14"/>
    </row>
    <row r="994" spans="1:1" ht="15.75" customHeight="1" x14ac:dyDescent="0.25">
      <c r="A994" s="14"/>
    </row>
    <row r="995" spans="1:1" ht="15.75" customHeight="1" x14ac:dyDescent="0.25">
      <c r="A995" s="14"/>
    </row>
    <row r="996" spans="1:1" ht="15.75" customHeight="1" x14ac:dyDescent="0.25">
      <c r="A996" s="14"/>
    </row>
    <row r="997" spans="1:1" ht="15.75" customHeight="1" x14ac:dyDescent="0.25">
      <c r="A997" s="14"/>
    </row>
    <row r="998" spans="1:1" ht="15.75" customHeight="1" x14ac:dyDescent="0.25">
      <c r="A998" s="14"/>
    </row>
    <row r="999" spans="1:1" ht="15.75" customHeight="1" x14ac:dyDescent="0.25">
      <c r="A999" s="14"/>
    </row>
    <row r="1000" spans="1:1" ht="15.75" customHeight="1" x14ac:dyDescent="0.25">
      <c r="A1000" s="14"/>
    </row>
  </sheetData>
  <pageMargins left="0.70866141732283472" right="0.70866141732283472" top="0.74803149606299213" bottom="0.74803149606299213" header="0" footer="0"/>
  <pageSetup paperSize="9" scale="10" orientation="landscape" r:id="rId1"/>
  <headerFooter>
    <oddHeader>&amp;R&amp;F  &amp;A</oddHeader>
    <oddFooter>&amp;L© 2016&amp;CPage &amp;P of</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1001"/>
  <sheetViews>
    <sheetView workbookViewId="0"/>
  </sheetViews>
  <sheetFormatPr defaultColWidth="12.5703125" defaultRowHeight="15" customHeight="1" x14ac:dyDescent="0.25"/>
  <cols>
    <col min="1" max="1" width="1.140625" customWidth="1"/>
    <col min="2" max="2" width="2.5703125" customWidth="1"/>
    <col min="3" max="3" width="11.5703125" customWidth="1"/>
    <col min="4" max="4" width="2.5703125" customWidth="1"/>
    <col min="5" max="7" width="1.140625" customWidth="1"/>
    <col min="8" max="8" width="2.5703125" customWidth="1"/>
    <col min="9" max="9" width="37.5703125" customWidth="1"/>
    <col min="10" max="11" width="1.140625" customWidth="1"/>
    <col min="12" max="12" width="13.5703125" customWidth="1"/>
    <col min="13" max="14" width="1.140625" customWidth="1"/>
    <col min="15" max="15" width="2.5703125" customWidth="1"/>
    <col min="16" max="16" width="28.5703125" customWidth="1"/>
    <col min="17" max="17" width="2.5703125" customWidth="1"/>
    <col min="18" max="18" width="1.140625" customWidth="1"/>
    <col min="19" max="36" width="8" customWidth="1"/>
  </cols>
  <sheetData>
    <row r="1" spans="1:36" ht="45" customHeight="1" x14ac:dyDescent="0.45">
      <c r="A1" s="85" t="str">
        <f>Welcome!A2</f>
        <v>Case Study - Electronic Arts</v>
      </c>
      <c r="B1" s="85"/>
      <c r="C1" s="85"/>
      <c r="D1" s="85"/>
      <c r="E1" s="85"/>
      <c r="F1" s="85"/>
      <c r="G1" s="85"/>
      <c r="H1" s="85"/>
      <c r="I1" s="85"/>
      <c r="J1" s="86"/>
      <c r="K1" s="86"/>
      <c r="L1" s="86"/>
      <c r="M1" s="86"/>
      <c r="N1" s="86"/>
      <c r="O1" s="86"/>
      <c r="P1" s="86"/>
      <c r="Q1" s="86"/>
      <c r="R1" s="86"/>
    </row>
    <row r="2" spans="1:36" ht="30" customHeight="1" x14ac:dyDescent="0.3">
      <c r="A2" s="87" t="s">
        <v>3</v>
      </c>
      <c r="B2" s="87"/>
      <c r="C2" s="87"/>
      <c r="D2" s="87"/>
      <c r="E2" s="87"/>
      <c r="F2" s="87"/>
      <c r="G2" s="87"/>
      <c r="H2" s="87"/>
      <c r="I2" s="87"/>
      <c r="J2" s="88"/>
      <c r="K2" s="88"/>
      <c r="L2" s="88"/>
      <c r="M2" s="88"/>
      <c r="N2" s="88"/>
      <c r="O2" s="88"/>
      <c r="P2" s="88"/>
      <c r="Q2" s="88"/>
      <c r="R2" s="88"/>
    </row>
    <row r="3" spans="1:36" ht="7.5" customHeight="1" x14ac:dyDescent="0.25">
      <c r="A3" s="89"/>
      <c r="B3" s="89"/>
      <c r="C3" s="89"/>
      <c r="D3" s="89"/>
      <c r="E3" s="89"/>
      <c r="F3" s="89"/>
      <c r="G3" s="89"/>
      <c r="H3" s="89"/>
      <c r="I3" s="89"/>
      <c r="J3" s="89"/>
      <c r="K3" s="89"/>
      <c r="L3" s="89"/>
      <c r="M3" s="89"/>
      <c r="N3" s="89"/>
      <c r="O3" s="89"/>
      <c r="P3" s="89"/>
      <c r="Q3" s="89"/>
      <c r="R3" s="89"/>
      <c r="Y3" s="89"/>
      <c r="Z3" s="89"/>
      <c r="AA3" s="89"/>
      <c r="AB3" s="89"/>
      <c r="AC3" s="89"/>
      <c r="AD3" s="89"/>
      <c r="AE3" s="89"/>
      <c r="AF3" s="89"/>
      <c r="AG3" s="89"/>
      <c r="AH3" s="89"/>
      <c r="AI3" s="89"/>
      <c r="AJ3" s="89"/>
    </row>
    <row r="4" spans="1:36" ht="22.5" customHeight="1" x14ac:dyDescent="0.25">
      <c r="A4" s="90"/>
      <c r="B4" s="300" t="s">
        <v>4</v>
      </c>
      <c r="C4" s="295"/>
      <c r="D4" s="295"/>
      <c r="E4" s="295"/>
      <c r="F4" s="295"/>
      <c r="G4" s="295"/>
      <c r="H4" s="295"/>
      <c r="I4" s="295"/>
      <c r="J4" s="89"/>
      <c r="K4" s="90"/>
      <c r="L4" s="300" t="s">
        <v>5</v>
      </c>
      <c r="M4" s="295"/>
      <c r="N4" s="295"/>
      <c r="O4" s="295"/>
      <c r="P4" s="295"/>
      <c r="Q4" s="84"/>
      <c r="R4" s="84"/>
      <c r="Y4" s="89"/>
      <c r="Z4" s="89"/>
      <c r="AA4" s="89"/>
      <c r="AB4" s="89"/>
      <c r="AC4" s="89"/>
      <c r="AD4" s="89"/>
      <c r="AE4" s="89"/>
      <c r="AF4" s="89"/>
      <c r="AG4" s="89"/>
      <c r="AH4" s="89"/>
      <c r="AI4" s="89"/>
      <c r="AJ4" s="89"/>
    </row>
    <row r="5" spans="1:36" ht="15" customHeight="1" x14ac:dyDescent="0.25">
      <c r="A5" s="91"/>
      <c r="B5" s="92" t="s">
        <v>6</v>
      </c>
      <c r="C5" s="93" t="s">
        <v>7</v>
      </c>
      <c r="D5" s="94"/>
      <c r="E5" s="94"/>
      <c r="F5" s="94"/>
      <c r="G5" s="94"/>
      <c r="H5" s="94"/>
      <c r="I5" s="94"/>
      <c r="J5" s="89"/>
      <c r="K5" s="90"/>
      <c r="L5" s="95" t="s">
        <v>8</v>
      </c>
      <c r="M5" s="95"/>
      <c r="N5" s="301" t="s">
        <v>9</v>
      </c>
      <c r="O5" s="295"/>
      <c r="P5" s="295"/>
      <c r="Q5" s="295"/>
      <c r="R5" s="84"/>
      <c r="Y5" s="89"/>
      <c r="Z5" s="89"/>
      <c r="AA5" s="89"/>
      <c r="AB5" s="89"/>
      <c r="AC5" s="89"/>
      <c r="AD5" s="89"/>
      <c r="AE5" s="89"/>
      <c r="AF5" s="89"/>
      <c r="AG5" s="89"/>
      <c r="AH5" s="89"/>
      <c r="AI5" s="89"/>
      <c r="AJ5" s="89"/>
    </row>
    <row r="6" spans="1:36" ht="15" customHeight="1" x14ac:dyDescent="0.25">
      <c r="A6" s="96"/>
      <c r="B6" s="92" t="s">
        <v>6</v>
      </c>
      <c r="C6" s="93" t="s">
        <v>10</v>
      </c>
      <c r="D6" s="94"/>
      <c r="E6" s="94"/>
      <c r="F6" s="94"/>
      <c r="G6" s="94"/>
      <c r="H6" s="94"/>
      <c r="I6" s="94"/>
      <c r="J6" s="89"/>
      <c r="K6" s="91"/>
      <c r="L6" s="95" t="s">
        <v>11</v>
      </c>
      <c r="M6" s="95"/>
      <c r="N6" s="302">
        <v>45747</v>
      </c>
      <c r="O6" s="295"/>
      <c r="P6" s="295"/>
      <c r="Q6" s="295"/>
      <c r="R6" s="84"/>
      <c r="Y6" s="89"/>
      <c r="Z6" s="89"/>
      <c r="AA6" s="89"/>
      <c r="AB6" s="89"/>
      <c r="AC6" s="89"/>
      <c r="AD6" s="89"/>
      <c r="AE6" s="89"/>
      <c r="AF6" s="89"/>
      <c r="AG6" s="89"/>
      <c r="AH6" s="89"/>
      <c r="AI6" s="89"/>
      <c r="AJ6" s="89"/>
    </row>
    <row r="7" spans="1:36" ht="15" customHeight="1" x14ac:dyDescent="0.25">
      <c r="A7" s="96"/>
      <c r="B7" s="92"/>
      <c r="C7" s="93"/>
      <c r="D7" s="94"/>
      <c r="E7" s="94"/>
      <c r="F7" s="94"/>
      <c r="G7" s="94"/>
      <c r="H7" s="94"/>
      <c r="I7" s="94"/>
      <c r="J7" s="89"/>
      <c r="K7" s="91"/>
      <c r="L7" s="95" t="s">
        <v>12</v>
      </c>
      <c r="M7" s="95"/>
      <c r="N7" s="302">
        <v>46086</v>
      </c>
      <c r="O7" s="295"/>
      <c r="P7" s="295"/>
      <c r="Q7" s="295"/>
      <c r="R7" s="84"/>
      <c r="Y7" s="89"/>
      <c r="Z7" s="89"/>
      <c r="AA7" s="89"/>
      <c r="AB7" s="89"/>
      <c r="AC7" s="89"/>
      <c r="AD7" s="89"/>
      <c r="AE7" s="89"/>
      <c r="AF7" s="89"/>
      <c r="AG7" s="89"/>
      <c r="AH7" s="89"/>
      <c r="AI7" s="89"/>
      <c r="AJ7" s="89"/>
    </row>
    <row r="8" spans="1:36" ht="15" customHeight="1" x14ac:dyDescent="0.25">
      <c r="A8" s="94"/>
      <c r="B8" s="92" t="s">
        <v>6</v>
      </c>
      <c r="C8" s="93" t="s">
        <v>13</v>
      </c>
      <c r="D8" s="94"/>
      <c r="E8" s="94"/>
      <c r="F8" s="94"/>
      <c r="G8" s="94"/>
      <c r="H8" s="94"/>
      <c r="I8" s="94"/>
      <c r="J8" s="89"/>
      <c r="K8" s="96"/>
      <c r="L8" s="95" t="s">
        <v>14</v>
      </c>
      <c r="M8" s="95"/>
      <c r="N8" s="301" t="s">
        <v>15</v>
      </c>
      <c r="O8" s="295"/>
      <c r="P8" s="295"/>
      <c r="Q8" s="295"/>
      <c r="R8" s="84"/>
      <c r="Y8" s="89"/>
      <c r="Z8" s="89"/>
      <c r="AA8" s="89"/>
      <c r="AB8" s="89"/>
      <c r="AC8" s="89"/>
      <c r="AD8" s="89"/>
      <c r="AE8" s="89"/>
      <c r="AF8" s="89"/>
      <c r="AG8" s="89"/>
      <c r="AH8" s="89"/>
      <c r="AI8" s="89"/>
      <c r="AJ8" s="89"/>
    </row>
    <row r="9" spans="1:36" ht="15" customHeight="1" x14ac:dyDescent="0.25">
      <c r="A9" s="94"/>
      <c r="B9" s="92" t="s">
        <v>6</v>
      </c>
      <c r="C9" s="93" t="s">
        <v>16</v>
      </c>
      <c r="D9" s="94"/>
      <c r="E9" s="94"/>
      <c r="F9" s="94"/>
      <c r="G9" s="94"/>
      <c r="H9" s="94"/>
      <c r="I9" s="94"/>
      <c r="J9" s="89"/>
      <c r="K9" s="94"/>
      <c r="L9" s="95" t="s">
        <v>17</v>
      </c>
      <c r="M9" s="95"/>
      <c r="N9" s="301" t="s">
        <v>18</v>
      </c>
      <c r="O9" s="295"/>
      <c r="P9" s="295"/>
      <c r="Q9" s="295"/>
      <c r="R9" s="84"/>
      <c r="Y9" s="89"/>
      <c r="Z9" s="89"/>
      <c r="AA9" s="89"/>
      <c r="AB9" s="89"/>
      <c r="AC9" s="89"/>
      <c r="AD9" s="89"/>
      <c r="AE9" s="89"/>
      <c r="AF9" s="89"/>
      <c r="AG9" s="89"/>
      <c r="AH9" s="89"/>
      <c r="AI9" s="89"/>
      <c r="AJ9" s="89"/>
    </row>
    <row r="10" spans="1:36" ht="15" customHeight="1" x14ac:dyDescent="0.25">
      <c r="A10" s="97"/>
      <c r="B10" s="92" t="s">
        <v>6</v>
      </c>
      <c r="C10" s="93" t="s">
        <v>19</v>
      </c>
      <c r="D10" s="97"/>
      <c r="E10" s="97"/>
      <c r="F10" s="97"/>
      <c r="G10" s="97"/>
      <c r="H10" s="97"/>
      <c r="I10" s="97"/>
      <c r="J10" s="89"/>
      <c r="K10" s="94"/>
      <c r="L10" s="95" t="s">
        <v>20</v>
      </c>
      <c r="M10" s="95"/>
      <c r="N10" s="301" t="s">
        <v>21</v>
      </c>
      <c r="O10" s="295"/>
      <c r="P10" s="295"/>
      <c r="Q10" s="295"/>
      <c r="R10" s="84"/>
      <c r="Y10" s="89"/>
      <c r="Z10" s="89"/>
      <c r="AA10" s="89"/>
      <c r="AB10" s="89"/>
      <c r="AC10" s="89"/>
      <c r="AD10" s="89"/>
      <c r="AE10" s="89"/>
      <c r="AF10" s="89"/>
      <c r="AG10" s="89"/>
      <c r="AH10" s="89"/>
      <c r="AI10" s="89"/>
      <c r="AJ10" s="89"/>
    </row>
    <row r="11" spans="1:36" ht="15" customHeight="1" x14ac:dyDescent="0.25">
      <c r="A11" s="83"/>
      <c r="B11" s="83"/>
      <c r="C11" s="83"/>
      <c r="D11" s="83"/>
      <c r="E11" s="83"/>
      <c r="F11" s="83"/>
      <c r="G11" s="83"/>
      <c r="H11" s="83"/>
      <c r="I11" s="83"/>
      <c r="J11" s="89"/>
      <c r="K11" s="94"/>
      <c r="L11" s="95" t="s">
        <v>22</v>
      </c>
      <c r="M11" s="95"/>
      <c r="N11" s="303">
        <v>1</v>
      </c>
      <c r="O11" s="295"/>
      <c r="P11" s="295"/>
      <c r="Q11" s="295"/>
      <c r="R11" s="98"/>
      <c r="Y11" s="89"/>
      <c r="Z11" s="89"/>
      <c r="AA11" s="89"/>
      <c r="AB11" s="89"/>
      <c r="AC11" s="89"/>
      <c r="AD11" s="89"/>
      <c r="AE11" s="89"/>
      <c r="AF11" s="89"/>
      <c r="AG11" s="89"/>
      <c r="AH11" s="89"/>
      <c r="AI11" s="89"/>
      <c r="AJ11" s="89"/>
    </row>
    <row r="12" spans="1:36" ht="15" customHeight="1" x14ac:dyDescent="0.25">
      <c r="A12" s="8"/>
      <c r="B12" s="8"/>
      <c r="C12" s="8"/>
      <c r="D12" s="8"/>
      <c r="E12" s="8"/>
      <c r="F12" s="8"/>
      <c r="G12" s="8"/>
      <c r="H12" s="8"/>
      <c r="I12" s="8"/>
      <c r="J12" s="89"/>
      <c r="K12" s="8"/>
      <c r="L12" s="8"/>
      <c r="M12" s="8"/>
      <c r="N12" s="8"/>
      <c r="O12" s="8"/>
      <c r="P12" s="8"/>
      <c r="Q12" s="8"/>
      <c r="R12" s="8"/>
      <c r="Y12" s="89"/>
      <c r="Z12" s="89"/>
      <c r="AA12" s="89"/>
      <c r="AB12" s="89"/>
      <c r="AC12" s="89"/>
      <c r="AD12" s="89"/>
      <c r="AE12" s="89"/>
      <c r="AF12" s="89"/>
      <c r="AG12" s="89"/>
      <c r="AH12" s="89"/>
      <c r="AI12" s="89"/>
      <c r="AJ12" s="89"/>
    </row>
    <row r="13" spans="1:36" ht="7.5" customHeight="1" x14ac:dyDescent="0.25">
      <c r="A13" s="89"/>
      <c r="B13" s="89"/>
      <c r="C13" s="89"/>
      <c r="D13" s="89"/>
      <c r="E13" s="89"/>
      <c r="F13" s="89"/>
      <c r="G13" s="89"/>
      <c r="H13" s="89"/>
      <c r="I13" s="89"/>
      <c r="J13" s="89"/>
      <c r="K13" s="7"/>
      <c r="L13" s="7"/>
      <c r="M13" s="7"/>
      <c r="N13" s="7"/>
      <c r="O13" s="7"/>
      <c r="P13" s="7"/>
      <c r="Q13" s="7"/>
      <c r="R13" s="7"/>
      <c r="Y13" s="89"/>
      <c r="Z13" s="89"/>
      <c r="AA13" s="89"/>
      <c r="AB13" s="89"/>
      <c r="AC13" s="89"/>
      <c r="AD13" s="89"/>
      <c r="AE13" s="89"/>
      <c r="AF13" s="89"/>
      <c r="AG13" s="89"/>
      <c r="AH13" s="89"/>
      <c r="AI13" s="89"/>
      <c r="AJ13" s="89"/>
    </row>
    <row r="14" spans="1:36" ht="22.5" customHeight="1" x14ac:dyDescent="0.25">
      <c r="A14" s="93"/>
      <c r="B14" s="300" t="s">
        <v>23</v>
      </c>
      <c r="C14" s="295"/>
      <c r="D14" s="295"/>
      <c r="E14" s="295"/>
      <c r="F14" s="295"/>
      <c r="G14" s="295"/>
      <c r="H14" s="295"/>
      <c r="I14" s="295"/>
      <c r="J14" s="295"/>
      <c r="K14" s="295"/>
      <c r="L14" s="295"/>
      <c r="M14" s="89"/>
      <c r="N14" s="90"/>
      <c r="O14" s="300" t="s">
        <v>24</v>
      </c>
      <c r="P14" s="295"/>
      <c r="Q14" s="295"/>
      <c r="R14" s="99"/>
      <c r="Y14" s="89"/>
      <c r="Z14" s="89"/>
      <c r="AA14" s="89"/>
      <c r="AB14" s="89"/>
      <c r="AC14" s="89"/>
      <c r="AD14" s="89"/>
      <c r="AE14" s="89"/>
      <c r="AF14" s="89"/>
      <c r="AG14" s="89"/>
      <c r="AH14" s="89"/>
      <c r="AI14" s="89"/>
      <c r="AJ14" s="89"/>
    </row>
    <row r="15" spans="1:36" ht="15" customHeight="1" x14ac:dyDescent="0.25">
      <c r="A15" s="94"/>
      <c r="B15" s="303"/>
      <c r="C15" s="295"/>
      <c r="D15" s="303"/>
      <c r="E15" s="295"/>
      <c r="F15" s="295"/>
      <c r="G15" s="295"/>
      <c r="H15" s="295"/>
      <c r="I15" s="295"/>
      <c r="J15" s="295"/>
      <c r="K15" s="295"/>
      <c r="L15" s="295"/>
      <c r="M15" s="89"/>
      <c r="N15" s="91"/>
      <c r="O15" s="225"/>
      <c r="P15" s="226"/>
      <c r="Q15" s="226"/>
      <c r="R15" s="94"/>
      <c r="Y15" s="89"/>
      <c r="Z15" s="89"/>
      <c r="AA15" s="89"/>
      <c r="AB15" s="89"/>
      <c r="AC15" s="89"/>
      <c r="AD15" s="89"/>
      <c r="AE15" s="89"/>
      <c r="AF15" s="89"/>
      <c r="AG15" s="89"/>
      <c r="AH15" s="89"/>
      <c r="AI15" s="89"/>
      <c r="AJ15" s="89"/>
    </row>
    <row r="16" spans="1:36" ht="15" customHeight="1" x14ac:dyDescent="0.25">
      <c r="A16" s="94"/>
      <c r="B16" s="303"/>
      <c r="C16" s="295"/>
      <c r="D16" s="303"/>
      <c r="E16" s="295"/>
      <c r="F16" s="295"/>
      <c r="G16" s="295"/>
      <c r="H16" s="295"/>
      <c r="I16" s="295"/>
      <c r="J16" s="295"/>
      <c r="K16" s="295"/>
      <c r="L16" s="295"/>
      <c r="M16" s="89"/>
      <c r="N16" s="96"/>
      <c r="O16" s="225"/>
      <c r="P16" s="230" t="s">
        <v>25</v>
      </c>
      <c r="Q16" s="226"/>
      <c r="R16" s="94"/>
      <c r="Y16" s="89"/>
      <c r="Z16" s="89"/>
      <c r="AA16" s="89"/>
      <c r="AB16" s="89"/>
      <c r="AC16" s="89"/>
      <c r="AD16" s="89"/>
      <c r="AE16" s="89"/>
      <c r="AF16" s="89"/>
      <c r="AG16" s="89"/>
      <c r="AH16" s="89"/>
      <c r="AI16" s="89"/>
      <c r="AJ16" s="89"/>
    </row>
    <row r="17" spans="1:36" ht="15" customHeight="1" x14ac:dyDescent="0.25">
      <c r="A17" s="94"/>
      <c r="B17" s="303"/>
      <c r="C17" s="295"/>
      <c r="D17" s="303"/>
      <c r="E17" s="295"/>
      <c r="F17" s="295"/>
      <c r="G17" s="295"/>
      <c r="H17" s="295"/>
      <c r="I17" s="295"/>
      <c r="J17" s="295"/>
      <c r="K17" s="295"/>
      <c r="L17" s="295"/>
      <c r="M17" s="89"/>
      <c r="N17" s="94"/>
      <c r="O17" s="225"/>
      <c r="P17" s="227" t="s">
        <v>26</v>
      </c>
      <c r="Q17" s="226"/>
      <c r="R17" s="94"/>
      <c r="Y17" s="89"/>
      <c r="Z17" s="89"/>
      <c r="AA17" s="89"/>
      <c r="AB17" s="89"/>
      <c r="AC17" s="89"/>
      <c r="AD17" s="89"/>
      <c r="AE17" s="89"/>
      <c r="AF17" s="89"/>
      <c r="AG17" s="89"/>
      <c r="AH17" s="89"/>
      <c r="AI17" s="89"/>
      <c r="AJ17" s="89"/>
    </row>
    <row r="18" spans="1:36" ht="15" customHeight="1" x14ac:dyDescent="0.25">
      <c r="A18" s="94"/>
      <c r="B18" s="303"/>
      <c r="C18" s="295"/>
      <c r="D18" s="303"/>
      <c r="E18" s="295"/>
      <c r="F18" s="295"/>
      <c r="G18" s="295"/>
      <c r="H18" s="295"/>
      <c r="I18" s="295"/>
      <c r="J18" s="295"/>
      <c r="K18" s="295"/>
      <c r="L18" s="295"/>
      <c r="M18" s="89"/>
      <c r="N18" s="94"/>
      <c r="O18" s="225"/>
      <c r="P18" s="228" t="s">
        <v>27</v>
      </c>
      <c r="Q18" s="226"/>
      <c r="R18" s="94"/>
      <c r="Y18" s="89"/>
      <c r="Z18" s="89"/>
      <c r="AA18" s="89"/>
      <c r="AB18" s="89"/>
      <c r="AC18" s="89"/>
      <c r="AD18" s="89"/>
      <c r="AE18" s="89"/>
      <c r="AF18" s="89"/>
      <c r="AG18" s="89"/>
      <c r="AH18" s="89"/>
      <c r="AI18" s="89"/>
      <c r="AJ18" s="89"/>
    </row>
    <row r="19" spans="1:36" ht="15" customHeight="1" x14ac:dyDescent="0.25">
      <c r="A19" s="83"/>
      <c r="B19" s="303"/>
      <c r="C19" s="295"/>
      <c r="D19" s="303"/>
      <c r="E19" s="295"/>
      <c r="F19" s="295"/>
      <c r="G19" s="295"/>
      <c r="H19" s="295"/>
      <c r="I19" s="295"/>
      <c r="J19" s="295"/>
      <c r="K19" s="295"/>
      <c r="L19" s="295"/>
      <c r="M19" s="89"/>
      <c r="N19" s="83"/>
      <c r="O19" s="229"/>
      <c r="P19" s="229"/>
      <c r="Q19" s="229"/>
      <c r="R19" s="83"/>
      <c r="Y19" s="89"/>
      <c r="Z19" s="89"/>
      <c r="AA19" s="89"/>
      <c r="AB19" s="89"/>
      <c r="AC19" s="89"/>
      <c r="AD19" s="89"/>
      <c r="AE19" s="89"/>
      <c r="AF19" s="89"/>
      <c r="AG19" s="89"/>
      <c r="AH19" s="89"/>
      <c r="AI19" s="89"/>
      <c r="AJ19" s="89"/>
    </row>
    <row r="20" spans="1:36" ht="14.25" customHeight="1" x14ac:dyDescent="0.25">
      <c r="A20" s="8"/>
      <c r="B20" s="8"/>
      <c r="C20" s="8"/>
      <c r="D20" s="8"/>
      <c r="E20" s="8"/>
      <c r="F20" s="8"/>
      <c r="G20" s="8"/>
      <c r="H20" s="8"/>
      <c r="I20" s="8"/>
      <c r="J20" s="8"/>
      <c r="K20" s="8"/>
      <c r="L20" s="8"/>
      <c r="N20" s="8"/>
      <c r="O20" s="8"/>
      <c r="P20" s="8"/>
      <c r="Q20" s="8"/>
      <c r="R20" s="8"/>
    </row>
    <row r="21" spans="1:36" ht="14.25" customHeight="1" x14ac:dyDescent="0.25">
      <c r="Q21" s="5"/>
    </row>
    <row r="22" spans="1:36" ht="14.25" customHeight="1" x14ac:dyDescent="0.25"/>
    <row r="23" spans="1:36" ht="14.25" customHeight="1" x14ac:dyDescent="0.25"/>
    <row r="24" spans="1:36" ht="14.25" customHeight="1" x14ac:dyDescent="0.25"/>
    <row r="25" spans="1:36" ht="14.25" customHeight="1" x14ac:dyDescent="0.25"/>
    <row r="26" spans="1:36" ht="14.25" customHeight="1" x14ac:dyDescent="0.25"/>
    <row r="27" spans="1:36" ht="14.25" customHeight="1" x14ac:dyDescent="0.25"/>
    <row r="28" spans="1:36" ht="14.25" customHeight="1" x14ac:dyDescent="0.25"/>
    <row r="29" spans="1:36" ht="14.25" customHeight="1" x14ac:dyDescent="0.25"/>
    <row r="30" spans="1:36" ht="14.25" customHeight="1" x14ac:dyDescent="0.25"/>
    <row r="31" spans="1:36" ht="14.25" customHeight="1" x14ac:dyDescent="0.25"/>
    <row r="32" spans="1:36"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row r="1001" ht="14.25" customHeight="1" x14ac:dyDescent="0.25"/>
  </sheetData>
  <mergeCells count="21">
    <mergeCell ref="B19:C19"/>
    <mergeCell ref="D19:L19"/>
    <mergeCell ref="N11:Q11"/>
    <mergeCell ref="B14:L14"/>
    <mergeCell ref="O14:Q14"/>
    <mergeCell ref="B15:C15"/>
    <mergeCell ref="D15:L15"/>
    <mergeCell ref="B16:C16"/>
    <mergeCell ref="D16:L16"/>
    <mergeCell ref="N9:Q9"/>
    <mergeCell ref="N10:Q10"/>
    <mergeCell ref="B17:C17"/>
    <mergeCell ref="D17:L17"/>
    <mergeCell ref="B18:C18"/>
    <mergeCell ref="D18:L18"/>
    <mergeCell ref="B4:I4"/>
    <mergeCell ref="L4:P4"/>
    <mergeCell ref="N5:Q5"/>
    <mergeCell ref="N6:Q6"/>
    <mergeCell ref="N8:Q8"/>
    <mergeCell ref="N7:Q7"/>
  </mergeCells>
  <pageMargins left="0.7" right="0.7" top="0.75" bottom="0.75" header="0" footer="0"/>
  <pageSetup paperSize="9" orientation="landscape" r:id="rId1"/>
  <headerFooter>
    <oddHeader>&amp;R&amp;F  &amp;A</oddHeader>
    <oddFooter>&amp;L© 2017&amp;CPage &amp;P of</oddFooter>
  </headerFooter>
  <colBreaks count="1" manualBreakCount="1">
    <brk id="18"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163260"/>
    <pageSetUpPr fitToPage="1"/>
  </sheetPr>
  <dimension ref="A1:N147"/>
  <sheetViews>
    <sheetView workbookViewId="0"/>
  </sheetViews>
  <sheetFormatPr defaultColWidth="12.5703125" defaultRowHeight="15" customHeight="1" outlineLevelRow="1" x14ac:dyDescent="0.25"/>
  <cols>
    <col min="1" max="1" width="1.28515625" customWidth="1"/>
    <col min="2" max="2" width="45.5703125" customWidth="1"/>
    <col min="3" max="3" width="2.5703125" customWidth="1"/>
    <col min="4" max="5" width="11" customWidth="1"/>
    <col min="6" max="6" width="2.5703125" customWidth="1"/>
    <col min="7" max="8" width="11" customWidth="1"/>
    <col min="9" max="9" width="2.5703125" customWidth="1"/>
    <col min="10" max="11" width="11" customWidth="1"/>
    <col min="12" max="12" width="2.5703125" customWidth="1"/>
    <col min="15" max="16" width="12.5703125" customWidth="1"/>
  </cols>
  <sheetData>
    <row r="1" spans="1:14" ht="45" customHeight="1" x14ac:dyDescent="0.45">
      <c r="A1" s="64" t="str">
        <f>Welcome!A2</f>
        <v>Case Study - Electronic Arts</v>
      </c>
      <c r="B1" s="100"/>
      <c r="C1" s="166"/>
      <c r="D1" s="168" t="s">
        <v>9</v>
      </c>
      <c r="E1" s="168"/>
      <c r="F1" s="168"/>
      <c r="G1" s="168" t="s">
        <v>29</v>
      </c>
      <c r="H1" s="168"/>
      <c r="I1" s="168"/>
      <c r="J1" s="168" t="s">
        <v>30</v>
      </c>
      <c r="K1" s="168"/>
      <c r="L1" s="166"/>
      <c r="M1" s="168" t="s">
        <v>31</v>
      </c>
      <c r="N1" s="168"/>
    </row>
    <row r="2" spans="1:14" ht="15" customHeight="1" x14ac:dyDescent="0.25">
      <c r="A2" s="166"/>
      <c r="B2" s="166"/>
      <c r="C2" s="166"/>
      <c r="D2" s="167">
        <v>45382</v>
      </c>
      <c r="E2" s="167">
        <f>EDATE(D2,12)</f>
        <v>45747</v>
      </c>
      <c r="F2" s="167"/>
      <c r="G2" s="167">
        <v>45657</v>
      </c>
      <c r="H2" s="167">
        <f>EDATE(G2,12)</f>
        <v>46022</v>
      </c>
      <c r="I2" s="167"/>
      <c r="J2" s="167">
        <v>45382</v>
      </c>
      <c r="K2" s="167">
        <f>EDATE(J2,12)</f>
        <v>45747</v>
      </c>
      <c r="L2" s="166"/>
      <c r="M2" s="167">
        <v>45382</v>
      </c>
      <c r="N2" s="167">
        <f>EDATE(M2,12)</f>
        <v>45747</v>
      </c>
    </row>
    <row r="3" spans="1:14" ht="15" customHeight="1" x14ac:dyDescent="0.25">
      <c r="A3" s="69" t="s">
        <v>32</v>
      </c>
      <c r="B3" s="57"/>
    </row>
    <row r="4" spans="1:14" ht="15" customHeight="1" x14ac:dyDescent="0.25">
      <c r="A4" s="69"/>
      <c r="B4" t="s">
        <v>33</v>
      </c>
    </row>
    <row r="5" spans="1:14" ht="15" customHeight="1" x14ac:dyDescent="0.25">
      <c r="A5" s="69"/>
      <c r="B5" t="s">
        <v>34</v>
      </c>
    </row>
    <row r="6" spans="1:14" ht="15" customHeight="1" x14ac:dyDescent="0.25">
      <c r="A6" s="69"/>
      <c r="B6" t="s">
        <v>35</v>
      </c>
    </row>
    <row r="7" spans="1:14" ht="15" customHeight="1" x14ac:dyDescent="0.25">
      <c r="A7" s="14"/>
    </row>
    <row r="8" spans="1:14" ht="15" customHeight="1" x14ac:dyDescent="0.25">
      <c r="A8" s="14"/>
      <c r="C8" s="166"/>
      <c r="D8" s="168" t="str">
        <f>D1</f>
        <v>Electronic Arts</v>
      </c>
      <c r="E8" s="168"/>
      <c r="F8" s="168"/>
      <c r="G8" s="168" t="str">
        <f>G1</f>
        <v>Roblox</v>
      </c>
      <c r="H8" s="168"/>
      <c r="I8" s="168"/>
      <c r="J8" s="168" t="str">
        <f>J1</f>
        <v>Take-Two</v>
      </c>
      <c r="K8" s="168"/>
      <c r="L8" s="166"/>
      <c r="M8" s="168" t="str">
        <f>M1</f>
        <v>Ubisoft</v>
      </c>
      <c r="N8" s="168"/>
    </row>
    <row r="9" spans="1:14" ht="15" customHeight="1" x14ac:dyDescent="0.25">
      <c r="A9" s="14"/>
      <c r="C9" s="166"/>
      <c r="D9" s="167">
        <v>45382</v>
      </c>
      <c r="E9" s="167">
        <f>EDATE(D9,12)</f>
        <v>45747</v>
      </c>
      <c r="F9" s="167"/>
      <c r="G9" s="167">
        <v>45657</v>
      </c>
      <c r="H9" s="167">
        <f>EDATE(G9,12)</f>
        <v>46022</v>
      </c>
      <c r="I9" s="167"/>
      <c r="J9" s="167">
        <v>45382</v>
      </c>
      <c r="K9" s="167">
        <f>EDATE(J9,12)</f>
        <v>45747</v>
      </c>
      <c r="L9" s="166"/>
      <c r="M9" s="167">
        <v>45382</v>
      </c>
      <c r="N9" s="167">
        <f>EDATE(M9,12)</f>
        <v>45747</v>
      </c>
    </row>
    <row r="10" spans="1:14" ht="15" customHeight="1" x14ac:dyDescent="0.25">
      <c r="A10" s="14"/>
      <c r="B10" t="s">
        <v>14</v>
      </c>
      <c r="D10" s="15" t="s">
        <v>36</v>
      </c>
      <c r="E10" s="15" t="s">
        <v>36</v>
      </c>
      <c r="F10" s="15"/>
      <c r="G10" s="15" t="s">
        <v>36</v>
      </c>
      <c r="H10" s="15" t="s">
        <v>36</v>
      </c>
      <c r="J10" s="15" t="s">
        <v>36</v>
      </c>
      <c r="K10" s="15" t="s">
        <v>36</v>
      </c>
      <c r="M10" s="15" t="s">
        <v>37</v>
      </c>
      <c r="N10" s="15" t="s">
        <v>37</v>
      </c>
    </row>
    <row r="11" spans="1:14" ht="15" customHeight="1" x14ac:dyDescent="0.25">
      <c r="A11" s="14"/>
      <c r="B11" t="s">
        <v>38</v>
      </c>
      <c r="J11" s="79"/>
      <c r="K11" s="79"/>
    </row>
    <row r="12" spans="1:14" ht="15" customHeight="1" x14ac:dyDescent="0.25">
      <c r="A12" s="14"/>
    </row>
    <row r="13" spans="1:14" ht="15" customHeight="1" x14ac:dyDescent="0.25">
      <c r="A13" s="16" t="s">
        <v>39</v>
      </c>
      <c r="E13" s="59"/>
    </row>
    <row r="14" spans="1:14" ht="15" customHeight="1" x14ac:dyDescent="0.25">
      <c r="A14" s="16"/>
      <c r="B14" t="s">
        <v>40</v>
      </c>
      <c r="D14" s="79">
        <v>7562</v>
      </c>
      <c r="E14" s="79">
        <v>7463</v>
      </c>
      <c r="F14" s="161"/>
      <c r="G14" s="79">
        <f>3601979/1000</f>
        <v>3601.9789999999998</v>
      </c>
      <c r="H14" s="79">
        <f>4890551/1000</f>
        <v>4890.5510000000004</v>
      </c>
      <c r="J14" s="79">
        <v>5349.6</v>
      </c>
      <c r="K14" s="79">
        <v>5633.6</v>
      </c>
      <c r="M14" s="79">
        <v>2300.9</v>
      </c>
      <c r="N14" s="79">
        <v>1899.2</v>
      </c>
    </row>
    <row r="15" spans="1:14" ht="15" customHeight="1" x14ac:dyDescent="0.25">
      <c r="A15" s="16"/>
      <c r="B15" t="s">
        <v>41</v>
      </c>
      <c r="D15" s="79">
        <v>-132</v>
      </c>
      <c r="E15" s="79">
        <v>-108</v>
      </c>
      <c r="G15" s="79">
        <v>792.4</v>
      </c>
      <c r="H15" s="79">
        <v>1934</v>
      </c>
      <c r="J15">
        <f>J16-J14</f>
        <v>-16.600000000000364</v>
      </c>
      <c r="K15">
        <f>K16-K14</f>
        <v>14.399999999999636</v>
      </c>
      <c r="M15">
        <f>M16-M14</f>
        <v>20.5</v>
      </c>
      <c r="N15">
        <f>N16-N14</f>
        <v>-52.799999999999955</v>
      </c>
    </row>
    <row r="16" spans="1:14" ht="15" customHeight="1" x14ac:dyDescent="0.25">
      <c r="A16" s="16"/>
      <c r="B16" t="s">
        <v>42</v>
      </c>
      <c r="D16">
        <f>SUM(D14:D15)</f>
        <v>7430</v>
      </c>
      <c r="E16">
        <f>SUM(E14:E15)</f>
        <v>7355</v>
      </c>
      <c r="G16">
        <f>G14+G15</f>
        <v>4394.3789999999999</v>
      </c>
      <c r="H16">
        <f>H14+H15</f>
        <v>6824.5510000000004</v>
      </c>
      <c r="J16" s="79">
        <v>5333</v>
      </c>
      <c r="K16" s="79">
        <v>5648</v>
      </c>
      <c r="M16" s="79">
        <v>2321.4</v>
      </c>
      <c r="N16" s="79">
        <v>1846.4</v>
      </c>
    </row>
    <row r="17" spans="1:14" ht="15" customHeight="1" x14ac:dyDescent="0.25">
      <c r="A17" s="16"/>
      <c r="B17" s="233"/>
    </row>
    <row r="18" spans="1:14" ht="15" customHeight="1" x14ac:dyDescent="0.25">
      <c r="A18" s="16"/>
      <c r="B18" t="s">
        <v>43</v>
      </c>
      <c r="D18" s="79">
        <v>5852</v>
      </c>
      <c r="E18" s="79">
        <v>5920</v>
      </c>
      <c r="F18" s="161"/>
      <c r="G18" s="161">
        <f>G14-801.2</f>
        <v>2800.7789999999995</v>
      </c>
      <c r="H18" s="161">
        <f>H14-1072.3</f>
        <v>3818.2510000000002</v>
      </c>
      <c r="J18" s="79">
        <v>2241.8000000000002</v>
      </c>
      <c r="K18" s="79">
        <v>3062.2</v>
      </c>
      <c r="M18" s="79">
        <v>2096.6999999999998</v>
      </c>
      <c r="N18" s="79">
        <v>1696.5</v>
      </c>
    </row>
    <row r="19" spans="1:14" ht="15" customHeight="1" x14ac:dyDescent="0.25">
      <c r="A19" s="16"/>
      <c r="B19" t="s">
        <v>44</v>
      </c>
      <c r="D19" s="79">
        <v>17</v>
      </c>
      <c r="E19" s="79">
        <v>0</v>
      </c>
      <c r="F19" s="161"/>
      <c r="G19" s="79"/>
      <c r="H19" s="79"/>
      <c r="J19" s="79">
        <f>577.4-10</f>
        <v>567.4</v>
      </c>
      <c r="K19" s="79">
        <v>137</v>
      </c>
      <c r="M19" s="52"/>
      <c r="N19" s="52"/>
    </row>
    <row r="20" spans="1:14" ht="15" customHeight="1" x14ac:dyDescent="0.25">
      <c r="A20" s="16"/>
      <c r="B20" t="s">
        <v>45</v>
      </c>
      <c r="D20">
        <f t="shared" ref="D20:E20" si="0">SUM(D18:D19)</f>
        <v>5869</v>
      </c>
      <c r="E20">
        <f t="shared" si="0"/>
        <v>5920</v>
      </c>
      <c r="G20">
        <f>SUM(G18:G19)</f>
        <v>2800.7789999999995</v>
      </c>
      <c r="H20">
        <f>SUM(H18:H19)</f>
        <v>3818.2510000000002</v>
      </c>
      <c r="J20">
        <f>SUM(J18:J19)</f>
        <v>2809.2000000000003</v>
      </c>
      <c r="K20">
        <f>SUM(K18:K19)</f>
        <v>3199.2</v>
      </c>
      <c r="M20">
        <f>M18</f>
        <v>2096.6999999999998</v>
      </c>
      <c r="N20">
        <f>N18</f>
        <v>1696.5</v>
      </c>
    </row>
    <row r="21" spans="1:14" ht="15" customHeight="1" x14ac:dyDescent="0.25">
      <c r="A21" s="16"/>
    </row>
    <row r="22" spans="1:14" ht="15" customHeight="1" x14ac:dyDescent="0.25">
      <c r="A22" s="16"/>
      <c r="B22" t="s">
        <v>46</v>
      </c>
      <c r="D22" s="79">
        <v>2384</v>
      </c>
      <c r="E22" s="79">
        <v>2331</v>
      </c>
      <c r="G22">
        <f>G24+G23</f>
        <v>-46.243000000000052</v>
      </c>
      <c r="H22">
        <f>H24+H23</f>
        <v>-101.06800000000021</v>
      </c>
      <c r="J22">
        <f>J24+J23</f>
        <v>593.60000000000082</v>
      </c>
      <c r="K22">
        <f>K24+K23</f>
        <v>613.39999999999964</v>
      </c>
      <c r="M22" s="79">
        <v>401.4</v>
      </c>
      <c r="N22" s="79">
        <v>-15.1</v>
      </c>
    </row>
    <row r="23" spans="1:14" ht="15" customHeight="1" x14ac:dyDescent="0.25">
      <c r="A23" s="16"/>
      <c r="B23" t="s">
        <v>47</v>
      </c>
      <c r="D23" s="79">
        <f>D22-D24</f>
        <v>866</v>
      </c>
      <c r="E23" s="79">
        <f>E22-E24</f>
        <v>811</v>
      </c>
      <c r="G23" s="79">
        <f>1274/1000+1015.8</f>
        <v>1017.074</v>
      </c>
      <c r="H23" s="79">
        <f>2274/1000+1129</f>
        <v>1131.2739999999999</v>
      </c>
      <c r="J23" s="79">
        <f>-16.7+335.6+104.6+1418.9+2341.8</f>
        <v>4184.2000000000007</v>
      </c>
      <c r="K23" s="79">
        <f>12.9+323.9+106.5+922.6+3638.6</f>
        <v>5004.5</v>
      </c>
      <c r="M23">
        <f>M22-M24</f>
        <v>87.799999999999955</v>
      </c>
      <c r="N23">
        <f>N22-N24</f>
        <v>67.5</v>
      </c>
    </row>
    <row r="24" spans="1:14" ht="15" customHeight="1" x14ac:dyDescent="0.25">
      <c r="A24" s="16"/>
      <c r="B24" t="s">
        <v>48</v>
      </c>
      <c r="D24" s="79">
        <v>1518</v>
      </c>
      <c r="E24" s="79">
        <v>1520</v>
      </c>
      <c r="F24" s="161"/>
      <c r="G24" s="79">
        <f>-1063317/1000</f>
        <v>-1063.317</v>
      </c>
      <c r="H24" s="79">
        <f>-1232342/1000</f>
        <v>-1232.3420000000001</v>
      </c>
      <c r="J24" s="79">
        <v>-3590.6</v>
      </c>
      <c r="K24" s="79">
        <v>-4391.1000000000004</v>
      </c>
      <c r="M24" s="79">
        <v>313.60000000000002</v>
      </c>
      <c r="N24" s="79">
        <v>-82.6</v>
      </c>
    </row>
    <row r="25" spans="1:14" ht="15" customHeight="1" x14ac:dyDescent="0.25">
      <c r="A25" s="16"/>
      <c r="B25" t="s">
        <v>44</v>
      </c>
      <c r="D25">
        <f>D19</f>
        <v>17</v>
      </c>
      <c r="E25">
        <f>E19</f>
        <v>0</v>
      </c>
      <c r="G25" s="79">
        <v>17.899999999999999</v>
      </c>
      <c r="H25" s="79"/>
      <c r="J25">
        <f>J19</f>
        <v>567.4</v>
      </c>
      <c r="K25">
        <f>K19</f>
        <v>137</v>
      </c>
      <c r="M25" s="79"/>
      <c r="N25" s="79"/>
    </row>
    <row r="26" spans="1:14" ht="15" customHeight="1" x14ac:dyDescent="0.25">
      <c r="A26" s="16"/>
      <c r="B26" t="s">
        <v>44</v>
      </c>
      <c r="D26" s="79">
        <v>53</v>
      </c>
      <c r="E26" s="79">
        <v>0</v>
      </c>
      <c r="F26" s="161"/>
      <c r="G26" s="79"/>
      <c r="H26" s="79"/>
      <c r="J26" s="79">
        <v>2342.1</v>
      </c>
      <c r="K26" s="79">
        <v>3545.2</v>
      </c>
      <c r="M26" s="52"/>
      <c r="N26" s="161">
        <v>16.7</v>
      </c>
    </row>
    <row r="27" spans="1:14" ht="15" customHeight="1" x14ac:dyDescent="0.25">
      <c r="A27" s="16"/>
      <c r="B27" t="s">
        <v>44</v>
      </c>
      <c r="D27" s="79">
        <v>30</v>
      </c>
      <c r="E27" s="79">
        <v>0</v>
      </c>
      <c r="G27" s="52"/>
      <c r="H27" s="52"/>
      <c r="J27" s="79">
        <v>88.2</v>
      </c>
      <c r="K27" s="79">
        <f>35.1+3.9</f>
        <v>39</v>
      </c>
      <c r="M27" s="161">
        <v>0.2</v>
      </c>
      <c r="N27" s="52"/>
    </row>
    <row r="28" spans="1:14" ht="15" customHeight="1" x14ac:dyDescent="0.25">
      <c r="A28" s="16"/>
      <c r="B28" t="s">
        <v>44</v>
      </c>
      <c r="D28" s="79">
        <v>2</v>
      </c>
      <c r="E28" s="79">
        <v>57</v>
      </c>
      <c r="G28" s="52"/>
      <c r="H28" s="52"/>
      <c r="J28" s="79">
        <f>104.6-J27</f>
        <v>16.399999999999991</v>
      </c>
      <c r="K28" s="79">
        <f>106.5-K27</f>
        <v>67.5</v>
      </c>
      <c r="M28" s="161">
        <v>7.5</v>
      </c>
      <c r="N28" s="161">
        <v>35.9</v>
      </c>
    </row>
    <row r="29" spans="1:14" ht="15" customHeight="1" x14ac:dyDescent="0.25">
      <c r="A29" s="16"/>
      <c r="B29" t="s">
        <v>44</v>
      </c>
      <c r="D29" s="79">
        <f>61-D28-D27</f>
        <v>29</v>
      </c>
      <c r="E29" s="79">
        <f>62-E28-E27</f>
        <v>5</v>
      </c>
      <c r="G29" s="52"/>
      <c r="H29" s="52"/>
      <c r="J29" s="161">
        <f>0.2+4.6+3.5+1.4</f>
        <v>9.7000000000000011</v>
      </c>
      <c r="K29" s="79">
        <v>39.299999999999997</v>
      </c>
      <c r="M29" s="52"/>
      <c r="N29" s="52"/>
    </row>
    <row r="30" spans="1:14" ht="15" customHeight="1" x14ac:dyDescent="0.25">
      <c r="A30" s="16"/>
      <c r="B30" t="s">
        <v>49</v>
      </c>
      <c r="D30">
        <f>SUM(D24:D29)</f>
        <v>1649</v>
      </c>
      <c r="E30">
        <f>SUM(E24:E29)</f>
        <v>1582</v>
      </c>
      <c r="G30">
        <f>SUM(G24:G29)</f>
        <v>-1045.4169999999999</v>
      </c>
      <c r="H30">
        <f>SUM(H24:H29)</f>
        <v>-1232.3420000000001</v>
      </c>
      <c r="J30">
        <f>SUM(J24:J29)</f>
        <v>-566.79999999999984</v>
      </c>
      <c r="K30">
        <f>SUM(K24:K29)</f>
        <v>-563.10000000000059</v>
      </c>
      <c r="M30">
        <f>SUM(M24:M29)</f>
        <v>321.3</v>
      </c>
      <c r="N30">
        <f>SUM(N24:N29)</f>
        <v>-29.999999999999993</v>
      </c>
    </row>
    <row r="31" spans="1:14" ht="15" customHeight="1" x14ac:dyDescent="0.25">
      <c r="A31" s="16"/>
      <c r="B31" t="s">
        <v>50</v>
      </c>
      <c r="D31" s="79">
        <v>404</v>
      </c>
      <c r="E31" s="79">
        <v>356</v>
      </c>
      <c r="F31" s="161"/>
      <c r="G31" s="79">
        <f>226437/1000</f>
        <v>226.43700000000001</v>
      </c>
      <c r="H31" s="79">
        <f>225820/1000</f>
        <v>225.82</v>
      </c>
      <c r="J31" s="79">
        <f>1418.9+135.5+292.7</f>
        <v>1847.1000000000001</v>
      </c>
      <c r="K31" s="79">
        <f>922.6+153.9+333.8</f>
        <v>1410.3</v>
      </c>
      <c r="M31" s="79">
        <v>776</v>
      </c>
      <c r="N31" s="79">
        <v>710.7</v>
      </c>
    </row>
    <row r="32" spans="1:14" ht="15" customHeight="1" x14ac:dyDescent="0.25">
      <c r="A32" s="16"/>
      <c r="B32" t="s">
        <v>51</v>
      </c>
      <c r="D32">
        <f>SUM(D25:D28)*-1</f>
        <v>-102</v>
      </c>
      <c r="E32">
        <f>SUM(E25:E28)*-1</f>
        <v>-57</v>
      </c>
      <c r="F32" s="52"/>
      <c r="G32" s="52"/>
      <c r="J32">
        <f>-J19-J27</f>
        <v>-655.6</v>
      </c>
      <c r="K32">
        <f>-SUM(K29,K27,K25)</f>
        <v>-215.3</v>
      </c>
      <c r="M32">
        <f>SUM(M26:M27)*-1</f>
        <v>-0.2</v>
      </c>
      <c r="N32">
        <f>SUM(N26:N27)*-1</f>
        <v>-16.7</v>
      </c>
    </row>
    <row r="33" spans="1:14" ht="15" customHeight="1" x14ac:dyDescent="0.25">
      <c r="A33" s="16"/>
      <c r="B33" t="s">
        <v>52</v>
      </c>
      <c r="D33">
        <f>SUM(D30:D32)</f>
        <v>1951</v>
      </c>
      <c r="E33">
        <f>SUM(E30:E32)</f>
        <v>1881</v>
      </c>
      <c r="G33">
        <f>SUM(G30:G32)</f>
        <v>-818.9799999999999</v>
      </c>
      <c r="H33">
        <f>SUM(H30:H32)</f>
        <v>-1006.5220000000002</v>
      </c>
      <c r="J33">
        <f>SUM(J30:J32)</f>
        <v>624.70000000000016</v>
      </c>
      <c r="K33">
        <f>SUM(K30:K32)</f>
        <v>631.89999999999941</v>
      </c>
      <c r="M33">
        <f>SUM(M30:M32)</f>
        <v>1097.0999999999999</v>
      </c>
      <c r="N33">
        <f>SUM(N30:N32)</f>
        <v>664</v>
      </c>
    </row>
    <row r="34" spans="1:14" ht="15" customHeight="1" x14ac:dyDescent="0.25">
      <c r="A34" s="16"/>
    </row>
    <row r="35" spans="1:14" ht="15" customHeight="1" x14ac:dyDescent="0.25">
      <c r="A35" s="16"/>
      <c r="B35" t="s">
        <v>53</v>
      </c>
      <c r="D35" s="79">
        <v>58</v>
      </c>
      <c r="E35" s="79">
        <v>58</v>
      </c>
      <c r="F35" s="161"/>
      <c r="G35" s="79">
        <v>40.1</v>
      </c>
      <c r="H35" s="79">
        <v>40.200000000000003</v>
      </c>
      <c r="J35" s="79">
        <v>140.6</v>
      </c>
      <c r="K35" s="79">
        <v>167.3</v>
      </c>
      <c r="M35" s="161">
        <v>74.8</v>
      </c>
      <c r="N35" s="161">
        <v>106.3</v>
      </c>
    </row>
    <row r="36" spans="1:14" ht="15" customHeight="1" x14ac:dyDescent="0.25">
      <c r="A36" s="16"/>
      <c r="B36" t="s">
        <v>44</v>
      </c>
      <c r="D36" s="52"/>
      <c r="E36" s="52"/>
      <c r="F36" s="52"/>
      <c r="G36" s="52"/>
      <c r="H36" s="52"/>
      <c r="J36" s="79">
        <v>-27.2</v>
      </c>
      <c r="K36" s="79">
        <f>-(8.4+12.1)</f>
        <v>-20.5</v>
      </c>
      <c r="M36" s="52"/>
      <c r="N36" s="52"/>
    </row>
    <row r="37" spans="1:14" ht="15" customHeight="1" x14ac:dyDescent="0.25">
      <c r="A37" s="16"/>
      <c r="B37" t="s">
        <v>54</v>
      </c>
      <c r="D37">
        <f>SUM(D35:D36)</f>
        <v>58</v>
      </c>
      <c r="E37">
        <f>SUM(E35:E36)</f>
        <v>58</v>
      </c>
      <c r="G37">
        <f>SUM(G35:G36)</f>
        <v>40.1</v>
      </c>
      <c r="H37">
        <f>SUM(H35:H36)</f>
        <v>40.200000000000003</v>
      </c>
      <c r="J37">
        <f>SUM(J35:J36)</f>
        <v>113.39999999999999</v>
      </c>
      <c r="K37">
        <f>SUM(K35:K36)</f>
        <v>146.80000000000001</v>
      </c>
      <c r="M37">
        <f>SUM(M35:M36)</f>
        <v>74.8</v>
      </c>
      <c r="N37">
        <f>SUM(N35:N36)</f>
        <v>106.3</v>
      </c>
    </row>
    <row r="38" spans="1:14" ht="15" customHeight="1" x14ac:dyDescent="0.25">
      <c r="A38" s="16"/>
    </row>
    <row r="39" spans="1:14" ht="15" customHeight="1" x14ac:dyDescent="0.25">
      <c r="A39" s="16"/>
      <c r="B39" t="s">
        <v>55</v>
      </c>
      <c r="D39" s="195">
        <v>0.21</v>
      </c>
      <c r="E39" s="195">
        <v>0.21</v>
      </c>
      <c r="F39" s="160"/>
      <c r="G39" s="195">
        <v>0.21</v>
      </c>
      <c r="H39" s="195">
        <v>0.21</v>
      </c>
      <c r="J39" s="195">
        <v>0.21</v>
      </c>
      <c r="K39" s="195">
        <v>0.21</v>
      </c>
      <c r="M39" s="265">
        <v>0.25</v>
      </c>
      <c r="N39" s="265">
        <v>0.25</v>
      </c>
    </row>
    <row r="40" spans="1:14" ht="15" customHeight="1" x14ac:dyDescent="0.25">
      <c r="A40" s="16"/>
      <c r="B40" t="s">
        <v>56</v>
      </c>
      <c r="D40" s="195">
        <v>1.0999999999999999E-2</v>
      </c>
      <c r="E40" s="195">
        <v>8.9999999999999993E-3</v>
      </c>
      <c r="F40" s="160"/>
      <c r="G40" s="195">
        <v>-2E-3</v>
      </c>
      <c r="H40" s="195">
        <v>-1E-3</v>
      </c>
      <c r="J40" s="195">
        <v>6.0000000000000001E-3</v>
      </c>
      <c r="K40" s="195">
        <v>4.0000000000000001E-3</v>
      </c>
      <c r="M40" s="265">
        <v>8.3000000000000001E-3</v>
      </c>
      <c r="N40" s="265">
        <v>8.3000000000000001E-3</v>
      </c>
    </row>
    <row r="41" spans="1:14" ht="15" customHeight="1" x14ac:dyDescent="0.25">
      <c r="A41" s="16"/>
      <c r="B41" t="s">
        <v>57</v>
      </c>
      <c r="D41" s="59">
        <f>SUM(D39:D40)</f>
        <v>0.221</v>
      </c>
      <c r="E41" s="59">
        <f>SUM(E39:E40)</f>
        <v>0.219</v>
      </c>
      <c r="F41" s="59"/>
      <c r="G41" s="59">
        <f>SUM(G39:G40)</f>
        <v>0.20799999999999999</v>
      </c>
      <c r="H41" s="59">
        <f>SUM(H39:H40)</f>
        <v>0.20899999999999999</v>
      </c>
      <c r="J41" s="59">
        <f>SUM(J39:J40)</f>
        <v>0.216</v>
      </c>
      <c r="K41" s="59">
        <f>SUM(K39:K40)</f>
        <v>0.214</v>
      </c>
      <c r="M41" s="59">
        <f>SUM(M39:M40)</f>
        <v>0.25829999999999997</v>
      </c>
      <c r="N41" s="59">
        <f>SUM(N39:N40)</f>
        <v>0.25829999999999997</v>
      </c>
    </row>
    <row r="42" spans="1:14" ht="15" customHeight="1" x14ac:dyDescent="0.25">
      <c r="A42" s="16"/>
    </row>
    <row r="43" spans="1:14" ht="15" customHeight="1" x14ac:dyDescent="0.25">
      <c r="A43" s="16"/>
      <c r="B43" t="s">
        <v>58</v>
      </c>
      <c r="D43" s="79">
        <v>1589</v>
      </c>
      <c r="E43" s="79">
        <v>1605</v>
      </c>
      <c r="F43" s="161"/>
      <c r="G43" s="79">
        <v>-936.5</v>
      </c>
      <c r="H43" s="79">
        <v>-1068</v>
      </c>
      <c r="J43" s="79">
        <v>-3702.8</v>
      </c>
      <c r="K43" s="79">
        <v>-4491.3</v>
      </c>
      <c r="M43" s="161">
        <f>313.6-58.9</f>
        <v>254.70000000000002</v>
      </c>
      <c r="N43" s="161">
        <f>-82.6-64</f>
        <v>-146.6</v>
      </c>
    </row>
    <row r="44" spans="1:14" ht="15" customHeight="1" x14ac:dyDescent="0.25">
      <c r="A44" s="16"/>
      <c r="B44" t="s">
        <v>44</v>
      </c>
      <c r="D44">
        <f>SUM(D25:D29)-D36</f>
        <v>131</v>
      </c>
      <c r="E44">
        <f>SUM(E25:E29)-E36</f>
        <v>62</v>
      </c>
      <c r="G44">
        <f>SUM(G25:G29)-G36</f>
        <v>17.899999999999999</v>
      </c>
      <c r="H44">
        <f>SUM(H25:H29)-H36</f>
        <v>0</v>
      </c>
      <c r="J44">
        <f>SUM(J25:J29)-J36</f>
        <v>3050.9999999999995</v>
      </c>
      <c r="K44">
        <f>SUM(K25:K29)-K36</f>
        <v>3848.5</v>
      </c>
      <c r="M44">
        <f>SUM(M25:M29)-M36</f>
        <v>7.7</v>
      </c>
      <c r="N44">
        <f>SUM(N25:N29)-N36</f>
        <v>52.599999999999994</v>
      </c>
    </row>
    <row r="45" spans="1:14" ht="15" customHeight="1" x14ac:dyDescent="0.25">
      <c r="A45" s="16"/>
      <c r="B45" t="s">
        <v>59</v>
      </c>
      <c r="D45">
        <f>SUM(D43:D44)</f>
        <v>1720</v>
      </c>
      <c r="E45">
        <f>SUM(E43:E44)</f>
        <v>1667</v>
      </c>
      <c r="G45">
        <f>SUM(G43:G44)</f>
        <v>-918.6</v>
      </c>
      <c r="H45">
        <f>SUM(H43:H44)</f>
        <v>-1068</v>
      </c>
      <c r="J45">
        <f>SUM(J43:J44)</f>
        <v>-651.80000000000064</v>
      </c>
      <c r="K45">
        <f>SUM(K43:K44)</f>
        <v>-642.80000000000018</v>
      </c>
      <c r="M45">
        <f>SUM(M43:M44)</f>
        <v>262.40000000000003</v>
      </c>
      <c r="N45">
        <f>SUM(N43:N44)</f>
        <v>-94</v>
      </c>
    </row>
    <row r="46" spans="1:14" ht="15" customHeight="1" x14ac:dyDescent="0.25">
      <c r="A46" s="16"/>
    </row>
    <row r="47" spans="1:14" ht="15" customHeight="1" x14ac:dyDescent="0.25">
      <c r="A47" s="16"/>
      <c r="B47" t="s">
        <v>60</v>
      </c>
      <c r="D47" s="79">
        <v>316</v>
      </c>
      <c r="E47" s="79">
        <v>484</v>
      </c>
      <c r="F47" s="161"/>
      <c r="G47" s="79">
        <v>0.4</v>
      </c>
      <c r="H47" s="79">
        <v>0.35</v>
      </c>
      <c r="J47" s="79">
        <v>41.4</v>
      </c>
      <c r="K47" s="79">
        <v>-12.4</v>
      </c>
      <c r="M47" s="79">
        <v>96.8</v>
      </c>
      <c r="N47" s="79">
        <v>12.1</v>
      </c>
    </row>
    <row r="48" spans="1:14" ht="15" customHeight="1" x14ac:dyDescent="0.25">
      <c r="A48" s="16"/>
      <c r="B48" t="s">
        <v>44</v>
      </c>
      <c r="D48">
        <f>D41*D44</f>
        <v>28.951000000000001</v>
      </c>
      <c r="E48">
        <f>E41*E44</f>
        <v>13.577999999999999</v>
      </c>
      <c r="G48">
        <f>G41*G44</f>
        <v>3.7231999999999994</v>
      </c>
      <c r="H48">
        <f>H41*H44</f>
        <v>0</v>
      </c>
      <c r="J48">
        <f t="shared" ref="J48:K48" si="1">J41*J44</f>
        <v>659.01599999999985</v>
      </c>
      <c r="K48">
        <f t="shared" si="1"/>
        <v>823.57899999999995</v>
      </c>
      <c r="M48">
        <f t="shared" ref="M48:N48" si="2">M41*M44</f>
        <v>1.98891</v>
      </c>
      <c r="N48">
        <f t="shared" si="2"/>
        <v>13.586579999999998</v>
      </c>
    </row>
    <row r="49" spans="1:14" ht="15" customHeight="1" x14ac:dyDescent="0.25">
      <c r="A49" s="16"/>
      <c r="B49" t="s">
        <v>61</v>
      </c>
      <c r="D49">
        <f>SUM(D47:D48)</f>
        <v>344.95100000000002</v>
      </c>
      <c r="E49">
        <f>SUM(E47:E48)</f>
        <v>497.57799999999997</v>
      </c>
      <c r="G49">
        <f>SUM(G47:G48)</f>
        <v>4.1231999999999998</v>
      </c>
      <c r="H49">
        <f>SUM(H47:H48)</f>
        <v>0.35</v>
      </c>
      <c r="J49">
        <f>SUM(J47:J48)</f>
        <v>700.41599999999983</v>
      </c>
      <c r="K49">
        <f>SUM(K47:K48)</f>
        <v>811.17899999999997</v>
      </c>
      <c r="M49">
        <f>SUM(M47:M48)</f>
        <v>98.788910000000001</v>
      </c>
      <c r="N49">
        <f>SUM(N47:N48)</f>
        <v>25.686579999999999</v>
      </c>
    </row>
    <row r="50" spans="1:14" ht="15" customHeight="1" x14ac:dyDescent="0.25">
      <c r="A50" s="16"/>
      <c r="B50" t="s">
        <v>62</v>
      </c>
      <c r="D50" s="59">
        <f>D49/D45</f>
        <v>0.20055290697674419</v>
      </c>
      <c r="E50" s="59">
        <f>E49/E45</f>
        <v>0.29848710257948408</v>
      </c>
      <c r="F50" s="59"/>
      <c r="G50" s="59">
        <f>G49/G45</f>
        <v>-4.4885695623775304E-3</v>
      </c>
      <c r="H50" s="59">
        <f>H49/H45</f>
        <v>-3.2771535580524341E-4</v>
      </c>
      <c r="J50" s="59">
        <f>J49/J45</f>
        <v>-1.0745872967167829</v>
      </c>
      <c r="K50" s="59">
        <f>K49/K45</f>
        <v>-1.2619461729931545</v>
      </c>
      <c r="M50" s="59">
        <f>M49/M45</f>
        <v>0.37648212652439023</v>
      </c>
      <c r="N50" s="59">
        <f>N49/N45</f>
        <v>-0.27326148936170214</v>
      </c>
    </row>
    <row r="52" spans="1:14" ht="15" customHeight="1" x14ac:dyDescent="0.25">
      <c r="A52" s="16"/>
      <c r="B52" t="s">
        <v>63</v>
      </c>
      <c r="C52" s="70"/>
      <c r="D52" s="196">
        <v>4.68</v>
      </c>
      <c r="E52" s="196">
        <v>4.25</v>
      </c>
      <c r="F52" s="162"/>
      <c r="G52" s="196">
        <v>-1.44</v>
      </c>
      <c r="H52" s="196">
        <v>-1.54</v>
      </c>
      <c r="I52" s="70"/>
      <c r="J52" s="196">
        <v>-22.01</v>
      </c>
      <c r="K52" s="196">
        <v>-25.58</v>
      </c>
      <c r="L52" s="70"/>
      <c r="M52" s="196">
        <v>1.24</v>
      </c>
      <c r="N52" s="196">
        <v>-1.25</v>
      </c>
    </row>
    <row r="53" spans="1:14" ht="15" customHeight="1" x14ac:dyDescent="0.25">
      <c r="A53" s="16"/>
    </row>
    <row r="54" spans="1:14" ht="15" customHeight="1" x14ac:dyDescent="0.25">
      <c r="A54" s="16" t="s">
        <v>64</v>
      </c>
    </row>
    <row r="55" spans="1:14" ht="15" customHeight="1" x14ac:dyDescent="0.25">
      <c r="A55" s="16"/>
      <c r="B55" t="s">
        <v>65</v>
      </c>
      <c r="D55" s="79">
        <v>565</v>
      </c>
      <c r="E55" s="79">
        <v>679</v>
      </c>
      <c r="F55" s="161"/>
      <c r="G55" s="79">
        <v>614.79999999999995</v>
      </c>
      <c r="H55" s="79">
        <v>900.6</v>
      </c>
      <c r="J55" s="79">
        <v>679.7</v>
      </c>
      <c r="K55" s="79">
        <v>771.1</v>
      </c>
      <c r="M55" s="79">
        <v>746.2</v>
      </c>
      <c r="N55" s="79">
        <v>409.8</v>
      </c>
    </row>
    <row r="56" spans="1:14" ht="15" customHeight="1" x14ac:dyDescent="0.25">
      <c r="A56" s="16"/>
      <c r="B56" t="s">
        <v>66</v>
      </c>
      <c r="D56" s="52"/>
      <c r="E56" s="52"/>
      <c r="F56" s="52"/>
      <c r="G56" s="79">
        <v>75.400000000000006</v>
      </c>
      <c r="H56" s="79">
        <v>109.3</v>
      </c>
      <c r="J56" s="79">
        <v>378.6</v>
      </c>
      <c r="K56" s="79">
        <v>402.8</v>
      </c>
      <c r="M56" s="52"/>
      <c r="N56" s="52"/>
    </row>
    <row r="57" spans="1:14" ht="15" customHeight="1" x14ac:dyDescent="0.25">
      <c r="A57" s="16"/>
      <c r="B57" t="s">
        <v>67</v>
      </c>
      <c r="D57" s="52"/>
      <c r="E57" s="52"/>
      <c r="F57" s="52"/>
      <c r="G57" s="79">
        <v>628.20000000000005</v>
      </c>
      <c r="H57" s="79">
        <v>832.9</v>
      </c>
      <c r="J57" s="79"/>
      <c r="K57" s="79"/>
      <c r="M57" s="52"/>
      <c r="N57" s="52"/>
    </row>
    <row r="58" spans="1:14" ht="15" customHeight="1" x14ac:dyDescent="0.25">
      <c r="A58" s="16"/>
      <c r="B58" t="s">
        <v>68</v>
      </c>
      <c r="D58" s="1"/>
      <c r="E58" s="52"/>
      <c r="F58" s="1"/>
      <c r="G58" s="1"/>
      <c r="H58" s="1"/>
      <c r="J58" s="1"/>
      <c r="K58" s="1"/>
      <c r="M58" s="79">
        <v>8.8000000000000007</v>
      </c>
      <c r="N58" s="79">
        <v>8.5</v>
      </c>
    </row>
    <row r="59" spans="1:14" ht="15" customHeight="1" x14ac:dyDescent="0.25">
      <c r="A59" s="16"/>
      <c r="B59" t="s">
        <v>69</v>
      </c>
      <c r="D59" s="79">
        <v>420</v>
      </c>
      <c r="E59" s="79">
        <v>349</v>
      </c>
      <c r="F59" s="79"/>
      <c r="G59" s="79"/>
      <c r="H59" s="79"/>
      <c r="J59" s="79">
        <f>88.3+85</f>
        <v>173.3</v>
      </c>
      <c r="K59" s="79">
        <f>80.8+80.8</f>
        <v>161.6</v>
      </c>
      <c r="M59" s="52"/>
      <c r="N59" s="52"/>
    </row>
    <row r="60" spans="1:14" ht="15" customHeight="1" x14ac:dyDescent="0.25">
      <c r="A60" s="16"/>
      <c r="B60" t="s">
        <v>70</v>
      </c>
      <c r="D60" s="1"/>
      <c r="E60" s="52"/>
      <c r="F60" s="1"/>
      <c r="G60" s="1"/>
      <c r="H60" s="1"/>
      <c r="J60" s="1"/>
      <c r="K60" s="1"/>
      <c r="M60" s="79">
        <v>247</v>
      </c>
      <c r="N60" s="79">
        <v>193.4</v>
      </c>
    </row>
    <row r="61" spans="1:14" ht="15" customHeight="1" x14ac:dyDescent="0.25">
      <c r="A61" s="16"/>
      <c r="B61" t="s">
        <v>71</v>
      </c>
      <c r="D61" s="1"/>
      <c r="E61" s="52"/>
      <c r="F61" s="1"/>
      <c r="G61" s="1"/>
      <c r="H61" s="1"/>
      <c r="J61" s="1"/>
      <c r="K61" s="1"/>
      <c r="M61" s="79">
        <v>85.3</v>
      </c>
      <c r="N61" s="79">
        <v>64.900000000000006</v>
      </c>
    </row>
    <row r="62" spans="1:14" ht="15" customHeight="1" x14ac:dyDescent="0.25">
      <c r="A62" s="16"/>
      <c r="B62" t="s">
        <v>72</v>
      </c>
      <c r="D62" s="1"/>
      <c r="E62" s="52"/>
      <c r="F62" s="1"/>
      <c r="G62" s="79"/>
      <c r="H62" s="79"/>
      <c r="J62" s="79">
        <v>252.1</v>
      </c>
      <c r="K62" s="79">
        <v>14.9</v>
      </c>
      <c r="M62" s="1"/>
      <c r="N62" s="1"/>
    </row>
    <row r="63" spans="1:14" ht="15" customHeight="1" x14ac:dyDescent="0.25">
      <c r="A63" s="16"/>
      <c r="B63" t="s">
        <v>73</v>
      </c>
      <c r="D63">
        <f>SUM(D55:D62)</f>
        <v>985</v>
      </c>
      <c r="E63">
        <f>SUM(E55:E62)</f>
        <v>1028</v>
      </c>
      <c r="G63">
        <f>SUM(G55:G62)</f>
        <v>1318.4</v>
      </c>
      <c r="H63">
        <f>SUM(H55:H62)</f>
        <v>1842.8</v>
      </c>
      <c r="J63">
        <f>SUM(J55:J62)</f>
        <v>1483.7</v>
      </c>
      <c r="K63">
        <f>SUM(K55:K62)</f>
        <v>1350.4</v>
      </c>
      <c r="M63">
        <f>SUM(M55:M62)</f>
        <v>1087.3</v>
      </c>
      <c r="N63">
        <f>SUM(N55:N62)</f>
        <v>676.6</v>
      </c>
    </row>
    <row r="64" spans="1:14" ht="15" customHeight="1" x14ac:dyDescent="0.25">
      <c r="A64" s="16"/>
    </row>
    <row r="65" spans="1:14" ht="15" customHeight="1" x14ac:dyDescent="0.25">
      <c r="A65" s="16"/>
      <c r="B65" t="s">
        <v>74</v>
      </c>
      <c r="D65" s="79">
        <v>110</v>
      </c>
      <c r="E65" s="79">
        <v>105</v>
      </c>
      <c r="F65" s="161"/>
      <c r="G65" s="79">
        <v>42.9</v>
      </c>
      <c r="H65" s="79">
        <v>64.900000000000006</v>
      </c>
      <c r="J65" s="79">
        <v>195.9</v>
      </c>
      <c r="K65" s="79">
        <v>194.7</v>
      </c>
      <c r="M65" s="79">
        <v>157.1</v>
      </c>
      <c r="N65" s="79">
        <v>177.7</v>
      </c>
    </row>
    <row r="66" spans="1:14" ht="15" customHeight="1" x14ac:dyDescent="0.25">
      <c r="A66" s="16"/>
      <c r="B66" t="s">
        <v>75</v>
      </c>
      <c r="D66" s="79">
        <f>1276-D65</f>
        <v>1166</v>
      </c>
      <c r="E66" s="79">
        <f>1359-E65</f>
        <v>1254</v>
      </c>
      <c r="F66" s="161"/>
      <c r="G66" s="79">
        <f>275.8</f>
        <v>275.8</v>
      </c>
      <c r="H66" s="79">
        <f>396.5-14.7</f>
        <v>381.8</v>
      </c>
      <c r="J66" s="79">
        <v>1062.5999999999999</v>
      </c>
      <c r="K66" s="79">
        <v>1127.5999999999999</v>
      </c>
      <c r="M66" s="52"/>
      <c r="N66" s="52"/>
    </row>
    <row r="67" spans="1:14" ht="15" customHeight="1" x14ac:dyDescent="0.25">
      <c r="A67" s="16"/>
      <c r="B67" t="s">
        <v>76</v>
      </c>
      <c r="D67" s="79"/>
      <c r="E67" s="79"/>
      <c r="F67" s="52"/>
      <c r="G67" s="79">
        <v>339.6</v>
      </c>
      <c r="H67" s="79">
        <v>496</v>
      </c>
      <c r="J67" s="52"/>
      <c r="K67" s="52"/>
      <c r="M67" s="52"/>
      <c r="N67" s="52"/>
    </row>
    <row r="68" spans="1:14" ht="15" customHeight="1" x14ac:dyDescent="0.25">
      <c r="A68" s="16"/>
      <c r="B68" t="s">
        <v>77</v>
      </c>
      <c r="D68" s="79">
        <v>1814</v>
      </c>
      <c r="E68" s="79">
        <v>1700</v>
      </c>
      <c r="F68" s="161"/>
      <c r="G68" s="79">
        <v>3005</v>
      </c>
      <c r="H68" s="79">
        <v>4169</v>
      </c>
      <c r="J68" s="79">
        <v>1059.5</v>
      </c>
      <c r="K68" s="79">
        <v>1083.5</v>
      </c>
      <c r="M68" s="52"/>
      <c r="N68" s="52"/>
    </row>
    <row r="69" spans="1:14" ht="15" customHeight="1" x14ac:dyDescent="0.25">
      <c r="A69" s="16"/>
      <c r="B69" t="s">
        <v>78</v>
      </c>
      <c r="D69" s="52"/>
      <c r="E69" s="52"/>
      <c r="F69" s="52"/>
      <c r="G69" s="52"/>
      <c r="H69" s="52"/>
      <c r="J69" s="52"/>
      <c r="K69" s="52"/>
      <c r="M69" s="79">
        <v>450.2</v>
      </c>
      <c r="N69" s="79">
        <v>452.2</v>
      </c>
    </row>
    <row r="70" spans="1:14" ht="15" customHeight="1" x14ac:dyDescent="0.25">
      <c r="A70" s="16"/>
      <c r="B70" t="s">
        <v>79</v>
      </c>
      <c r="D70" s="52"/>
      <c r="E70" s="52"/>
      <c r="F70" s="52"/>
      <c r="G70" s="52"/>
      <c r="H70" s="52"/>
      <c r="J70" s="52"/>
      <c r="K70" s="52"/>
      <c r="M70" s="79">
        <v>22.8</v>
      </c>
      <c r="N70" s="79">
        <v>28.3</v>
      </c>
    </row>
    <row r="71" spans="1:14" ht="15" customHeight="1" x14ac:dyDescent="0.25">
      <c r="A71" s="16"/>
      <c r="B71" t="s">
        <v>80</v>
      </c>
      <c r="D71" s="52"/>
      <c r="E71" s="52"/>
      <c r="F71" s="52"/>
      <c r="G71" s="52"/>
      <c r="H71" s="52"/>
      <c r="J71" s="52"/>
      <c r="K71" s="52"/>
      <c r="M71" s="52"/>
      <c r="N71" s="52"/>
    </row>
    <row r="72" spans="1:14" ht="15" customHeight="1" x14ac:dyDescent="0.25">
      <c r="A72" s="16"/>
      <c r="B72" t="s">
        <v>81</v>
      </c>
      <c r="D72">
        <f>SUM(D65:D71)</f>
        <v>3090</v>
      </c>
      <c r="E72">
        <f>SUM(E65:E71)</f>
        <v>3059</v>
      </c>
      <c r="G72">
        <f>SUM(G65:G71)</f>
        <v>3663.3</v>
      </c>
      <c r="H72">
        <f>SUM(H65:H71)</f>
        <v>5111.7</v>
      </c>
      <c r="J72">
        <f>SUM(J65:J71)</f>
        <v>2318</v>
      </c>
      <c r="K72">
        <f>SUM(K65:K71)</f>
        <v>2405.8000000000002</v>
      </c>
      <c r="M72">
        <f>SUM(M65:M71)</f>
        <v>630.09999999999991</v>
      </c>
      <c r="N72">
        <f>SUM(N65:N71)</f>
        <v>658.19999999999993</v>
      </c>
    </row>
    <row r="73" spans="1:14" ht="15" customHeight="1" x14ac:dyDescent="0.25">
      <c r="A73" s="16"/>
    </row>
    <row r="74" spans="1:14" ht="15" customHeight="1" x14ac:dyDescent="0.25">
      <c r="A74" s="16"/>
      <c r="B74" t="s">
        <v>82</v>
      </c>
      <c r="D74">
        <f>D63-D72</f>
        <v>-2105</v>
      </c>
      <c r="E74">
        <f>E63-E72</f>
        <v>-2031</v>
      </c>
      <c r="G74">
        <f>G63-G72</f>
        <v>-2344.9</v>
      </c>
      <c r="H74">
        <f>H63-H72</f>
        <v>-3268.8999999999996</v>
      </c>
      <c r="J74">
        <f>J63-J72</f>
        <v>-834.3</v>
      </c>
      <c r="K74">
        <f>K63-K72</f>
        <v>-1055.4000000000001</v>
      </c>
      <c r="M74">
        <f>M63-M72</f>
        <v>457.20000000000005</v>
      </c>
      <c r="N74">
        <f>N63-N72</f>
        <v>18.400000000000091</v>
      </c>
    </row>
    <row r="75" spans="1:14" ht="15" customHeight="1" x14ac:dyDescent="0.25">
      <c r="A75" s="16"/>
    </row>
    <row r="76" spans="1:14" ht="15" customHeight="1" x14ac:dyDescent="0.25">
      <c r="A76" s="16"/>
      <c r="B76" t="s">
        <v>83</v>
      </c>
      <c r="D76" s="79">
        <v>578</v>
      </c>
      <c r="E76" s="79">
        <v>586</v>
      </c>
      <c r="F76" s="161"/>
      <c r="G76" s="79">
        <v>659</v>
      </c>
      <c r="H76" s="79">
        <v>884.8</v>
      </c>
      <c r="J76" s="79">
        <v>411.1</v>
      </c>
      <c r="K76" s="79">
        <v>443.8</v>
      </c>
      <c r="M76" s="79">
        <v>164.3</v>
      </c>
      <c r="N76" s="79">
        <v>145.6</v>
      </c>
    </row>
    <row r="77" spans="1:14" ht="15" customHeight="1" x14ac:dyDescent="0.25">
      <c r="A77" s="16"/>
      <c r="B77" t="s">
        <v>84</v>
      </c>
      <c r="D77" s="79">
        <v>400</v>
      </c>
      <c r="E77" s="79">
        <v>293</v>
      </c>
      <c r="G77" s="79">
        <v>34.200000000000003</v>
      </c>
      <c r="H77" s="79">
        <v>18.2</v>
      </c>
      <c r="J77" s="79">
        <f>1446.5+3060.6</f>
        <v>4507.1000000000004</v>
      </c>
      <c r="K77" s="79">
        <f>1892.6+2336</f>
        <v>4228.6000000000004</v>
      </c>
      <c r="M77" s="79">
        <v>2075.4</v>
      </c>
      <c r="N77" s="79">
        <v>2266.3000000000002</v>
      </c>
    </row>
    <row r="78" spans="1:14" ht="15" customHeight="1" x14ac:dyDescent="0.25">
      <c r="A78" s="16"/>
      <c r="B78" t="s">
        <v>85</v>
      </c>
      <c r="D78" s="79">
        <v>199</v>
      </c>
      <c r="E78" s="79">
        <v>221</v>
      </c>
      <c r="F78" s="161"/>
      <c r="G78" s="161">
        <f>179.646+1.37</f>
        <v>181.01599999999999</v>
      </c>
      <c r="H78" s="79">
        <f>441+2.5</f>
        <v>443.5</v>
      </c>
      <c r="J78" s="79">
        <f>141.7+603.4</f>
        <v>745.09999999999991</v>
      </c>
      <c r="K78" s="79">
        <f>169.4+691.6</f>
        <v>861</v>
      </c>
      <c r="M78" s="79">
        <f>887+116.2</f>
        <v>1003.2</v>
      </c>
      <c r="N78" s="79">
        <f>796.9+41.9</f>
        <v>838.8</v>
      </c>
    </row>
    <row r="79" spans="1:14" ht="15" customHeight="1" x14ac:dyDescent="0.25">
      <c r="A79" s="16"/>
      <c r="D79" s="79"/>
      <c r="E79" s="79"/>
      <c r="F79" s="161"/>
      <c r="G79" s="161"/>
      <c r="H79" s="161"/>
      <c r="J79" s="79"/>
      <c r="K79" s="79"/>
      <c r="M79" s="79"/>
      <c r="N79" s="79"/>
    </row>
    <row r="80" spans="1:14" ht="15" customHeight="1" x14ac:dyDescent="0.25">
      <c r="A80" s="16"/>
      <c r="B80" t="s">
        <v>86</v>
      </c>
      <c r="D80" s="79"/>
      <c r="E80" s="79"/>
      <c r="F80" s="52"/>
      <c r="G80" s="52"/>
      <c r="H80" s="79">
        <v>14.7</v>
      </c>
      <c r="J80" s="79">
        <v>24.6</v>
      </c>
      <c r="K80" s="79">
        <v>1148.5</v>
      </c>
      <c r="M80" s="79">
        <v>427.4</v>
      </c>
      <c r="N80" s="79">
        <v>332</v>
      </c>
    </row>
    <row r="81" spans="1:14" ht="15" customHeight="1" x14ac:dyDescent="0.25">
      <c r="A81" s="16"/>
      <c r="B81" t="s">
        <v>87</v>
      </c>
      <c r="D81" s="52"/>
      <c r="E81" s="79">
        <v>400</v>
      </c>
      <c r="F81" s="52"/>
      <c r="G81" s="52"/>
      <c r="H81" s="52"/>
      <c r="J81" s="52"/>
      <c r="K81" s="52"/>
      <c r="M81" s="79"/>
      <c r="N81" s="79"/>
    </row>
    <row r="82" spans="1:14" ht="15" customHeight="1" x14ac:dyDescent="0.25">
      <c r="A82" s="16"/>
      <c r="B82" t="s">
        <v>88</v>
      </c>
      <c r="D82" s="79">
        <v>1882</v>
      </c>
      <c r="E82" s="79">
        <v>1484</v>
      </c>
      <c r="F82" s="161"/>
      <c r="G82" s="79">
        <v>1006.4</v>
      </c>
      <c r="H82" s="79">
        <v>993.1</v>
      </c>
      <c r="J82" s="79">
        <v>3058.3</v>
      </c>
      <c r="K82" s="79">
        <v>2512.6</v>
      </c>
      <c r="M82" s="79">
        <v>2082.4</v>
      </c>
      <c r="N82" s="79">
        <v>1834.3</v>
      </c>
    </row>
    <row r="83" spans="1:14" ht="15" customHeight="1" x14ac:dyDescent="0.25">
      <c r="A83" s="16"/>
      <c r="B83" t="s">
        <v>89</v>
      </c>
      <c r="D83" s="52"/>
      <c r="E83" s="52"/>
      <c r="F83" s="52"/>
      <c r="G83" s="52"/>
      <c r="H83" s="52"/>
      <c r="M83" s="52"/>
      <c r="N83" s="52"/>
    </row>
    <row r="84" spans="1:14" ht="15" customHeight="1" x14ac:dyDescent="0.25">
      <c r="A84" s="16"/>
      <c r="B84" t="s">
        <v>90</v>
      </c>
      <c r="D84" s="52"/>
      <c r="E84" s="52"/>
      <c r="F84" s="52"/>
      <c r="G84" s="52"/>
      <c r="H84" s="52"/>
      <c r="J84" s="52"/>
      <c r="K84" s="52"/>
      <c r="M84" s="52"/>
      <c r="N84" s="52"/>
    </row>
    <row r="85" spans="1:14" ht="15" customHeight="1" x14ac:dyDescent="0.25">
      <c r="A85" s="16"/>
      <c r="B85" t="s">
        <v>91</v>
      </c>
      <c r="D85" s="52"/>
      <c r="E85" s="52"/>
      <c r="F85" s="52"/>
      <c r="G85" s="52"/>
      <c r="H85" s="52"/>
      <c r="J85" s="52"/>
      <c r="K85" s="52"/>
      <c r="M85" s="52"/>
      <c r="N85" s="52"/>
    </row>
    <row r="86" spans="1:14" ht="15" customHeight="1" x14ac:dyDescent="0.25">
      <c r="A86" s="16"/>
      <c r="B86" t="s">
        <v>92</v>
      </c>
      <c r="D86">
        <f>SUM(D80:D85)</f>
        <v>1882</v>
      </c>
      <c r="E86">
        <f>SUM(E80:E85)</f>
        <v>1884</v>
      </c>
      <c r="G86">
        <f>SUM(G80:G85)</f>
        <v>1006.4</v>
      </c>
      <c r="H86">
        <f>SUM(H80:H85)</f>
        <v>1007.8000000000001</v>
      </c>
      <c r="J86">
        <f>SUM(J80:J85)</f>
        <v>3082.9</v>
      </c>
      <c r="K86">
        <f>SUM(K80:K85)</f>
        <v>3661.1</v>
      </c>
      <c r="M86">
        <f>SUM(M80:M85)</f>
        <v>2509.8000000000002</v>
      </c>
      <c r="N86">
        <f>SUM(N80:N85)</f>
        <v>2166.3000000000002</v>
      </c>
    </row>
    <row r="87" spans="1:14" ht="15" customHeight="1" x14ac:dyDescent="0.25">
      <c r="A87" s="16"/>
    </row>
    <row r="88" spans="1:14" ht="15" customHeight="1" x14ac:dyDescent="0.25">
      <c r="A88" s="16"/>
      <c r="B88" t="s">
        <v>93</v>
      </c>
      <c r="D88" s="79">
        <v>2900</v>
      </c>
      <c r="E88" s="79">
        <v>2136</v>
      </c>
      <c r="F88" s="161"/>
      <c r="G88" s="79">
        <v>711.7</v>
      </c>
      <c r="H88" s="79">
        <v>1205.3</v>
      </c>
      <c r="J88" s="79">
        <v>754</v>
      </c>
      <c r="K88" s="79">
        <v>1456.1</v>
      </c>
      <c r="M88" s="79">
        <v>1205.2</v>
      </c>
      <c r="N88" s="79">
        <v>990</v>
      </c>
    </row>
    <row r="89" spans="1:14" ht="15" customHeight="1" x14ac:dyDescent="0.25">
      <c r="A89" s="16"/>
      <c r="B89" t="s">
        <v>94</v>
      </c>
      <c r="D89" s="79">
        <v>362</v>
      </c>
      <c r="E89" s="79">
        <v>112</v>
      </c>
      <c r="F89" s="161"/>
      <c r="G89" s="79">
        <v>1697.9</v>
      </c>
      <c r="H89" s="79">
        <v>1849.8</v>
      </c>
      <c r="J89" s="79">
        <v>22</v>
      </c>
      <c r="K89" s="79">
        <v>9.4</v>
      </c>
      <c r="M89" s="79">
        <v>0.7</v>
      </c>
      <c r="N89" s="79">
        <v>0.1</v>
      </c>
    </row>
    <row r="90" spans="1:14" ht="15" customHeight="1" x14ac:dyDescent="0.25">
      <c r="A90" s="16"/>
      <c r="B90" t="s">
        <v>95</v>
      </c>
      <c r="D90">
        <f>SUM(D88:D89)</f>
        <v>3262</v>
      </c>
      <c r="E90">
        <f>SUM(E88:E89)</f>
        <v>2248</v>
      </c>
      <c r="G90">
        <f>SUM(G88:G89)</f>
        <v>2409.6000000000004</v>
      </c>
      <c r="H90">
        <f>SUM(H88:H89)</f>
        <v>3055.1</v>
      </c>
      <c r="J90">
        <f>SUM(J88:J89)</f>
        <v>776</v>
      </c>
      <c r="K90">
        <f>SUM(K88:K89)</f>
        <v>1465.5</v>
      </c>
      <c r="M90">
        <f>SUM(M88:M89)</f>
        <v>1205.9000000000001</v>
      </c>
      <c r="N90">
        <f>SUM(N88:N89)</f>
        <v>990.1</v>
      </c>
    </row>
    <row r="91" spans="1:14" ht="15" customHeight="1" x14ac:dyDescent="0.25">
      <c r="A91" s="16"/>
      <c r="B91" t="s">
        <v>96</v>
      </c>
      <c r="D91">
        <f>D86-D90</f>
        <v>-1380</v>
      </c>
      <c r="E91">
        <f>E86-E90</f>
        <v>-364</v>
      </c>
      <c r="G91">
        <f>G86-G90</f>
        <v>-1403.2000000000003</v>
      </c>
      <c r="H91">
        <f>H86-H90</f>
        <v>-2047.2999999999997</v>
      </c>
      <c r="J91">
        <f>J86-J90</f>
        <v>2306.9</v>
      </c>
      <c r="K91">
        <f>K86-K90</f>
        <v>2195.6</v>
      </c>
      <c r="M91">
        <f>M86-M90</f>
        <v>1303.9000000000001</v>
      </c>
      <c r="N91">
        <f>N86-N90</f>
        <v>1176.2000000000003</v>
      </c>
    </row>
    <row r="92" spans="1:14" ht="15" customHeight="1" x14ac:dyDescent="0.25">
      <c r="A92" s="16"/>
    </row>
    <row r="93" spans="1:14" ht="15" customHeight="1" x14ac:dyDescent="0.25">
      <c r="A93" s="16"/>
      <c r="B93" t="s">
        <v>97</v>
      </c>
      <c r="D93" s="79">
        <v>7513</v>
      </c>
      <c r="E93" s="79">
        <v>6386</v>
      </c>
      <c r="F93" s="161"/>
      <c r="G93" s="79">
        <v>208.7</v>
      </c>
      <c r="H93" s="79">
        <v>375</v>
      </c>
      <c r="J93" s="79">
        <v>5667.9</v>
      </c>
      <c r="K93" s="79">
        <v>2137.6999999999998</v>
      </c>
      <c r="M93" s="79">
        <v>1879.3</v>
      </c>
      <c r="N93" s="79">
        <v>1797.9</v>
      </c>
    </row>
    <row r="94" spans="1:14" ht="15" customHeight="1" x14ac:dyDescent="0.25">
      <c r="A94" s="16"/>
      <c r="G94" s="79"/>
    </row>
    <row r="95" spans="1:14" ht="15" customHeight="1" x14ac:dyDescent="0.25">
      <c r="A95" s="16" t="s">
        <v>98</v>
      </c>
    </row>
    <row r="96" spans="1:14" ht="15" customHeight="1" x14ac:dyDescent="0.25">
      <c r="A96" s="16"/>
      <c r="B96" t="s">
        <v>99</v>
      </c>
      <c r="E96" s="59">
        <f>E14/D14-1</f>
        <v>-1.3091774662787659E-2</v>
      </c>
      <c r="F96" s="59"/>
      <c r="H96" s="59">
        <f>H14/G14-1</f>
        <v>0.35774000903392289</v>
      </c>
      <c r="K96" s="59">
        <f>K14/J14-1</f>
        <v>5.3088081351876815E-2</v>
      </c>
      <c r="N96" s="59">
        <f>N14/M14-1</f>
        <v>-0.17458385849015601</v>
      </c>
    </row>
    <row r="97" spans="1:14" ht="15" customHeight="1" x14ac:dyDescent="0.25">
      <c r="A97" s="16"/>
      <c r="B97" t="s">
        <v>100</v>
      </c>
      <c r="E97" s="59">
        <f>E16/D16-1</f>
        <v>-1.0094212651413192E-2</v>
      </c>
      <c r="F97" s="59"/>
      <c r="H97" s="59">
        <f>H16/G16-1</f>
        <v>0.5530182990588659</v>
      </c>
      <c r="K97" s="59">
        <f>K16/J16-1</f>
        <v>5.9066191636977239E-2</v>
      </c>
      <c r="N97" s="59">
        <f>N16/M16-1</f>
        <v>-0.20461790298957527</v>
      </c>
    </row>
    <row r="98" spans="1:14" ht="15" customHeight="1" x14ac:dyDescent="0.25">
      <c r="A98" s="16"/>
      <c r="B98" t="s">
        <v>101</v>
      </c>
      <c r="D98" s="59">
        <f>D20/D14</f>
        <v>0.77611742925152072</v>
      </c>
      <c r="E98" s="59">
        <f>E20/E14</f>
        <v>0.79324668363928719</v>
      </c>
      <c r="F98" s="59"/>
      <c r="G98" s="59">
        <f>G20/G14</f>
        <v>0.77756672096089396</v>
      </c>
      <c r="H98" s="59">
        <f>H20/H14</f>
        <v>0.78074045235393719</v>
      </c>
      <c r="J98" s="59">
        <f>J20/J14</f>
        <v>0.52512337371018392</v>
      </c>
      <c r="K98" s="59">
        <f>K20/K14</f>
        <v>0.56787844362397044</v>
      </c>
      <c r="M98" s="59">
        <f>M20/M14</f>
        <v>0.91125211873614664</v>
      </c>
      <c r="N98" s="59">
        <f>N20/N14</f>
        <v>0.89327085088458291</v>
      </c>
    </row>
    <row r="99" spans="1:14" ht="15" customHeight="1" x14ac:dyDescent="0.25">
      <c r="A99" s="16"/>
      <c r="B99" t="s">
        <v>102</v>
      </c>
      <c r="D99" s="59">
        <f>D30/D14</f>
        <v>0.21806400423168473</v>
      </c>
      <c r="E99" s="59">
        <f>E30/E14</f>
        <v>0.21197909687793112</v>
      </c>
      <c r="F99" s="59"/>
      <c r="G99" s="59">
        <f>G30/G14</f>
        <v>-0.2902340629970358</v>
      </c>
      <c r="H99" s="59">
        <f>H30/H14</f>
        <v>-0.25198428561526093</v>
      </c>
      <c r="J99" s="59">
        <f>J30/J14</f>
        <v>-0.10595184686705544</v>
      </c>
      <c r="K99" s="59">
        <f>K30/K14</f>
        <v>-9.9953848338540291E-2</v>
      </c>
      <c r="M99" s="59">
        <f>M30/M14</f>
        <v>0.13964101003954973</v>
      </c>
      <c r="N99" s="59">
        <f>N30/N14</f>
        <v>-1.5796124684077501E-2</v>
      </c>
    </row>
    <row r="100" spans="1:14" ht="15" customHeight="1" x14ac:dyDescent="0.25">
      <c r="A100" s="16"/>
      <c r="B100" t="s">
        <v>103</v>
      </c>
      <c r="D100" s="59">
        <f>D33/D14</f>
        <v>0.25800052896059245</v>
      </c>
      <c r="E100" s="59">
        <f>E33/E14</f>
        <v>0.25204341417660459</v>
      </c>
      <c r="F100" s="59"/>
      <c r="G100" s="59">
        <f>G33/G14</f>
        <v>-0.22736945440270473</v>
      </c>
      <c r="H100" s="59">
        <f>H33/H14</f>
        <v>-0.20580952943748057</v>
      </c>
      <c r="J100" s="59">
        <f>J33/J14</f>
        <v>0.11677508598773742</v>
      </c>
      <c r="K100" s="59">
        <f>K33/K14</f>
        <v>0.11216628798636739</v>
      </c>
      <c r="M100" s="59">
        <f>M33/M14</f>
        <v>0.47681342083532524</v>
      </c>
      <c r="N100" s="59">
        <f>N33/N14</f>
        <v>0.34962089300758215</v>
      </c>
    </row>
    <row r="101" spans="1:14" ht="15" customHeight="1" x14ac:dyDescent="0.25">
      <c r="A101" s="16"/>
      <c r="B101" t="s">
        <v>104</v>
      </c>
      <c r="D101">
        <f>D30*(1-D50)</f>
        <v>1318.2882563953488</v>
      </c>
      <c r="E101">
        <f>E30*(1-E50)</f>
        <v>1109.7934037192563</v>
      </c>
      <c r="G101">
        <f>G30*(1-G50)</f>
        <v>-1050.1094269261919</v>
      </c>
      <c r="H101">
        <f>H30*(1-H50)</f>
        <v>-1232.7458573970039</v>
      </c>
      <c r="J101">
        <f>J30*(1-J50)</f>
        <v>-1175.8760797790721</v>
      </c>
      <c r="K101">
        <f>K30*(1-K50)</f>
        <v>-1273.7018900124467</v>
      </c>
      <c r="M101">
        <f>M30*(1-M50)</f>
        <v>200.3362927477134</v>
      </c>
      <c r="N101">
        <f>N30*(1-N50)</f>
        <v>-38.197844680851048</v>
      </c>
    </row>
    <row r="102" spans="1:14" ht="15" customHeight="1" x14ac:dyDescent="0.25">
      <c r="A102" s="16"/>
      <c r="B102" t="s">
        <v>105</v>
      </c>
      <c r="D102">
        <f>D93+D91</f>
        <v>6133</v>
      </c>
      <c r="E102">
        <f>E93+E91</f>
        <v>6022</v>
      </c>
      <c r="G102">
        <f>G93+G91</f>
        <v>-1194.5000000000002</v>
      </c>
      <c r="H102">
        <f>H93+H91</f>
        <v>-1672.2999999999997</v>
      </c>
      <c r="J102">
        <f>J93+J91</f>
        <v>7974.7999999999993</v>
      </c>
      <c r="K102">
        <f>K93+K91</f>
        <v>4333.2999999999993</v>
      </c>
      <c r="M102">
        <f>M93+M91</f>
        <v>3183.2</v>
      </c>
      <c r="N102">
        <f>N93+N91</f>
        <v>2974.1000000000004</v>
      </c>
    </row>
    <row r="103" spans="1:14" ht="15" customHeight="1" x14ac:dyDescent="0.25">
      <c r="A103" s="16"/>
      <c r="B103" t="s">
        <v>106</v>
      </c>
      <c r="D103" s="59"/>
      <c r="E103" s="59">
        <f>E101/D102</f>
        <v>0.18095441117222505</v>
      </c>
      <c r="F103" s="59"/>
      <c r="G103" s="59"/>
      <c r="H103" s="59">
        <f>H101/G102</f>
        <v>1.0320182983650092</v>
      </c>
      <c r="J103" s="59"/>
      <c r="K103" s="59">
        <f>K101/J102</f>
        <v>-0.15971584115118206</v>
      </c>
      <c r="M103" s="59"/>
      <c r="N103" s="59">
        <f>N101/M102</f>
        <v>-1.1999825546887111E-2</v>
      </c>
    </row>
    <row r="104" spans="1:14" ht="15" customHeight="1" x14ac:dyDescent="0.25">
      <c r="A104" s="16"/>
    </row>
    <row r="105" spans="1:14" ht="15" customHeight="1" x14ac:dyDescent="0.25">
      <c r="A105" s="16" t="s">
        <v>107</v>
      </c>
    </row>
    <row r="106" spans="1:14" ht="15" customHeight="1" x14ac:dyDescent="0.25">
      <c r="A106" s="16"/>
      <c r="B106" t="s">
        <v>108</v>
      </c>
      <c r="D106">
        <f>D55/D14*365</f>
        <v>27.271224543771488</v>
      </c>
      <c r="E106">
        <f>E55/E14*365</f>
        <v>33.208495243199785</v>
      </c>
      <c r="G106">
        <f>G55/G14*365</f>
        <v>62.299641391579456</v>
      </c>
      <c r="H106">
        <f>H55/H14*365</f>
        <v>67.215125657620163</v>
      </c>
      <c r="J106">
        <f>J55/J14*365</f>
        <v>46.375523403618956</v>
      </c>
      <c r="K106">
        <f>K55/K14*365</f>
        <v>49.95943978983243</v>
      </c>
      <c r="M106">
        <f>M55/M14*365</f>
        <v>118.37237602677214</v>
      </c>
      <c r="N106">
        <f>N55/N14*365</f>
        <v>78.757898062342036</v>
      </c>
    </row>
    <row r="107" spans="1:14" ht="15" customHeight="1" x14ac:dyDescent="0.25">
      <c r="A107" s="16"/>
      <c r="B107" t="s">
        <v>109</v>
      </c>
      <c r="D107">
        <f>D58/(D14-D20)*365</f>
        <v>0</v>
      </c>
      <c r="E107">
        <f>E58/(E14-E20)*365</f>
        <v>0</v>
      </c>
      <c r="G107">
        <f>G58/(G14-G20)*365</f>
        <v>0</v>
      </c>
      <c r="H107">
        <f>H58/(H14-H20)*365</f>
        <v>0</v>
      </c>
      <c r="J107">
        <f>J58/(J14-J20)*365</f>
        <v>0</v>
      </c>
      <c r="K107">
        <f>K58/(K14-K20)*365</f>
        <v>0</v>
      </c>
      <c r="M107">
        <f>M58/(M14-M20)*365</f>
        <v>15.729676787463253</v>
      </c>
      <c r="N107">
        <f>N58/(N14-N20)*365</f>
        <v>15.305870744943263</v>
      </c>
    </row>
    <row r="108" spans="1:14" ht="15" customHeight="1" x14ac:dyDescent="0.25">
      <c r="A108" s="16"/>
      <c r="B108" t="s">
        <v>110</v>
      </c>
      <c r="D108">
        <f>D65/(D14-D20)*365</f>
        <v>23.715298287064382</v>
      </c>
      <c r="E108">
        <f>E65/(E14-E20)*365</f>
        <v>24.83797796500324</v>
      </c>
      <c r="G108">
        <f>G65/(G14-G20)*365</f>
        <v>19.543809286070886</v>
      </c>
      <c r="H108">
        <f>H65/(H14-H20)*365</f>
        <v>22.091299076750907</v>
      </c>
      <c r="J108">
        <f>J65/(J14-J20)*365</f>
        <v>28.146551724137932</v>
      </c>
      <c r="K108">
        <f>K65/(K14-K20)*365</f>
        <v>29.192203417679913</v>
      </c>
      <c r="M108">
        <f>M65/(M14-M20)*365</f>
        <v>280.81047992164508</v>
      </c>
      <c r="N108">
        <f>N65/(N14-N20)*365</f>
        <v>319.98273310310793</v>
      </c>
    </row>
    <row r="109" spans="1:14" ht="15" customHeight="1" x14ac:dyDescent="0.25">
      <c r="A109" s="16"/>
      <c r="B109" t="s">
        <v>111</v>
      </c>
      <c r="D109" s="59">
        <f>D74/D14</f>
        <v>-0.27836551176937319</v>
      </c>
      <c r="E109" s="59">
        <f>E74/E14</f>
        <v>-0.27214257001205949</v>
      </c>
      <c r="F109" s="59"/>
      <c r="G109" s="59">
        <f>G74/G14</f>
        <v>-0.65100324016325473</v>
      </c>
      <c r="H109" s="59">
        <f>H74/H14</f>
        <v>-0.66841139168163244</v>
      </c>
      <c r="J109" s="59">
        <f>J74/J14</f>
        <v>-0.15595558546433377</v>
      </c>
      <c r="K109" s="59">
        <f>K74/K14</f>
        <v>-0.18734024424879295</v>
      </c>
      <c r="M109" s="59">
        <f>M74/M14</f>
        <v>0.19870485462210441</v>
      </c>
      <c r="N109" s="59">
        <f>N74/N14</f>
        <v>9.6882898062342522E-3</v>
      </c>
    </row>
    <row r="110" spans="1:14" ht="15" customHeight="1" x14ac:dyDescent="0.25">
      <c r="A110" s="16"/>
      <c r="B110" t="s">
        <v>112</v>
      </c>
      <c r="D110" s="59">
        <f>(D76+D77)/D14</f>
        <v>0.12933086485056863</v>
      </c>
      <c r="E110" s="59">
        <f>(E76+E77)/E14</f>
        <v>0.11778105319576578</v>
      </c>
      <c r="F110" s="59"/>
      <c r="G110" s="59">
        <f>(G76+G77)/G14</f>
        <v>0.192449761644918</v>
      </c>
      <c r="H110" s="59">
        <f>(H76+H77)/H14</f>
        <v>0.18464177144865679</v>
      </c>
      <c r="J110" s="59">
        <f>(J76+J77)/J14</f>
        <v>0.91935845670704364</v>
      </c>
      <c r="K110" s="59">
        <f>(K76+K77)/K14</f>
        <v>0.82938085771087766</v>
      </c>
      <c r="M110" s="59">
        <f>(M76+M77)/M14</f>
        <v>0.97340171237341921</v>
      </c>
      <c r="N110" s="59">
        <f>(N76+N77)/N14</f>
        <v>1.2699557708508846</v>
      </c>
    </row>
    <row r="111" spans="1:14" ht="15" customHeight="1" x14ac:dyDescent="0.25">
      <c r="A111" s="16"/>
      <c r="B111" t="s">
        <v>113</v>
      </c>
      <c r="D111" s="59">
        <f>D78/D14</f>
        <v>2.6315789473684209E-2</v>
      </c>
      <c r="E111" s="59">
        <f>E78/E14</f>
        <v>2.9612756264236904E-2</v>
      </c>
      <c r="F111" s="59"/>
      <c r="G111" s="59">
        <f>G78/G14</f>
        <v>5.0254596153947596E-2</v>
      </c>
      <c r="H111" s="59">
        <f>H78/H14</f>
        <v>9.0685078225336974E-2</v>
      </c>
      <c r="J111" s="59">
        <f>J78/J14</f>
        <v>0.13928144160311048</v>
      </c>
      <c r="K111" s="59">
        <f>K78/K14</f>
        <v>0.15283300198807157</v>
      </c>
      <c r="M111" s="59">
        <f>M78/M14</f>
        <v>0.4360033030553262</v>
      </c>
      <c r="N111" s="59">
        <f>N78/N14</f>
        <v>0.44165964616680703</v>
      </c>
    </row>
    <row r="112" spans="1:14" ht="15" customHeight="1" x14ac:dyDescent="0.25">
      <c r="A112" s="16"/>
      <c r="B112" t="s">
        <v>114</v>
      </c>
      <c r="D112" s="60">
        <f>D78/(D31+D32)</f>
        <v>0.65894039735099341</v>
      </c>
      <c r="E112" s="60">
        <f>E78/(E31+E32)</f>
        <v>0.73913043478260865</v>
      </c>
      <c r="F112" s="60"/>
      <c r="G112" s="60">
        <f>G78/(G31+G32)</f>
        <v>0.79940999041676042</v>
      </c>
      <c r="H112" s="60">
        <f>H78/(H31+H32)</f>
        <v>1.9639535913559474</v>
      </c>
      <c r="J112" s="60">
        <f>J78/(J31+J32)</f>
        <v>0.62534620226605109</v>
      </c>
      <c r="K112" s="60">
        <f>K78/(K31+K32)</f>
        <v>0.72050209205020921</v>
      </c>
      <c r="M112" s="60">
        <f>M78/(M31+M32)</f>
        <v>1.2931167826759475</v>
      </c>
      <c r="N112" s="60">
        <f>N78/(N31+N32)</f>
        <v>1.2086455331412103</v>
      </c>
    </row>
    <row r="113" spans="1:14" ht="15" customHeight="1" x14ac:dyDescent="0.25">
      <c r="A113" s="16"/>
      <c r="B113" t="s">
        <v>115</v>
      </c>
      <c r="D113" s="60">
        <f>D14/D102</f>
        <v>1.2330017935757378</v>
      </c>
      <c r="E113" s="60">
        <f>E14/E102</f>
        <v>1.239289272666888</v>
      </c>
      <c r="F113" s="60"/>
      <c r="G113" s="60">
        <f>G14/G102</f>
        <v>-3.0154700711594802</v>
      </c>
      <c r="H113" s="60">
        <f>H14/H102</f>
        <v>-2.9244459726125704</v>
      </c>
      <c r="J113" s="60">
        <f>J14/J102</f>
        <v>0.67081306114259931</v>
      </c>
      <c r="K113" s="60">
        <f>K14/K102</f>
        <v>1.3000715390118389</v>
      </c>
      <c r="M113" s="60">
        <f>M14/M102</f>
        <v>0.72282608695652184</v>
      </c>
      <c r="N113" s="60">
        <f>N14/N102</f>
        <v>0.63857973840825788</v>
      </c>
    </row>
    <row r="114" spans="1:14" ht="15" customHeight="1" x14ac:dyDescent="0.25">
      <c r="A114" s="16"/>
    </row>
    <row r="115" spans="1:14" ht="15" customHeight="1" x14ac:dyDescent="0.25">
      <c r="A115" s="16" t="s">
        <v>116</v>
      </c>
    </row>
    <row r="116" spans="1:14" ht="15" customHeight="1" x14ac:dyDescent="0.25">
      <c r="A116" s="16"/>
      <c r="B116" t="s">
        <v>117</v>
      </c>
      <c r="D116" s="76">
        <f>D86/D93</f>
        <v>0.25049913483295622</v>
      </c>
      <c r="E116" s="76">
        <f>E86/E93</f>
        <v>0.29502035703100532</v>
      </c>
      <c r="F116" s="76"/>
      <c r="G116" s="76">
        <f>G86/G93</f>
        <v>4.8222328701485386</v>
      </c>
      <c r="H116" s="76">
        <f>H86/H93</f>
        <v>2.6874666666666669</v>
      </c>
      <c r="J116" s="76">
        <f>J86/J93</f>
        <v>0.54392279327440507</v>
      </c>
      <c r="K116" s="76">
        <f>K86/K93</f>
        <v>1.7126350750806942</v>
      </c>
      <c r="M116" s="76">
        <f>M86/M93</f>
        <v>1.3354972596179431</v>
      </c>
      <c r="N116" s="76">
        <f>N86/N93</f>
        <v>1.2049057233439013</v>
      </c>
    </row>
    <row r="117" spans="1:14" ht="15" customHeight="1" x14ac:dyDescent="0.25">
      <c r="A117" s="16"/>
      <c r="B117" t="s">
        <v>118</v>
      </c>
      <c r="D117" s="76">
        <f>D86/(D86+D93)</f>
        <v>0.20031931878658862</v>
      </c>
      <c r="E117" s="76">
        <f>E86/(E86+E93)</f>
        <v>0.22781136638452237</v>
      </c>
      <c r="F117" s="76"/>
      <c r="G117" s="76">
        <f>G86/(G86+G93)</f>
        <v>0.82824458892272246</v>
      </c>
      <c r="H117" s="76">
        <f>H86/(H86+H93)</f>
        <v>0.72881110789702053</v>
      </c>
      <c r="J117" s="76">
        <f>J86/(J86+J93)</f>
        <v>0.35229921835717881</v>
      </c>
      <c r="K117" s="76">
        <f>K86/(K86+K93)</f>
        <v>0.63135476305442517</v>
      </c>
      <c r="M117" s="76">
        <f>M86/(M86+M93)</f>
        <v>0.57182565901893323</v>
      </c>
      <c r="N117" s="76">
        <f>N86/(N86+N93)</f>
        <v>0.54646586953231424</v>
      </c>
    </row>
    <row r="118" spans="1:14" ht="15" customHeight="1" x14ac:dyDescent="0.25">
      <c r="A118" s="16"/>
      <c r="B118" t="s">
        <v>119</v>
      </c>
      <c r="D118" s="60">
        <f>D91/D93</f>
        <v>-0.183681618527885</v>
      </c>
      <c r="E118" s="60">
        <f>E91/E93</f>
        <v>-5.6999686814907607E-2</v>
      </c>
      <c r="F118" s="60"/>
      <c r="G118" s="60">
        <f>G91/G93</f>
        <v>-6.7235265931959765</v>
      </c>
      <c r="H118" s="60">
        <f>H91/H93</f>
        <v>-5.4594666666666658</v>
      </c>
      <c r="J118" s="60">
        <f>J91/J93</f>
        <v>0.40701141516258232</v>
      </c>
      <c r="K118" s="60">
        <f>K91/K93</f>
        <v>1.0270851850119287</v>
      </c>
      <c r="M118" s="60">
        <f>M91/M93</f>
        <v>0.69382216782844686</v>
      </c>
      <c r="N118" s="60">
        <f>N91/N93</f>
        <v>0.65420768674564778</v>
      </c>
    </row>
    <row r="119" spans="1:14" ht="15" customHeight="1" x14ac:dyDescent="0.25">
      <c r="A119" s="16"/>
      <c r="B119" t="s">
        <v>120</v>
      </c>
      <c r="D119" s="60">
        <f>D91/(D91+D93)</f>
        <v>-0.22501222892548509</v>
      </c>
      <c r="E119" s="60">
        <f>E91/(E91+E93)</f>
        <v>-6.0445034872135504E-2</v>
      </c>
      <c r="F119" s="60"/>
      <c r="G119" s="60">
        <f>G91/(G91+G93)</f>
        <v>1.1747174550020929</v>
      </c>
      <c r="H119" s="60">
        <f>H91/(H91+H93)</f>
        <v>1.2242420618310113</v>
      </c>
      <c r="J119" s="60">
        <f>J91/(J91+J93)</f>
        <v>0.28927371219340925</v>
      </c>
      <c r="K119" s="60">
        <f>K91/(K91+K93)</f>
        <v>0.50668082062169717</v>
      </c>
      <c r="M119" s="60">
        <f>M91/(M91+M93)</f>
        <v>0.40961925106810759</v>
      </c>
      <c r="N119" s="60">
        <f>N91/(N91+N93)</f>
        <v>0.39548098584445718</v>
      </c>
    </row>
    <row r="120" spans="1:14" ht="15" customHeight="1" x14ac:dyDescent="0.25">
      <c r="A120" s="16"/>
      <c r="B120" t="s">
        <v>121</v>
      </c>
      <c r="D120" s="60">
        <f>D91/D33</f>
        <v>-0.70732957457713996</v>
      </c>
      <c r="E120" s="60">
        <f>E91/E33</f>
        <v>-0.19351408825093036</v>
      </c>
      <c r="F120" s="60"/>
      <c r="G120" s="60">
        <f>G91/G33</f>
        <v>1.7133507533761514</v>
      </c>
      <c r="H120" s="60">
        <f>H91/H33</f>
        <v>2.0340340300559743</v>
      </c>
      <c r="J120" s="60">
        <f>J91/J33</f>
        <v>3.6928125500240108</v>
      </c>
      <c r="K120" s="60">
        <f>K91/K33</f>
        <v>3.4746004114575122</v>
      </c>
      <c r="M120" s="60">
        <f>M91/M33</f>
        <v>1.1884969464953059</v>
      </c>
      <c r="N120" s="60">
        <f>N91/N33</f>
        <v>1.7713855421686751</v>
      </c>
    </row>
    <row r="121" spans="1:14" ht="15" customHeight="1" x14ac:dyDescent="0.25">
      <c r="A121" s="16"/>
      <c r="B121" t="s">
        <v>122</v>
      </c>
      <c r="D121" s="60">
        <f>D33/D37</f>
        <v>33.637931034482762</v>
      </c>
      <c r="E121" s="60">
        <f>E33/E37</f>
        <v>32.431034482758619</v>
      </c>
      <c r="F121" s="60"/>
      <c r="G121" s="60">
        <f>G33/G37</f>
        <v>-20.423441396508725</v>
      </c>
      <c r="H121" s="60">
        <f>H33/H37</f>
        <v>-25.037860696517416</v>
      </c>
      <c r="J121" s="60">
        <f>J33/J37</f>
        <v>5.5088183421516774</v>
      </c>
      <c r="K121" s="60">
        <f>K33/K37</f>
        <v>4.3044959128065354</v>
      </c>
      <c r="M121" s="60">
        <f>M33/M37</f>
        <v>14.66711229946524</v>
      </c>
      <c r="N121" s="60">
        <f>N33/N37</f>
        <v>6.2464722483537161</v>
      </c>
    </row>
    <row r="122" spans="1:14" ht="15" customHeight="1" x14ac:dyDescent="0.25">
      <c r="A122" s="14"/>
    </row>
    <row r="123" spans="1:14" ht="15" customHeight="1" outlineLevel="1" x14ac:dyDescent="0.25">
      <c r="A123" s="16" t="s">
        <v>123</v>
      </c>
    </row>
    <row r="124" spans="1:14" ht="15" customHeight="1" outlineLevel="1" x14ac:dyDescent="0.25">
      <c r="A124" s="16"/>
      <c r="B124" t="s">
        <v>124</v>
      </c>
      <c r="D124" s="79">
        <v>80</v>
      </c>
      <c r="E124" s="79">
        <v>121</v>
      </c>
      <c r="F124" s="161"/>
      <c r="G124" s="79">
        <v>174.2</v>
      </c>
      <c r="H124" s="79">
        <v>178.7</v>
      </c>
      <c r="J124" s="79">
        <v>80.5</v>
      </c>
      <c r="K124" s="79">
        <f>84.9-3.9</f>
        <v>81</v>
      </c>
      <c r="M124" s="52"/>
      <c r="N124" s="52"/>
    </row>
    <row r="125" spans="1:14" ht="15" customHeight="1" outlineLevel="1" x14ac:dyDescent="0.25">
      <c r="A125" s="16"/>
      <c r="B125" t="s">
        <v>125</v>
      </c>
      <c r="D125" s="161"/>
      <c r="E125" s="161"/>
      <c r="F125" s="161"/>
      <c r="G125" s="79">
        <v>128.9</v>
      </c>
      <c r="H125" s="79">
        <v>151.6</v>
      </c>
      <c r="J125" s="79">
        <v>63.8</v>
      </c>
      <c r="K125" s="79">
        <v>61.5</v>
      </c>
      <c r="M125" s="52"/>
      <c r="N125" s="52"/>
    </row>
    <row r="126" spans="1:14" ht="15" customHeight="1" outlineLevel="1" x14ac:dyDescent="0.25">
      <c r="A126" s="16"/>
      <c r="B126" t="s">
        <v>126</v>
      </c>
      <c r="D126" s="161"/>
      <c r="E126" s="161"/>
      <c r="F126" s="161"/>
      <c r="G126" s="79">
        <v>643.4</v>
      </c>
      <c r="H126" s="79">
        <v>670.1</v>
      </c>
      <c r="J126" s="79">
        <v>387.3</v>
      </c>
      <c r="K126" s="79">
        <v>383.3</v>
      </c>
      <c r="M126" s="52"/>
      <c r="N126" s="52"/>
    </row>
    <row r="127" spans="1:14" ht="15" customHeight="1" outlineLevel="1" x14ac:dyDescent="0.25">
      <c r="A127" s="16"/>
      <c r="B127" t="s">
        <v>127</v>
      </c>
      <c r="D127" s="79">
        <v>314</v>
      </c>
      <c r="E127" s="79">
        <v>334</v>
      </c>
      <c r="F127" s="161"/>
      <c r="G127">
        <f>SUM(G125:G126)</f>
        <v>772.3</v>
      </c>
      <c r="H127">
        <f>SUM(H125:H126)</f>
        <v>821.7</v>
      </c>
      <c r="J127">
        <f>SUM(J125:J126)</f>
        <v>451.1</v>
      </c>
      <c r="K127">
        <f>SUM(K125:K126)</f>
        <v>444.8</v>
      </c>
      <c r="M127" s="52"/>
      <c r="N127" s="52"/>
    </row>
    <row r="128" spans="1:14" ht="15" customHeight="1" outlineLevel="1" x14ac:dyDescent="0.25">
      <c r="A128" s="16"/>
      <c r="B128" t="s">
        <v>128</v>
      </c>
      <c r="D128" s="61">
        <v>0.33300000000000002</v>
      </c>
      <c r="E128" s="61">
        <v>0.33300000000000002</v>
      </c>
      <c r="G128" s="61">
        <v>0.33300000000000002</v>
      </c>
      <c r="H128" s="61">
        <v>0.33300000000000002</v>
      </c>
      <c r="J128" s="61">
        <v>0.33300000000000002</v>
      </c>
      <c r="K128" s="61">
        <v>0.33300000000000002</v>
      </c>
      <c r="M128" s="61">
        <v>0.33300000000000002</v>
      </c>
      <c r="N128" s="61">
        <v>0.33300000000000002</v>
      </c>
    </row>
    <row r="129" spans="1:14" ht="15" customHeight="1" outlineLevel="1" x14ac:dyDescent="0.25">
      <c r="A129" s="16"/>
    </row>
    <row r="130" spans="1:14" ht="15" customHeight="1" outlineLevel="1" x14ac:dyDescent="0.25">
      <c r="A130" s="16" t="s">
        <v>129</v>
      </c>
    </row>
    <row r="131" spans="1:14" ht="15" customHeight="1" outlineLevel="1" x14ac:dyDescent="0.25">
      <c r="A131" s="16"/>
      <c r="B131" t="s">
        <v>130</v>
      </c>
      <c r="D131">
        <f>D33+D124</f>
        <v>2031</v>
      </c>
      <c r="E131">
        <f>E33+E124</f>
        <v>2002</v>
      </c>
      <c r="G131">
        <f>G33+G124</f>
        <v>-644.78</v>
      </c>
      <c r="H131">
        <f>H33+H124</f>
        <v>-827.82200000000012</v>
      </c>
      <c r="J131">
        <f>J33+J124</f>
        <v>705.20000000000016</v>
      </c>
      <c r="K131">
        <f>K33+K124</f>
        <v>712.89999999999941</v>
      </c>
      <c r="M131">
        <f>M33+M124</f>
        <v>1097.0999999999999</v>
      </c>
      <c r="N131">
        <f>N33+N124</f>
        <v>664</v>
      </c>
    </row>
    <row r="132" spans="1:14" ht="15" customHeight="1" outlineLevel="1" x14ac:dyDescent="0.25">
      <c r="A132" s="16"/>
      <c r="B132" t="s">
        <v>131</v>
      </c>
      <c r="D132" s="59">
        <f>D131/D14</f>
        <v>0.26857974080930969</v>
      </c>
      <c r="E132" s="59">
        <f>E131/E14</f>
        <v>0.26825673321720489</v>
      </c>
      <c r="F132" s="59"/>
      <c r="G132" s="59">
        <f>G131/G14</f>
        <v>-0.17900715134652367</v>
      </c>
      <c r="H132" s="59">
        <f>H131/H14</f>
        <v>-0.16926967942875967</v>
      </c>
      <c r="J132" s="59">
        <f>J131/J14</f>
        <v>0.13182294003289968</v>
      </c>
      <c r="K132" s="59">
        <f>K131/K14</f>
        <v>0.12654430559500129</v>
      </c>
      <c r="M132" s="59">
        <f>M131/M14</f>
        <v>0.47681342083532524</v>
      </c>
      <c r="N132" s="59">
        <f>N131/N14</f>
        <v>0.34962089300758215</v>
      </c>
    </row>
    <row r="133" spans="1:14" ht="15" customHeight="1" outlineLevel="1" x14ac:dyDescent="0.25">
      <c r="A133" s="16"/>
      <c r="B133" t="s">
        <v>132</v>
      </c>
      <c r="D133">
        <f>D91+D127</f>
        <v>-1066</v>
      </c>
      <c r="E133">
        <f>E91+E127</f>
        <v>-30</v>
      </c>
      <c r="G133">
        <f>G91+G127</f>
        <v>-630.90000000000032</v>
      </c>
      <c r="H133">
        <f>H91+H127</f>
        <v>-1225.5999999999997</v>
      </c>
      <c r="J133">
        <f>J91+J127</f>
        <v>2758</v>
      </c>
      <c r="K133">
        <f>K91+K127</f>
        <v>2640.4</v>
      </c>
      <c r="M133">
        <f>M91+M127</f>
        <v>1303.9000000000001</v>
      </c>
      <c r="N133">
        <f>N91+N127</f>
        <v>1176.2000000000003</v>
      </c>
    </row>
    <row r="134" spans="1:14" ht="15" customHeight="1" outlineLevel="1" x14ac:dyDescent="0.25">
      <c r="A134" s="16"/>
      <c r="B134" t="s">
        <v>133</v>
      </c>
      <c r="D134" s="60">
        <f>D133/D131</f>
        <v>-0.52486459871984248</v>
      </c>
      <c r="E134" s="60">
        <f>E133/E131</f>
        <v>-1.4985014985014986E-2</v>
      </c>
      <c r="F134" s="60"/>
      <c r="G134" s="60">
        <f>G133/G131</f>
        <v>0.97847327770712544</v>
      </c>
      <c r="H134" s="60">
        <f>H133/H131</f>
        <v>1.4805115109286773</v>
      </c>
      <c r="J134" s="60">
        <f>J133/J131</f>
        <v>3.9109472490073731</v>
      </c>
      <c r="K134" s="60">
        <f>K133/K131</f>
        <v>3.7037452658156855</v>
      </c>
      <c r="M134" s="60">
        <f>M133/M131</f>
        <v>1.1884969464953059</v>
      </c>
      <c r="N134" s="60">
        <f>N133/N131</f>
        <v>1.7713855421686751</v>
      </c>
    </row>
    <row r="135" spans="1:14" ht="15" customHeight="1" outlineLevel="1" x14ac:dyDescent="0.25">
      <c r="A135" s="16"/>
    </row>
    <row r="136" spans="1:14" ht="15" customHeight="1" outlineLevel="1" x14ac:dyDescent="0.25">
      <c r="A136" s="16"/>
      <c r="B136" t="s">
        <v>134</v>
      </c>
      <c r="D136">
        <f>D93+D133</f>
        <v>6447</v>
      </c>
      <c r="G136">
        <f>G93+G133</f>
        <v>-422.20000000000033</v>
      </c>
      <c r="J136">
        <f>J93+J133</f>
        <v>8425.9</v>
      </c>
      <c r="M136">
        <f>M93+M133</f>
        <v>3183.2</v>
      </c>
    </row>
    <row r="137" spans="1:14" ht="15" customHeight="1" outlineLevel="1" x14ac:dyDescent="0.25">
      <c r="A137" s="16"/>
      <c r="B137" t="s">
        <v>135</v>
      </c>
      <c r="E137">
        <f>(E30+(E124*E128))*(1-E50)</f>
        <v>1138.0594628950209</v>
      </c>
      <c r="H137">
        <f>(H30+(H124*H128))*(1-H50)</f>
        <v>-1173.2192560065544</v>
      </c>
      <c r="K137">
        <f>(K30+(K124*K128))*(1-K50)</f>
        <v>-1212.6904158883024</v>
      </c>
      <c r="N137">
        <f>(N30+(N124*N128))*(1-N50)</f>
        <v>-38.197844680851048</v>
      </c>
    </row>
    <row r="138" spans="1:14" ht="15" customHeight="1" outlineLevel="1" x14ac:dyDescent="0.25">
      <c r="A138" s="16"/>
      <c r="B138" t="s">
        <v>136</v>
      </c>
      <c r="E138" s="59">
        <f>E137/D136</f>
        <v>0.17652543243291779</v>
      </c>
      <c r="F138" s="59"/>
      <c r="H138" s="59">
        <f>H137/G136</f>
        <v>2.7788234391438973</v>
      </c>
      <c r="K138" s="59">
        <f>K137/J136</f>
        <v>-0.14392414055332992</v>
      </c>
      <c r="N138" s="59">
        <f>N137/M136</f>
        <v>-1.1999825546887111E-2</v>
      </c>
    </row>
    <row r="139" spans="1:14" ht="15" customHeight="1" x14ac:dyDescent="0.25">
      <c r="A139" s="16"/>
    </row>
    <row r="140" spans="1:14" ht="15" customHeight="1" x14ac:dyDescent="0.25">
      <c r="A140" s="69"/>
      <c r="G140" s="59"/>
      <c r="H140" s="59"/>
    </row>
    <row r="141" spans="1:14" ht="15" customHeight="1" x14ac:dyDescent="0.25">
      <c r="A141" s="69" t="s">
        <v>137</v>
      </c>
    </row>
    <row r="142" spans="1:14" ht="15" customHeight="1" x14ac:dyDescent="0.25">
      <c r="A142" s="69"/>
    </row>
    <row r="143" spans="1:14" ht="15.75" customHeight="1" x14ac:dyDescent="0.25"/>
    <row r="144" spans="1:14" ht="15.75" customHeight="1" x14ac:dyDescent="0.25"/>
    <row r="145" spans="1:1" ht="15.75" customHeight="1" x14ac:dyDescent="0.25"/>
    <row r="146" spans="1:1" ht="15.75" customHeight="1" x14ac:dyDescent="0.25"/>
    <row r="147" spans="1:1" ht="15.75" customHeight="1" x14ac:dyDescent="0.25">
      <c r="A147" s="73"/>
    </row>
  </sheetData>
  <dataConsolidate/>
  <phoneticPr fontId="51" type="noConversion"/>
  <hyperlinks>
    <hyperlink ref="D66" r:id="rId1" display="https://felix.fe.training/filing/document.php/?hid=69a96984a827c" xr:uid="{0289742D-5B2B-4BD6-887E-9AF151D364C9}"/>
    <hyperlink ref="E66" r:id="rId2" display="https://felix.fe.training/filing/document.php/?hid=69a969944f4bc" xr:uid="{CC15ECC8-B8A6-4D2D-BDC3-0EBEFBBC0959}"/>
    <hyperlink ref="K77" r:id="rId3" display="https://felix.fe.training/filing/document.php/?hid=69aaad12b5ff1" xr:uid="{135C8F6A-8A21-4D53-952B-A24A4FE6A381}"/>
    <hyperlink ref="M89" r:id="rId4" display="https://felix.fe.training/filing/document.php/?hid=67c196e0b5052" xr:uid="{74E055B6-FE18-47D2-9884-8C1ACE283F2C}"/>
    <hyperlink ref="N89" r:id="rId5" display="https://felix.fe.training/filing/document.php/?hid=67c196e74c22c" xr:uid="{79BB40CD-21E9-4CD9-BCF4-412016510B93}"/>
    <hyperlink ref="G127" r:id="rId6" display="https://felix.fe.training/filing/document.php/?hid=67c19f8a35516" xr:uid="{2DCB5765-97FF-44E3-99E9-173EBBB6E130}"/>
    <hyperlink ref="G15" r:id="rId7" display="https://ir.roblox.com/news/news-details/2025/Roblox-Reports-Fourth-Quarter-and-Full-Year-2024-Financial-Results/default.aspx" xr:uid="{D04E825F-6C08-4EB6-8421-D2A9A5D01429}"/>
    <hyperlink ref="G18:H18" r:id="rId8" display="https://felix.fe.training/filing/document.php/?hid=67c1a49472adc" xr:uid="{D81523A5-469A-436B-8305-17F6F08E875D}"/>
    <hyperlink ref="D23" r:id="rId9" display="https://felix.fe.training/filing/document.php/?hid=67c1d428b4652" xr:uid="{E592A66B-6567-4DF6-96B7-3CDF4D7451D8}"/>
    <hyperlink ref="E14" r:id="rId10" display="https://felix.fe.training/filing/document.php/?hid=69a95d165f73b" xr:uid="{3C90C05C-1C15-48DE-B659-40667DA9920B}"/>
    <hyperlink ref="D14" r:id="rId11" display="https://felix.fe.training/filing/document.php/?hid=69a95d2bb039a" xr:uid="{5957EE50-59FE-4FD0-A00B-74DC5AC4324C}"/>
    <hyperlink ref="D15" r:id="rId12" display="https://felix.fe.training/filing/document.php/?hid=69a95e012727b" xr:uid="{074E3FEF-DD40-4E3D-A208-F1838EF289AA}"/>
    <hyperlink ref="E15" r:id="rId13" display="https://felix.fe.training/filing/document.php/?hid=69a95e0c51f80" xr:uid="{FD640E7B-1E7A-4E15-B82B-A7E78391CA8E}"/>
    <hyperlink ref="D18" r:id="rId14" display="https://felix.fe.training/filing/document.php/?hid=69a95e25cd8ce" xr:uid="{1434680F-BB89-4C6D-8A1F-067663F686C7}"/>
    <hyperlink ref="E18" r:id="rId15" display="https://felix.fe.training/filing/document.php/?hid=69a95e2f8b518" xr:uid="{0BFB027E-1AD0-4A3F-975C-D9405A5B9128}"/>
    <hyperlink ref="D24" r:id="rId16" display="https://felix.fe.training/filing/document.php/?hid=69a95ed6313a8" xr:uid="{723E3359-14F8-45CE-ABFB-3F8C76762468}"/>
    <hyperlink ref="E24" r:id="rId17" display="https://felix.fe.training/filing/document.php/?hid=69a95ef1e412c" xr:uid="{F924D558-3C4D-492D-BD97-28AA4E345CE7}"/>
    <hyperlink ref="D22" r:id="rId18" display="https://felix.fe.training/filing/document.php/?hid=69a95f0b77754" xr:uid="{22C0E192-BE40-41AC-8E91-0D79A93DBD8B}"/>
    <hyperlink ref="E22" r:id="rId19" display="https://felix.fe.training/filing/document.php/?hid=69a95f27ac0f2" xr:uid="{47CD8E9F-C648-4F16-AE70-D11BD7BDBADA}"/>
    <hyperlink ref="E23" r:id="rId20" display="https://felix.fe.training/filing/document.php/?hid=67c1d428b4652" xr:uid="{A37C9B89-BF6E-46F0-A6BC-BD80B55D2047}"/>
    <hyperlink ref="D19" r:id="rId21" display="https://felix.fe.training/filing/document.php/?hid=69a95f855ac6f" xr:uid="{239C141F-846F-4861-BB40-4ABC09514302}"/>
    <hyperlink ref="E19" r:id="rId22" display="https://felix.fe.training/filing/document.php/?hid=69a95f99dbc4c" xr:uid="{A6AB1771-82B6-4C9A-A990-643B2C932314}"/>
    <hyperlink ref="D26" r:id="rId23" display="https://felix.fe.training/filing/document.php/?hid=69a95fc37ade4" xr:uid="{6555FE44-2C1A-4DE7-AAD5-E499663EF1D9}"/>
    <hyperlink ref="E26" r:id="rId24" display="https://felix.fe.training/filing/document.php/?hid=69a95f99dbc4c" xr:uid="{F0B49412-AE7E-4F36-ADEB-30BA310B9AF9}"/>
    <hyperlink ref="D27" r:id="rId25" display="https://felix.fe.training/filing/document.php/?hid=69a9615e8c4f3" xr:uid="{7E67EAF3-A76F-4A92-B62C-14376E54ED14}"/>
    <hyperlink ref="E27" r:id="rId26" display="https://felix.fe.training/filing/document.php/?hid=69a96171c12c4" xr:uid="{F5CC11B7-1368-438D-BF55-BAC53E34650F}"/>
    <hyperlink ref="D29" r:id="rId27" display="https://felix.fe.training/filing/document.php/?hid=69a96225d4d6c" xr:uid="{9B1BF713-56CE-4BB4-8B15-86B086CEE3FD}"/>
    <hyperlink ref="E29" r:id="rId28" display="https://felix.fe.training/filing/document.php/?hid=69a96225d4d6c" xr:uid="{74E1203D-FFDD-4336-8996-5C50C62D1792}"/>
    <hyperlink ref="D28" r:id="rId29" display="https://felix.fe.training/filing/document.php/?hid=69a96453158e9" xr:uid="{01CB114A-AA77-4847-B6AF-BD6FD078C079}"/>
    <hyperlink ref="E28" r:id="rId30" display="https://felix.fe.training/filing/document.php/?hid=69a965792691d" xr:uid="{816BCBFE-572E-4516-8B4A-41F0FF06F31C}"/>
    <hyperlink ref="E31" r:id="rId31" display="https://felix.fe.training/filing/document.php/?hid=69a9670337150" xr:uid="{D8B517D3-5E9A-4779-A1F6-9BBABF68026F}"/>
    <hyperlink ref="D31" r:id="rId32" display="https://felix.fe.training/filing/document.php/?hid=69a9671027568" xr:uid="{BF1A75B6-26E0-401C-A3B0-64D9CDE36CC3}"/>
    <hyperlink ref="D35" r:id="rId33" display="https://felix.fe.training/filing/document.php/?hid=69a96792b7f2e" xr:uid="{AC10F7FD-91F0-40BB-83F3-A97E2C03A8BC}"/>
    <hyperlink ref="E35" r:id="rId34" display="https://felix.fe.training/filing/document.php/?hid=69a967985d304" xr:uid="{B6F3479F-E6BD-4A65-8C50-89CCE2CCB6D2}"/>
    <hyperlink ref="D39" r:id="rId35" display="https://felix.fe.training/filing/document.php/?hid=69a967c2ecf28" xr:uid="{263C3E05-E127-436F-B483-F13DC50E68C1}"/>
    <hyperlink ref="E39" r:id="rId36" display="https://felix.fe.training/filing/document.php/?hid=69a967cb85cac" xr:uid="{6CA6FBCD-D475-479F-BFA1-16A9C782035F}"/>
    <hyperlink ref="D40" r:id="rId37" display="https://felix.fe.training/filing/document.php/?hid=69a967da8845e" xr:uid="{CED24F29-DEAE-40D9-8980-95493555B3C2}"/>
    <hyperlink ref="E40" r:id="rId38" display="https://felix.fe.training/filing/document.php/?hid=69a967e349edf" xr:uid="{5ECC9A7B-0E89-4CC7-B5F3-4D4D0F43F038}"/>
    <hyperlink ref="D47" r:id="rId39" display="https://felix.fe.training/filing/document.php/?hid=69a967fb42ebe" xr:uid="{A499D978-1486-4E6E-959E-1743A776D035}"/>
    <hyperlink ref="E47" r:id="rId40" display="https://felix.fe.training/filing/document.php/?hid=69a9680c5a2a7" xr:uid="{2E9475F1-D44D-4B2B-A41D-B5E868E117D7}"/>
    <hyperlink ref="D43" r:id="rId41" display="https://felix.fe.training/filing/document.php/?hid=69a96812b3858" xr:uid="{B03AA357-25A4-49D8-9AE9-BA990910F43B}"/>
    <hyperlink ref="E43" r:id="rId42" display="https://felix.fe.training/filing/document.php/?hid=69a968209818f" xr:uid="{DBFB19E1-255A-421B-A4A3-48E70E10FEBE}"/>
    <hyperlink ref="D52" r:id="rId43" display="https://felix.fe.training/filing/document.php/?hid=69a96861398a4" xr:uid="{F5290177-9CA2-408C-ABD6-DBDFB2B7DA2E}"/>
    <hyperlink ref="E52" r:id="rId44" display="https://felix.fe.training/filing/document.php/?hid=69a96869939b9" xr:uid="{D59EB7E4-8B1A-4D93-AD66-54F1C9671D2B}"/>
    <hyperlink ref="D55" r:id="rId45" display="https://felix.fe.training/filing/document.php/?hid=69a9688a2673a" xr:uid="{285C7720-AB3E-41D0-8BC3-CB851B64E30F}"/>
    <hyperlink ref="E55" r:id="rId46" display="https://felix.fe.training/filing/document.php/?hid=69a9688f03201" xr:uid="{219CC13D-6F55-4621-874D-EB1E1EDEE3B5}"/>
    <hyperlink ref="D59" r:id="rId47" display="https://felix.fe.training/filing/document.php/?hid=69a96897028d4" xr:uid="{8EE70227-3CD8-4D63-9BAC-7CF59B379169}"/>
    <hyperlink ref="E59" r:id="rId48" display="https://felix.fe.training/filing/document.php/?hid=69a9689b1d994" xr:uid="{8F6CA927-8E94-4539-A3CD-84DB305E185B}"/>
    <hyperlink ref="D65" r:id="rId49" display="https://felix.fe.training/filing/document.php/?hid=69a968fdb4484" xr:uid="{070C5B06-B9F4-449D-816F-EE5226F01735}"/>
    <hyperlink ref="E65" r:id="rId50" display="https://felix.fe.training/filing/document.php/?hid=69a9690284c84" xr:uid="{B83FA5F7-26DF-4CF3-8EC4-4239E274547A}"/>
    <hyperlink ref="D68" r:id="rId51" display="https://felix.fe.training/filing/document.php/?hid=69a9696d37715" xr:uid="{4DEA4056-50DD-4CE7-82F1-15494B2DFC76}"/>
    <hyperlink ref="E68" r:id="rId52" display="https://felix.fe.training/filing/document.php/?hid=69a96974b7cfb" xr:uid="{9B28AD80-2CCD-4A4F-9F8E-58A668DA3C76}"/>
    <hyperlink ref="D76" r:id="rId53" display="https://felix.fe.training/filing/document.php/?hid=69a969afaaff2" xr:uid="{A160D311-171A-4F6C-86E3-7D8D77A6DAE3}"/>
    <hyperlink ref="E76" r:id="rId54" display="https://felix.fe.training/filing/document.php/?hid=69a969b76d773" xr:uid="{7B3E5366-ECC2-4C49-8433-DAF38985FE76}"/>
    <hyperlink ref="D77" r:id="rId55" display="https://felix.fe.training/filing/document.php/?hid=69a969d354464" xr:uid="{629D6391-D1B3-4E41-ACA2-27D24E55A3B5}"/>
    <hyperlink ref="E77" r:id="rId56" display="https://felix.fe.training/filing/document.php/?hid=69a969d8e5e36" xr:uid="{619B3359-F544-4765-8D1A-673CEAEB28FA}"/>
    <hyperlink ref="D78" r:id="rId57" display="https://felix.fe.training/filing/document.php/?hid=69a969e46ba02" xr:uid="{5955D31B-D44B-40ED-8C93-1C490CADD9CB}"/>
    <hyperlink ref="E78" r:id="rId58" display="https://felix.fe.training/filing/document.php/?hid=69a969efee5fa" xr:uid="{BFC10374-FC23-4475-AFC8-88CBC6E4991E}"/>
    <hyperlink ref="E82" r:id="rId59" display="https://felix.fe.training/filing/document.php/?hid=69a96a1b88ec1" xr:uid="{FAA10B73-2021-4368-88AB-E9B348561976}"/>
    <hyperlink ref="D82" r:id="rId60" display="https://felix.fe.training/filing/document.php/?hid=69a96a20d9931" xr:uid="{E5E8B3EC-21F0-42EC-832F-029F908D73F1}"/>
    <hyperlink ref="E81" r:id="rId61" display="https://felix.fe.training/filing/document.php/?hid=69a96a0e61567" xr:uid="{1B0EACBB-D170-4FCB-A907-A4648ADD1819}"/>
    <hyperlink ref="D88" r:id="rId62" display="https://felix.fe.training/filing/document.php/?hid=69a96ac872514" xr:uid="{A36ABD72-1C3C-4546-869D-6404B96BA2B2}"/>
    <hyperlink ref="E88" r:id="rId63" display="https://felix.fe.training/filing/document.php/?hid=69a96acdee6b0" xr:uid="{FFDCEF5E-556C-479E-80DE-4A17C347A202}"/>
    <hyperlink ref="D89" r:id="rId64" display="https://felix.fe.training/filing/document.php/?hid=69a96ad5e8c86" xr:uid="{E22BE7BC-8F31-4194-B146-031151E02B0D}"/>
    <hyperlink ref="E89" r:id="rId65" display="https://felix.fe.training/filing/document.php/?hid=69a96adb865b7" xr:uid="{941590D1-EF40-46FD-8EF0-C32AF1387302}"/>
    <hyperlink ref="D93" r:id="rId66" display="https://felix.fe.training/filing/document.php/?hid=69a96b2fdaac7" xr:uid="{55BE185C-ADEF-4341-A088-68972D0C7493}"/>
    <hyperlink ref="E93" r:id="rId67" display="https://felix.fe.training/filing/document.php/?hid=69a96b36e49d0" xr:uid="{62A52982-670C-43DB-8689-573DF57F4621}"/>
    <hyperlink ref="D124" r:id="rId68" display="https://felix.fe.training/filing/document.php/?hid=69a96bf22d476" xr:uid="{552D4376-EB44-4AB1-BDF1-6D0D0A4F4B6A}"/>
    <hyperlink ref="E124" r:id="rId69" display="https://felix.fe.training/filing/document.php/?hid=69a96bf887546" xr:uid="{79396D4E-B300-4D46-B875-04EFF4F7580F}"/>
    <hyperlink ref="D127" r:id="rId70" display="https://felix.fe.training/filing/document.php/?hid=69a96c00850e7" xr:uid="{F5E5158E-6637-4F92-9A9D-55E0333924CA}"/>
    <hyperlink ref="E127" r:id="rId71" display="https://felix.fe.training/filing/document.php/?hid=69a96c045f6d1" xr:uid="{65ABAF19-5BAB-4F05-98B4-97079CB211AE}"/>
    <hyperlink ref="G14" r:id="rId72" display="https://felix.fe.training/filing/document.php/?hid=69a98af47c85a" xr:uid="{9F76E54C-7592-41DC-ABBD-4DDBC605ABE6}"/>
    <hyperlink ref="H14" r:id="rId73" display="https://felix.fe.training/filing/document.php/?hid=69a98b038baee" xr:uid="{BE3CD2DA-F233-42E1-86AC-8BA5F8F49EB0}"/>
    <hyperlink ref="G15:H15" r:id="rId74" display="https://felix.fe.training/filing/document.php?sec_filing=ee7a5de36caa913c6378da9ad1d566a8edf8de1e&amp;cik=0001315098" xr:uid="{F17A9ACB-038A-42CE-B631-D00D73F8116B}"/>
    <hyperlink ref="G18" r:id="rId75" display="https://felix.fe.training/filing/document.php/?hid=69a98c34f2733" xr:uid="{5931C6A8-EDCC-45CC-BAB7-D9CAF974D181}"/>
    <hyperlink ref="H18" r:id="rId76" display="https://felix.fe.training/filing/document.php/?hid=69a98c59efd5e" xr:uid="{5D7A6512-29B6-4938-AED6-F8E3345C7A95}"/>
    <hyperlink ref="G31" r:id="rId77" display="https://felix.fe.training/filing/document.php/?hid=69a98d19ec27e" xr:uid="{E3570B38-5D21-433B-B87A-CCD8C411623E}"/>
    <hyperlink ref="H31" r:id="rId78" display="https://felix.fe.training/filing/document.php/?hid=69a98d259fb85" xr:uid="{FDF5D05D-7710-4689-AB2B-9CA2EE167B1C}"/>
    <hyperlink ref="G23" r:id="rId79" display="https://felix.fe.training/filing/document.php?sec_filing=ee7a5de36caa913c6378da9ad1d566a8edf8de1e&amp;cik=0001315098" xr:uid="{B102F953-6D5A-46AC-9635-A055F764965E}"/>
    <hyperlink ref="H23" r:id="rId80" display="https://felix.fe.training/filing/document.php?sec_filing=ee7a5de36caa913c6378da9ad1d566a8edf8de1e&amp;cik=0001315098" xr:uid="{F644C839-1F6F-48E6-A94D-5B99B1B8A1D9}"/>
    <hyperlink ref="G24" r:id="rId81" display="https://felix.fe.training/filing/document.php/?hid=69a98f579a0a9" xr:uid="{93928A1E-CF1D-44A9-BDFC-185B9D6DC620}"/>
    <hyperlink ref="H24" r:id="rId82" display="https://felix.fe.training/filing/document.php/?hid=69a98f66093c5" xr:uid="{2EAAF22C-D2C3-489F-9323-F07DF593FCC0}"/>
    <hyperlink ref="G25" r:id="rId83" display="https://felix.fe.training/filing/document.php?sec_filing=ee7a5de36caa913c6378da9ad1d566a8edf8de1e&amp;cik=0001315098" xr:uid="{3F2FBC62-C2E1-4F0B-B092-C2F8BBACBA36}"/>
    <hyperlink ref="G35" r:id="rId84" display="https://felix.fe.training/filing/document.php/?hid=69a9920ac0c84" xr:uid="{9A1A73CC-5492-4CE3-AFC6-D9566AFC5FD1}"/>
    <hyperlink ref="H35" r:id="rId85" display="https://felix.fe.training/filing/document.php/?hid=69a9921a5a148" xr:uid="{B3A37506-9D71-43C2-B334-1D5479629056}"/>
    <hyperlink ref="G39" r:id="rId86" display="https://felix.fe.training/filing/document.php/?hid=69a9922d090d5" xr:uid="{6DAED13A-1082-4D25-BC2C-149D87FCF0F4}"/>
    <hyperlink ref="H39" r:id="rId87" display="https://felix.fe.training/filing/document.php/?hid=69a9923bd128c" xr:uid="{A5ECABE4-CCAE-469D-9671-B8CC32B44B0A}"/>
    <hyperlink ref="G40" r:id="rId88" display="https://felix.fe.training/filing/document.php/?hid=69a9925f1eaac" xr:uid="{A0BD9078-F956-48EC-A8D8-FCCD3375351E}"/>
    <hyperlink ref="H40" r:id="rId89" display="https://felix.fe.training/filing/document.php/?hid=69a9926a9d9e9" xr:uid="{38BF2858-F751-4545-A6E3-F53576E12B1B}"/>
    <hyperlink ref="G43" r:id="rId90" display="https://felix.fe.training/filing/document.php/?hid=69a9928414ad8" xr:uid="{AF997BD7-4418-4512-9A06-F29AB66B5A2A}"/>
    <hyperlink ref="H43" r:id="rId91" display="https://felix.fe.training/filing/document.php/?hid=69a9929047105" xr:uid="{6DF0F2F2-71C6-4975-81E3-A8D7D5AFA52C}"/>
    <hyperlink ref="G47" r:id="rId92" display="https://felix.fe.training/filing/document.php/?hid=69a992b1262bc" xr:uid="{C7639D89-C78E-4ED3-916B-AFA243CFC1C6}"/>
    <hyperlink ref="H47" r:id="rId93" display="https://felix.fe.training/filing/document.php/?hid=69a992ba8e3d0" xr:uid="{2C84FE0E-63AD-4A64-8CB6-507B421EC710}"/>
    <hyperlink ref="G52" r:id="rId94" display="https://felix.fe.training/filing/document.php/?hid=69a992e126cce" xr:uid="{FE7D0CC6-681D-499C-8CC1-224EE9A7625D}"/>
    <hyperlink ref="H52" r:id="rId95" display="https://felix.fe.training/filing/document.php/?hid=69a992e935698" xr:uid="{8EE91134-FF39-4E92-B601-937A03400503}"/>
    <hyperlink ref="G55" r:id="rId96" display="https://felix.fe.training/filing/document.php/?hid=69a993207716f" xr:uid="{79B1DFC1-26D8-433D-9A96-E951322D3BC7}"/>
    <hyperlink ref="H55" r:id="rId97" display="https://felix.fe.training/filing/document.php/?hid=69a9932fc41cc" xr:uid="{6955A571-2C66-4EC8-A577-70A073567B14}"/>
    <hyperlink ref="G56" r:id="rId98" display="https://felix.fe.training/filing/document.php/?hid=69a9933e4889d" xr:uid="{E181E828-6089-420A-B4CE-6F1F4548122A}"/>
    <hyperlink ref="H56" r:id="rId99" display="https://felix.fe.training/filing/document.php/?hid=69a99347a7044" xr:uid="{17B3FE48-994B-4857-A3DF-3BDF84C5B552}"/>
    <hyperlink ref="G57" r:id="rId100" display="https://felix.fe.training/filing/document.php/?hid=69a99351cba72" xr:uid="{7718444E-8714-4903-AFDB-228E6C26E778}"/>
    <hyperlink ref="H57" r:id="rId101" display="https://felix.fe.training/filing/document.php/?hid=69a9935bd0a1f" xr:uid="{6C5CC241-EF29-4CED-B3A8-42D3026DF36A}"/>
    <hyperlink ref="G65" r:id="rId102" display="https://felix.fe.training/filing/document.php/?hid=69a993783b8b9" xr:uid="{FECBA37E-8826-493E-8FC6-6340A413449F}"/>
    <hyperlink ref="H65" r:id="rId103" display="https://felix.fe.training/filing/document.php/?hid=69a993816ee3f" xr:uid="{E9187ADC-DF1F-417C-8375-B4C13D656544}"/>
    <hyperlink ref="G66" r:id="rId104" display="https://felix.fe.training/filing/document.php/?hid=69a9939378462" xr:uid="{9B53D9F9-20DA-44A9-A0B4-0EA4AD3C9246}"/>
    <hyperlink ref="H66" r:id="rId105" display="https://felix.fe.training/filing/document.php/?hid=69a997ae5db67" xr:uid="{CB61FA69-DA6D-4697-B148-1F25B4A9459D}"/>
    <hyperlink ref="G67" r:id="rId106" display="https://felix.fe.training/filing/document.php/?hid=69a993abaeb13" xr:uid="{81696DBD-0180-4900-960C-867BF1376AF1}"/>
    <hyperlink ref="H67" r:id="rId107" display="https://felix.fe.training/filing/document.php/?hid=69a993b4d756b" xr:uid="{18A735DA-DE2D-4798-9727-B82866049C63}"/>
    <hyperlink ref="G68" r:id="rId108" display="https://felix.fe.training/filing/document.php/?hid=69a993fe67142" xr:uid="{4B89BC26-6DB5-49DB-9648-57F37A35BCD2}"/>
    <hyperlink ref="H68" r:id="rId109" display="https://felix.fe.training/filing/document.php/?hid=69a9941c48564" xr:uid="{A2912F4E-63A5-4EF8-8F1D-6D8979518AFF}"/>
    <hyperlink ref="G76" r:id="rId110" display="https://felix.fe.training/filing/document.php/?hid=69a9946052d7b" xr:uid="{CB615298-93CE-4F55-99A2-C5992875A68D}"/>
    <hyperlink ref="H76" r:id="rId111" display="https://felix.fe.training/filing/document.php/?hid=69a9947910a1d" xr:uid="{8F2B62DF-6620-41BE-A042-0D15F51AB2CA}"/>
    <hyperlink ref="G77" r:id="rId112" display="https://felix.fe.training/filing/document.php/?hid=69a994894a78b" xr:uid="{F759EE86-3866-4685-BFBF-796B471B92E2}"/>
    <hyperlink ref="H77" r:id="rId113" display="https://felix.fe.training/filing/document.php/?hid=69a99492cdd34" xr:uid="{B52BC438-C599-4122-8BAF-DEE6307612E8}"/>
    <hyperlink ref="G78" r:id="rId114" display="https://felix.fe.training/filing/document.php/?hid=69a994a417529" xr:uid="{E42B0AB2-7653-4B81-99D4-6718501DC056}"/>
    <hyperlink ref="H78" r:id="rId115" display="https://felix.fe.training/filing/document.php/?hid=69a994c48e987" xr:uid="{A53A80D8-ED8E-4BC1-8429-F97B584B525E}"/>
    <hyperlink ref="G82" r:id="rId116" display="https://felix.fe.training/filing/document.php/?hid=69a994f706d19" xr:uid="{BCF0CB3D-8D89-48B6-96FA-4B3D7DFDD1AC}"/>
    <hyperlink ref="H82" r:id="rId117" display="https://felix.fe.training/filing/document.php/?hid=69a994ffad8c5" xr:uid="{929E1BE0-93E2-4F0D-95B8-0DBF408A4696}"/>
    <hyperlink ref="G88" r:id="rId118" display="https://felix.fe.training/filing/document.php/?hid=69a9950bb69ca" xr:uid="{A837B37B-5CBB-48D3-90D6-F2BDCA178EE4}"/>
    <hyperlink ref="H88" r:id="rId119" display="https://felix.fe.training/filing/document.php/?hid=69a99513694dd" xr:uid="{60D9D168-94FF-4B78-9413-3FF15C7DE154}"/>
    <hyperlink ref="G89" r:id="rId120" display="https://felix.fe.training/filing/document.php/?hid=69a9951e99c93" xr:uid="{7000032B-333F-41E2-93BB-02897D8F2C2C}"/>
    <hyperlink ref="H89" r:id="rId121" display="https://felix.fe.training/filing/document.php/?hid=69a99529852fa" xr:uid="{B536278A-B960-46D4-B666-0F15166CC5D5}"/>
    <hyperlink ref="G93" r:id="rId122" display="https://felix.fe.training/filing/document.php/?hid=69a995603976f" xr:uid="{C49417E6-8F46-45E1-973B-E7BFAD5D10B4}"/>
    <hyperlink ref="H93" r:id="rId123" display="https://felix.fe.training/filing/document.php/?hid=69a995732daf0" xr:uid="{076DE8E5-0844-4694-9942-9F17B57E43D9}"/>
    <hyperlink ref="G124" r:id="rId124" display="https://felix.fe.training/filing/document.php/?hid=69a995dd390bb" xr:uid="{E9388DE5-E15C-4F08-A1D1-BD98A95DE8D5}"/>
    <hyperlink ref="H124" r:id="rId125" display="https://felix.fe.training/filing/document.php/?hid=69a995ea323ca" xr:uid="{FBC0D187-BC02-45A1-BDD6-D8E31269D440}"/>
    <hyperlink ref="H80" r:id="rId126" display="https://felix.fe.training/filing/document.php/?hid=69a997bceacdc" xr:uid="{B9577504-F83A-4DC7-B231-5C2FA33C47B1}"/>
    <hyperlink ref="G126" r:id="rId127" display="https://felix.fe.training/filing/document.php/?hid=69a9981182088" xr:uid="{FEB81DD0-0DE0-4E95-B11D-FD723E5E00A1}"/>
    <hyperlink ref="H126" r:id="rId128" display="https://felix.fe.training/filing/document.php/?hid=69a9981da6a3c" xr:uid="{581329CA-A826-4771-988A-6BE6BB10FED9}"/>
    <hyperlink ref="G125" r:id="rId129" display="https://felix.fe.training/filing/document.php/?hid=69a99858d26cf" xr:uid="{D4371FF2-6FD0-4829-BBA8-A725DA909BD7}"/>
    <hyperlink ref="H125" r:id="rId130" display="https://felix.fe.training/filing/document.php/?hid=69a998635f17e" xr:uid="{04D07C76-A9F1-49E3-B0CC-72B0E104661F}"/>
    <hyperlink ref="H127" r:id="rId131" display="https://felix.fe.training/filing/document.php/?hid=67c19f8a35516" xr:uid="{2B917520-7BCA-4C30-AADB-E7A07DB9C4C0}"/>
    <hyperlink ref="J14" r:id="rId132" display="https://felix.fe.training/filing/document.php/?hid=69a9b2f6cf246" xr:uid="{CD203562-7364-4152-A0C9-3BF9EBABEE06}"/>
    <hyperlink ref="K14" r:id="rId133" display="https://felix.fe.training/filing/document.php/?hid=69a9b2fec58d4" xr:uid="{1323838A-6DA4-4F2E-911F-95398062C272}"/>
    <hyperlink ref="J16" r:id="rId134" display="https://felix.fe.training/filing/document.php/?hid=69a9b357916fa" xr:uid="{34356B33-4DC0-4CEA-9F60-BE7C372FE9F5}"/>
    <hyperlink ref="K16" r:id="rId135" display="https://felix.fe.training/filing/document.php/?hid=69a9b35f4b3d0" xr:uid="{0067F2B8-AD72-421B-95FA-9F9AF2B9D15A}"/>
    <hyperlink ref="J18" r:id="rId136" display="https://felix.fe.training/filing/document.php/?hid=69a9b3731851f" xr:uid="{2DD1DFDA-C619-4B5D-8739-D7D577CE9EB7}"/>
    <hyperlink ref="K18" r:id="rId137" display="https://felix.fe.training/filing/document.php/?hid=69a9b379bdf43" xr:uid="{7157F675-9F75-4836-9821-ECCE58723899}"/>
    <hyperlink ref="J26" r:id="rId138" display="https://felix.fe.training/filing/document.php/?hid=67c0912e41e8a" xr:uid="{021B1289-028B-4271-8CCA-0FB17EC35C29}"/>
    <hyperlink ref="J27" r:id="rId139" display="https://felix.fe.training/filing/document.php/?hid=67c09214b092f" xr:uid="{A7D5C9B2-22C2-4A77-A4D7-F7E21639A8A0}"/>
    <hyperlink ref="J29" r:id="rId140" display="https://felix.fe.training/filing/document.php/?hid=67c09397241eb" xr:uid="{F8723252-10EE-42C4-A85E-A900D2F6165E}"/>
    <hyperlink ref="J19" r:id="rId141" display="https://felix.fe.training/filing/document.php/?hid=67c091407848b" xr:uid="{863883F6-905B-4CFB-9E81-079E912E2C25}"/>
    <hyperlink ref="K26" r:id="rId142" display="https://felix.fe.training/filing/document.php/?hid=69a9b46e84535" xr:uid="{41606DB3-5134-4F17-8CF5-584B981AB970}"/>
    <hyperlink ref="K19" r:id="rId143" display="https://felix.fe.training/filing/document.php/?hid=69a9b48f94059" xr:uid="{00C48B43-E523-42F2-843C-E880DE4DAADA}"/>
    <hyperlink ref="J23" r:id="rId144" display="https://felix.fe.training/filing/document.php/?hid=67c1d8862ad72" xr:uid="{07256C27-9656-4695-A3BF-389895A52A47}"/>
    <hyperlink ref="J31" r:id="rId145" display="https://felix.fe.training/filing/document.php/?hid=69a9b6e47441b" xr:uid="{FB9F5758-C675-4DAC-A1C9-33D381C71066}"/>
    <hyperlink ref="K31" r:id="rId146" display="https://felix.fe.training/filing/document.php/?hid=69a9b6e47441b" xr:uid="{31ADD05E-2F6C-4153-92AA-AEA6B5B1582A}"/>
    <hyperlink ref="K29" r:id="rId147" display="https://felix.fe.training/filing/document.php/?hid=69a9b60632692" xr:uid="{1370AFDB-992E-4C27-97E3-DBD78C66F187}"/>
    <hyperlink ref="K27" r:id="rId148" display="https://felix.fe.training/filing/document.php/?hid=69aa9efdb0b05" xr:uid="{9A5101AE-A7FE-41C4-82B5-E6A58C212F31}"/>
    <hyperlink ref="J28" r:id="rId149" display="https://felix.fe.training/filing/document.php/?hid=67c08f0960630" xr:uid="{A525FD99-D683-4A8A-A391-86289791C2A4}"/>
    <hyperlink ref="K28" r:id="rId150" display="https://felix.fe.training/filing/document.php/?hid=69aa9f3f0d8c3" xr:uid="{A7ED3476-6750-42FE-913E-3CE5CAF9C019}"/>
    <hyperlink ref="J24" r:id="rId151" display="https://felix.fe.training/filing/document.php/?hid=69aaa30b234d1" xr:uid="{4D9D6097-2310-4DB4-9FC9-7BAD5CB1675D}"/>
    <hyperlink ref="K24" r:id="rId152" display="https://felix.fe.training/filing/document.php/?hid=69aaa31114a9f" xr:uid="{50A99816-3B62-4B7A-8522-020BEA769B2B}"/>
    <hyperlink ref="K23" r:id="rId153" display="https://felix.fe.training/filing/document.php/?hid=69a9b4e537825" xr:uid="{72F05202-2FAE-4F19-A2BB-404FBCCB7481}"/>
    <hyperlink ref="J35" r:id="rId154" display="https://felix.fe.training/filing/document.php/?hid=69aaa736dadc6" xr:uid="{39452E86-5D2F-4DC7-8BA2-2AED5C312B25}"/>
    <hyperlink ref="K35" r:id="rId155" display="https://felix.fe.training/filing/document.php/?hid=69aaa73cb0cbe" xr:uid="{9C0A9C2F-E6CC-416C-B53F-0DE939C950B7}"/>
    <hyperlink ref="J36" r:id="rId156" display="https://felix.fe.training/filing/document.php/?hid=69aaa93f070bd" xr:uid="{E0D0A72C-03C9-472B-9CAF-EB525E80D932}"/>
    <hyperlink ref="K36" r:id="rId157" display="https://felix.fe.training/filing/document.php/?hid=69aaa98347efc" xr:uid="{9E894963-6915-4129-9F63-2FE2ACC5A05D}"/>
    <hyperlink ref="J39" r:id="rId158" display="https://felix.fe.training/filing/document.php/?hid=69aaaa52e093a" xr:uid="{557F4C62-AC99-400B-8CD1-41FE00079B89}"/>
    <hyperlink ref="K39" r:id="rId159" display="https://felix.fe.training/filing/document.php/?hid=69aaaa52e093a" xr:uid="{7E4F16A1-AE2C-4FDA-A1FE-B2641A85198B}"/>
    <hyperlink ref="J40" r:id="rId160" display="https://felix.fe.training/filing/document.php/?hid=69aaaa6c8e10e" xr:uid="{F9E76C62-C500-4601-B2D0-7DAC64F3A35F}"/>
    <hyperlink ref="K40" r:id="rId161" display="https://felix.fe.training/filing/document.php/?hid=69aaaa6c8e10e" xr:uid="{870341D9-5B06-4095-8BEF-63B1419EC089}"/>
    <hyperlink ref="J43" r:id="rId162" display="https://felix.fe.training/filing/document.php/?hid=69aaaa8bce6c5" xr:uid="{A5084917-F6CE-45C4-8A54-25798DBDED85}"/>
    <hyperlink ref="K43" r:id="rId163" display="https://felix.fe.training/filing/document.php/?hid=69aaaa916610b" xr:uid="{9DFA575B-2A29-4CC2-99FA-D0F4719D4B3F}"/>
    <hyperlink ref="K47" r:id="rId164" display="https://felix.fe.training/filing/document.php/?hid=69aaaaad54711" xr:uid="{0FA119F8-E2A3-40AB-9463-4CA3E5EB2CAB}"/>
    <hyperlink ref="J47" r:id="rId165" display="https://felix.fe.training/filing/document.php/?hid=69aaaaad54711" xr:uid="{FDB5632C-AC66-42F9-920A-1387EEF9BE26}"/>
    <hyperlink ref="J52" r:id="rId166" display="https://felix.fe.training/filing/document.php/?hid=69aaab3275fea" xr:uid="{264276A8-FDBA-42B0-B270-EC8EE3813A2E}"/>
    <hyperlink ref="K52" r:id="rId167" display="https://felix.fe.training/filing/document.php/?hid=69aaab3b2de9b" xr:uid="{D8B83539-F561-44BA-A84E-12D05B56DA56}"/>
    <hyperlink ref="J55" r:id="rId168" display="https://felix.fe.training/filing/document.php/?hid=69aaab92a8b8f" xr:uid="{C07E9842-9B23-4CE4-87A4-6909377C45E0}"/>
    <hyperlink ref="K55" r:id="rId169" display="https://felix.fe.training/filing/document.php/?hid=69aaab9882860" xr:uid="{C6A22F1C-5A9D-4674-9BB5-37CBD9068F4D}"/>
    <hyperlink ref="J56" r:id="rId170" display="https://felix.fe.training/filing/document.php/?hid=69aaaba098ba8" xr:uid="{CF176A5E-EFA2-44FC-98DA-DADB153B1AC8}"/>
    <hyperlink ref="K56" r:id="rId171" display="https://felix.fe.training/filing/document.php/?hid=69aaaba6d0bc9" xr:uid="{4105035F-77DA-469E-9BA9-86AAF2D067F5}"/>
    <hyperlink ref="J59" r:id="rId172" display="https://felix.fe.training/filing/document.php/?hid=69aaabb608bb1" xr:uid="{70F74F66-2C9C-4AEE-A397-368CA11B7926}"/>
    <hyperlink ref="K59" r:id="rId173" display="https://felix.fe.training/filing/document.php/?hid=69aaabb608bb1" xr:uid="{44F09B3B-1653-4A78-9250-B248C745EF69}"/>
    <hyperlink ref="J62" r:id="rId174" display="https://felix.fe.training/filing/document.php/?hid=69aaabcdb62b9" xr:uid="{E92718C3-2549-497B-8B9F-32BA2E334D71}"/>
    <hyperlink ref="K62" r:id="rId175" display="https://felix.fe.training/filing/document.php/?hid=69aaabe7e2b44" xr:uid="{CC426128-3997-42BF-9A93-54E4BEA47BDD}"/>
    <hyperlink ref="J65" r:id="rId176" display="https://felix.fe.training/filing/document.php/?hid=69aaabf0cee81" xr:uid="{F173FE89-D564-4BE3-9C04-358B27CCE50D}"/>
    <hyperlink ref="K65" r:id="rId177" display="https://felix.fe.training/filing/document.php/?hid=69aaabf6b16e1" xr:uid="{4B59350A-8BA9-488F-895C-0CA1E2DBA86E}"/>
    <hyperlink ref="J66" r:id="rId178" display="https://felix.fe.training/filing/document.php/?hid=69aaabfdc9a87" xr:uid="{5E1490F1-0CBF-4EDF-A83C-5E9AD89BB2A8}"/>
    <hyperlink ref="K66" r:id="rId179" display="https://felix.fe.training/filing/document.php/?hid=69aaac02337b1" xr:uid="{952EAEB7-9699-43FC-B09C-A22AF36C0236}"/>
    <hyperlink ref="J68" r:id="rId180" display="https://felix.fe.training/filing/document.php/?hid=69aaac0848d06" xr:uid="{11207B1B-142E-45ED-BAA6-0F900E25F2B4}"/>
    <hyperlink ref="K68" r:id="rId181" display="https://felix.fe.training/filing/document.php/?hid=69aaac0cb9d8f" xr:uid="{4D8275B5-86B9-4929-A2FE-06ECC647A582}"/>
    <hyperlink ref="J76" r:id="rId182" display="https://felix.fe.training/filing/document.php/?hid=69aaac2f199c7" xr:uid="{F8DA7144-EE8B-444E-A8AD-FC8A6C3F8E49}"/>
    <hyperlink ref="K76" r:id="rId183" display="https://felix.fe.training/filing/document.php/?hid=69aaac3304a99" xr:uid="{D7FD5D5F-1005-4D42-9680-BA4ED3CFBEB6}"/>
    <hyperlink ref="J77" r:id="rId184" display="https://felix.fe.training/filing/document.php/?hid=69aaad12b5ff1" xr:uid="{486D2F21-AEE3-471D-9585-7C273B7CA658}"/>
    <hyperlink ref="J78" r:id="rId185" display="https://felix.fe.training/filing/document.php/?hid=69aaad4b167b5" xr:uid="{344DA33A-2D80-4448-B248-6B350DFDFE86}"/>
    <hyperlink ref="K78" r:id="rId186" display="https://felix.fe.training/filing/document.php/?hid=69aaad558270e" xr:uid="{C761DAD5-5631-4233-A78F-C1A0A805B276}"/>
    <hyperlink ref="J80" r:id="rId187" display="https://felix.fe.training/filing/document.php/?hid=69aaae40df790" xr:uid="{CC06F643-1517-472B-8AC8-4E1AB8AA7192}"/>
    <hyperlink ref="K80" r:id="rId188" display="https://felix.fe.training/filing/document.php/?hid=69aaae47740f5" xr:uid="{3A902A2D-B64A-4461-B8E2-0B440DB5B807}"/>
    <hyperlink ref="J82" r:id="rId189" display="https://felix.fe.training/filing/document.php/?hid=69aaae563c4ab" xr:uid="{49A565CE-3A57-40A1-AA19-79770073C68F}"/>
    <hyperlink ref="K82" r:id="rId190" display="https://felix.fe.training/filing/document.php/?hid=69aaae5e33725" xr:uid="{62AE3321-651D-408F-82E3-CA54ACFE3C97}"/>
    <hyperlink ref="J88" r:id="rId191" display="https://felix.fe.training/filing/document.php/?hid=69aaae7cf2ef8" xr:uid="{8F5324AB-83AF-403F-861D-B92C4D540AA1}"/>
    <hyperlink ref="K88" r:id="rId192" display="https://felix.fe.training/filing/document.php/?hid=69aaae84114e8" xr:uid="{C4B466BD-F8C0-4B29-BE57-912425475B39}"/>
    <hyperlink ref="J89" r:id="rId193" display="https://felix.fe.training/filing/document.php/?hid=69aaae8bdacb4" xr:uid="{5703C438-DEA5-439A-A3BC-85146B644DAD}"/>
    <hyperlink ref="K89" r:id="rId194" display="https://felix.fe.training/filing/document.php/?hid=69aaae9098813" xr:uid="{1C6BE5C1-7564-4C2F-BA5F-3FADDF30B3E3}"/>
    <hyperlink ref="J93" r:id="rId195" display="https://felix.fe.training/filing/document.php/?hid=69aaae997ea5e" xr:uid="{FEF39AE4-5A0C-498A-841F-73F546E2BEE4}"/>
    <hyperlink ref="K93" r:id="rId196" display="https://felix.fe.training/filing/document.php/?hid=69aaae9fee751" xr:uid="{4D3F6474-FA95-4050-8670-D4345B934352}"/>
    <hyperlink ref="J124" r:id="rId197" display="https://felix.fe.training/filing/document.php/?hid=69aaafd814bc6" xr:uid="{B53C0AD2-164D-4EEA-A459-7DF2BF5AD843}"/>
    <hyperlink ref="K124" r:id="rId198" display="https://felix.fe.training/filing/document.php/?hid=69aaaff796ea1" xr:uid="{3D7116D9-45DC-474D-95DB-9A0256D5E65D}"/>
    <hyperlink ref="J125" r:id="rId199" display="https://felix.fe.training/filing/document.php/?hid=69aab058bd659" xr:uid="{289442CF-33D8-48E8-8BD8-8C18B771E550}"/>
    <hyperlink ref="K125" r:id="rId200" display="https://felix.fe.training/filing/document.php/?hid=69aab0635a517" xr:uid="{2AA89C59-F9C1-4ABE-9AD5-D7EE20CF2A09}"/>
    <hyperlink ref="J126" r:id="rId201" display="https://felix.fe.training/filing/document.php/?hid=69aab07ceb591" xr:uid="{7DC96992-0A6B-4102-BFDB-65858B0E8C52}"/>
    <hyperlink ref="K126" r:id="rId202" display="https://felix.fe.training/filing/document.php/?hid=69aab0858b8db" xr:uid="{13BA22A7-DE10-4F8A-B2A0-725A092C2B41}"/>
    <hyperlink ref="M14" r:id="rId203" display="https://felix.fe.training/filing/document.php/?hid=69aab8cbedfc5" xr:uid="{C5DE698A-4F34-4E52-BEC1-B305C415ADAC}"/>
    <hyperlink ref="N14" r:id="rId204" display="https://felix.fe.training/filing/document.php/?hid=69aab8dbe62e5" xr:uid="{58181A98-D118-4200-A930-D9A9856D7B0B}"/>
    <hyperlink ref="N16" r:id="rId205" display="https://felix.fe.training/filing/document.php/?hid=69aab8eb5fa89" xr:uid="{E0B16A1C-6F08-421E-B4D0-882DC9CA3B4D}"/>
    <hyperlink ref="M16" r:id="rId206" display="https://felix.fe.training/filing/document.php/?hid=69aab8f6d78d4" xr:uid="{95AA5BA2-012F-4270-A2A7-9565B8A954FB}"/>
    <hyperlink ref="M18" r:id="rId207" display="https://felix.fe.training/filing/document.php/?hid=69aab93e93ffe" xr:uid="{43F821FC-9298-4F7E-BCD3-455CEA3DDA7B}"/>
    <hyperlink ref="N18" r:id="rId208" display="https://felix.fe.training/filing/document.php/?hid=69aab94a38978" xr:uid="{86D08C31-AC7E-4705-BC79-D8CDFDA1029E}"/>
    <hyperlink ref="M22" r:id="rId209" display="https://felix.fe.training/filing/document.php/?hid=69aab96f677b9" xr:uid="{34CAB0DC-5EA9-4D46-83DF-0BB43581B3D5}"/>
    <hyperlink ref="N22" r:id="rId210" display="https://felix.fe.training/filing/document.php/?hid=69aab97dc9a6d" xr:uid="{F79568BE-F4D8-4313-B351-812ED33C8F17}"/>
    <hyperlink ref="M24" r:id="rId211" display="https://felix.fe.training/filing/document.php/?hid=69aab98bb8eb7" xr:uid="{889D28E1-0192-46E6-AA49-A532EC020FA4}"/>
    <hyperlink ref="N24" r:id="rId212" display="https://felix.fe.training/filing/document.php/?hid=69aab9983710f" xr:uid="{F6C57013-9F9A-4D31-A04F-F1DC2AC095F5}"/>
    <hyperlink ref="M31" r:id="rId213" display="https://felix.fe.training/filing/document.php/?hid=69aaba3c0f6e3" xr:uid="{4F9C65E4-A9F7-44ED-A754-D804B4BF7525}"/>
    <hyperlink ref="N31" r:id="rId214" display="https://felix.fe.training/filing/document.php/?hid=69aaba4cbf173" xr:uid="{3E25FD85-37AD-47B5-B5A4-23A26CF97C4F}"/>
    <hyperlink ref="M47" r:id="rId215" display="https://felix.fe.training/filing/document.php/?hid=69aaba7f4eae4" xr:uid="{AF82B061-46C5-43A1-A202-FC9F26A3C4BC}"/>
    <hyperlink ref="N47" r:id="rId216" display="https://felix.fe.training/filing/document.php/?hid=69aaba909e75c" xr:uid="{BD7949F9-FD21-4428-869F-5B11C5A6ECB7}"/>
    <hyperlink ref="M52" r:id="rId217" display="https://felix.fe.training/filing/document.php/?hid=69aabaa04e616" xr:uid="{7B2E10D2-F212-4E70-B2B3-689A902E0CB0}"/>
    <hyperlink ref="N52" r:id="rId218" display="https://felix.fe.training/filing/document.php/?hid=69aabaa89e521" xr:uid="{69C2DD0D-65D6-41F8-9BED-18691B8CAAD3}"/>
    <hyperlink ref="M55" r:id="rId219" display="https://felix.fe.training/filing/document.php/?hid=69aabac8868c5" xr:uid="{9C98B660-8D10-410F-86C2-84D5CDBE94D3}"/>
    <hyperlink ref="N55" r:id="rId220" display="https://felix.fe.training/filing/document.php/?hid=69aabad1050c5" xr:uid="{D74F85F4-E37C-49A2-8C66-476DEB1C0059}"/>
    <hyperlink ref="M60" r:id="rId221" display="https://felix.fe.training/filing/document.php/?hid=69aabae1a3164" xr:uid="{6CE5ABF4-7847-4B1D-A346-1281B7A35B03}"/>
    <hyperlink ref="N60" r:id="rId222" display="https://felix.fe.training/filing/document.php/?hid=69aabae71d6fe" xr:uid="{28F657C5-C8E2-494E-A41E-E4266FAF895E}"/>
    <hyperlink ref="M61" r:id="rId223" display="https://felix.fe.training/filing/document.php/?hid=69aabafa1139d" xr:uid="{239BA199-4E98-4268-AC5C-0E2BC1B56FDD}"/>
    <hyperlink ref="N61" r:id="rId224" display="https://felix.fe.training/filing/document.php/?hid=69aabb01b90da" xr:uid="{BD31E6D5-5C71-495F-95FE-B1EC8B5C5490}"/>
    <hyperlink ref="M58" r:id="rId225" display="https://felix.fe.training/filing/document.php/?hid=69aabb10c619d" xr:uid="{9F1D3B5B-1B4B-406A-B338-1B999E0634A3}"/>
    <hyperlink ref="N58" r:id="rId226" display="https://felix.fe.training/filing/document.php/?hid=69aabb191d21a" xr:uid="{8CC6F4A7-272E-4BAC-8E25-5C6186ED5079}"/>
    <hyperlink ref="M65" r:id="rId227" display="https://felix.fe.training/filing/document.php/?hid=69aabb2c2ef06" xr:uid="{4B859C0F-FD1C-495F-BF56-AB2ACB310639}"/>
    <hyperlink ref="N65" r:id="rId228" display="https://felix.fe.training/filing/document.php/?hid=69aabb342444c" xr:uid="{C2B850C1-8451-403F-A8D7-66BC79C1284A}"/>
    <hyperlink ref="M69" r:id="rId229" display="https://felix.fe.training/filing/document.php/?hid=69aabb3e65a1a" xr:uid="{68830997-117B-4704-8DD3-B4B37B99CEDF}"/>
    <hyperlink ref="N69" r:id="rId230" display="https://felix.fe.training/filing/document.php/?hid=69aabb4354238" xr:uid="{C79BBF02-9476-4F05-8EF5-ABE19B8828B7}"/>
    <hyperlink ref="M70" r:id="rId231" display="https://felix.fe.training/filing/document.php/?hid=69aabb4a7d485" xr:uid="{85E2FA74-D8DB-49BE-BE03-1962BF54081E}"/>
    <hyperlink ref="N70" r:id="rId232" display="https://felix.fe.training/filing/document.php/?hid=69aabb500ed7e" xr:uid="{F673A315-6E2A-4523-BE89-9309F7733AF5}"/>
    <hyperlink ref="M76" r:id="rId233" display="https://felix.fe.training/filing/document.php/?hid=69aabb7d03c74" xr:uid="{ACB407EE-F827-436C-ABF6-0B7EE55457B8}"/>
    <hyperlink ref="N76" r:id="rId234" display="https://felix.fe.training/filing/document.php/?hid=69aabb83caf69" xr:uid="{75D9F384-3DA9-4866-9A44-A2C5384EB288}"/>
    <hyperlink ref="M77" r:id="rId235" display="https://felix.fe.training/filing/document.php/?hid=69aabb943afd8" xr:uid="{A584AA34-60F1-4DB9-A39C-FC5B87AC6277}"/>
    <hyperlink ref="N77" r:id="rId236" display="https://felix.fe.training/filing/document.php/?hid=69aabb9990f6c" xr:uid="{4DB486DA-D9B2-4E27-B179-2840F831ED71}"/>
    <hyperlink ref="M78" r:id="rId237" display="https://felix.fe.training/filing/document.php/?hid=69aabbd7655f4" xr:uid="{48A688AA-E837-4A65-9476-DE79F2D5A8F7}"/>
    <hyperlink ref="N78" r:id="rId238" display="https://felix.fe.training/filing/document.php/?hid=69aabbd7655f4" xr:uid="{F09DC3BC-CBF1-4E31-8731-B99EF1E764DF}"/>
    <hyperlink ref="M80" r:id="rId239" display="https://felix.fe.training/filing/document.php/?hid=69aabc2f5f5d8" xr:uid="{21745880-086C-40A4-B7B0-9CF22CC3A8B7}"/>
    <hyperlink ref="N80" r:id="rId240" display="https://felix.fe.training/filing/document.php/?hid=69aabc3789228" xr:uid="{5AF65FFB-9030-4B6E-8C73-453EE1FE0A8C}"/>
    <hyperlink ref="N82" r:id="rId241" display="https://felix.fe.training/filing/document.php/?hid=69aabc57bb154" xr:uid="{46C85B96-E7C9-4D39-9819-03FEEBD7B392}"/>
    <hyperlink ref="M82" r:id="rId242" display="https://felix.fe.training/filing/document.php/?hid=69aabc503d974" xr:uid="{C38D4425-F4E6-4076-ADFB-68240005A61D}"/>
    <hyperlink ref="M88" r:id="rId243" display="https://felix.fe.training/filing/document.php/?hid=69aabc6676da0" xr:uid="{1E6EF285-0B3B-4695-817A-1C26E53D174B}"/>
    <hyperlink ref="N88" r:id="rId244" display="https://felix.fe.training/filing/document.php/?hid=69aabc79d8d3f" xr:uid="{A73B056E-6F13-4B5F-A084-E6B111680049}"/>
    <hyperlink ref="M93" r:id="rId245" display="https://felix.fe.training/filing/document.php/?hid=69aabca504620" xr:uid="{CC0E17F5-A90D-4C00-89DD-B6F4FD80F952}"/>
    <hyperlink ref="N93" r:id="rId246" display="https://felix.fe.training/filing/document.php/?hid=69aabcad8f8c5" xr:uid="{04D7F88C-AC15-4F59-B85B-EA842F6258A2}"/>
    <hyperlink ref="M39" r:id="rId247" location="UBISOFT_DEU25_BAT_UK.indd%3A.149463%3A363" display="https://staticctf.ubisoft.com/8aefmxkxpxwl/2jOPqNEzotGX0odqDUt5jr/57f0ba952c3be14b38ba97a02b17c119/Ent_AGM_2025.07.10_URD_GB_Interactif_def.pdf - UBISOFT_DEU25_BAT_UK.indd%3A.149463%3A363" xr:uid="{854034FB-FA65-43E7-A208-7F945215B231}"/>
    <hyperlink ref="N39" r:id="rId248" location="UBISOFT_DEU25_BAT_UK.indd%3A.149463%3A363" display="https://staticctf.ubisoft.com/8aefmxkxpxwl/2jOPqNEzotGX0odqDUt5jr/57f0ba952c3be14b38ba97a02b17c119/Ent_AGM_2025.07.10_URD_GB_Interactif_def.pdf - UBISOFT_DEU25_BAT_UK.indd%3A.149463%3A363" xr:uid="{780817DC-1C7C-4C51-9793-F0E5C655249C}"/>
    <hyperlink ref="M40:N40" r:id="rId249" location="UBISOFT_DEU25_BAT_UK.indd%3A.149463%3A363" display="https://staticctf.ubisoft.com/8aefmxkxpxwl/2jOPqNEzotGX0odqDUt5jr/57f0ba952c3be14b38ba97a02b17c119/Ent_AGM_2025.07.10_URD_GB_Interactif_def.pdf - UBISOFT_DEU25_BAT_UK.indd%3A.149463%3A363" xr:uid="{CF410F85-C6A6-42E9-A3E0-EF1DDD88EDEC}"/>
    <hyperlink ref="M43:N43" r:id="rId250" location="UBISOFT_DEU25_BAT_UK.indd%3A.149818%3A517" display="https://staticctf.ubisoft.com/8aefmxkxpxwl/2jOPqNEzotGX0odqDUt5jr/57f0ba952c3be14b38ba97a02b17c119/Ent_AGM_2025.07.10_URD_GB_Interactif_def.pdf - UBISOFT_DEU25_BAT_UK.indd%3A.149818%3A517" xr:uid="{6A2B69EB-FC48-4E32-9229-C67E3672214E}"/>
    <hyperlink ref="M27:M28" r:id="rId251" location="UBISOFT_DEU25_BAT_UK.indd%3A.149428%3A345" display="https://staticctf.ubisoft.com/8aefmxkxpxwl/2jOPqNEzotGX0odqDUt5jr/57f0ba952c3be14b38ba97a02b17c119/Ent_AGM_2025.07.10_URD_GB_Interactif_def.pdf - UBISOFT_DEU25_BAT_UK.indd%3A.149428%3A345" xr:uid="{5F262A4C-AF17-4D6E-883E-D1DE4DC573B8}"/>
    <hyperlink ref="N26" r:id="rId252" location="UBISOFT_DEU25_BAT_UK.indd%3A.149428%3A345" display="https://staticctf.ubisoft.com/8aefmxkxpxwl/2jOPqNEzotGX0odqDUt5jr/57f0ba952c3be14b38ba97a02b17c119/Ent_AGM_2025.07.10_URD_GB_Interactif_def.pdf - UBISOFT_DEU25_BAT_UK.indd%3A.149428%3A345" xr:uid="{E585DFCE-D945-4336-BBF8-64F0D7C8767F}"/>
    <hyperlink ref="N28" r:id="rId253" location="UBISOFT_DEU25_BAT_UK.indd%3A.149428%3A345" display="https://staticctf.ubisoft.com/8aefmxkxpxwl/2jOPqNEzotGX0odqDUt5jr/57f0ba952c3be14b38ba97a02b17c119/Ent_AGM_2025.07.10_URD_GB_Interactif_def.pdf - UBISOFT_DEU25_BAT_UK.indd%3A.149428%3A345" xr:uid="{80A51D7D-AB3F-4DB2-B211-3D3FBD6C37C7}"/>
    <hyperlink ref="M35:N35" r:id="rId254" location="UBISOFT_DEU25_BAT_UK.indd%3A.149478%3A369" display="https://staticctf.ubisoft.com/8aefmxkxpxwl/2jOPqNEzotGX0odqDUt5jr/57f0ba952c3be14b38ba97a02b17c119/Ent_AGM_2025.07.10_URD_GB_Interactif_def.pdf - UBISOFT_DEU25_BAT_UK.indd%3A.149478%3A369" xr:uid="{04FC20C0-8A07-4817-8E89-B002C3995B3A}"/>
    <hyperlink ref="D23:E24" r:id="rId255" display="https://felix.fe.training/filing/document.php/?hid=69aae61594808" xr:uid="{7EBFFD69-D71B-4545-BE1E-AF59DCAB8855}"/>
  </hyperlinks>
  <printOptions gridLines="1"/>
  <pageMargins left="0.7" right="0.7" top="0.75" bottom="0.75" header="0" footer="0"/>
  <pageSetup paperSize="9" scale="55" fitToHeight="0" orientation="landscape" r:id="rId256"/>
  <headerFooter>
    <oddHeader>&amp;R&amp;F  &amp;A</oddHeader>
    <oddFooter>&amp;L© 2017&amp;CPage &amp;P of</oddFooter>
  </headerFooter>
  <rowBreaks count="2" manualBreakCount="2">
    <brk id="52" max="20" man="1"/>
    <brk id="94" max="20" man="1"/>
  </rowBreaks>
  <legacyDrawing r:id="rId257"/>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pageSetUpPr fitToPage="1"/>
  </sheetPr>
  <dimension ref="A1:Q142"/>
  <sheetViews>
    <sheetView workbookViewId="0"/>
  </sheetViews>
  <sheetFormatPr defaultColWidth="12.5703125" defaultRowHeight="15" customHeight="1" x14ac:dyDescent="0.25"/>
  <cols>
    <col min="1" max="1" width="2.7109375" customWidth="1"/>
    <col min="2" max="2" width="35.28515625" customWidth="1"/>
    <col min="3" max="14" width="10.28515625" customWidth="1"/>
  </cols>
  <sheetData>
    <row r="1" spans="1:17" ht="45" customHeight="1" x14ac:dyDescent="0.45">
      <c r="A1" s="68" t="str">
        <f>"Financial forecast for "&amp;Info!N5</f>
        <v>Financial forecast for Electronic Arts</v>
      </c>
      <c r="B1" s="68"/>
      <c r="C1" s="68"/>
      <c r="D1" s="68"/>
      <c r="E1" s="68"/>
      <c r="F1" s="68"/>
      <c r="G1" s="68"/>
      <c r="H1" s="68"/>
      <c r="I1" s="68"/>
      <c r="J1" s="68"/>
      <c r="K1" s="68"/>
      <c r="L1" s="68"/>
      <c r="M1" s="68"/>
      <c r="N1" s="68"/>
    </row>
    <row r="2" spans="1:17" ht="15" customHeight="1" x14ac:dyDescent="0.25">
      <c r="A2" s="72"/>
      <c r="B2" s="72"/>
      <c r="C2" s="72" t="s">
        <v>138</v>
      </c>
      <c r="D2" s="72" t="s">
        <v>138</v>
      </c>
      <c r="E2" s="72" t="s">
        <v>139</v>
      </c>
      <c r="F2" s="72" t="s">
        <v>139</v>
      </c>
      <c r="G2" s="72" t="s">
        <v>139</v>
      </c>
      <c r="H2" s="72" t="s">
        <v>139</v>
      </c>
      <c r="I2" s="72" t="s">
        <v>139</v>
      </c>
      <c r="J2" s="72" t="s">
        <v>139</v>
      </c>
      <c r="K2" s="72" t="s">
        <v>139</v>
      </c>
      <c r="L2" s="72" t="s">
        <v>139</v>
      </c>
      <c r="M2" s="72" t="s">
        <v>139</v>
      </c>
      <c r="N2" s="72" t="s">
        <v>139</v>
      </c>
    </row>
    <row r="3" spans="1:17" s="204" customFormat="1" ht="18" customHeight="1" x14ac:dyDescent="0.25">
      <c r="A3" s="65"/>
      <c r="B3" s="65"/>
      <c r="C3" s="203">
        <f>EDATE(D3,-12)</f>
        <v>45382</v>
      </c>
      <c r="D3" s="203">
        <f>Info!N6</f>
        <v>45747</v>
      </c>
      <c r="E3" s="203">
        <f t="shared" ref="E3:N3" si="0">EDATE(D3,12)</f>
        <v>46112</v>
      </c>
      <c r="F3" s="203">
        <f t="shared" si="0"/>
        <v>46477</v>
      </c>
      <c r="G3" s="203">
        <f t="shared" si="0"/>
        <v>46843</v>
      </c>
      <c r="H3" s="203">
        <f t="shared" si="0"/>
        <v>47208</v>
      </c>
      <c r="I3" s="203">
        <f t="shared" si="0"/>
        <v>47573</v>
      </c>
      <c r="J3" s="203">
        <f t="shared" si="0"/>
        <v>47938</v>
      </c>
      <c r="K3" s="203">
        <f t="shared" si="0"/>
        <v>48304</v>
      </c>
      <c r="L3" s="203">
        <f t="shared" si="0"/>
        <v>48669</v>
      </c>
      <c r="M3" s="203">
        <f t="shared" si="0"/>
        <v>49034</v>
      </c>
      <c r="N3" s="203">
        <f t="shared" si="0"/>
        <v>49399</v>
      </c>
      <c r="O3"/>
      <c r="P3"/>
      <c r="Q3"/>
    </row>
    <row r="4" spans="1:17" ht="15" customHeight="1" x14ac:dyDescent="0.25">
      <c r="A4" s="69"/>
      <c r="B4" t="s">
        <v>140</v>
      </c>
    </row>
    <row r="5" spans="1:17" ht="15" customHeight="1" x14ac:dyDescent="0.25">
      <c r="A5" s="69"/>
      <c r="C5" s="188"/>
      <c r="D5" s="189"/>
      <c r="E5" s="45">
        <v>0.25800000000000001</v>
      </c>
      <c r="F5" s="45">
        <v>0.25800000000000001</v>
      </c>
      <c r="G5" s="45">
        <v>0.25800000000000001</v>
      </c>
      <c r="H5" s="45">
        <v>0.25800000000000001</v>
      </c>
      <c r="I5" s="45">
        <v>0.25800000000000001</v>
      </c>
      <c r="J5" s="45">
        <v>0.25800000000000001</v>
      </c>
      <c r="K5" s="45">
        <v>0.25800000000000001</v>
      </c>
      <c r="L5" s="45">
        <v>0.25800000000000001</v>
      </c>
      <c r="M5" s="45">
        <v>0.25800000000000001</v>
      </c>
      <c r="N5" s="45">
        <v>0.25800000000000001</v>
      </c>
    </row>
    <row r="6" spans="1:17" ht="15" customHeight="1" x14ac:dyDescent="0.25">
      <c r="A6" s="69" t="s">
        <v>141</v>
      </c>
    </row>
    <row r="7" spans="1:17" ht="15" customHeight="1" x14ac:dyDescent="0.25">
      <c r="A7" s="69"/>
      <c r="B7" t="s">
        <v>99</v>
      </c>
      <c r="C7" s="59"/>
      <c r="D7" s="59">
        <f>D61/C61-1</f>
        <v>-1.3091774662787659E-2</v>
      </c>
      <c r="E7" s="231">
        <v>0.108</v>
      </c>
      <c r="F7" s="45">
        <v>3.5999999999999997E-2</v>
      </c>
      <c r="G7" s="45">
        <v>5.1999999999999998E-2</v>
      </c>
      <c r="H7" s="45">
        <v>9.1999999999999998E-2</v>
      </c>
      <c r="I7" s="45">
        <v>8.2000000000000003E-2</v>
      </c>
      <c r="J7" s="45">
        <v>7.4999999999999997E-2</v>
      </c>
      <c r="K7" s="45">
        <v>0.06</v>
      </c>
      <c r="L7" s="45">
        <v>0.04</v>
      </c>
      <c r="M7" s="45">
        <v>3.5000000000000003E-2</v>
      </c>
      <c r="N7" s="45">
        <v>0.03</v>
      </c>
    </row>
    <row r="8" spans="1:17" ht="15" customHeight="1" x14ac:dyDescent="0.25">
      <c r="A8" s="69"/>
      <c r="B8" t="s">
        <v>142</v>
      </c>
      <c r="C8" s="59">
        <f>C54/C61</f>
        <v>0.31526051309177466</v>
      </c>
      <c r="D8" s="59">
        <f>D54/D61</f>
        <v>0.31234088168296931</v>
      </c>
      <c r="E8" s="45">
        <v>0.32800000000000001</v>
      </c>
      <c r="F8" s="45">
        <v>0.34100000000000003</v>
      </c>
      <c r="G8" s="45">
        <v>0.35</v>
      </c>
      <c r="H8" s="45">
        <f>G8</f>
        <v>0.35</v>
      </c>
      <c r="I8" s="45">
        <f t="shared" ref="I8:N8" si="1">H8</f>
        <v>0.35</v>
      </c>
      <c r="J8" s="45">
        <f t="shared" si="1"/>
        <v>0.35</v>
      </c>
      <c r="K8" s="45">
        <f t="shared" si="1"/>
        <v>0.35</v>
      </c>
      <c r="L8" s="45">
        <f t="shared" si="1"/>
        <v>0.35</v>
      </c>
      <c r="M8" s="45">
        <f t="shared" si="1"/>
        <v>0.35</v>
      </c>
      <c r="N8" s="45">
        <f t="shared" si="1"/>
        <v>0.35</v>
      </c>
    </row>
    <row r="9" spans="1:17" ht="15" customHeight="1" x14ac:dyDescent="0.25">
      <c r="A9" s="69"/>
      <c r="B9" t="s">
        <v>143</v>
      </c>
      <c r="C9" s="59">
        <f>C55/C61</f>
        <v>-7.7228246495636074E-2</v>
      </c>
      <c r="D9" s="59">
        <f>D55/D61</f>
        <v>-8.6024386975747019E-2</v>
      </c>
      <c r="E9" s="45">
        <f>D9</f>
        <v>-8.6024386975747019E-2</v>
      </c>
      <c r="F9" s="45">
        <f t="shared" ref="F9:N9" si="2">E9</f>
        <v>-8.6024386975747019E-2</v>
      </c>
      <c r="G9" s="45">
        <f t="shared" si="2"/>
        <v>-8.6024386975747019E-2</v>
      </c>
      <c r="H9" s="45">
        <f t="shared" si="2"/>
        <v>-8.6024386975747019E-2</v>
      </c>
      <c r="I9" s="45">
        <f t="shared" si="2"/>
        <v>-8.6024386975747019E-2</v>
      </c>
      <c r="J9" s="45">
        <f t="shared" si="2"/>
        <v>-8.6024386975747019E-2</v>
      </c>
      <c r="K9" s="45">
        <f t="shared" si="2"/>
        <v>-8.6024386975747019E-2</v>
      </c>
      <c r="L9" s="45">
        <f t="shared" si="2"/>
        <v>-8.6024386975747019E-2</v>
      </c>
      <c r="M9" s="45">
        <f t="shared" si="2"/>
        <v>-8.6024386975747019E-2</v>
      </c>
      <c r="N9" s="45">
        <f t="shared" si="2"/>
        <v>-8.6024386975747019E-2</v>
      </c>
    </row>
    <row r="10" spans="1:17" ht="15" customHeight="1" x14ac:dyDescent="0.25">
      <c r="A10" s="69"/>
      <c r="B10" t="s">
        <v>144</v>
      </c>
      <c r="C10" s="59">
        <f>C32/C61</f>
        <v>0.98254430044961649</v>
      </c>
      <c r="D10" s="59">
        <f>D32/D61</f>
        <v>0.98552860779847251</v>
      </c>
      <c r="E10" s="45">
        <v>1.08</v>
      </c>
      <c r="F10" s="45">
        <v>1</v>
      </c>
      <c r="G10" s="45">
        <v>1.01</v>
      </c>
      <c r="H10" s="45">
        <v>1.0049999999999999</v>
      </c>
      <c r="I10" s="45">
        <v>1.0049999999999999</v>
      </c>
      <c r="J10" s="45">
        <v>1.0049999999999999</v>
      </c>
      <c r="K10" s="45">
        <v>1.0049999999999999</v>
      </c>
      <c r="L10" s="45">
        <v>1.0049999999999999</v>
      </c>
      <c r="M10" s="45">
        <v>1.0049999999999999</v>
      </c>
      <c r="N10" s="45">
        <v>1.0049999999999999</v>
      </c>
    </row>
    <row r="11" spans="1:17" ht="15" customHeight="1" x14ac:dyDescent="0.25">
      <c r="A11" s="69"/>
      <c r="B11" t="s">
        <v>145</v>
      </c>
      <c r="C11" s="59"/>
      <c r="D11" s="59">
        <f>-D57/C78</f>
        <v>-0.30572597137014312</v>
      </c>
      <c r="E11" s="45">
        <v>-0.28000000000000003</v>
      </c>
      <c r="F11" s="45">
        <f t="shared" ref="F11:N11" si="3">E11</f>
        <v>-0.28000000000000003</v>
      </c>
      <c r="G11" s="45">
        <f t="shared" si="3"/>
        <v>-0.28000000000000003</v>
      </c>
      <c r="H11" s="45">
        <f t="shared" si="3"/>
        <v>-0.28000000000000003</v>
      </c>
      <c r="I11" s="45">
        <f t="shared" si="3"/>
        <v>-0.28000000000000003</v>
      </c>
      <c r="J11" s="45">
        <f t="shared" si="3"/>
        <v>-0.28000000000000003</v>
      </c>
      <c r="K11" s="45">
        <f t="shared" si="3"/>
        <v>-0.28000000000000003</v>
      </c>
      <c r="L11" s="45">
        <f t="shared" si="3"/>
        <v>-0.28000000000000003</v>
      </c>
      <c r="M11" s="45">
        <f t="shared" si="3"/>
        <v>-0.28000000000000003</v>
      </c>
      <c r="N11" s="45">
        <f t="shared" si="3"/>
        <v>-0.28000000000000003</v>
      </c>
    </row>
    <row r="12" spans="1:17" ht="15" customHeight="1" x14ac:dyDescent="0.25">
      <c r="A12" s="69"/>
      <c r="B12" t="str">
        <f>B64</f>
        <v>Non-recurring items</v>
      </c>
      <c r="C12">
        <f>C64</f>
        <v>-282</v>
      </c>
      <c r="D12">
        <f>D64</f>
        <v>-169</v>
      </c>
      <c r="E12" s="53">
        <v>0</v>
      </c>
      <c r="F12" s="53">
        <v>0</v>
      </c>
      <c r="G12" s="53">
        <v>0</v>
      </c>
      <c r="H12" s="53">
        <v>0</v>
      </c>
      <c r="I12" s="53">
        <v>0</v>
      </c>
      <c r="J12" s="53">
        <v>0</v>
      </c>
      <c r="K12" s="53">
        <v>0</v>
      </c>
      <c r="L12" s="53">
        <v>0</v>
      </c>
      <c r="M12" s="53">
        <v>0</v>
      </c>
      <c r="N12" s="53">
        <v>0</v>
      </c>
    </row>
    <row r="13" spans="1:17" ht="15" customHeight="1" x14ac:dyDescent="0.25">
      <c r="A13" s="69"/>
      <c r="B13" t="s">
        <v>146</v>
      </c>
      <c r="C13" s="59">
        <f>-C69/C68</f>
        <v>0.19886721208307112</v>
      </c>
      <c r="D13" s="59">
        <f>-D69/D68</f>
        <v>0.30155763239875388</v>
      </c>
      <c r="E13" s="45">
        <v>0.2</v>
      </c>
      <c r="F13" s="45">
        <v>0.26</v>
      </c>
      <c r="G13" s="45">
        <v>0.19</v>
      </c>
      <c r="H13" s="45">
        <v>0.21</v>
      </c>
      <c r="I13" s="45">
        <f>H13</f>
        <v>0.21</v>
      </c>
      <c r="J13" s="45">
        <f t="shared" ref="J13:N13" si="4">I13</f>
        <v>0.21</v>
      </c>
      <c r="K13" s="45">
        <f t="shared" si="4"/>
        <v>0.21</v>
      </c>
      <c r="L13" s="45">
        <f t="shared" si="4"/>
        <v>0.21</v>
      </c>
      <c r="M13" s="45">
        <f t="shared" si="4"/>
        <v>0.21</v>
      </c>
      <c r="N13" s="45">
        <f t="shared" si="4"/>
        <v>0.21</v>
      </c>
    </row>
    <row r="14" spans="1:17" ht="15" customHeight="1" x14ac:dyDescent="0.25">
      <c r="A14" s="69"/>
      <c r="B14" t="s">
        <v>147</v>
      </c>
      <c r="C14" s="59">
        <f>Accounting!D41</f>
        <v>0.221</v>
      </c>
      <c r="D14" s="59">
        <f>Accounting!E41</f>
        <v>0.219</v>
      </c>
      <c r="E14" s="45">
        <f>D14</f>
        <v>0.219</v>
      </c>
      <c r="F14" s="45">
        <f t="shared" ref="F14:N14" si="5">E14</f>
        <v>0.219</v>
      </c>
      <c r="G14" s="45">
        <f t="shared" si="5"/>
        <v>0.219</v>
      </c>
      <c r="H14" s="45">
        <f t="shared" si="5"/>
        <v>0.219</v>
      </c>
      <c r="I14" s="45">
        <f t="shared" si="5"/>
        <v>0.219</v>
      </c>
      <c r="J14" s="45">
        <f t="shared" si="5"/>
        <v>0.219</v>
      </c>
      <c r="K14" s="45">
        <f t="shared" si="5"/>
        <v>0.219</v>
      </c>
      <c r="L14" s="45">
        <f t="shared" si="5"/>
        <v>0.219</v>
      </c>
      <c r="M14" s="45">
        <f t="shared" si="5"/>
        <v>0.219</v>
      </c>
      <c r="N14" s="45">
        <f t="shared" si="5"/>
        <v>0.219</v>
      </c>
    </row>
    <row r="15" spans="1:17" ht="15" customHeight="1" x14ac:dyDescent="0.25">
      <c r="A15" s="69"/>
      <c r="B15" t="s">
        <v>148</v>
      </c>
      <c r="C15" s="59">
        <f>-C45/C70</f>
        <v>1.1822466614296936</v>
      </c>
      <c r="D15" s="59">
        <f>-D45/D70</f>
        <v>2.4148082069580732</v>
      </c>
      <c r="E15" s="45">
        <v>0.8</v>
      </c>
      <c r="F15" s="45">
        <v>0.8</v>
      </c>
      <c r="G15" s="45">
        <v>0.8</v>
      </c>
      <c r="H15" s="45">
        <v>0.8</v>
      </c>
      <c r="I15" s="45">
        <v>0.8</v>
      </c>
      <c r="J15" s="45">
        <v>0.8</v>
      </c>
      <c r="K15" s="45">
        <v>0.8</v>
      </c>
      <c r="L15" s="45">
        <v>0.8</v>
      </c>
      <c r="M15" s="45">
        <v>0.8</v>
      </c>
      <c r="N15" s="45">
        <v>0.8</v>
      </c>
    </row>
    <row r="16" spans="1:17" ht="15" customHeight="1" x14ac:dyDescent="0.25">
      <c r="A16" s="69"/>
    </row>
    <row r="17" spans="1:14" ht="15" customHeight="1" x14ac:dyDescent="0.25">
      <c r="A17" s="69"/>
      <c r="B17" t="s">
        <v>149</v>
      </c>
      <c r="C17">
        <f>+C74/C61*365</f>
        <v>27.271224543771488</v>
      </c>
      <c r="D17">
        <f>+D74/D61*365</f>
        <v>33.208495243199785</v>
      </c>
      <c r="E17" s="20">
        <f>D17</f>
        <v>33.208495243199785</v>
      </c>
      <c r="F17" s="20">
        <f>E17</f>
        <v>33.208495243199785</v>
      </c>
      <c r="G17" s="20">
        <f t="shared" ref="G17:N17" si="6">F17</f>
        <v>33.208495243199785</v>
      </c>
      <c r="H17" s="20">
        <f t="shared" si="6"/>
        <v>33.208495243199785</v>
      </c>
      <c r="I17" s="20">
        <f t="shared" si="6"/>
        <v>33.208495243199785</v>
      </c>
      <c r="J17" s="20">
        <f t="shared" si="6"/>
        <v>33.208495243199785</v>
      </c>
      <c r="K17" s="20">
        <f t="shared" si="6"/>
        <v>33.208495243199785</v>
      </c>
      <c r="L17" s="20">
        <f t="shared" si="6"/>
        <v>33.208495243199785</v>
      </c>
      <c r="M17" s="20">
        <f t="shared" si="6"/>
        <v>33.208495243199785</v>
      </c>
      <c r="N17" s="20">
        <f t="shared" si="6"/>
        <v>33.208495243199785</v>
      </c>
    </row>
    <row r="18" spans="1:14" ht="15" customHeight="1" x14ac:dyDescent="0.25">
      <c r="A18" s="69"/>
      <c r="B18" t="s">
        <v>150</v>
      </c>
      <c r="C18" s="59">
        <f>+C75/C61</f>
        <v>5.5540862205765672E-2</v>
      </c>
      <c r="D18" s="59">
        <f>+D75/D61</f>
        <v>4.6764035910491761E-2</v>
      </c>
      <c r="E18" s="45">
        <f>D18</f>
        <v>4.6764035910491761E-2</v>
      </c>
      <c r="F18" s="45">
        <f t="shared" ref="F18:N19" si="7">E18</f>
        <v>4.6764035910491761E-2</v>
      </c>
      <c r="G18" s="45">
        <f t="shared" si="7"/>
        <v>4.6764035910491761E-2</v>
      </c>
      <c r="H18" s="45">
        <f t="shared" si="7"/>
        <v>4.6764035910491761E-2</v>
      </c>
      <c r="I18" s="45">
        <f t="shared" si="7"/>
        <v>4.6764035910491761E-2</v>
      </c>
      <c r="J18" s="45">
        <f t="shared" si="7"/>
        <v>4.6764035910491761E-2</v>
      </c>
      <c r="K18" s="45">
        <f t="shared" si="7"/>
        <v>4.6764035910491761E-2</v>
      </c>
      <c r="L18" s="45">
        <f t="shared" si="7"/>
        <v>4.6764035910491761E-2</v>
      </c>
      <c r="M18" s="45">
        <f t="shared" si="7"/>
        <v>4.6764035910491761E-2</v>
      </c>
      <c r="N18" s="45">
        <f t="shared" si="7"/>
        <v>4.6764035910491761E-2</v>
      </c>
    </row>
    <row r="19" spans="1:14" ht="15" customHeight="1" x14ac:dyDescent="0.25">
      <c r="A19" s="69"/>
      <c r="B19" t="s">
        <v>151</v>
      </c>
      <c r="C19" s="59">
        <f>C38/C61</f>
        <v>2.6315789473684209E-2</v>
      </c>
      <c r="D19" s="59">
        <f>D38/D61</f>
        <v>2.9612756264236904E-2</v>
      </c>
      <c r="E19" s="45">
        <v>2.8000000000000001E-2</v>
      </c>
      <c r="F19" s="45">
        <v>2.5999999999999999E-2</v>
      </c>
      <c r="G19" s="45">
        <v>2.5000000000000001E-2</v>
      </c>
      <c r="H19" s="45">
        <v>2.5000000000000001E-2</v>
      </c>
      <c r="I19" s="45">
        <v>2.5000000000000001E-2</v>
      </c>
      <c r="J19" s="45">
        <f>I19</f>
        <v>2.5000000000000001E-2</v>
      </c>
      <c r="K19" s="45">
        <v>0.02</v>
      </c>
      <c r="L19" s="45">
        <f t="shared" si="7"/>
        <v>0.02</v>
      </c>
      <c r="M19" s="45">
        <f t="shared" si="7"/>
        <v>0.02</v>
      </c>
      <c r="N19" s="45">
        <f t="shared" si="7"/>
        <v>0.02</v>
      </c>
    </row>
    <row r="20" spans="1:14" ht="15" customHeight="1" x14ac:dyDescent="0.25">
      <c r="A20" s="69"/>
      <c r="B20" t="s">
        <v>152</v>
      </c>
      <c r="C20" s="59">
        <f>C80/C61</f>
        <v>0.37238825707484791</v>
      </c>
      <c r="D20" s="59">
        <f>D80/D61</f>
        <v>0.38014203403457053</v>
      </c>
      <c r="E20" s="177">
        <f>D20</f>
        <v>0.38014203403457053</v>
      </c>
      <c r="F20" s="177">
        <v>0.37</v>
      </c>
      <c r="G20" s="177">
        <v>0.36</v>
      </c>
      <c r="H20" s="177">
        <f t="shared" ref="H20:J20" si="8">G20</f>
        <v>0.36</v>
      </c>
      <c r="I20" s="177">
        <f t="shared" si="8"/>
        <v>0.36</v>
      </c>
      <c r="J20" s="177">
        <f t="shared" si="8"/>
        <v>0.36</v>
      </c>
      <c r="K20" s="177">
        <v>0.35</v>
      </c>
      <c r="L20" s="177">
        <f t="shared" ref="L20:N20" si="9">K20</f>
        <v>0.35</v>
      </c>
      <c r="M20" s="177">
        <f t="shared" si="9"/>
        <v>0.35</v>
      </c>
      <c r="N20" s="177">
        <f t="shared" si="9"/>
        <v>0.35</v>
      </c>
    </row>
    <row r="21" spans="1:14" ht="15" customHeight="1" x14ac:dyDescent="0.25">
      <c r="A21" s="69"/>
      <c r="B21" t="s">
        <v>153</v>
      </c>
      <c r="C21" s="59">
        <f>C84/C62</f>
        <v>-0.22145088510933703</v>
      </c>
      <c r="D21" s="59">
        <f>D84/D62</f>
        <v>-0.23536543124350537</v>
      </c>
      <c r="E21" s="177">
        <f>D21</f>
        <v>-0.23536543124350537</v>
      </c>
      <c r="F21" s="177">
        <f>E21</f>
        <v>-0.23536543124350537</v>
      </c>
      <c r="G21" s="177">
        <v>-0.21</v>
      </c>
      <c r="H21" s="177">
        <f t="shared" ref="H21:N21" si="10">G21</f>
        <v>-0.21</v>
      </c>
      <c r="I21" s="177">
        <f t="shared" si="10"/>
        <v>-0.21</v>
      </c>
      <c r="J21" s="177">
        <f t="shared" si="10"/>
        <v>-0.21</v>
      </c>
      <c r="K21" s="177">
        <f t="shared" si="10"/>
        <v>-0.21</v>
      </c>
      <c r="L21" s="177">
        <f t="shared" si="10"/>
        <v>-0.21</v>
      </c>
      <c r="M21" s="177">
        <f t="shared" si="10"/>
        <v>-0.21</v>
      </c>
      <c r="N21" s="177">
        <f t="shared" si="10"/>
        <v>-0.21</v>
      </c>
    </row>
    <row r="22" spans="1:14" ht="15" customHeight="1" x14ac:dyDescent="0.25">
      <c r="A22" s="69"/>
      <c r="B22" t="s">
        <v>154</v>
      </c>
      <c r="C22" s="59">
        <f>C89/C61</f>
        <v>0.1236445384818831</v>
      </c>
      <c r="D22" s="59">
        <f>D89/D61</f>
        <v>0.13922015275358435</v>
      </c>
      <c r="E22" s="177">
        <v>0.13</v>
      </c>
      <c r="F22" s="177">
        <f t="shared" ref="F22:H22" si="11">E22</f>
        <v>0.13</v>
      </c>
      <c r="G22" s="177">
        <f t="shared" si="11"/>
        <v>0.13</v>
      </c>
      <c r="H22" s="177">
        <f t="shared" si="11"/>
        <v>0.13</v>
      </c>
      <c r="I22" s="177">
        <f t="shared" ref="I22:N22" si="12">H22</f>
        <v>0.13</v>
      </c>
      <c r="J22" s="177">
        <f t="shared" si="12"/>
        <v>0.13</v>
      </c>
      <c r="K22" s="177">
        <v>0.11</v>
      </c>
      <c r="L22" s="177">
        <f t="shared" si="12"/>
        <v>0.11</v>
      </c>
      <c r="M22" s="177">
        <f t="shared" si="12"/>
        <v>0.11</v>
      </c>
      <c r="N22" s="177">
        <f t="shared" si="12"/>
        <v>0.11</v>
      </c>
    </row>
    <row r="23" spans="1:14" ht="15" customHeight="1" x14ac:dyDescent="0.25">
      <c r="A23" s="69"/>
    </row>
    <row r="24" spans="1:14" ht="15" customHeight="1" x14ac:dyDescent="0.25">
      <c r="A24" s="69"/>
      <c r="B24" t="s">
        <v>155</v>
      </c>
      <c r="D24">
        <f>D88-C88</f>
        <v>-398</v>
      </c>
      <c r="E24" s="20">
        <v>0</v>
      </c>
      <c r="F24" s="20">
        <v>0</v>
      </c>
      <c r="G24" s="20">
        <v>0</v>
      </c>
      <c r="H24" s="20">
        <v>0</v>
      </c>
      <c r="I24" s="20">
        <v>0</v>
      </c>
      <c r="J24" s="20">
        <v>-750</v>
      </c>
      <c r="K24" s="20">
        <v>0</v>
      </c>
      <c r="L24" s="20">
        <v>0</v>
      </c>
      <c r="M24" s="20">
        <v>0</v>
      </c>
      <c r="N24" s="20">
        <v>0</v>
      </c>
    </row>
    <row r="25" spans="1:14" ht="15" customHeight="1" x14ac:dyDescent="0.25">
      <c r="A25" s="69"/>
      <c r="B25" t="s">
        <v>156</v>
      </c>
      <c r="E25" s="45">
        <v>0.05</v>
      </c>
      <c r="F25" s="45">
        <f>E25</f>
        <v>0.05</v>
      </c>
      <c r="G25" s="45">
        <f t="shared" ref="G25:N25" si="13">F25</f>
        <v>0.05</v>
      </c>
      <c r="H25" s="45">
        <f t="shared" si="13"/>
        <v>0.05</v>
      </c>
      <c r="I25" s="45">
        <f t="shared" si="13"/>
        <v>0.05</v>
      </c>
      <c r="J25" s="45">
        <f t="shared" si="13"/>
        <v>0.05</v>
      </c>
      <c r="K25" s="45">
        <f t="shared" si="13"/>
        <v>0.05</v>
      </c>
      <c r="L25" s="45">
        <f t="shared" si="13"/>
        <v>0.05</v>
      </c>
      <c r="M25" s="45">
        <f t="shared" si="13"/>
        <v>0.05</v>
      </c>
      <c r="N25" s="45">
        <f t="shared" si="13"/>
        <v>0.05</v>
      </c>
    </row>
    <row r="26" spans="1:14" ht="15" customHeight="1" x14ac:dyDescent="0.25">
      <c r="A26" s="69"/>
      <c r="B26" t="s">
        <v>157</v>
      </c>
      <c r="E26" s="45">
        <v>0.05</v>
      </c>
      <c r="F26" s="45">
        <f>E26</f>
        <v>0.05</v>
      </c>
      <c r="G26" s="45">
        <f t="shared" ref="G26:N26" si="14">F26</f>
        <v>0.05</v>
      </c>
      <c r="H26" s="45">
        <f t="shared" si="14"/>
        <v>0.05</v>
      </c>
      <c r="I26" s="45">
        <f t="shared" si="14"/>
        <v>0.05</v>
      </c>
      <c r="J26" s="45">
        <f t="shared" si="14"/>
        <v>0.05</v>
      </c>
      <c r="K26" s="45">
        <f t="shared" si="14"/>
        <v>0.05</v>
      </c>
      <c r="L26" s="45">
        <f t="shared" si="14"/>
        <v>0.05</v>
      </c>
      <c r="M26" s="45">
        <f t="shared" si="14"/>
        <v>0.05</v>
      </c>
      <c r="N26" s="45">
        <f t="shared" si="14"/>
        <v>0.05</v>
      </c>
    </row>
    <row r="27" spans="1:14" ht="15" customHeight="1" x14ac:dyDescent="0.25">
      <c r="A27" s="69"/>
      <c r="B27" t="s">
        <v>158</v>
      </c>
      <c r="E27" s="45">
        <v>0.02</v>
      </c>
      <c r="F27" s="45">
        <f>E27</f>
        <v>0.02</v>
      </c>
      <c r="G27" s="45">
        <f t="shared" ref="G27:N27" si="15">F27</f>
        <v>0.02</v>
      </c>
      <c r="H27" s="45">
        <f t="shared" si="15"/>
        <v>0.02</v>
      </c>
      <c r="I27" s="45">
        <f t="shared" si="15"/>
        <v>0.02</v>
      </c>
      <c r="J27" s="45">
        <f t="shared" si="15"/>
        <v>0.02</v>
      </c>
      <c r="K27" s="45">
        <f t="shared" si="15"/>
        <v>0.02</v>
      </c>
      <c r="L27" s="45">
        <f t="shared" si="15"/>
        <v>0.02</v>
      </c>
      <c r="M27" s="45">
        <f t="shared" si="15"/>
        <v>0.02</v>
      </c>
      <c r="N27" s="45">
        <f t="shared" si="15"/>
        <v>0.02</v>
      </c>
    </row>
    <row r="28" spans="1:14" ht="15" customHeight="1" x14ac:dyDescent="0.25">
      <c r="A28" s="69"/>
    </row>
    <row r="29" spans="1:14" ht="15" customHeight="1" x14ac:dyDescent="0.25">
      <c r="A29" s="69" t="s">
        <v>159</v>
      </c>
    </row>
    <row r="30" spans="1:14" ht="15" customHeight="1" x14ac:dyDescent="0.25">
      <c r="A30" s="69"/>
      <c r="B30" s="57" t="s">
        <v>77</v>
      </c>
    </row>
    <row r="31" spans="1:14" ht="15" customHeight="1" x14ac:dyDescent="0.25">
      <c r="A31" s="69"/>
      <c r="B31" t="s">
        <v>160</v>
      </c>
      <c r="E31">
        <f>D34</f>
        <v>1700</v>
      </c>
      <c r="F31">
        <f t="shared" ref="F31:N31" si="16">E34</f>
        <v>2361.5203200000014</v>
      </c>
      <c r="G31">
        <f t="shared" si="16"/>
        <v>2361.5203200000014</v>
      </c>
      <c r="H31">
        <f t="shared" si="16"/>
        <v>2451.6418792748809</v>
      </c>
      <c r="I31">
        <f t="shared" si="16"/>
        <v>2500.8482506389646</v>
      </c>
      <c r="J31">
        <f t="shared" si="16"/>
        <v>2554.0895444549024</v>
      </c>
      <c r="K31">
        <f t="shared" si="16"/>
        <v>2611.3239353070367</v>
      </c>
      <c r="L31">
        <f t="shared" si="16"/>
        <v>2671.9923896102991</v>
      </c>
      <c r="M31">
        <f t="shared" si="16"/>
        <v>2735.0875820856909</v>
      </c>
      <c r="N31">
        <f t="shared" si="16"/>
        <v>2800.3911062977222</v>
      </c>
    </row>
    <row r="32" spans="1:14" ht="15" customHeight="1" x14ac:dyDescent="0.25">
      <c r="A32" s="69"/>
      <c r="B32" t="s">
        <v>42</v>
      </c>
      <c r="C32" s="52">
        <f>Accounting!D16</f>
        <v>7430</v>
      </c>
      <c r="D32" s="52">
        <f>Accounting!E16</f>
        <v>7355</v>
      </c>
      <c r="E32">
        <f t="shared" ref="E32:N32" si="17">E10*E61</f>
        <v>8930.5243200000023</v>
      </c>
      <c r="F32">
        <f t="shared" si="17"/>
        <v>8566.6881440000016</v>
      </c>
      <c r="G32">
        <f t="shared" si="17"/>
        <v>9102.2774867628814</v>
      </c>
      <c r="H32">
        <f t="shared" si="17"/>
        <v>9890.4806441809833</v>
      </c>
      <c r="I32">
        <f t="shared" si="17"/>
        <v>10701.500057003825</v>
      </c>
      <c r="J32">
        <f t="shared" si="17"/>
        <v>11504.112561279113</v>
      </c>
      <c r="K32">
        <f t="shared" si="17"/>
        <v>12194.35931495586</v>
      </c>
      <c r="L32">
        <f t="shared" si="17"/>
        <v>12682.133687554093</v>
      </c>
      <c r="M32">
        <f t="shared" si="17"/>
        <v>13126.008366618486</v>
      </c>
      <c r="N32">
        <f t="shared" si="17"/>
        <v>13519.78861761704</v>
      </c>
    </row>
    <row r="33" spans="1:14" ht="15" customHeight="1" x14ac:dyDescent="0.25">
      <c r="A33" s="69"/>
      <c r="B33" t="s">
        <v>161</v>
      </c>
      <c r="C33">
        <f>C61*-1</f>
        <v>-7562</v>
      </c>
      <c r="D33">
        <f>D61*-1</f>
        <v>-7463</v>
      </c>
      <c r="E33">
        <f>-E61</f>
        <v>-8269.0040000000008</v>
      </c>
      <c r="F33">
        <f t="shared" ref="F33:M33" si="18">-F61</f>
        <v>-8566.6881440000016</v>
      </c>
      <c r="G33">
        <f t="shared" si="18"/>
        <v>-9012.1559274880019</v>
      </c>
      <c r="H33">
        <f t="shared" si="18"/>
        <v>-9841.2742728168996</v>
      </c>
      <c r="I33">
        <f t="shared" si="18"/>
        <v>-10648.258763187887</v>
      </c>
      <c r="J33">
        <f t="shared" si="18"/>
        <v>-11446.878170426979</v>
      </c>
      <c r="K33">
        <f t="shared" si="18"/>
        <v>-12133.690860652598</v>
      </c>
      <c r="L33">
        <f t="shared" si="18"/>
        <v>-12619.038495078701</v>
      </c>
      <c r="M33">
        <f t="shared" si="18"/>
        <v>-13060.704842406454</v>
      </c>
      <c r="N33">
        <f t="shared" ref="N33" si="19">-N61</f>
        <v>-13452.525987678648</v>
      </c>
    </row>
    <row r="34" spans="1:14" ht="15" customHeight="1" x14ac:dyDescent="0.25">
      <c r="A34" s="69"/>
      <c r="B34" t="s">
        <v>162</v>
      </c>
      <c r="D34">
        <f>D85</f>
        <v>1700</v>
      </c>
      <c r="E34">
        <f>SUM(E31:E33)</f>
        <v>2361.5203200000014</v>
      </c>
      <c r="F34">
        <f t="shared" ref="F34:M34" si="20">SUM(F31:F33)</f>
        <v>2361.5203200000014</v>
      </c>
      <c r="G34">
        <f t="shared" si="20"/>
        <v>2451.6418792748809</v>
      </c>
      <c r="H34">
        <f t="shared" si="20"/>
        <v>2500.8482506389646</v>
      </c>
      <c r="I34">
        <f t="shared" si="20"/>
        <v>2554.0895444549024</v>
      </c>
      <c r="J34">
        <f t="shared" si="20"/>
        <v>2611.3239353070367</v>
      </c>
      <c r="K34">
        <f t="shared" si="20"/>
        <v>2671.9923896102991</v>
      </c>
      <c r="L34">
        <f t="shared" si="20"/>
        <v>2735.0875820856909</v>
      </c>
      <c r="M34">
        <f t="shared" si="20"/>
        <v>2800.3911062977222</v>
      </c>
      <c r="N34">
        <f t="shared" ref="N34" si="21">SUM(N31:N33)</f>
        <v>2867.6537362361141</v>
      </c>
    </row>
    <row r="35" spans="1:14" ht="15" customHeight="1" x14ac:dyDescent="0.25">
      <c r="A35" s="69"/>
      <c r="C35" s="59"/>
      <c r="D35" s="59"/>
    </row>
    <row r="36" spans="1:14" ht="15" customHeight="1" x14ac:dyDescent="0.25">
      <c r="A36" s="69"/>
      <c r="B36" s="57" t="s">
        <v>163</v>
      </c>
    </row>
    <row r="37" spans="1:14" ht="15" customHeight="1" x14ac:dyDescent="0.25">
      <c r="A37" s="69"/>
      <c r="B37" t="s">
        <v>160</v>
      </c>
      <c r="E37">
        <f>D40</f>
        <v>879</v>
      </c>
      <c r="F37">
        <f t="shared" ref="F37:N37" si="22">E40</f>
        <v>864.41211200000009</v>
      </c>
      <c r="G37">
        <f t="shared" si="22"/>
        <v>845.11061238400009</v>
      </c>
      <c r="H37">
        <f t="shared" si="22"/>
        <v>833.78353910367991</v>
      </c>
      <c r="I37">
        <f t="shared" si="22"/>
        <v>846.35600497507198</v>
      </c>
      <c r="J37">
        <f t="shared" si="22"/>
        <v>875.58279266174895</v>
      </c>
      <c r="K37">
        <f t="shared" si="22"/>
        <v>916.59156497713377</v>
      </c>
      <c r="L37">
        <f t="shared" si="22"/>
        <v>902.61974399658834</v>
      </c>
      <c r="M37">
        <f t="shared" si="22"/>
        <v>902.26698557911755</v>
      </c>
      <c r="N37">
        <f t="shared" si="22"/>
        <v>910.84632646509385</v>
      </c>
    </row>
    <row r="38" spans="1:14" ht="15" customHeight="1" x14ac:dyDescent="0.25">
      <c r="A38" s="69"/>
      <c r="B38" t="s">
        <v>164</v>
      </c>
      <c r="C38" s="79">
        <v>199</v>
      </c>
      <c r="D38" s="79">
        <v>221</v>
      </c>
      <c r="E38">
        <f t="shared" ref="E38:N38" si="23">E19*E61</f>
        <v>231.53211200000004</v>
      </c>
      <c r="F38">
        <f t="shared" si="23"/>
        <v>222.73389174400003</v>
      </c>
      <c r="G38">
        <f t="shared" si="23"/>
        <v>225.30389818720005</v>
      </c>
      <c r="H38">
        <f t="shared" si="23"/>
        <v>246.03185682042249</v>
      </c>
      <c r="I38">
        <f t="shared" si="23"/>
        <v>266.20646907969717</v>
      </c>
      <c r="J38">
        <f t="shared" si="23"/>
        <v>286.17195426067445</v>
      </c>
      <c r="K38">
        <f t="shared" si="23"/>
        <v>242.67381721305196</v>
      </c>
      <c r="L38">
        <f t="shared" si="23"/>
        <v>252.38076990157404</v>
      </c>
      <c r="M38">
        <f t="shared" si="23"/>
        <v>261.21409684812909</v>
      </c>
      <c r="N38">
        <f t="shared" si="23"/>
        <v>269.05051975357298</v>
      </c>
    </row>
    <row r="39" spans="1:14" ht="15" customHeight="1" x14ac:dyDescent="0.25">
      <c r="A39" s="69"/>
      <c r="B39" t="s">
        <v>165</v>
      </c>
      <c r="C39" s="79"/>
      <c r="D39" s="79"/>
      <c r="E39">
        <f>-E11*E37*-1</f>
        <v>-246.12000000000003</v>
      </c>
      <c r="F39">
        <f t="shared" ref="F39:N39" si="24">-F11*F37*-1</f>
        <v>-242.03539136000006</v>
      </c>
      <c r="G39">
        <f t="shared" si="24"/>
        <v>-236.63097146752006</v>
      </c>
      <c r="H39">
        <f t="shared" si="24"/>
        <v>-233.45939094903039</v>
      </c>
      <c r="I39">
        <f t="shared" si="24"/>
        <v>-236.97968139302017</v>
      </c>
      <c r="J39">
        <f t="shared" si="24"/>
        <v>-245.16318194528972</v>
      </c>
      <c r="K39">
        <f t="shared" si="24"/>
        <v>-256.64563819359751</v>
      </c>
      <c r="L39">
        <f t="shared" si="24"/>
        <v>-252.73352831904475</v>
      </c>
      <c r="M39">
        <f t="shared" si="24"/>
        <v>-252.63475596215292</v>
      </c>
      <c r="N39">
        <f t="shared" si="24"/>
        <v>-255.0369714102263</v>
      </c>
    </row>
    <row r="40" spans="1:14" ht="15" customHeight="1" x14ac:dyDescent="0.25">
      <c r="A40" s="69"/>
      <c r="B40" t="s">
        <v>162</v>
      </c>
      <c r="D40">
        <f>D78</f>
        <v>879</v>
      </c>
      <c r="E40">
        <f t="shared" ref="E40" si="25">SUM(E37:E39)</f>
        <v>864.41211200000009</v>
      </c>
      <c r="F40">
        <f t="shared" ref="F40:M40" si="26">SUM(F37:F39)</f>
        <v>845.11061238400009</v>
      </c>
      <c r="G40">
        <f t="shared" si="26"/>
        <v>833.78353910367991</v>
      </c>
      <c r="H40">
        <f t="shared" si="26"/>
        <v>846.35600497507198</v>
      </c>
      <c r="I40">
        <f t="shared" si="26"/>
        <v>875.58279266174895</v>
      </c>
      <c r="J40">
        <f t="shared" si="26"/>
        <v>916.59156497713377</v>
      </c>
      <c r="K40">
        <f t="shared" si="26"/>
        <v>902.61974399658834</v>
      </c>
      <c r="L40">
        <f t="shared" si="26"/>
        <v>902.26698557911755</v>
      </c>
      <c r="M40">
        <f t="shared" si="26"/>
        <v>910.84632646509385</v>
      </c>
      <c r="N40">
        <f t="shared" ref="N40" si="27">SUM(N37:N39)</f>
        <v>924.8598748084404</v>
      </c>
    </row>
    <row r="41" spans="1:14" ht="15" customHeight="1" x14ac:dyDescent="0.25">
      <c r="A41" s="69"/>
      <c r="C41" s="59"/>
      <c r="D41" s="59"/>
      <c r="E41" s="59"/>
      <c r="F41" s="59"/>
      <c r="G41" s="59"/>
      <c r="H41" s="59"/>
      <c r="I41" s="59"/>
      <c r="J41" s="59"/>
      <c r="K41" s="59"/>
      <c r="L41" s="59"/>
      <c r="M41" s="59"/>
      <c r="N41" s="59"/>
    </row>
    <row r="42" spans="1:14" ht="15" customHeight="1" x14ac:dyDescent="0.25">
      <c r="A42" s="69"/>
      <c r="B42" s="57" t="s">
        <v>166</v>
      </c>
      <c r="J42" s="59"/>
      <c r="K42" s="59"/>
      <c r="L42" s="59"/>
      <c r="M42" s="59"/>
      <c r="N42" s="59"/>
    </row>
    <row r="43" spans="1:14" ht="15" customHeight="1" x14ac:dyDescent="0.25">
      <c r="A43" s="69"/>
      <c r="B43" t="s">
        <v>160</v>
      </c>
      <c r="E43">
        <f>D46</f>
        <v>6386</v>
      </c>
      <c r="F43">
        <f t="shared" ref="F43:N43" ca="1" si="28">E46</f>
        <v>6700.3857140411874</v>
      </c>
      <c r="G43">
        <f t="shared" ca="1" si="28"/>
        <v>7020.7973721612443</v>
      </c>
      <c r="H43">
        <f t="shared" ca="1" si="28"/>
        <v>7404.0878021532044</v>
      </c>
      <c r="I43">
        <f t="shared" ca="1" si="28"/>
        <v>7813.3903963857256</v>
      </c>
      <c r="J43">
        <f t="shared" ca="1" si="28"/>
        <v>8257.2435466388379</v>
      </c>
      <c r="K43">
        <f t="shared" ca="1" si="28"/>
        <v>8737.1654670780281</v>
      </c>
      <c r="L43">
        <f t="shared" ca="1" si="28"/>
        <v>9248.5283254710175</v>
      </c>
      <c r="M43">
        <f t="shared" ca="1" si="28"/>
        <v>9781.4080218804429</v>
      </c>
      <c r="N43">
        <f t="shared" ca="1" si="28"/>
        <v>10334.287284943826</v>
      </c>
    </row>
    <row r="44" spans="1:14" ht="15" customHeight="1" x14ac:dyDescent="0.25">
      <c r="A44" s="69"/>
      <c r="B44" t="s">
        <v>167</v>
      </c>
      <c r="E44">
        <f t="shared" ref="E44" ca="1" si="29">E70</f>
        <v>1571.9285702059408</v>
      </c>
      <c r="F44">
        <f t="shared" ref="F44:M44" ca="1" si="30">F70</f>
        <v>1602.0582906002853</v>
      </c>
      <c r="G44">
        <f t="shared" ca="1" si="30"/>
        <v>1916.4521499598047</v>
      </c>
      <c r="H44">
        <f t="shared" ca="1" si="30"/>
        <v>2046.5129711626023</v>
      </c>
      <c r="I44">
        <f t="shared" ca="1" si="30"/>
        <v>2219.2657512655655</v>
      </c>
      <c r="J44">
        <f t="shared" ca="1" si="30"/>
        <v>2399.6096021959529</v>
      </c>
      <c r="K44">
        <f t="shared" ca="1" si="30"/>
        <v>2556.8142919649508</v>
      </c>
      <c r="L44">
        <f t="shared" ca="1" si="30"/>
        <v>2664.3984820471251</v>
      </c>
      <c r="M44">
        <f t="shared" ca="1" si="30"/>
        <v>2764.3963153169198</v>
      </c>
      <c r="N44">
        <f t="shared" ref="N44" ca="1" si="31">N70</f>
        <v>2854.3838988588395</v>
      </c>
    </row>
    <row r="45" spans="1:14" ht="15" customHeight="1" x14ac:dyDescent="0.25">
      <c r="A45" s="69"/>
      <c r="B45" t="s">
        <v>168</v>
      </c>
      <c r="C45" s="161">
        <f>-205-1300</f>
        <v>-1505</v>
      </c>
      <c r="D45" s="79">
        <f>-2508-199</f>
        <v>-2707</v>
      </c>
      <c r="E45">
        <f t="shared" ref="E45:N45" ca="1" si="32">-E15*E44</f>
        <v>-1257.5428561647527</v>
      </c>
      <c r="F45">
        <f t="shared" ca="1" si="32"/>
        <v>-1281.6466324802284</v>
      </c>
      <c r="G45">
        <f t="shared" ca="1" si="32"/>
        <v>-1533.161719967844</v>
      </c>
      <c r="H45">
        <f t="shared" ca="1" si="32"/>
        <v>-1637.210376930082</v>
      </c>
      <c r="I45">
        <f t="shared" ca="1" si="32"/>
        <v>-1775.4126010124526</v>
      </c>
      <c r="J45">
        <f t="shared" ca="1" si="32"/>
        <v>-1919.6876817567625</v>
      </c>
      <c r="K45">
        <f t="shared" ca="1" si="32"/>
        <v>-2045.4514335719607</v>
      </c>
      <c r="L45">
        <f t="shared" ca="1" si="32"/>
        <v>-2131.5187856377001</v>
      </c>
      <c r="M45">
        <f t="shared" ca="1" si="32"/>
        <v>-2211.5170522535359</v>
      </c>
      <c r="N45">
        <f t="shared" ca="1" si="32"/>
        <v>-2283.5071190870717</v>
      </c>
    </row>
    <row r="46" spans="1:14" ht="15" customHeight="1" x14ac:dyDescent="0.25">
      <c r="A46" s="69"/>
      <c r="B46" t="s">
        <v>162</v>
      </c>
      <c r="D46">
        <f>D92</f>
        <v>6386</v>
      </c>
      <c r="E46">
        <f t="shared" ref="E46:N46" ca="1" si="33">SUM(E43:E45)</f>
        <v>6700.3857140411874</v>
      </c>
      <c r="F46">
        <f t="shared" ca="1" si="33"/>
        <v>7020.7973721612443</v>
      </c>
      <c r="G46">
        <f t="shared" ca="1" si="33"/>
        <v>7404.0878021532044</v>
      </c>
      <c r="H46">
        <f t="shared" ca="1" si="33"/>
        <v>7813.3903963857256</v>
      </c>
      <c r="I46">
        <f t="shared" ca="1" si="33"/>
        <v>8257.2435466388379</v>
      </c>
      <c r="J46">
        <f t="shared" ca="1" si="33"/>
        <v>8737.1654670780281</v>
      </c>
      <c r="K46">
        <f t="shared" ca="1" si="33"/>
        <v>9248.5283254710175</v>
      </c>
      <c r="L46">
        <f t="shared" ca="1" si="33"/>
        <v>9781.4080218804429</v>
      </c>
      <c r="M46">
        <f t="shared" ca="1" si="33"/>
        <v>10334.287284943826</v>
      </c>
      <c r="N46">
        <f t="shared" ca="1" si="33"/>
        <v>10905.164064715595</v>
      </c>
    </row>
    <row r="47" spans="1:14" ht="15" customHeight="1" x14ac:dyDescent="0.25">
      <c r="A47" s="69"/>
    </row>
    <row r="48" spans="1:14" ht="15" customHeight="1" x14ac:dyDescent="0.25">
      <c r="A48" s="69"/>
      <c r="B48" t="s">
        <v>65</v>
      </c>
      <c r="C48">
        <f t="shared" ref="C48" si="34">C74</f>
        <v>565</v>
      </c>
      <c r="D48">
        <f t="shared" ref="D48" si="35">D74</f>
        <v>679</v>
      </c>
      <c r="E48">
        <f t="shared" ref="E48:M48" si="36">E74</f>
        <v>752.33199999999999</v>
      </c>
      <c r="F48">
        <f t="shared" si="36"/>
        <v>779.41595200000006</v>
      </c>
      <c r="G48">
        <f t="shared" si="36"/>
        <v>819.94558150400007</v>
      </c>
      <c r="H48">
        <f t="shared" si="36"/>
        <v>895.38057500236835</v>
      </c>
      <c r="I48">
        <f t="shared" si="36"/>
        <v>968.80178215256274</v>
      </c>
      <c r="J48">
        <f t="shared" si="36"/>
        <v>1041.4619158140049</v>
      </c>
      <c r="K48">
        <f t="shared" si="36"/>
        <v>1103.9496307628453</v>
      </c>
      <c r="L48">
        <f t="shared" si="36"/>
        <v>1148.1076159933591</v>
      </c>
      <c r="M48">
        <f t="shared" si="36"/>
        <v>1188.2913825531264</v>
      </c>
      <c r="N48">
        <f t="shared" ref="N48" si="37">N74</f>
        <v>1223.94012402972</v>
      </c>
    </row>
    <row r="49" spans="1:14" ht="15" customHeight="1" x14ac:dyDescent="0.25">
      <c r="A49" s="69"/>
      <c r="B49" t="s">
        <v>69</v>
      </c>
      <c r="C49">
        <f t="shared" ref="C49" si="38">C75</f>
        <v>420</v>
      </c>
      <c r="D49">
        <f t="shared" ref="D49" si="39">D75</f>
        <v>349</v>
      </c>
      <c r="E49">
        <f t="shared" ref="E49:M49" si="40">E75</f>
        <v>386.69200000000006</v>
      </c>
      <c r="F49">
        <f t="shared" si="40"/>
        <v>400.61291200000011</v>
      </c>
      <c r="G49">
        <f t="shared" si="40"/>
        <v>421.44478342400009</v>
      </c>
      <c r="H49">
        <f t="shared" si="40"/>
        <v>460.21770349900817</v>
      </c>
      <c r="I49">
        <f t="shared" si="40"/>
        <v>497.95555518592693</v>
      </c>
      <c r="J49">
        <f t="shared" si="40"/>
        <v>535.30222182487148</v>
      </c>
      <c r="K49">
        <f t="shared" si="40"/>
        <v>567.42035513436372</v>
      </c>
      <c r="L49">
        <f t="shared" si="40"/>
        <v>590.11716933973833</v>
      </c>
      <c r="M49">
        <f t="shared" si="40"/>
        <v>610.77127026662902</v>
      </c>
      <c r="N49">
        <f t="shared" ref="N49" si="41">N75</f>
        <v>629.09440837462796</v>
      </c>
    </row>
    <row r="50" spans="1:14" ht="15" customHeight="1" x14ac:dyDescent="0.25">
      <c r="A50" s="69"/>
      <c r="B50" t="s">
        <v>169</v>
      </c>
      <c r="C50">
        <f t="shared" ref="C50" si="42">C84</f>
        <v>1276</v>
      </c>
      <c r="D50">
        <f t="shared" ref="D50" si="43">D84</f>
        <v>1359</v>
      </c>
      <c r="E50">
        <f t="shared" ref="E50:M50" si="44">E84</f>
        <v>1475.2956337014202</v>
      </c>
      <c r="F50">
        <f t="shared" si="44"/>
        <v>1502.1943472732362</v>
      </c>
      <c r="G50">
        <f t="shared" si="44"/>
        <v>1392.9649737904324</v>
      </c>
      <c r="H50">
        <f t="shared" si="44"/>
        <v>1521.1177513791522</v>
      </c>
      <c r="I50">
        <f t="shared" si="44"/>
        <v>1645.8494069922431</v>
      </c>
      <c r="J50">
        <f t="shared" si="44"/>
        <v>1769.2881125166612</v>
      </c>
      <c r="K50">
        <f t="shared" si="44"/>
        <v>1875.4453992676611</v>
      </c>
      <c r="L50">
        <f t="shared" si="44"/>
        <v>1950.4632152383674</v>
      </c>
      <c r="M50">
        <f t="shared" si="44"/>
        <v>2018.7294277717101</v>
      </c>
      <c r="N50">
        <f t="shared" ref="N50" si="45">N84</f>
        <v>2079.2913106048613</v>
      </c>
    </row>
    <row r="51" spans="1:14" ht="15" customHeight="1" x14ac:dyDescent="0.25">
      <c r="A51" s="69"/>
      <c r="B51" t="s">
        <v>77</v>
      </c>
      <c r="C51">
        <f t="shared" ref="C51" si="46">C85</f>
        <v>1814</v>
      </c>
      <c r="D51">
        <f t="shared" ref="D51" si="47">D85</f>
        <v>1700</v>
      </c>
      <c r="E51">
        <f t="shared" ref="E51:M51" si="48">E85</f>
        <v>2361.5203200000014</v>
      </c>
      <c r="F51">
        <f t="shared" si="48"/>
        <v>2361.5203200000014</v>
      </c>
      <c r="G51">
        <f t="shared" si="48"/>
        <v>2451.6418792748809</v>
      </c>
      <c r="H51">
        <f t="shared" si="48"/>
        <v>2500.8482506389646</v>
      </c>
      <c r="I51">
        <f t="shared" si="48"/>
        <v>2554.0895444549024</v>
      </c>
      <c r="J51">
        <f t="shared" si="48"/>
        <v>2611.3239353070367</v>
      </c>
      <c r="K51">
        <f t="shared" si="48"/>
        <v>2671.9923896102991</v>
      </c>
      <c r="L51">
        <f t="shared" si="48"/>
        <v>2735.0875820856909</v>
      </c>
      <c r="M51">
        <f t="shared" si="48"/>
        <v>2800.3911062977222</v>
      </c>
      <c r="N51">
        <f t="shared" ref="N51" si="49">N85</f>
        <v>2867.6537362361141</v>
      </c>
    </row>
    <row r="52" spans="1:14" ht="15" customHeight="1" x14ac:dyDescent="0.25">
      <c r="A52" s="69"/>
      <c r="B52" t="s">
        <v>170</v>
      </c>
      <c r="C52">
        <f t="shared" ref="C52" si="50">C48+C49-C50-C51</f>
        <v>-2105</v>
      </c>
      <c r="D52">
        <f t="shared" ref="D52" si="51">D48+D49-D50-D51</f>
        <v>-2031</v>
      </c>
      <c r="E52">
        <f t="shared" ref="E52:M52" si="52">E48+E49-E50-E51</f>
        <v>-2697.7919537014213</v>
      </c>
      <c r="F52">
        <f t="shared" si="52"/>
        <v>-2683.6858032732375</v>
      </c>
      <c r="G52">
        <f t="shared" si="52"/>
        <v>-2603.2164881373133</v>
      </c>
      <c r="H52">
        <f t="shared" si="52"/>
        <v>-2666.3677235167402</v>
      </c>
      <c r="I52">
        <f t="shared" si="52"/>
        <v>-2733.1816141086556</v>
      </c>
      <c r="J52">
        <f t="shared" si="52"/>
        <v>-2803.8479101848216</v>
      </c>
      <c r="K52">
        <f t="shared" si="52"/>
        <v>-2876.0678029807514</v>
      </c>
      <c r="L52">
        <f t="shared" si="52"/>
        <v>-2947.326011990961</v>
      </c>
      <c r="M52">
        <f t="shared" si="52"/>
        <v>-3020.0578812496769</v>
      </c>
      <c r="N52">
        <f t="shared" ref="N52" si="53">N48+N49-N50-N51</f>
        <v>-3093.9105144366276</v>
      </c>
    </row>
    <row r="53" spans="1:14" ht="15" customHeight="1" x14ac:dyDescent="0.25">
      <c r="A53" s="69"/>
      <c r="C53" s="59"/>
      <c r="D53" s="59"/>
      <c r="H53" s="59"/>
      <c r="I53" s="59"/>
      <c r="J53" s="59"/>
      <c r="K53" s="59"/>
      <c r="L53" s="59"/>
      <c r="M53" s="59"/>
      <c r="N53" s="59"/>
    </row>
    <row r="54" spans="1:14" ht="15" customHeight="1" x14ac:dyDescent="0.25">
      <c r="A54" s="69"/>
      <c r="B54" t="s">
        <v>171</v>
      </c>
      <c r="C54" s="79">
        <v>2384</v>
      </c>
      <c r="D54" s="79">
        <v>2331</v>
      </c>
      <c r="E54">
        <f t="shared" ref="E54:N54" si="54">E8*E61</f>
        <v>2712.2333120000003</v>
      </c>
      <c r="F54">
        <f t="shared" si="54"/>
        <v>2921.2406571040005</v>
      </c>
      <c r="G54">
        <f t="shared" si="54"/>
        <v>3154.2545746208007</v>
      </c>
      <c r="H54">
        <f t="shared" si="54"/>
        <v>3444.4459954859149</v>
      </c>
      <c r="I54">
        <f t="shared" si="54"/>
        <v>3726.8905671157599</v>
      </c>
      <c r="J54">
        <f t="shared" si="54"/>
        <v>4006.4073596494422</v>
      </c>
      <c r="K54">
        <f t="shared" si="54"/>
        <v>4246.791801228409</v>
      </c>
      <c r="L54">
        <f t="shared" si="54"/>
        <v>4416.6634732775447</v>
      </c>
      <c r="M54">
        <f t="shared" si="54"/>
        <v>4571.2466948422589</v>
      </c>
      <c r="N54">
        <f t="shared" si="54"/>
        <v>4708.3840956875265</v>
      </c>
    </row>
    <row r="55" spans="1:14" ht="15" customHeight="1" x14ac:dyDescent="0.25">
      <c r="A55" s="69"/>
      <c r="B55" t="s">
        <v>172</v>
      </c>
      <c r="C55" s="79">
        <v>-584</v>
      </c>
      <c r="D55" s="79">
        <v>-642</v>
      </c>
      <c r="E55">
        <f t="shared" ref="E55:N55" si="55">E9*E61</f>
        <v>-711.33600000000013</v>
      </c>
      <c r="F55">
        <f t="shared" si="55"/>
        <v>-736.94409600000017</v>
      </c>
      <c r="G55">
        <f t="shared" si="55"/>
        <v>-775.26518899200016</v>
      </c>
      <c r="H55">
        <f t="shared" si="55"/>
        <v>-846.58958637926435</v>
      </c>
      <c r="I55">
        <f t="shared" si="55"/>
        <v>-916.00993246236408</v>
      </c>
      <c r="J55">
        <f t="shared" si="55"/>
        <v>-984.71067739704142</v>
      </c>
      <c r="K55">
        <f t="shared" si="55"/>
        <v>-1043.7933180408641</v>
      </c>
      <c r="L55">
        <f t="shared" si="55"/>
        <v>-1085.5450507624985</v>
      </c>
      <c r="M55">
        <f t="shared" si="55"/>
        <v>-1123.5391275391858</v>
      </c>
      <c r="N55">
        <f t="shared" si="55"/>
        <v>-1157.2453013653615</v>
      </c>
    </row>
    <row r="56" spans="1:14" ht="15" customHeight="1" x14ac:dyDescent="0.25">
      <c r="A56" s="69"/>
      <c r="B56" t="s">
        <v>49</v>
      </c>
      <c r="C56">
        <f t="shared" ref="C56:N56" si="56">SUM(C54:C55)</f>
        <v>1800</v>
      </c>
      <c r="D56">
        <f t="shared" si="56"/>
        <v>1689</v>
      </c>
      <c r="E56">
        <f t="shared" si="56"/>
        <v>2000.8973120000001</v>
      </c>
      <c r="F56">
        <f t="shared" si="56"/>
        <v>2184.2965611040004</v>
      </c>
      <c r="G56">
        <f t="shared" si="56"/>
        <v>2378.9893856288004</v>
      </c>
      <c r="H56">
        <f t="shared" si="56"/>
        <v>2597.8564091066505</v>
      </c>
      <c r="I56">
        <f t="shared" si="56"/>
        <v>2810.8806346533956</v>
      </c>
      <c r="J56">
        <f t="shared" si="56"/>
        <v>3021.6966822524009</v>
      </c>
      <c r="K56">
        <f t="shared" si="56"/>
        <v>3202.9984831875449</v>
      </c>
      <c r="L56">
        <f t="shared" si="56"/>
        <v>3331.1184225150464</v>
      </c>
      <c r="M56">
        <f t="shared" si="56"/>
        <v>3447.7075673030731</v>
      </c>
      <c r="N56">
        <f t="shared" si="56"/>
        <v>3551.1387943221653</v>
      </c>
    </row>
    <row r="57" spans="1:14" ht="15" customHeight="1" x14ac:dyDescent="0.25">
      <c r="A57" s="69"/>
      <c r="B57" t="s">
        <v>173</v>
      </c>
      <c r="C57">
        <f>SUM(Accounting!D31:D32)</f>
        <v>302</v>
      </c>
      <c r="D57">
        <f>SUM(Accounting!E31:E32)</f>
        <v>299</v>
      </c>
      <c r="E57">
        <f t="shared" ref="E57:N57" si="57">E39*-1</f>
        <v>246.12000000000003</v>
      </c>
      <c r="F57">
        <f t="shared" si="57"/>
        <v>242.03539136000006</v>
      </c>
      <c r="G57">
        <f t="shared" si="57"/>
        <v>236.63097146752006</v>
      </c>
      <c r="H57">
        <f t="shared" si="57"/>
        <v>233.45939094903039</v>
      </c>
      <c r="I57">
        <f t="shared" si="57"/>
        <v>236.97968139302017</v>
      </c>
      <c r="J57">
        <f t="shared" si="57"/>
        <v>245.16318194528972</v>
      </c>
      <c r="K57">
        <f t="shared" si="57"/>
        <v>256.64563819359751</v>
      </c>
      <c r="L57">
        <f t="shared" si="57"/>
        <v>252.73352831904475</v>
      </c>
      <c r="M57">
        <f t="shared" si="57"/>
        <v>252.63475596215292</v>
      </c>
      <c r="N57">
        <f t="shared" si="57"/>
        <v>255.0369714102263</v>
      </c>
    </row>
    <row r="58" spans="1:14" ht="15" customHeight="1" x14ac:dyDescent="0.25">
      <c r="A58" s="69"/>
      <c r="B58" t="s">
        <v>52</v>
      </c>
      <c r="C58">
        <f>SUM(C56:C57)</f>
        <v>2102</v>
      </c>
      <c r="D58">
        <f>SUM(D56:D57)</f>
        <v>1988</v>
      </c>
      <c r="E58">
        <f t="shared" ref="E58:N58" si="58">SUM(E56:E57)</f>
        <v>2247.0173119999999</v>
      </c>
      <c r="F58">
        <f t="shared" si="58"/>
        <v>2426.3319524640006</v>
      </c>
      <c r="G58">
        <f t="shared" si="58"/>
        <v>2615.6203570963203</v>
      </c>
      <c r="H58">
        <f t="shared" si="58"/>
        <v>2831.3158000556809</v>
      </c>
      <c r="I58">
        <f t="shared" si="58"/>
        <v>3047.8603160464158</v>
      </c>
      <c r="J58">
        <f t="shared" si="58"/>
        <v>3266.8598641976905</v>
      </c>
      <c r="K58">
        <f t="shared" si="58"/>
        <v>3459.6441213811422</v>
      </c>
      <c r="L58">
        <f t="shared" si="58"/>
        <v>3583.851950834091</v>
      </c>
      <c r="M58">
        <f t="shared" si="58"/>
        <v>3700.3423232652262</v>
      </c>
      <c r="N58">
        <f t="shared" si="58"/>
        <v>3806.1757657323915</v>
      </c>
    </row>
    <row r="59" spans="1:14" ht="15" customHeight="1" x14ac:dyDescent="0.25">
      <c r="A59" s="69"/>
      <c r="C59" s="59"/>
      <c r="D59" s="59"/>
      <c r="H59" s="59"/>
      <c r="I59" s="59"/>
      <c r="J59" s="59"/>
      <c r="K59" s="59"/>
      <c r="L59" s="59"/>
      <c r="M59" s="59"/>
      <c r="N59" s="59"/>
    </row>
    <row r="60" spans="1:14" ht="15" customHeight="1" x14ac:dyDescent="0.25">
      <c r="A60" s="69" t="s">
        <v>174</v>
      </c>
    </row>
    <row r="61" spans="1:14" ht="15" customHeight="1" x14ac:dyDescent="0.25">
      <c r="A61" s="69"/>
      <c r="B61" t="s">
        <v>175</v>
      </c>
      <c r="C61">
        <f>Accounting!D14</f>
        <v>7562</v>
      </c>
      <c r="D61">
        <f>Accounting!E14</f>
        <v>7463</v>
      </c>
      <c r="E61">
        <f t="shared" ref="E61:N61" si="59">(1+E7)*D61</f>
        <v>8269.0040000000008</v>
      </c>
      <c r="F61">
        <f t="shared" si="59"/>
        <v>8566.6881440000016</v>
      </c>
      <c r="G61">
        <f t="shared" si="59"/>
        <v>9012.1559274880019</v>
      </c>
      <c r="H61">
        <f t="shared" si="59"/>
        <v>9841.2742728168996</v>
      </c>
      <c r="I61">
        <f t="shared" si="59"/>
        <v>10648.258763187887</v>
      </c>
      <c r="J61">
        <f t="shared" si="59"/>
        <v>11446.878170426979</v>
      </c>
      <c r="K61">
        <f t="shared" si="59"/>
        <v>12133.690860652598</v>
      </c>
      <c r="L61">
        <f t="shared" si="59"/>
        <v>12619.038495078701</v>
      </c>
      <c r="M61">
        <f t="shared" si="59"/>
        <v>13060.704842406454</v>
      </c>
      <c r="N61">
        <f t="shared" si="59"/>
        <v>13452.525987678648</v>
      </c>
    </row>
    <row r="62" spans="1:14" ht="15" customHeight="1" x14ac:dyDescent="0.25">
      <c r="A62" s="69"/>
      <c r="B62" t="s">
        <v>176</v>
      </c>
      <c r="C62">
        <f t="shared" ref="C62:N62" si="60">C63-C61</f>
        <v>-5762</v>
      </c>
      <c r="D62">
        <f t="shared" si="60"/>
        <v>-5774</v>
      </c>
      <c r="E62">
        <f t="shared" si="60"/>
        <v>-6268.1066880000008</v>
      </c>
      <c r="F62">
        <f t="shared" si="60"/>
        <v>-6382.3915828960016</v>
      </c>
      <c r="G62">
        <f t="shared" si="60"/>
        <v>-6633.166541859202</v>
      </c>
      <c r="H62">
        <f t="shared" si="60"/>
        <v>-7243.4178637102486</v>
      </c>
      <c r="I62">
        <f t="shared" si="60"/>
        <v>-7837.3781285344912</v>
      </c>
      <c r="J62">
        <f t="shared" si="60"/>
        <v>-8425.1814881745777</v>
      </c>
      <c r="K62">
        <f t="shared" si="60"/>
        <v>-8930.6923774650531</v>
      </c>
      <c r="L62">
        <f t="shared" si="60"/>
        <v>-9287.9200725636547</v>
      </c>
      <c r="M62">
        <f t="shared" si="60"/>
        <v>-9612.997275103382</v>
      </c>
      <c r="N62">
        <f t="shared" si="60"/>
        <v>-9901.3871933564824</v>
      </c>
    </row>
    <row r="63" spans="1:14" ht="15" customHeight="1" x14ac:dyDescent="0.25">
      <c r="B63" t="s">
        <v>49</v>
      </c>
      <c r="C63">
        <f>C56</f>
        <v>1800</v>
      </c>
      <c r="D63">
        <f>D56</f>
        <v>1689</v>
      </c>
      <c r="E63">
        <f t="shared" ref="E63:N63" si="61">E56</f>
        <v>2000.8973120000001</v>
      </c>
      <c r="F63">
        <f t="shared" si="61"/>
        <v>2184.2965611040004</v>
      </c>
      <c r="G63">
        <f t="shared" si="61"/>
        <v>2378.9893856288004</v>
      </c>
      <c r="H63">
        <f t="shared" si="61"/>
        <v>2597.8564091066505</v>
      </c>
      <c r="I63">
        <f t="shared" si="61"/>
        <v>2810.8806346533956</v>
      </c>
      <c r="J63">
        <f t="shared" si="61"/>
        <v>3021.6966822524009</v>
      </c>
      <c r="K63">
        <f t="shared" si="61"/>
        <v>3202.9984831875449</v>
      </c>
      <c r="L63">
        <f t="shared" si="61"/>
        <v>3331.1184225150464</v>
      </c>
      <c r="M63">
        <f t="shared" si="61"/>
        <v>3447.7075673030731</v>
      </c>
      <c r="N63">
        <f t="shared" si="61"/>
        <v>3551.1387943221653</v>
      </c>
    </row>
    <row r="64" spans="1:14" ht="15" customHeight="1" x14ac:dyDescent="0.25">
      <c r="A64" s="197"/>
      <c r="B64" t="s">
        <v>177</v>
      </c>
      <c r="C64">
        <f>-Accounting!D23-C55</f>
        <v>-282</v>
      </c>
      <c r="D64">
        <f>-Accounting!E23-D55</f>
        <v>-169</v>
      </c>
      <c r="E64">
        <f t="shared" ref="E64:N64" si="62">E12</f>
        <v>0</v>
      </c>
      <c r="F64">
        <f t="shared" si="62"/>
        <v>0</v>
      </c>
      <c r="G64">
        <f t="shared" si="62"/>
        <v>0</v>
      </c>
      <c r="H64">
        <f t="shared" si="62"/>
        <v>0</v>
      </c>
      <c r="I64">
        <f t="shared" si="62"/>
        <v>0</v>
      </c>
      <c r="J64">
        <f t="shared" si="62"/>
        <v>0</v>
      </c>
      <c r="K64">
        <f t="shared" si="62"/>
        <v>0</v>
      </c>
      <c r="L64">
        <f t="shared" si="62"/>
        <v>0</v>
      </c>
      <c r="M64">
        <f t="shared" si="62"/>
        <v>0</v>
      </c>
      <c r="N64">
        <f t="shared" si="62"/>
        <v>0</v>
      </c>
    </row>
    <row r="65" spans="1:14" ht="15" customHeight="1" x14ac:dyDescent="0.25">
      <c r="B65" t="s">
        <v>178</v>
      </c>
      <c r="C65">
        <f>SUM(C63:C64)</f>
        <v>1518</v>
      </c>
      <c r="D65">
        <f t="shared" ref="D65:N65" si="63">SUM(D63:D64)</f>
        <v>1520</v>
      </c>
      <c r="E65">
        <f t="shared" si="63"/>
        <v>2000.8973120000001</v>
      </c>
      <c r="F65">
        <f t="shared" si="63"/>
        <v>2184.2965611040004</v>
      </c>
      <c r="G65">
        <f t="shared" si="63"/>
        <v>2378.9893856288004</v>
      </c>
      <c r="H65">
        <f t="shared" si="63"/>
        <v>2597.8564091066505</v>
      </c>
      <c r="I65">
        <f t="shared" si="63"/>
        <v>2810.8806346533956</v>
      </c>
      <c r="J65">
        <f t="shared" si="63"/>
        <v>3021.6966822524009</v>
      </c>
      <c r="K65">
        <f t="shared" si="63"/>
        <v>3202.9984831875449</v>
      </c>
      <c r="L65">
        <f t="shared" si="63"/>
        <v>3331.1184225150464</v>
      </c>
      <c r="M65">
        <f t="shared" si="63"/>
        <v>3447.7075673030731</v>
      </c>
      <c r="N65">
        <f t="shared" si="63"/>
        <v>3551.1387943221653</v>
      </c>
    </row>
    <row r="66" spans="1:14" ht="15" customHeight="1" x14ac:dyDescent="0.25">
      <c r="A66" s="69"/>
      <c r="B66" t="s">
        <v>179</v>
      </c>
      <c r="C66" s="79">
        <f>126-10+12+1</f>
        <v>129</v>
      </c>
      <c r="D66" s="79">
        <f>125-29+45+2</f>
        <v>143</v>
      </c>
      <c r="E66">
        <f t="shared" ref="E66:M66" ca="1" si="64">IF(Circswitch=1,E119,0)</f>
        <v>48.213400757426086</v>
      </c>
      <c r="F66">
        <f t="shared" ca="1" si="64"/>
        <v>54.847074842330912</v>
      </c>
      <c r="G66">
        <f t="shared" ca="1" si="64"/>
        <v>61.200922963550802</v>
      </c>
      <c r="H66">
        <f t="shared" ca="1" si="64"/>
        <v>66.866339200441047</v>
      </c>
      <c r="I66">
        <f t="shared" ca="1" si="64"/>
        <v>72.516518847320398</v>
      </c>
      <c r="J66">
        <f t="shared" ca="1" si="64"/>
        <v>71.233826856400455</v>
      </c>
      <c r="K66">
        <f t="shared" ca="1" si="64"/>
        <v>70.175304109860718</v>
      </c>
      <c r="L66">
        <f t="shared" ca="1" si="64"/>
        <v>78.237883873719582</v>
      </c>
      <c r="M66">
        <f t="shared" ca="1" si="64"/>
        <v>88.228274870242601</v>
      </c>
      <c r="N66">
        <f t="shared" ref="N66" ca="1" si="65">IF(Circswitch=1,N119,0)</f>
        <v>98.705381448517699</v>
      </c>
    </row>
    <row r="67" spans="1:14" ht="15" customHeight="1" x14ac:dyDescent="0.25">
      <c r="A67" s="69"/>
      <c r="B67" t="s">
        <v>180</v>
      </c>
      <c r="C67">
        <f>Accounting!D35*-1</f>
        <v>-58</v>
      </c>
      <c r="D67">
        <f>Accounting!E35*-1</f>
        <v>-58</v>
      </c>
      <c r="E67">
        <f t="shared" ref="E67:M67" ca="1" si="66">-IF(Circswitch=1,E117+E118,0)</f>
        <v>-84.2</v>
      </c>
      <c r="F67">
        <f t="shared" ca="1" si="66"/>
        <v>-74.2</v>
      </c>
      <c r="G67">
        <f t="shared" ca="1" si="66"/>
        <v>-74.2</v>
      </c>
      <c r="H67">
        <f t="shared" ca="1" si="66"/>
        <v>-74.2</v>
      </c>
      <c r="I67">
        <f t="shared" ca="1" si="66"/>
        <v>-74.2</v>
      </c>
      <c r="J67">
        <f t="shared" ca="1" si="66"/>
        <v>-55.45</v>
      </c>
      <c r="K67">
        <f t="shared" ca="1" si="66"/>
        <v>-36.700000000000003</v>
      </c>
      <c r="L67">
        <f t="shared" ca="1" si="66"/>
        <v>-36.700000000000003</v>
      </c>
      <c r="M67">
        <f t="shared" ca="1" si="66"/>
        <v>-36.700000000000003</v>
      </c>
      <c r="N67">
        <f t="shared" ref="N67" ca="1" si="67">-IF(Circswitch=1,N117+N118,0)</f>
        <v>-36.700000000000003</v>
      </c>
    </row>
    <row r="68" spans="1:14" ht="15" customHeight="1" x14ac:dyDescent="0.25">
      <c r="A68" s="69"/>
      <c r="B68" t="s">
        <v>181</v>
      </c>
      <c r="C68">
        <f>SUM(C65:C67)</f>
        <v>1589</v>
      </c>
      <c r="D68">
        <f t="shared" ref="D68:N68" si="68">SUM(D65:D67)</f>
        <v>1605</v>
      </c>
      <c r="E68">
        <f t="shared" ca="1" si="68"/>
        <v>1964.9107127574259</v>
      </c>
      <c r="F68">
        <f t="shared" ca="1" si="68"/>
        <v>2164.9436359463316</v>
      </c>
      <c r="G68">
        <f t="shared" ca="1" si="68"/>
        <v>2365.9903085923515</v>
      </c>
      <c r="H68">
        <f t="shared" ca="1" si="68"/>
        <v>2590.5227483070917</v>
      </c>
      <c r="I68">
        <f t="shared" ca="1" si="68"/>
        <v>2809.197153500716</v>
      </c>
      <c r="J68">
        <f t="shared" ca="1" si="68"/>
        <v>3037.4805091088015</v>
      </c>
      <c r="K68">
        <f t="shared" ca="1" si="68"/>
        <v>3236.473787297406</v>
      </c>
      <c r="L68">
        <f t="shared" ca="1" si="68"/>
        <v>3372.6563063887661</v>
      </c>
      <c r="M68">
        <f t="shared" ca="1" si="68"/>
        <v>3499.2358421733161</v>
      </c>
      <c r="N68">
        <f t="shared" ca="1" si="68"/>
        <v>3613.144175770683</v>
      </c>
    </row>
    <row r="69" spans="1:14" ht="15" customHeight="1" x14ac:dyDescent="0.25">
      <c r="A69" s="69"/>
      <c r="B69" t="s">
        <v>182</v>
      </c>
      <c r="C69">
        <f>Accounting!D47*-1</f>
        <v>-316</v>
      </c>
      <c r="D69">
        <f>Accounting!E47*-1</f>
        <v>-484</v>
      </c>
      <c r="E69">
        <f t="shared" ref="E69:N69" ca="1" si="69">-E13*E68</f>
        <v>-392.9821425514852</v>
      </c>
      <c r="F69">
        <f t="shared" ca="1" si="69"/>
        <v>-562.88534534604628</v>
      </c>
      <c r="G69">
        <f t="shared" ca="1" si="69"/>
        <v>-449.53815863254681</v>
      </c>
      <c r="H69">
        <f t="shared" ca="1" si="69"/>
        <v>-544.00977714448925</v>
      </c>
      <c r="I69">
        <f t="shared" ca="1" si="69"/>
        <v>-589.93140223515036</v>
      </c>
      <c r="J69">
        <f t="shared" ca="1" si="69"/>
        <v>-637.87090691284834</v>
      </c>
      <c r="K69">
        <f t="shared" ca="1" si="69"/>
        <v>-679.65949533245521</v>
      </c>
      <c r="L69">
        <f t="shared" ca="1" si="69"/>
        <v>-708.2578243416408</v>
      </c>
      <c r="M69">
        <f t="shared" ca="1" si="69"/>
        <v>-734.83952685639633</v>
      </c>
      <c r="N69">
        <f t="shared" ca="1" si="69"/>
        <v>-758.76027691184345</v>
      </c>
    </row>
    <row r="70" spans="1:14" ht="15" customHeight="1" x14ac:dyDescent="0.25">
      <c r="A70" s="69"/>
      <c r="B70" t="s">
        <v>167</v>
      </c>
      <c r="C70">
        <f t="shared" ref="C70:N70" si="70">SUM(C69,C68)</f>
        <v>1273</v>
      </c>
      <c r="D70">
        <f t="shared" si="70"/>
        <v>1121</v>
      </c>
      <c r="E70">
        <f t="shared" ca="1" si="70"/>
        <v>1571.9285702059408</v>
      </c>
      <c r="F70">
        <f t="shared" ca="1" si="70"/>
        <v>1602.0582906002853</v>
      </c>
      <c r="G70">
        <f t="shared" ca="1" si="70"/>
        <v>1916.4521499598047</v>
      </c>
      <c r="H70">
        <f t="shared" ca="1" si="70"/>
        <v>2046.5129711626023</v>
      </c>
      <c r="I70">
        <f t="shared" ca="1" si="70"/>
        <v>2219.2657512655655</v>
      </c>
      <c r="J70">
        <f t="shared" ca="1" si="70"/>
        <v>2399.6096021959529</v>
      </c>
      <c r="K70">
        <f t="shared" ca="1" si="70"/>
        <v>2556.8142919649508</v>
      </c>
      <c r="L70">
        <f t="shared" ca="1" si="70"/>
        <v>2664.3984820471251</v>
      </c>
      <c r="M70">
        <f t="shared" ca="1" si="70"/>
        <v>2764.3963153169198</v>
      </c>
      <c r="N70">
        <f t="shared" ca="1" si="70"/>
        <v>2854.3838988588395</v>
      </c>
    </row>
    <row r="71" spans="1:14" ht="15" customHeight="1" x14ac:dyDescent="0.25">
      <c r="A71" s="69"/>
    </row>
    <row r="72" spans="1:14" ht="15" customHeight="1" x14ac:dyDescent="0.25">
      <c r="A72" s="69" t="s">
        <v>183</v>
      </c>
    </row>
    <row r="73" spans="1:14" ht="15" customHeight="1" x14ac:dyDescent="0.25">
      <c r="A73" s="69"/>
      <c r="B73" t="s">
        <v>184</v>
      </c>
      <c r="C73">
        <f>SUM(Accounting!D88:D89)</f>
        <v>3262</v>
      </c>
      <c r="D73">
        <f>SUM(Accounting!E88:E89)</f>
        <v>2248</v>
      </c>
      <c r="E73">
        <f ca="1">MAX(0,E114)</f>
        <v>2573.3400757426089</v>
      </c>
      <c r="F73">
        <f t="shared" ref="F73:M73" ca="1" si="71">MAX(0,F114)</f>
        <v>2911.3674084904819</v>
      </c>
      <c r="G73">
        <f t="shared" ca="1" si="71"/>
        <v>3208.7248878645983</v>
      </c>
      <c r="H73">
        <f t="shared" ca="1" si="71"/>
        <v>3477.9090321795074</v>
      </c>
      <c r="I73">
        <f t="shared" ca="1" si="71"/>
        <v>3773.742852552532</v>
      </c>
      <c r="J73">
        <f t="shared" ca="1" si="71"/>
        <v>3349.6398330875122</v>
      </c>
      <c r="K73">
        <f t="shared" ca="1" si="71"/>
        <v>3667.8905778985591</v>
      </c>
      <c r="L73">
        <f t="shared" ca="1" si="71"/>
        <v>4155.8978094733993</v>
      </c>
      <c r="M73">
        <f t="shared" ca="1" si="71"/>
        <v>4666.9296775508619</v>
      </c>
      <c r="N73">
        <f t="shared" ref="N73" ca="1" si="72">MAX(0,N114)</f>
        <v>5203.6084673009073</v>
      </c>
    </row>
    <row r="74" spans="1:14" ht="15" customHeight="1" x14ac:dyDescent="0.25">
      <c r="A74" s="69"/>
      <c r="B74" t="s">
        <v>65</v>
      </c>
      <c r="C74">
        <f>Accounting!D55</f>
        <v>565</v>
      </c>
      <c r="D74">
        <f>Accounting!E55</f>
        <v>679</v>
      </c>
      <c r="E74">
        <f t="shared" ref="E74:N74" si="73">E17*E61/365</f>
        <v>752.33199999999999</v>
      </c>
      <c r="F74">
        <f t="shared" si="73"/>
        <v>779.41595200000006</v>
      </c>
      <c r="G74">
        <f t="shared" si="73"/>
        <v>819.94558150400007</v>
      </c>
      <c r="H74">
        <f t="shared" si="73"/>
        <v>895.38057500236835</v>
      </c>
      <c r="I74">
        <f t="shared" si="73"/>
        <v>968.80178215256274</v>
      </c>
      <c r="J74">
        <f t="shared" si="73"/>
        <v>1041.4619158140049</v>
      </c>
      <c r="K74">
        <f t="shared" si="73"/>
        <v>1103.9496307628453</v>
      </c>
      <c r="L74">
        <f t="shared" si="73"/>
        <v>1148.1076159933591</v>
      </c>
      <c r="M74">
        <f t="shared" si="73"/>
        <v>1188.2913825531264</v>
      </c>
      <c r="N74">
        <f t="shared" si="73"/>
        <v>1223.94012402972</v>
      </c>
    </row>
    <row r="75" spans="1:14" ht="15" customHeight="1" x14ac:dyDescent="0.25">
      <c r="A75" s="69"/>
      <c r="B75" t="s">
        <v>69</v>
      </c>
      <c r="C75">
        <f>Accounting!D59</f>
        <v>420</v>
      </c>
      <c r="D75">
        <f>Accounting!E59</f>
        <v>349</v>
      </c>
      <c r="E75">
        <f t="shared" ref="E75:N75" si="74">E18*E61</f>
        <v>386.69200000000006</v>
      </c>
      <c r="F75">
        <f t="shared" si="74"/>
        <v>400.61291200000011</v>
      </c>
      <c r="G75">
        <f t="shared" si="74"/>
        <v>421.44478342400009</v>
      </c>
      <c r="H75">
        <f t="shared" si="74"/>
        <v>460.21770349900817</v>
      </c>
      <c r="I75">
        <f t="shared" si="74"/>
        <v>497.95555518592693</v>
      </c>
      <c r="J75">
        <f t="shared" si="74"/>
        <v>535.30222182487148</v>
      </c>
      <c r="K75">
        <f t="shared" si="74"/>
        <v>567.42035513436372</v>
      </c>
      <c r="L75">
        <f t="shared" si="74"/>
        <v>590.11716933973833</v>
      </c>
      <c r="M75">
        <f t="shared" si="74"/>
        <v>610.77127026662902</v>
      </c>
      <c r="N75">
        <f t="shared" si="74"/>
        <v>629.09440837462796</v>
      </c>
    </row>
    <row r="76" spans="1:14" ht="15" customHeight="1" x14ac:dyDescent="0.25">
      <c r="A76" s="69"/>
      <c r="B76" t="s">
        <v>185</v>
      </c>
      <c r="C76">
        <f t="shared" ref="C76:D76" si="75">SUM(C73:C75)</f>
        <v>4247</v>
      </c>
      <c r="D76">
        <f t="shared" si="75"/>
        <v>3276</v>
      </c>
      <c r="E76">
        <f t="shared" ref="E76:M76" ca="1" si="76">SUM(E73:E75)</f>
        <v>3712.3640757426087</v>
      </c>
      <c r="F76">
        <f t="shared" ca="1" si="76"/>
        <v>4091.3962724904818</v>
      </c>
      <c r="G76">
        <f t="shared" ca="1" si="76"/>
        <v>4450.1152527925988</v>
      </c>
      <c r="H76">
        <f t="shared" ca="1" si="76"/>
        <v>4833.5073106808841</v>
      </c>
      <c r="I76">
        <f t="shared" ca="1" si="76"/>
        <v>5240.5001898910214</v>
      </c>
      <c r="J76">
        <f t="shared" ca="1" si="76"/>
        <v>4926.4039707263892</v>
      </c>
      <c r="K76">
        <f t="shared" ca="1" si="76"/>
        <v>5339.2605637957677</v>
      </c>
      <c r="L76">
        <f t="shared" ca="1" si="76"/>
        <v>5894.1225948064966</v>
      </c>
      <c r="M76">
        <f t="shared" ca="1" si="76"/>
        <v>6465.9923303706164</v>
      </c>
      <c r="N76">
        <f t="shared" ref="N76" ca="1" si="77">SUM(N73:N75)</f>
        <v>7056.6429997052555</v>
      </c>
    </row>
    <row r="77" spans="1:14" ht="15" customHeight="1" x14ac:dyDescent="0.25">
      <c r="A77" s="69"/>
    </row>
    <row r="78" spans="1:14" ht="15" customHeight="1" x14ac:dyDescent="0.25">
      <c r="A78" s="69"/>
      <c r="B78" t="s">
        <v>163</v>
      </c>
      <c r="C78" s="79">
        <f>578+400</f>
        <v>978</v>
      </c>
      <c r="D78" s="79">
        <f>586+293</f>
        <v>879</v>
      </c>
      <c r="E78">
        <f t="shared" ref="E78:N78" si="78">E40</f>
        <v>864.41211200000009</v>
      </c>
      <c r="F78">
        <f t="shared" si="78"/>
        <v>845.11061238400009</v>
      </c>
      <c r="G78">
        <f t="shared" si="78"/>
        <v>833.78353910367991</v>
      </c>
      <c r="H78">
        <f t="shared" si="78"/>
        <v>846.35600497507198</v>
      </c>
      <c r="I78">
        <f t="shared" si="78"/>
        <v>875.58279266174895</v>
      </c>
      <c r="J78">
        <f t="shared" si="78"/>
        <v>916.59156497713377</v>
      </c>
      <c r="K78">
        <f t="shared" si="78"/>
        <v>902.61974399658834</v>
      </c>
      <c r="L78">
        <f t="shared" si="78"/>
        <v>902.26698557911755</v>
      </c>
      <c r="M78">
        <f t="shared" si="78"/>
        <v>910.84632646509385</v>
      </c>
      <c r="N78">
        <f t="shared" si="78"/>
        <v>924.8598748084404</v>
      </c>
    </row>
    <row r="79" spans="1:14" ht="15" customHeight="1" x14ac:dyDescent="0.25">
      <c r="A79" s="69"/>
      <c r="B79" t="s">
        <v>186</v>
      </c>
      <c r="C79" s="79">
        <v>5379</v>
      </c>
      <c r="D79" s="79">
        <v>5376</v>
      </c>
      <c r="E79">
        <f>D79</f>
        <v>5376</v>
      </c>
      <c r="F79">
        <f t="shared" ref="F79:N79" si="79">E79</f>
        <v>5376</v>
      </c>
      <c r="G79">
        <f t="shared" si="79"/>
        <v>5376</v>
      </c>
      <c r="H79">
        <f t="shared" si="79"/>
        <v>5376</v>
      </c>
      <c r="I79">
        <f t="shared" si="79"/>
        <v>5376</v>
      </c>
      <c r="J79">
        <f t="shared" si="79"/>
        <v>5376</v>
      </c>
      <c r="K79">
        <f t="shared" si="79"/>
        <v>5376</v>
      </c>
      <c r="L79">
        <f t="shared" si="79"/>
        <v>5376</v>
      </c>
      <c r="M79">
        <f t="shared" si="79"/>
        <v>5376</v>
      </c>
      <c r="N79">
        <f t="shared" si="79"/>
        <v>5376</v>
      </c>
    </row>
    <row r="80" spans="1:14" ht="15" customHeight="1" x14ac:dyDescent="0.25">
      <c r="A80" s="69"/>
      <c r="B80" t="s">
        <v>187</v>
      </c>
      <c r="C80" s="161">
        <f>2380+436</f>
        <v>2816</v>
      </c>
      <c r="D80" s="161">
        <f>2420+417</f>
        <v>2837</v>
      </c>
      <c r="E80">
        <f t="shared" ref="E80:N80" si="80">E20*E61</f>
        <v>3143.3960000000002</v>
      </c>
      <c r="F80">
        <f t="shared" si="80"/>
        <v>3169.6746132800004</v>
      </c>
      <c r="G80">
        <f t="shared" si="80"/>
        <v>3244.3761338956806</v>
      </c>
      <c r="H80">
        <f t="shared" si="80"/>
        <v>3542.8587382140836</v>
      </c>
      <c r="I80">
        <f t="shared" si="80"/>
        <v>3833.3731547476391</v>
      </c>
      <c r="J80">
        <f t="shared" si="80"/>
        <v>4120.8761413537122</v>
      </c>
      <c r="K80">
        <f t="shared" si="80"/>
        <v>4246.791801228409</v>
      </c>
      <c r="L80">
        <f t="shared" si="80"/>
        <v>4416.6634732775447</v>
      </c>
      <c r="M80">
        <f t="shared" si="80"/>
        <v>4571.2466948422589</v>
      </c>
      <c r="N80">
        <f t="shared" si="80"/>
        <v>4708.3840956875265</v>
      </c>
    </row>
    <row r="81" spans="1:14" ht="15" customHeight="1" x14ac:dyDescent="0.25">
      <c r="A81" s="69"/>
      <c r="B81" t="s">
        <v>188</v>
      </c>
      <c r="C81">
        <f>SUM(C78:C80,C76)</f>
        <v>13420</v>
      </c>
      <c r="D81">
        <f>SUM(D78:D80,D76)</f>
        <v>12368</v>
      </c>
      <c r="E81">
        <f t="shared" ref="E81:M81" ca="1" si="81">SUM(E78:E80,E76)</f>
        <v>13096.17218774261</v>
      </c>
      <c r="F81">
        <f t="shared" ca="1" si="81"/>
        <v>13482.181498154481</v>
      </c>
      <c r="G81">
        <f t="shared" ca="1" si="81"/>
        <v>13904.274925791959</v>
      </c>
      <c r="H81">
        <f t="shared" ca="1" si="81"/>
        <v>14598.722053870039</v>
      </c>
      <c r="I81">
        <f t="shared" ca="1" si="81"/>
        <v>15325.456137300409</v>
      </c>
      <c r="J81">
        <f t="shared" ca="1" si="81"/>
        <v>15339.871677057236</v>
      </c>
      <c r="K81">
        <f t="shared" ca="1" si="81"/>
        <v>15864.672109020765</v>
      </c>
      <c r="L81">
        <f t="shared" ca="1" si="81"/>
        <v>16589.05305366316</v>
      </c>
      <c r="M81">
        <f t="shared" ca="1" si="81"/>
        <v>17324.085351677968</v>
      </c>
      <c r="N81">
        <f t="shared" ref="N81" ca="1" si="82">SUM(N78:N80,N76)</f>
        <v>18065.886970201223</v>
      </c>
    </row>
    <row r="82" spans="1:14" ht="15" customHeight="1" x14ac:dyDescent="0.25">
      <c r="A82" s="69"/>
      <c r="E82" s="59"/>
      <c r="F82" s="59"/>
      <c r="G82" s="59"/>
      <c r="H82" s="59"/>
      <c r="I82" s="59"/>
      <c r="J82" s="59"/>
      <c r="K82" s="59"/>
      <c r="L82" s="59"/>
      <c r="M82" s="59"/>
      <c r="N82" s="59"/>
    </row>
    <row r="83" spans="1:14" ht="15" customHeight="1" x14ac:dyDescent="0.25">
      <c r="A83" s="69"/>
      <c r="B83" t="s">
        <v>86</v>
      </c>
      <c r="C83">
        <f>SUM(Accounting!D80:D81)</f>
        <v>0</v>
      </c>
      <c r="D83">
        <f>SUM(Accounting!E80:E81)</f>
        <v>400</v>
      </c>
      <c r="E83">
        <f ca="1">-MIN(0,E114)</f>
        <v>0</v>
      </c>
      <c r="F83">
        <f t="shared" ref="F83:M83" ca="1" si="83">-MIN(0,F114)</f>
        <v>0</v>
      </c>
      <c r="G83">
        <f t="shared" ca="1" si="83"/>
        <v>0</v>
      </c>
      <c r="H83">
        <f t="shared" ca="1" si="83"/>
        <v>0</v>
      </c>
      <c r="I83">
        <f t="shared" ca="1" si="83"/>
        <v>0</v>
      </c>
      <c r="J83">
        <f t="shared" ca="1" si="83"/>
        <v>0</v>
      </c>
      <c r="K83">
        <f t="shared" ca="1" si="83"/>
        <v>0</v>
      </c>
      <c r="L83">
        <f t="shared" ca="1" si="83"/>
        <v>0</v>
      </c>
      <c r="M83">
        <f t="shared" ca="1" si="83"/>
        <v>0</v>
      </c>
      <c r="N83">
        <f t="shared" ref="N83" ca="1" si="84">-MIN(0,N114)</f>
        <v>0</v>
      </c>
    </row>
    <row r="84" spans="1:14" ht="15" customHeight="1" x14ac:dyDescent="0.25">
      <c r="A84" s="69"/>
      <c r="B84" t="s">
        <v>169</v>
      </c>
      <c r="C84">
        <f>SUM(Accounting!D65:D66)</f>
        <v>1276</v>
      </c>
      <c r="D84">
        <f>SUM(Accounting!E65:E66)</f>
        <v>1359</v>
      </c>
      <c r="E84">
        <f t="shared" ref="E84:N84" si="85">E21*E62</f>
        <v>1475.2956337014202</v>
      </c>
      <c r="F84">
        <f t="shared" si="85"/>
        <v>1502.1943472732362</v>
      </c>
      <c r="G84">
        <f t="shared" si="85"/>
        <v>1392.9649737904324</v>
      </c>
      <c r="H84">
        <f t="shared" si="85"/>
        <v>1521.1177513791522</v>
      </c>
      <c r="I84">
        <f t="shared" si="85"/>
        <v>1645.8494069922431</v>
      </c>
      <c r="J84">
        <f t="shared" si="85"/>
        <v>1769.2881125166612</v>
      </c>
      <c r="K84">
        <f t="shared" si="85"/>
        <v>1875.4453992676611</v>
      </c>
      <c r="L84">
        <f t="shared" si="85"/>
        <v>1950.4632152383674</v>
      </c>
      <c r="M84">
        <f t="shared" si="85"/>
        <v>2018.7294277717101</v>
      </c>
      <c r="N84">
        <f t="shared" si="85"/>
        <v>2079.2913106048613</v>
      </c>
    </row>
    <row r="85" spans="1:14" ht="15" customHeight="1" x14ac:dyDescent="0.25">
      <c r="A85" s="69"/>
      <c r="B85" t="s">
        <v>77</v>
      </c>
      <c r="C85">
        <f>Accounting!D68</f>
        <v>1814</v>
      </c>
      <c r="D85">
        <f>Accounting!E68</f>
        <v>1700</v>
      </c>
      <c r="E85">
        <f t="shared" ref="E85:N85" si="86">E34</f>
        <v>2361.5203200000014</v>
      </c>
      <c r="F85">
        <f t="shared" si="86"/>
        <v>2361.5203200000014</v>
      </c>
      <c r="G85">
        <f t="shared" si="86"/>
        <v>2451.6418792748809</v>
      </c>
      <c r="H85">
        <f t="shared" si="86"/>
        <v>2500.8482506389646</v>
      </c>
      <c r="I85">
        <f t="shared" si="86"/>
        <v>2554.0895444549024</v>
      </c>
      <c r="J85">
        <f t="shared" si="86"/>
        <v>2611.3239353070367</v>
      </c>
      <c r="K85">
        <f t="shared" si="86"/>
        <v>2671.9923896102991</v>
      </c>
      <c r="L85">
        <f t="shared" si="86"/>
        <v>2735.0875820856909</v>
      </c>
      <c r="M85">
        <f t="shared" si="86"/>
        <v>2800.3911062977222</v>
      </c>
      <c r="N85">
        <f t="shared" si="86"/>
        <v>2867.6537362361141</v>
      </c>
    </row>
    <row r="86" spans="1:14" ht="15" customHeight="1" x14ac:dyDescent="0.25">
      <c r="A86" s="69"/>
      <c r="B86" t="s">
        <v>189</v>
      </c>
      <c r="C86">
        <f t="shared" ref="C86:D86" si="87">SUM(C83:C85)</f>
        <v>3090</v>
      </c>
      <c r="D86">
        <f t="shared" si="87"/>
        <v>3459</v>
      </c>
      <c r="E86">
        <f t="shared" ref="E86:M86" ca="1" si="88">SUM(E83:E85)</f>
        <v>3836.8159537014217</v>
      </c>
      <c r="F86">
        <f t="shared" ca="1" si="88"/>
        <v>3863.7146672732379</v>
      </c>
      <c r="G86">
        <f t="shared" ca="1" si="88"/>
        <v>3844.6068530653133</v>
      </c>
      <c r="H86">
        <f t="shared" ca="1" si="88"/>
        <v>4021.9660020181168</v>
      </c>
      <c r="I86">
        <f t="shared" ca="1" si="88"/>
        <v>4199.9389514471459</v>
      </c>
      <c r="J86">
        <f t="shared" ca="1" si="88"/>
        <v>4380.612047823698</v>
      </c>
      <c r="K86">
        <f t="shared" ca="1" si="88"/>
        <v>4547.43778887796</v>
      </c>
      <c r="L86">
        <f t="shared" ca="1" si="88"/>
        <v>4685.5507973240583</v>
      </c>
      <c r="M86">
        <f t="shared" ca="1" si="88"/>
        <v>4819.1205340694323</v>
      </c>
      <c r="N86">
        <f t="shared" ref="N86" ca="1" si="89">SUM(N83:N85)</f>
        <v>4946.9450468409759</v>
      </c>
    </row>
    <row r="87" spans="1:14" ht="15" customHeight="1" x14ac:dyDescent="0.25">
      <c r="A87" s="69"/>
    </row>
    <row r="88" spans="1:14" ht="15" customHeight="1" x14ac:dyDescent="0.25">
      <c r="A88" s="69"/>
      <c r="B88" t="s">
        <v>88</v>
      </c>
      <c r="C88">
        <f>Accounting!D82</f>
        <v>1882</v>
      </c>
      <c r="D88">
        <f>Accounting!E82</f>
        <v>1484</v>
      </c>
      <c r="E88">
        <f t="shared" ref="E88:N88" si="90">E24+D88</f>
        <v>1484</v>
      </c>
      <c r="F88">
        <f t="shared" si="90"/>
        <v>1484</v>
      </c>
      <c r="G88">
        <f t="shared" si="90"/>
        <v>1484</v>
      </c>
      <c r="H88">
        <f t="shared" si="90"/>
        <v>1484</v>
      </c>
      <c r="I88">
        <f t="shared" si="90"/>
        <v>1484</v>
      </c>
      <c r="J88">
        <f t="shared" si="90"/>
        <v>734</v>
      </c>
      <c r="K88">
        <f t="shared" si="90"/>
        <v>734</v>
      </c>
      <c r="L88">
        <f t="shared" si="90"/>
        <v>734</v>
      </c>
      <c r="M88">
        <f t="shared" si="90"/>
        <v>734</v>
      </c>
      <c r="N88">
        <f t="shared" si="90"/>
        <v>734</v>
      </c>
    </row>
    <row r="89" spans="1:14" ht="15" customHeight="1" x14ac:dyDescent="0.25">
      <c r="A89" s="69"/>
      <c r="B89" t="s">
        <v>190</v>
      </c>
      <c r="C89" s="161">
        <f>497+1+437</f>
        <v>935</v>
      </c>
      <c r="D89" s="161">
        <f>594+445</f>
        <v>1039</v>
      </c>
      <c r="E89">
        <f t="shared" ref="E89:N89" si="91">E22*E61</f>
        <v>1074.9705200000001</v>
      </c>
      <c r="F89">
        <f t="shared" si="91"/>
        <v>1113.6694587200002</v>
      </c>
      <c r="G89">
        <f t="shared" si="91"/>
        <v>1171.5802705734402</v>
      </c>
      <c r="H89">
        <f t="shared" si="91"/>
        <v>1279.365655466197</v>
      </c>
      <c r="I89">
        <f t="shared" si="91"/>
        <v>1384.2736392144254</v>
      </c>
      <c r="J89">
        <f t="shared" si="91"/>
        <v>1488.0941621555073</v>
      </c>
      <c r="K89">
        <f t="shared" si="91"/>
        <v>1334.7059946717857</v>
      </c>
      <c r="L89">
        <f t="shared" si="91"/>
        <v>1388.0942344586572</v>
      </c>
      <c r="M89">
        <f t="shared" si="91"/>
        <v>1436.67753266471</v>
      </c>
      <c r="N89">
        <f t="shared" si="91"/>
        <v>1479.7778586446514</v>
      </c>
    </row>
    <row r="90" spans="1:14" ht="15" customHeight="1" x14ac:dyDescent="0.25">
      <c r="A90" s="69"/>
      <c r="B90" t="s">
        <v>191</v>
      </c>
      <c r="C90">
        <f>SUM(C86,C88:C89)</f>
        <v>5907</v>
      </c>
      <c r="D90">
        <f>SUM(D86,D88:D89)</f>
        <v>5982</v>
      </c>
      <c r="E90">
        <f t="shared" ref="E90" ca="1" si="92">SUM(E86,E88:E89)</f>
        <v>6395.7864737014215</v>
      </c>
      <c r="F90">
        <f t="shared" ref="F90:M90" ca="1" si="93">SUM(F86,F88:F89)</f>
        <v>6461.3841259932378</v>
      </c>
      <c r="G90">
        <f t="shared" ca="1" si="93"/>
        <v>6500.1871236387542</v>
      </c>
      <c r="H90">
        <f t="shared" ca="1" si="93"/>
        <v>6785.3316574843138</v>
      </c>
      <c r="I90">
        <f t="shared" ca="1" si="93"/>
        <v>7068.2125906615711</v>
      </c>
      <c r="J90">
        <f t="shared" ca="1" si="93"/>
        <v>6602.7062099792056</v>
      </c>
      <c r="K90">
        <f t="shared" ca="1" si="93"/>
        <v>6616.1437835497454</v>
      </c>
      <c r="L90">
        <f t="shared" ca="1" si="93"/>
        <v>6807.6450317827157</v>
      </c>
      <c r="M90">
        <f t="shared" ca="1" si="93"/>
        <v>6989.7980667341426</v>
      </c>
      <c r="N90">
        <f t="shared" ref="N90" ca="1" si="94">SUM(N86,N88:N89)</f>
        <v>7160.7229054856271</v>
      </c>
    </row>
    <row r="91" spans="1:14" ht="15" customHeight="1" x14ac:dyDescent="0.25">
      <c r="A91" s="69"/>
    </row>
    <row r="92" spans="1:14" ht="15" customHeight="1" x14ac:dyDescent="0.25">
      <c r="A92" s="69"/>
      <c r="B92" t="s">
        <v>166</v>
      </c>
      <c r="C92">
        <f>Accounting!D93</f>
        <v>7513</v>
      </c>
      <c r="D92">
        <f>Accounting!E93</f>
        <v>6386</v>
      </c>
      <c r="E92">
        <f t="shared" ref="E92:N92" ca="1" si="95">E46</f>
        <v>6700.3857140411874</v>
      </c>
      <c r="F92">
        <f t="shared" ca="1" si="95"/>
        <v>7020.7973721612443</v>
      </c>
      <c r="G92">
        <f t="shared" ca="1" si="95"/>
        <v>7404.0878021532044</v>
      </c>
      <c r="H92">
        <f t="shared" ca="1" si="95"/>
        <v>7813.3903963857256</v>
      </c>
      <c r="I92">
        <f t="shared" ca="1" si="95"/>
        <v>8257.2435466388379</v>
      </c>
      <c r="J92">
        <f t="shared" ca="1" si="95"/>
        <v>8737.1654670780281</v>
      </c>
      <c r="K92">
        <f t="shared" ca="1" si="95"/>
        <v>9248.5283254710175</v>
      </c>
      <c r="L92">
        <f t="shared" ca="1" si="95"/>
        <v>9781.4080218804429</v>
      </c>
      <c r="M92">
        <f t="shared" ca="1" si="95"/>
        <v>10334.287284943826</v>
      </c>
      <c r="N92">
        <f t="shared" ca="1" si="95"/>
        <v>10905.164064715595</v>
      </c>
    </row>
    <row r="93" spans="1:14" ht="15" customHeight="1" x14ac:dyDescent="0.25">
      <c r="A93" s="69"/>
      <c r="B93" t="s">
        <v>192</v>
      </c>
      <c r="C93">
        <f t="shared" ref="C93:D93" si="96">SUM(C92,C90)</f>
        <v>13420</v>
      </c>
      <c r="D93">
        <f t="shared" si="96"/>
        <v>12368</v>
      </c>
      <c r="E93">
        <f t="shared" ref="E93:M93" ca="1" si="97">SUM(E92,E90)</f>
        <v>13096.17218774261</v>
      </c>
      <c r="F93">
        <f t="shared" ca="1" si="97"/>
        <v>13482.181498154481</v>
      </c>
      <c r="G93">
        <f t="shared" ca="1" si="97"/>
        <v>13904.274925791959</v>
      </c>
      <c r="H93">
        <f t="shared" ca="1" si="97"/>
        <v>14598.722053870039</v>
      </c>
      <c r="I93">
        <f t="shared" ca="1" si="97"/>
        <v>15325.456137300409</v>
      </c>
      <c r="J93">
        <f t="shared" ca="1" si="97"/>
        <v>15339.871677057234</v>
      </c>
      <c r="K93">
        <f t="shared" ca="1" si="97"/>
        <v>15864.672109020763</v>
      </c>
      <c r="L93">
        <f t="shared" ca="1" si="97"/>
        <v>16589.05305366316</v>
      </c>
      <c r="M93">
        <f t="shared" ca="1" si="97"/>
        <v>17324.085351677968</v>
      </c>
      <c r="N93">
        <f t="shared" ref="N93" ca="1" si="98">SUM(N92,N90)</f>
        <v>18065.886970201223</v>
      </c>
    </row>
    <row r="94" spans="1:14" ht="15" customHeight="1" x14ac:dyDescent="0.25">
      <c r="A94" s="69"/>
    </row>
    <row r="95" spans="1:14" ht="15" customHeight="1" x14ac:dyDescent="0.25">
      <c r="A95" s="69"/>
      <c r="B95" t="s">
        <v>193</v>
      </c>
      <c r="C95" s="74" t="str">
        <f t="shared" ref="C95" si="99">IF(ROUND(C93,6)=ROUND(C81,6),"OK",C81-C93)</f>
        <v>OK</v>
      </c>
      <c r="D95" s="74" t="str">
        <f t="shared" ref="D95:M95" si="100">IF(ROUND(D93,6)=ROUND(D81,6),"OK",D81-D93)</f>
        <v>OK</v>
      </c>
      <c r="E95" s="74" t="str">
        <f t="shared" ca="1" si="100"/>
        <v>OK</v>
      </c>
      <c r="F95" s="74" t="str">
        <f t="shared" ca="1" si="100"/>
        <v>OK</v>
      </c>
      <c r="G95" s="74" t="str">
        <f t="shared" ca="1" si="100"/>
        <v>OK</v>
      </c>
      <c r="H95" s="74" t="str">
        <f t="shared" ca="1" si="100"/>
        <v>OK</v>
      </c>
      <c r="I95" s="74" t="str">
        <f t="shared" ca="1" si="100"/>
        <v>OK</v>
      </c>
      <c r="J95" s="74" t="str">
        <f t="shared" ca="1" si="100"/>
        <v>OK</v>
      </c>
      <c r="K95" s="74" t="str">
        <f t="shared" ca="1" si="100"/>
        <v>OK</v>
      </c>
      <c r="L95" s="74" t="str">
        <f t="shared" ca="1" si="100"/>
        <v>OK</v>
      </c>
      <c r="M95" s="74" t="str">
        <f t="shared" ca="1" si="100"/>
        <v>OK</v>
      </c>
      <c r="N95" s="74" t="str">
        <f t="shared" ref="N95" ca="1" si="101">IF(ROUND(N93,6)=ROUND(N81,6),"OK",N81-N93)</f>
        <v>OK</v>
      </c>
    </row>
    <row r="96" spans="1:14" ht="15" customHeight="1" x14ac:dyDescent="0.25">
      <c r="A96" s="69"/>
    </row>
    <row r="97" spans="1:14" ht="15" customHeight="1" x14ac:dyDescent="0.25">
      <c r="A97" s="69" t="s">
        <v>194</v>
      </c>
    </row>
    <row r="98" spans="1:14" ht="15" customHeight="1" x14ac:dyDescent="0.25">
      <c r="A98" s="69"/>
      <c r="B98" t="s">
        <v>167</v>
      </c>
      <c r="E98">
        <f t="shared" ref="E98:N98" ca="1" si="102">E70</f>
        <v>1571.9285702059408</v>
      </c>
      <c r="F98">
        <f t="shared" ca="1" si="102"/>
        <v>1602.0582906002853</v>
      </c>
      <c r="G98">
        <f t="shared" ca="1" si="102"/>
        <v>1916.4521499598047</v>
      </c>
      <c r="H98">
        <f t="shared" ca="1" si="102"/>
        <v>2046.5129711626023</v>
      </c>
      <c r="I98">
        <f t="shared" ca="1" si="102"/>
        <v>2219.2657512655655</v>
      </c>
      <c r="J98">
        <f t="shared" ca="1" si="102"/>
        <v>2399.6096021959529</v>
      </c>
      <c r="K98">
        <f t="shared" ca="1" si="102"/>
        <v>2556.8142919649508</v>
      </c>
      <c r="L98">
        <f t="shared" ca="1" si="102"/>
        <v>2664.3984820471251</v>
      </c>
      <c r="M98">
        <f t="shared" ca="1" si="102"/>
        <v>2764.3963153169198</v>
      </c>
      <c r="N98">
        <f t="shared" ca="1" si="102"/>
        <v>2854.3838988588395</v>
      </c>
    </row>
    <row r="99" spans="1:14" ht="15" customHeight="1" x14ac:dyDescent="0.25">
      <c r="A99" s="69"/>
      <c r="B99" t="s">
        <v>165</v>
      </c>
      <c r="E99">
        <f t="shared" ref="E99:N99" si="103">-E39</f>
        <v>246.12000000000003</v>
      </c>
      <c r="F99">
        <f t="shared" si="103"/>
        <v>242.03539136000006</v>
      </c>
      <c r="G99">
        <f t="shared" si="103"/>
        <v>236.63097146752006</v>
      </c>
      <c r="H99">
        <f t="shared" si="103"/>
        <v>233.45939094903039</v>
      </c>
      <c r="I99">
        <f t="shared" si="103"/>
        <v>236.97968139302017</v>
      </c>
      <c r="J99">
        <f t="shared" si="103"/>
        <v>245.16318194528972</v>
      </c>
      <c r="K99">
        <f t="shared" si="103"/>
        <v>256.64563819359751</v>
      </c>
      <c r="L99">
        <f t="shared" si="103"/>
        <v>252.73352831904475</v>
      </c>
      <c r="M99">
        <f t="shared" si="103"/>
        <v>252.63475596215292</v>
      </c>
      <c r="N99">
        <f t="shared" si="103"/>
        <v>255.0369714102263</v>
      </c>
    </row>
    <row r="100" spans="1:14" ht="15" customHeight="1" x14ac:dyDescent="0.25">
      <c r="A100" s="69"/>
      <c r="B100" t="s">
        <v>195</v>
      </c>
      <c r="E100">
        <f t="shared" ref="E100:N100" si="104">D52-E52</f>
        <v>666.79195370142133</v>
      </c>
      <c r="F100">
        <f t="shared" si="104"/>
        <v>-14.10615042818381</v>
      </c>
      <c r="G100">
        <f t="shared" si="104"/>
        <v>-80.469315135924262</v>
      </c>
      <c r="H100">
        <f t="shared" si="104"/>
        <v>63.151235379426907</v>
      </c>
      <c r="I100">
        <f t="shared" si="104"/>
        <v>66.813890591915424</v>
      </c>
      <c r="J100">
        <f t="shared" si="104"/>
        <v>70.666296076165963</v>
      </c>
      <c r="K100">
        <f t="shared" si="104"/>
        <v>72.219892795929809</v>
      </c>
      <c r="L100">
        <f t="shared" si="104"/>
        <v>71.258209010209612</v>
      </c>
      <c r="M100">
        <f t="shared" si="104"/>
        <v>72.73186925871596</v>
      </c>
      <c r="N100">
        <f t="shared" si="104"/>
        <v>73.852633186950698</v>
      </c>
    </row>
    <row r="101" spans="1:14" ht="15" customHeight="1" x14ac:dyDescent="0.25">
      <c r="A101" s="69"/>
      <c r="B101" t="s">
        <v>196</v>
      </c>
      <c r="E101">
        <f t="shared" ref="E101:N101" si="105">D80-E80</f>
        <v>-306.39600000000019</v>
      </c>
      <c r="F101">
        <f t="shared" si="105"/>
        <v>-26.278613280000172</v>
      </c>
      <c r="G101">
        <f t="shared" si="105"/>
        <v>-74.701520615680238</v>
      </c>
      <c r="H101">
        <f t="shared" si="105"/>
        <v>-298.48260431840299</v>
      </c>
      <c r="I101">
        <f t="shared" si="105"/>
        <v>-290.5144165335555</v>
      </c>
      <c r="J101">
        <f t="shared" si="105"/>
        <v>-287.50298660607314</v>
      </c>
      <c r="K101">
        <f t="shared" si="105"/>
        <v>-125.91565987469676</v>
      </c>
      <c r="L101">
        <f t="shared" si="105"/>
        <v>-169.87167204913567</v>
      </c>
      <c r="M101">
        <f t="shared" si="105"/>
        <v>-154.58322156471422</v>
      </c>
      <c r="N101">
        <f t="shared" si="105"/>
        <v>-137.13740084526762</v>
      </c>
    </row>
    <row r="102" spans="1:14" ht="15" customHeight="1" x14ac:dyDescent="0.25">
      <c r="A102" s="69"/>
      <c r="B102" t="s">
        <v>197</v>
      </c>
      <c r="E102">
        <f t="shared" ref="E102:N102" si="106">E89-D89</f>
        <v>35.970520000000079</v>
      </c>
      <c r="F102">
        <f t="shared" si="106"/>
        <v>38.698938720000115</v>
      </c>
      <c r="G102">
        <f t="shared" si="106"/>
        <v>57.910811853440009</v>
      </c>
      <c r="H102">
        <f t="shared" si="106"/>
        <v>107.78538489275684</v>
      </c>
      <c r="I102">
        <f t="shared" si="106"/>
        <v>104.90798374822839</v>
      </c>
      <c r="J102">
        <f t="shared" si="106"/>
        <v>103.82052294108189</v>
      </c>
      <c r="K102">
        <f t="shared" si="106"/>
        <v>-153.38816748372165</v>
      </c>
      <c r="L102">
        <f t="shared" si="106"/>
        <v>53.388239786871509</v>
      </c>
      <c r="M102">
        <f t="shared" si="106"/>
        <v>48.583298206052859</v>
      </c>
      <c r="N102">
        <f t="shared" si="106"/>
        <v>43.100325979941317</v>
      </c>
    </row>
    <row r="103" spans="1:14" ht="15" customHeight="1" x14ac:dyDescent="0.25">
      <c r="A103" s="197"/>
      <c r="B103" t="s">
        <v>198</v>
      </c>
      <c r="E103">
        <f t="shared" ref="E103:M103" ca="1" si="107">SUM(E98:E102)</f>
        <v>2214.4150439073619</v>
      </c>
      <c r="F103">
        <f t="shared" ca="1" si="107"/>
        <v>1842.4078569721014</v>
      </c>
      <c r="G103">
        <f t="shared" ca="1" si="107"/>
        <v>2055.8230975291603</v>
      </c>
      <c r="H103">
        <f t="shared" ca="1" si="107"/>
        <v>2152.4263780654137</v>
      </c>
      <c r="I103">
        <f t="shared" ca="1" si="107"/>
        <v>2337.4528904651743</v>
      </c>
      <c r="J103">
        <f t="shared" ca="1" si="107"/>
        <v>2531.7566165524172</v>
      </c>
      <c r="K103">
        <f t="shared" ca="1" si="107"/>
        <v>2606.37599559606</v>
      </c>
      <c r="L103">
        <f t="shared" ca="1" si="107"/>
        <v>2871.9067871141151</v>
      </c>
      <c r="M103">
        <f t="shared" ca="1" si="107"/>
        <v>2983.7630171791275</v>
      </c>
      <c r="N103">
        <f t="shared" ref="N103" ca="1" si="108">SUM(N98:N102)</f>
        <v>3089.2364285906901</v>
      </c>
    </row>
    <row r="104" spans="1:14" ht="15" customHeight="1" x14ac:dyDescent="0.25">
      <c r="A104" s="69"/>
    </row>
    <row r="105" spans="1:14" ht="15" customHeight="1" x14ac:dyDescent="0.25">
      <c r="A105" s="69"/>
      <c r="B105" t="s">
        <v>199</v>
      </c>
      <c r="E105">
        <f t="shared" ref="E105:N105" si="109">-E38</f>
        <v>-231.53211200000004</v>
      </c>
      <c r="F105">
        <f t="shared" si="109"/>
        <v>-222.73389174400003</v>
      </c>
      <c r="G105">
        <f t="shared" si="109"/>
        <v>-225.30389818720005</v>
      </c>
      <c r="H105">
        <f t="shared" si="109"/>
        <v>-246.03185682042249</v>
      </c>
      <c r="I105">
        <f t="shared" si="109"/>
        <v>-266.20646907969717</v>
      </c>
      <c r="J105">
        <f t="shared" si="109"/>
        <v>-286.17195426067445</v>
      </c>
      <c r="K105">
        <f t="shared" si="109"/>
        <v>-242.67381721305196</v>
      </c>
      <c r="L105">
        <f t="shared" si="109"/>
        <v>-252.38076990157404</v>
      </c>
      <c r="M105">
        <f t="shared" si="109"/>
        <v>-261.21409684812909</v>
      </c>
      <c r="N105">
        <f t="shared" si="109"/>
        <v>-269.05051975357298</v>
      </c>
    </row>
    <row r="106" spans="1:14" ht="15" customHeight="1" x14ac:dyDescent="0.25">
      <c r="A106" s="69"/>
      <c r="B106" t="s">
        <v>200</v>
      </c>
      <c r="E106">
        <f t="shared" ref="E106:M106" si="110">SUM(E105:E105)</f>
        <v>-231.53211200000004</v>
      </c>
      <c r="F106">
        <f t="shared" si="110"/>
        <v>-222.73389174400003</v>
      </c>
      <c r="G106">
        <f t="shared" si="110"/>
        <v>-225.30389818720005</v>
      </c>
      <c r="H106">
        <f t="shared" si="110"/>
        <v>-246.03185682042249</v>
      </c>
      <c r="I106">
        <f t="shared" si="110"/>
        <v>-266.20646907969717</v>
      </c>
      <c r="J106">
        <f t="shared" si="110"/>
        <v>-286.17195426067445</v>
      </c>
      <c r="K106">
        <f t="shared" si="110"/>
        <v>-242.67381721305196</v>
      </c>
      <c r="L106">
        <f t="shared" si="110"/>
        <v>-252.38076990157404</v>
      </c>
      <c r="M106">
        <f t="shared" si="110"/>
        <v>-261.21409684812909</v>
      </c>
      <c r="N106">
        <f t="shared" ref="N106" si="111">SUM(N105:N105)</f>
        <v>-269.05051975357298</v>
      </c>
    </row>
    <row r="107" spans="1:14" ht="15" customHeight="1" x14ac:dyDescent="0.25">
      <c r="A107" s="69"/>
    </row>
    <row r="108" spans="1:14" ht="15" customHeight="1" x14ac:dyDescent="0.25">
      <c r="A108" s="69"/>
      <c r="B108" t="s">
        <v>168</v>
      </c>
      <c r="E108">
        <f t="shared" ref="E108:N108" ca="1" si="112">E45</f>
        <v>-1257.5428561647527</v>
      </c>
      <c r="F108">
        <f t="shared" ca="1" si="112"/>
        <v>-1281.6466324802284</v>
      </c>
      <c r="G108">
        <f t="shared" ca="1" si="112"/>
        <v>-1533.161719967844</v>
      </c>
      <c r="H108">
        <f t="shared" ca="1" si="112"/>
        <v>-1637.210376930082</v>
      </c>
      <c r="I108">
        <f t="shared" ca="1" si="112"/>
        <v>-1775.4126010124526</v>
      </c>
      <c r="J108">
        <f t="shared" ca="1" si="112"/>
        <v>-1919.6876817567625</v>
      </c>
      <c r="K108">
        <f t="shared" ca="1" si="112"/>
        <v>-2045.4514335719607</v>
      </c>
      <c r="L108">
        <f t="shared" ca="1" si="112"/>
        <v>-2131.5187856377001</v>
      </c>
      <c r="M108">
        <f t="shared" ca="1" si="112"/>
        <v>-2211.5170522535359</v>
      </c>
      <c r="N108">
        <f t="shared" ca="1" si="112"/>
        <v>-2283.5071190870717</v>
      </c>
    </row>
    <row r="109" spans="1:14" ht="15" customHeight="1" x14ac:dyDescent="0.25">
      <c r="A109" s="69"/>
      <c r="B109" t="s">
        <v>201</v>
      </c>
      <c r="E109">
        <f t="shared" ref="E109:N109" si="113">E88-D88</f>
        <v>0</v>
      </c>
      <c r="F109">
        <f t="shared" si="113"/>
        <v>0</v>
      </c>
      <c r="G109">
        <f t="shared" si="113"/>
        <v>0</v>
      </c>
      <c r="H109">
        <f t="shared" si="113"/>
        <v>0</v>
      </c>
      <c r="I109">
        <f t="shared" si="113"/>
        <v>0</v>
      </c>
      <c r="J109">
        <f t="shared" si="113"/>
        <v>-750</v>
      </c>
      <c r="K109">
        <f t="shared" si="113"/>
        <v>0</v>
      </c>
      <c r="L109">
        <f t="shared" si="113"/>
        <v>0</v>
      </c>
      <c r="M109">
        <f t="shared" si="113"/>
        <v>0</v>
      </c>
      <c r="N109">
        <f t="shared" si="113"/>
        <v>0</v>
      </c>
    </row>
    <row r="110" spans="1:14" ht="15" customHeight="1" x14ac:dyDescent="0.25">
      <c r="A110" s="69"/>
      <c r="B110" t="s">
        <v>202</v>
      </c>
      <c r="E110">
        <f ca="1">SUM(E108:E109)</f>
        <v>-1257.5428561647527</v>
      </c>
      <c r="F110">
        <f t="shared" ref="F110:M110" ca="1" si="114">SUM(F108:F109)</f>
        <v>-1281.6466324802284</v>
      </c>
      <c r="G110">
        <f t="shared" ca="1" si="114"/>
        <v>-1533.161719967844</v>
      </c>
      <c r="H110">
        <f t="shared" ca="1" si="114"/>
        <v>-1637.210376930082</v>
      </c>
      <c r="I110">
        <f t="shared" ca="1" si="114"/>
        <v>-1775.4126010124526</v>
      </c>
      <c r="J110">
        <f t="shared" ca="1" si="114"/>
        <v>-2669.6876817567627</v>
      </c>
      <c r="K110">
        <f t="shared" ca="1" si="114"/>
        <v>-2045.4514335719607</v>
      </c>
      <c r="L110">
        <f t="shared" ca="1" si="114"/>
        <v>-2131.5187856377001</v>
      </c>
      <c r="M110">
        <f t="shared" ca="1" si="114"/>
        <v>-2211.5170522535359</v>
      </c>
      <c r="N110">
        <f t="shared" ref="N110" ca="1" si="115">SUM(N108:N109)</f>
        <v>-2283.5071190870717</v>
      </c>
    </row>
    <row r="111" spans="1:14" ht="15" customHeight="1" x14ac:dyDescent="0.25">
      <c r="A111" s="69"/>
    </row>
    <row r="112" spans="1:14" ht="15" customHeight="1" x14ac:dyDescent="0.25">
      <c r="A112" s="69"/>
      <c r="B112" t="s">
        <v>203</v>
      </c>
      <c r="E112">
        <f>D114</f>
        <v>1848</v>
      </c>
      <c r="F112">
        <f t="shared" ref="F112:N112" ca="1" si="116">E114</f>
        <v>2573.3400757426089</v>
      </c>
      <c r="G112">
        <f t="shared" ca="1" si="116"/>
        <v>2911.3674084904819</v>
      </c>
      <c r="H112">
        <f t="shared" ca="1" si="116"/>
        <v>3208.7248878645983</v>
      </c>
      <c r="I112">
        <f t="shared" ca="1" si="116"/>
        <v>3477.9090321795074</v>
      </c>
      <c r="J112">
        <f t="shared" ca="1" si="116"/>
        <v>3773.742852552532</v>
      </c>
      <c r="K112">
        <f t="shared" ca="1" si="116"/>
        <v>3349.6398330875122</v>
      </c>
      <c r="L112">
        <f t="shared" ca="1" si="116"/>
        <v>3667.8905778985591</v>
      </c>
      <c r="M112">
        <f t="shared" ca="1" si="116"/>
        <v>4155.8978094733993</v>
      </c>
      <c r="N112">
        <f t="shared" ca="1" si="116"/>
        <v>4666.9296775508619</v>
      </c>
    </row>
    <row r="113" spans="1:14" ht="15" customHeight="1" x14ac:dyDescent="0.25">
      <c r="A113" s="69"/>
      <c r="B113" t="s">
        <v>204</v>
      </c>
      <c r="E113">
        <f t="shared" ref="E113:M113" ca="1" si="117">SUM(E103,E106,E110)</f>
        <v>725.34007574260909</v>
      </c>
      <c r="F113">
        <f t="shared" ca="1" si="117"/>
        <v>338.02733274787306</v>
      </c>
      <c r="G113">
        <f t="shared" ca="1" si="117"/>
        <v>297.35747937411634</v>
      </c>
      <c r="H113">
        <f t="shared" ca="1" si="117"/>
        <v>269.18414431490919</v>
      </c>
      <c r="I113">
        <f t="shared" ca="1" si="117"/>
        <v>295.83382037302476</v>
      </c>
      <c r="J113">
        <f t="shared" ca="1" si="117"/>
        <v>-424.10301946501977</v>
      </c>
      <c r="K113">
        <f t="shared" ca="1" si="117"/>
        <v>318.25074481104707</v>
      </c>
      <c r="L113">
        <f t="shared" ca="1" si="117"/>
        <v>488.00723157484072</v>
      </c>
      <c r="M113">
        <f t="shared" ca="1" si="117"/>
        <v>511.0318680774626</v>
      </c>
      <c r="N113">
        <f t="shared" ref="N113" ca="1" si="118">SUM(N103,N106,N110)</f>
        <v>536.67878975004533</v>
      </c>
    </row>
    <row r="114" spans="1:14" ht="15" customHeight="1" x14ac:dyDescent="0.25">
      <c r="A114" s="69"/>
      <c r="B114" t="s">
        <v>205</v>
      </c>
      <c r="D114">
        <f>D73-D83</f>
        <v>1848</v>
      </c>
      <c r="E114">
        <f t="shared" ref="E114" ca="1" si="119">SUM(E112:E113)</f>
        <v>2573.3400757426089</v>
      </c>
      <c r="F114">
        <f t="shared" ref="F114:M114" ca="1" si="120">SUM(F112:F113)</f>
        <v>2911.3674084904819</v>
      </c>
      <c r="G114">
        <f t="shared" ca="1" si="120"/>
        <v>3208.7248878645983</v>
      </c>
      <c r="H114">
        <f t="shared" ca="1" si="120"/>
        <v>3477.9090321795074</v>
      </c>
      <c r="I114">
        <f t="shared" ca="1" si="120"/>
        <v>3773.742852552532</v>
      </c>
      <c r="J114">
        <f t="shared" ca="1" si="120"/>
        <v>3349.6398330875122</v>
      </c>
      <c r="K114">
        <f t="shared" ca="1" si="120"/>
        <v>3667.8905778985591</v>
      </c>
      <c r="L114">
        <f t="shared" ca="1" si="120"/>
        <v>4155.8978094733993</v>
      </c>
      <c r="M114">
        <f t="shared" ca="1" si="120"/>
        <v>4666.9296775508619</v>
      </c>
      <c r="N114">
        <f t="shared" ref="N114" ca="1" si="121">SUM(N112:N113)</f>
        <v>5203.6084673009073</v>
      </c>
    </row>
    <row r="115" spans="1:14" ht="15" customHeight="1" x14ac:dyDescent="0.25">
      <c r="A115" s="69"/>
    </row>
    <row r="116" spans="1:14" ht="15" customHeight="1" x14ac:dyDescent="0.25">
      <c r="A116" s="69" t="s">
        <v>206</v>
      </c>
    </row>
    <row r="117" spans="1:14" ht="15" customHeight="1" x14ac:dyDescent="0.25">
      <c r="A117" s="69"/>
      <c r="B117" t="s">
        <v>207</v>
      </c>
      <c r="E117">
        <f t="shared" ref="E117:N117" ca="1" si="122">E25*AVERAGE(D83:E83)</f>
        <v>10</v>
      </c>
      <c r="F117">
        <f t="shared" ca="1" si="122"/>
        <v>0</v>
      </c>
      <c r="G117">
        <f t="shared" ca="1" si="122"/>
        <v>0</v>
      </c>
      <c r="H117">
        <f t="shared" ca="1" si="122"/>
        <v>0</v>
      </c>
      <c r="I117">
        <f t="shared" ca="1" si="122"/>
        <v>0</v>
      </c>
      <c r="J117">
        <f t="shared" ca="1" si="122"/>
        <v>0</v>
      </c>
      <c r="K117">
        <f t="shared" ca="1" si="122"/>
        <v>0</v>
      </c>
      <c r="L117">
        <f t="shared" ca="1" si="122"/>
        <v>0</v>
      </c>
      <c r="M117">
        <f t="shared" ca="1" si="122"/>
        <v>0</v>
      </c>
      <c r="N117">
        <f t="shared" ca="1" si="122"/>
        <v>0</v>
      </c>
    </row>
    <row r="118" spans="1:14" ht="15" customHeight="1" x14ac:dyDescent="0.25">
      <c r="A118" s="69"/>
      <c r="B118" t="s">
        <v>208</v>
      </c>
      <c r="E118">
        <f t="shared" ref="E118:N118" si="123">E26*AVERAGE(D88:E88)</f>
        <v>74.2</v>
      </c>
      <c r="F118">
        <f t="shared" si="123"/>
        <v>74.2</v>
      </c>
      <c r="G118">
        <f t="shared" si="123"/>
        <v>74.2</v>
      </c>
      <c r="H118">
        <f t="shared" si="123"/>
        <v>74.2</v>
      </c>
      <c r="I118">
        <f t="shared" si="123"/>
        <v>74.2</v>
      </c>
      <c r="J118">
        <f t="shared" si="123"/>
        <v>55.45</v>
      </c>
      <c r="K118">
        <f t="shared" si="123"/>
        <v>36.700000000000003</v>
      </c>
      <c r="L118">
        <f t="shared" si="123"/>
        <v>36.700000000000003</v>
      </c>
      <c r="M118">
        <f t="shared" si="123"/>
        <v>36.700000000000003</v>
      </c>
      <c r="N118">
        <f t="shared" si="123"/>
        <v>36.700000000000003</v>
      </c>
    </row>
    <row r="119" spans="1:14" ht="15" customHeight="1" x14ac:dyDescent="0.25">
      <c r="A119" s="69"/>
      <c r="B119" t="s">
        <v>209</v>
      </c>
      <c r="E119">
        <f t="shared" ref="E119:N119" ca="1" si="124">E27*AVERAGE(D73:E73)</f>
        <v>48.213400757426086</v>
      </c>
      <c r="F119">
        <f t="shared" ca="1" si="124"/>
        <v>54.847074842330912</v>
      </c>
      <c r="G119">
        <f t="shared" ca="1" si="124"/>
        <v>61.200922963550802</v>
      </c>
      <c r="H119">
        <f t="shared" ca="1" si="124"/>
        <v>66.866339200441047</v>
      </c>
      <c r="I119">
        <f t="shared" ca="1" si="124"/>
        <v>72.516518847320398</v>
      </c>
      <c r="J119">
        <f t="shared" ca="1" si="124"/>
        <v>71.233826856400455</v>
      </c>
      <c r="K119">
        <f t="shared" ca="1" si="124"/>
        <v>70.175304109860718</v>
      </c>
      <c r="L119">
        <f t="shared" ca="1" si="124"/>
        <v>78.237883873719582</v>
      </c>
      <c r="M119">
        <f t="shared" ca="1" si="124"/>
        <v>88.228274870242601</v>
      </c>
      <c r="N119">
        <f t="shared" ca="1" si="124"/>
        <v>98.705381448517699</v>
      </c>
    </row>
    <row r="120" spans="1:14" ht="15" customHeight="1" x14ac:dyDescent="0.25">
      <c r="A120" s="69"/>
    </row>
    <row r="121" spans="1:14" ht="15" customHeight="1" x14ac:dyDescent="0.25">
      <c r="A121" s="69" t="s">
        <v>210</v>
      </c>
    </row>
    <row r="122" spans="1:14" ht="15" customHeight="1" x14ac:dyDescent="0.25">
      <c r="A122" s="69"/>
      <c r="B122" t="s">
        <v>100</v>
      </c>
      <c r="C122" s="59"/>
      <c r="D122" s="59">
        <f t="shared" ref="D122:N122" si="125">D32/C32-1</f>
        <v>-1.0094212651413192E-2</v>
      </c>
      <c r="E122" s="59">
        <f t="shared" si="125"/>
        <v>0.21421132834806289</v>
      </c>
      <c r="F122" s="59">
        <f t="shared" si="125"/>
        <v>-4.0740740740740855E-2</v>
      </c>
      <c r="G122" s="59">
        <f t="shared" si="125"/>
        <v>6.2519999999999909E-2</v>
      </c>
      <c r="H122" s="59">
        <f t="shared" si="125"/>
        <v>8.6594059405940671E-2</v>
      </c>
      <c r="I122" s="59">
        <f t="shared" si="125"/>
        <v>8.2000000000000073E-2</v>
      </c>
      <c r="J122" s="59">
        <f t="shared" si="125"/>
        <v>7.5000000000000178E-2</v>
      </c>
      <c r="K122" s="59">
        <f t="shared" si="125"/>
        <v>6.0000000000000053E-2</v>
      </c>
      <c r="L122" s="59">
        <f t="shared" si="125"/>
        <v>3.9999999999999813E-2</v>
      </c>
      <c r="M122" s="59">
        <f t="shared" si="125"/>
        <v>3.499999999999992E-2</v>
      </c>
      <c r="N122" s="59">
        <f t="shared" si="125"/>
        <v>3.0000000000000027E-2</v>
      </c>
    </row>
    <row r="123" spans="1:14" ht="15" customHeight="1" x14ac:dyDescent="0.25">
      <c r="A123" s="69"/>
      <c r="B123" t="s">
        <v>102</v>
      </c>
      <c r="C123" s="59">
        <f t="shared" ref="C123:N123" si="126">C63/C61</f>
        <v>0.23803226659613858</v>
      </c>
      <c r="D123" s="59">
        <f t="shared" si="126"/>
        <v>0.22631649470722229</v>
      </c>
      <c r="E123" s="59">
        <f t="shared" si="126"/>
        <v>0.24197561302425297</v>
      </c>
      <c r="F123" s="59">
        <f t="shared" si="126"/>
        <v>0.25497561302425298</v>
      </c>
      <c r="G123" s="59">
        <f t="shared" si="126"/>
        <v>0.26397561302425299</v>
      </c>
      <c r="H123" s="59">
        <f t="shared" si="126"/>
        <v>0.26397561302425299</v>
      </c>
      <c r="I123" s="59">
        <f t="shared" si="126"/>
        <v>0.26397561302425293</v>
      </c>
      <c r="J123" s="59">
        <f t="shared" si="126"/>
        <v>0.26397561302425299</v>
      </c>
      <c r="K123" s="59">
        <f t="shared" si="126"/>
        <v>0.26397561302425293</v>
      </c>
      <c r="L123" s="59">
        <f t="shared" si="126"/>
        <v>0.26397561302425293</v>
      </c>
      <c r="M123" s="59">
        <f t="shared" si="126"/>
        <v>0.26397561302425299</v>
      </c>
      <c r="N123" s="59">
        <f t="shared" si="126"/>
        <v>0.26397561302425299</v>
      </c>
    </row>
    <row r="124" spans="1:14" ht="15" customHeight="1" x14ac:dyDescent="0.25">
      <c r="A124" s="69"/>
      <c r="B124" t="s">
        <v>103</v>
      </c>
      <c r="C124" s="59">
        <f t="shared" ref="C124:N124" si="127">C54/C61</f>
        <v>0.31526051309177466</v>
      </c>
      <c r="D124" s="59">
        <f t="shared" si="127"/>
        <v>0.31234088168296931</v>
      </c>
      <c r="E124" s="59">
        <f t="shared" si="127"/>
        <v>0.32800000000000001</v>
      </c>
      <c r="F124" s="59">
        <f t="shared" si="127"/>
        <v>0.34100000000000003</v>
      </c>
      <c r="G124" s="59">
        <f t="shared" si="127"/>
        <v>0.35</v>
      </c>
      <c r="H124" s="59">
        <f t="shared" si="127"/>
        <v>0.35</v>
      </c>
      <c r="I124" s="59">
        <f t="shared" si="127"/>
        <v>0.35</v>
      </c>
      <c r="J124" s="59">
        <f t="shared" si="127"/>
        <v>0.35</v>
      </c>
      <c r="K124" s="59">
        <f t="shared" si="127"/>
        <v>0.35</v>
      </c>
      <c r="L124" s="59">
        <f t="shared" si="127"/>
        <v>0.34999999999999992</v>
      </c>
      <c r="M124" s="59">
        <f t="shared" si="127"/>
        <v>0.35</v>
      </c>
      <c r="N124" s="59">
        <f t="shared" si="127"/>
        <v>0.35</v>
      </c>
    </row>
    <row r="125" spans="1:14" ht="15" customHeight="1" x14ac:dyDescent="0.25">
      <c r="A125" s="69"/>
      <c r="B125" t="s">
        <v>211</v>
      </c>
      <c r="C125" s="59">
        <f t="shared" ref="C125:N125" si="128">C70/C61</f>
        <v>0.16834170854271358</v>
      </c>
      <c r="D125" s="59">
        <f t="shared" si="128"/>
        <v>0.15020769127696637</v>
      </c>
      <c r="E125" s="59">
        <f t="shared" ca="1" si="128"/>
        <v>0.19009890069057175</v>
      </c>
      <c r="F125" s="59">
        <f t="shared" ca="1" si="128"/>
        <v>0.18701022655089253</v>
      </c>
      <c r="G125" s="59">
        <f t="shared" ca="1" si="128"/>
        <v>0.21265190764336742</v>
      </c>
      <c r="H125" s="59">
        <f t="shared" ca="1" si="128"/>
        <v>0.20795203084781239</v>
      </c>
      <c r="I125" s="59">
        <f t="shared" ca="1" si="128"/>
        <v>0.2084158359240661</v>
      </c>
      <c r="J125" s="59">
        <f t="shared" ca="1" si="128"/>
        <v>0.20963004641696517</v>
      </c>
      <c r="K125" s="59">
        <f t="shared" ca="1" si="128"/>
        <v>0.21072024343856041</v>
      </c>
      <c r="L125" s="59">
        <f t="shared" ca="1" si="128"/>
        <v>0.21114116444657918</v>
      </c>
      <c r="M125" s="59">
        <f t="shared" ca="1" si="128"/>
        <v>0.21165751379215578</v>
      </c>
      <c r="N125" s="59">
        <f t="shared" ca="1" si="128"/>
        <v>0.21218200221082709</v>
      </c>
    </row>
    <row r="126" spans="1:14" ht="15" customHeight="1" x14ac:dyDescent="0.25">
      <c r="A126" s="69"/>
    </row>
    <row r="127" spans="1:14" ht="15" customHeight="1" x14ac:dyDescent="0.25">
      <c r="A127" s="69" t="s">
        <v>212</v>
      </c>
    </row>
    <row r="128" spans="1:14" ht="15" customHeight="1" x14ac:dyDescent="0.25">
      <c r="A128" s="69"/>
      <c r="B128" t="s">
        <v>111</v>
      </c>
      <c r="C128" s="59">
        <f t="shared" ref="C128:N128" si="129">C52/C61</f>
        <v>-0.27836551176937319</v>
      </c>
      <c r="D128" s="59">
        <f t="shared" si="129"/>
        <v>-0.27214257001205949</v>
      </c>
      <c r="E128" s="59">
        <f t="shared" si="129"/>
        <v>-0.32625355528929739</v>
      </c>
      <c r="F128" s="59">
        <f t="shared" si="129"/>
        <v>-0.3132699309420825</v>
      </c>
      <c r="G128" s="59">
        <f t="shared" si="129"/>
        <v>-0.28885613044013536</v>
      </c>
      <c r="H128" s="59">
        <f t="shared" si="129"/>
        <v>-0.27093724345043957</v>
      </c>
      <c r="I128" s="59">
        <f t="shared" si="129"/>
        <v>-0.25667873733098434</v>
      </c>
      <c r="J128" s="59">
        <f t="shared" si="129"/>
        <v>-0.24494433053621253</v>
      </c>
      <c r="K128" s="59">
        <f t="shared" si="129"/>
        <v>-0.23703157069110176</v>
      </c>
      <c r="L128" s="59">
        <f t="shared" si="129"/>
        <v>-0.23356185284167164</v>
      </c>
      <c r="M128" s="59">
        <f t="shared" si="129"/>
        <v>-0.23123238122983467</v>
      </c>
      <c r="N128" s="59">
        <f t="shared" si="129"/>
        <v>-0.22998732857088569</v>
      </c>
    </row>
    <row r="129" spans="1:14" ht="15" customHeight="1" x14ac:dyDescent="0.25">
      <c r="A129" s="69"/>
      <c r="B129" t="s">
        <v>213</v>
      </c>
      <c r="C129" s="59" cm="1">
        <f t="array" ref="C129">SUM(C78:C80/C61)</f>
        <v>1.2130388786035442</v>
      </c>
      <c r="D129" s="59" cm="1">
        <f t="array" ref="D129">SUM(D78:D80/D61)</f>
        <v>1.2182768323730404</v>
      </c>
      <c r="E129" s="59" cm="1">
        <f t="array" ref="E129">SUM(E78:E80/E61)</f>
        <v>1.1348172176479778</v>
      </c>
      <c r="F129" s="59" cm="1">
        <f t="array" ref="F129">SUM(F78:F80/F61)</f>
        <v>1.0961978617420765</v>
      </c>
      <c r="G129" s="59" cm="1">
        <f t="array" ref="G129">SUM(G78:G80/G61)</f>
        <v>1.0490452838441469</v>
      </c>
      <c r="H129" s="59" cm="1">
        <f t="array" ref="H129">SUM(H78:H80/H61)</f>
        <v>0.99227137385675424</v>
      </c>
      <c r="I129" s="59" cm="1">
        <f t="array" ref="I129">SUM(I78:I80/I61)</f>
        <v>0.94709906771556918</v>
      </c>
      <c r="J129" s="59" cm="1">
        <f t="array" ref="J129">SUM(J78:J80/J61)</f>
        <v>0.90972119658214323</v>
      </c>
      <c r="K129" s="59" cm="1">
        <f t="array" ref="K129">SUM(K78:K80/K61)</f>
        <v>0.86745341265921283</v>
      </c>
      <c r="L129" s="59" cm="1">
        <f t="array" ref="L129">SUM(L78:L80/L61)</f>
        <v>0.84752340386532443</v>
      </c>
      <c r="M129" s="59" cm="1">
        <f t="array" ref="M129">SUM(M78:M80/M61)</f>
        <v>0.83135582285364107</v>
      </c>
      <c r="N129" s="59" cm="1">
        <f t="array" ref="N129">SUM(N78:N80/N61)</f>
        <v>0.81837745421041996</v>
      </c>
    </row>
    <row r="130" spans="1:14" ht="15" customHeight="1" x14ac:dyDescent="0.25">
      <c r="A130" s="69"/>
      <c r="B130" t="s">
        <v>214</v>
      </c>
      <c r="C130">
        <f t="shared" ref="C130:M130" si="130">C92+C88+C83-C73</f>
        <v>6133</v>
      </c>
      <c r="D130">
        <f t="shared" si="130"/>
        <v>6022</v>
      </c>
      <c r="E130">
        <f t="shared" ca="1" si="130"/>
        <v>5611.0456382985785</v>
      </c>
      <c r="F130">
        <f t="shared" ca="1" si="130"/>
        <v>5593.4299636707619</v>
      </c>
      <c r="G130">
        <f t="shared" ca="1" si="130"/>
        <v>5679.3629142886057</v>
      </c>
      <c r="H130">
        <f t="shared" ca="1" si="130"/>
        <v>5819.481364206219</v>
      </c>
      <c r="I130">
        <f t="shared" ca="1" si="130"/>
        <v>5967.5006940863059</v>
      </c>
      <c r="J130">
        <f t="shared" ca="1" si="130"/>
        <v>6121.5256339905154</v>
      </c>
      <c r="K130">
        <f t="shared" ca="1" si="130"/>
        <v>6314.6377475724585</v>
      </c>
      <c r="L130">
        <f t="shared" ca="1" si="130"/>
        <v>6359.5102124070436</v>
      </c>
      <c r="M130">
        <f t="shared" ca="1" si="130"/>
        <v>6401.3576073929644</v>
      </c>
      <c r="N130">
        <f t="shared" ref="N130" ca="1" si="131">N92+N88+N83-N73</f>
        <v>6435.5555974146873</v>
      </c>
    </row>
    <row r="131" spans="1:14" ht="15" customHeight="1" x14ac:dyDescent="0.25">
      <c r="A131" s="197"/>
      <c r="B131" t="s">
        <v>215</v>
      </c>
      <c r="C131" s="59"/>
      <c r="D131" s="59">
        <f t="shared" ref="D131" si="132">D130/C130-1</f>
        <v>-1.809880971791944E-2</v>
      </c>
      <c r="E131" s="59">
        <f t="shared" ref="E131" ca="1" si="133">E130/D130-1</f>
        <v>-6.8242172318402794E-2</v>
      </c>
      <c r="F131" s="59">
        <f t="shared" ref="F131" ca="1" si="134">F130/E130-1</f>
        <v>-3.1394637939815562E-3</v>
      </c>
      <c r="G131" s="59">
        <f t="shared" ref="G131" ca="1" si="135">G130/F130-1</f>
        <v>1.5363194171729599E-2</v>
      </c>
      <c r="H131" s="59">
        <f t="shared" ref="H131" ca="1" si="136">H130/G130-1</f>
        <v>2.4671508412517973E-2</v>
      </c>
      <c r="I131" s="59">
        <f t="shared" ref="I131" ca="1" si="137">I130/H130-1</f>
        <v>2.5435141143419937E-2</v>
      </c>
      <c r="J131" s="59">
        <f t="shared" ref="J131" ca="1" si="138">J130/I130-1</f>
        <v>2.5810627899355953E-2</v>
      </c>
      <c r="K131" s="59">
        <f t="shared" ref="K131" ca="1" si="139">K130/J130-1</f>
        <v>3.1546402829658149E-2</v>
      </c>
      <c r="L131" s="59">
        <f t="shared" ref="L131" ca="1" si="140">L130/K130-1</f>
        <v>7.1061027771284202E-3</v>
      </c>
      <c r="M131" s="59">
        <f t="shared" ref="M131" ca="1" si="141">M130/L130-1</f>
        <v>6.5802858377801421E-3</v>
      </c>
      <c r="N131" s="59">
        <f t="shared" ref="N131" ca="1" si="142">N130/M130-1</f>
        <v>5.3423026987631239E-3</v>
      </c>
    </row>
    <row r="132" spans="1:14" ht="15" customHeight="1" x14ac:dyDescent="0.25">
      <c r="A132" s="197"/>
      <c r="B132" t="s">
        <v>216</v>
      </c>
      <c r="C132" s="59"/>
      <c r="D132" s="59">
        <f t="shared" ref="D132:N132" si="143">(D63*(1-D13))/C130</f>
        <v>0.19234781654630764</v>
      </c>
      <c r="E132" s="59">
        <f>(E63*(1-E13))/D130</f>
        <v>0.26581166549319163</v>
      </c>
      <c r="F132" s="59">
        <f t="shared" ca="1" si="143"/>
        <v>0.28807098701608325</v>
      </c>
      <c r="G132" s="59">
        <f t="shared" ca="1" si="143"/>
        <v>0.34450800579877494</v>
      </c>
      <c r="H132" s="59">
        <f t="shared" ca="1" si="143"/>
        <v>0.36136210947726077</v>
      </c>
      <c r="I132" s="59">
        <f t="shared" ca="1" si="143"/>
        <v>0.38157965674301514</v>
      </c>
      <c r="J132" s="59">
        <f t="shared" ca="1" si="143"/>
        <v>0.4000234773906291</v>
      </c>
      <c r="K132" s="59">
        <f t="shared" ca="1" si="143"/>
        <v>0.4133559104397081</v>
      </c>
      <c r="L132" s="59">
        <f t="shared" ca="1" si="143"/>
        <v>0.41674339193860305</v>
      </c>
      <c r="M132" s="59">
        <f t="shared" ca="1" si="143"/>
        <v>0.4282859665600765</v>
      </c>
      <c r="N132" s="59">
        <f t="shared" ca="1" si="143"/>
        <v>0.43825073048169327</v>
      </c>
    </row>
    <row r="133" spans="1:14" ht="15" customHeight="1" x14ac:dyDescent="0.25">
      <c r="A133" s="69"/>
      <c r="B133" t="s">
        <v>217</v>
      </c>
      <c r="C133">
        <f t="shared" ref="C133:M133" si="144">C130-C79</f>
        <v>754</v>
      </c>
      <c r="D133">
        <f t="shared" si="144"/>
        <v>646</v>
      </c>
      <c r="E133">
        <f t="shared" ca="1" si="144"/>
        <v>235.04563829857852</v>
      </c>
      <c r="F133">
        <f t="shared" ca="1" si="144"/>
        <v>217.42996367076194</v>
      </c>
      <c r="G133">
        <f t="shared" ca="1" si="144"/>
        <v>303.36291428860568</v>
      </c>
      <c r="H133">
        <f t="shared" ca="1" si="144"/>
        <v>443.48136420621904</v>
      </c>
      <c r="I133">
        <f t="shared" ca="1" si="144"/>
        <v>591.50069408630588</v>
      </c>
      <c r="J133">
        <f t="shared" ca="1" si="144"/>
        <v>745.52563399051542</v>
      </c>
      <c r="K133">
        <f t="shared" ca="1" si="144"/>
        <v>938.63774757245847</v>
      </c>
      <c r="L133">
        <f t="shared" ca="1" si="144"/>
        <v>983.51021240704358</v>
      </c>
      <c r="M133">
        <f t="shared" ca="1" si="144"/>
        <v>1025.3576073929644</v>
      </c>
      <c r="N133">
        <f t="shared" ref="N133" ca="1" si="145">N130-N79</f>
        <v>1059.5555974146873</v>
      </c>
    </row>
    <row r="134" spans="1:14" ht="16.5" customHeight="1" x14ac:dyDescent="0.25">
      <c r="A134" s="197"/>
      <c r="B134" t="s">
        <v>218</v>
      </c>
      <c r="C134" s="59"/>
      <c r="D134" s="59">
        <f t="shared" ref="D134:N134" si="146">D133/C133-1</f>
        <v>-0.14323607427055707</v>
      </c>
      <c r="E134" s="59">
        <f t="shared" ca="1" si="146"/>
        <v>-0.6361522626956988</v>
      </c>
      <c r="F134" s="59">
        <f t="shared" ca="1" si="146"/>
        <v>-7.49457626839235E-2</v>
      </c>
      <c r="G134" s="59">
        <f t="shared" ca="1" si="146"/>
        <v>0.39522128949975643</v>
      </c>
      <c r="H134" s="59">
        <f t="shared" ca="1" si="146"/>
        <v>0.46188391302277321</v>
      </c>
      <c r="I134" s="59">
        <f t="shared" ca="1" si="146"/>
        <v>0.33376674157441655</v>
      </c>
      <c r="J134" s="59">
        <f t="shared" ca="1" si="146"/>
        <v>0.26039688785510662</v>
      </c>
      <c r="K134" s="59">
        <f t="shared" ca="1" si="146"/>
        <v>0.25902813367836508</v>
      </c>
      <c r="L134" s="59">
        <f t="shared" ca="1" si="146"/>
        <v>4.7805945318772913E-2</v>
      </c>
      <c r="M134" s="59">
        <f t="shared" ca="1" si="146"/>
        <v>4.2549019276071798E-2</v>
      </c>
      <c r="N134" s="59">
        <f t="shared" ca="1" si="146"/>
        <v>3.3352256593359053E-2</v>
      </c>
    </row>
    <row r="135" spans="1:14" ht="16.5" customHeight="1" x14ac:dyDescent="0.25">
      <c r="A135" s="69"/>
    </row>
    <row r="136" spans="1:14" ht="15" customHeight="1" x14ac:dyDescent="0.25">
      <c r="A136" s="69" t="s">
        <v>219</v>
      </c>
      <c r="C136" s="59"/>
      <c r="D136" s="59"/>
      <c r="E136" s="59"/>
      <c r="F136" s="59"/>
      <c r="G136" s="59"/>
      <c r="H136" s="59"/>
      <c r="I136" s="59"/>
      <c r="J136" s="59"/>
      <c r="K136" s="59"/>
      <c r="L136" s="59"/>
      <c r="M136" s="59"/>
      <c r="N136" s="59"/>
    </row>
    <row r="137" spans="1:14" ht="15" customHeight="1" x14ac:dyDescent="0.25">
      <c r="A137" s="69"/>
      <c r="B137" t="s">
        <v>96</v>
      </c>
      <c r="C137">
        <f t="shared" ref="C137:M137" si="147">C83+C88-C73</f>
        <v>-1380</v>
      </c>
      <c r="D137">
        <f t="shared" si="147"/>
        <v>-364</v>
      </c>
      <c r="E137">
        <f t="shared" ca="1" si="147"/>
        <v>-1089.3400757426089</v>
      </c>
      <c r="F137">
        <f t="shared" ca="1" si="147"/>
        <v>-1427.3674084904819</v>
      </c>
      <c r="G137">
        <f t="shared" ca="1" si="147"/>
        <v>-1724.7248878645983</v>
      </c>
      <c r="H137">
        <f t="shared" ca="1" si="147"/>
        <v>-1993.9090321795074</v>
      </c>
      <c r="I137">
        <f t="shared" ca="1" si="147"/>
        <v>-2289.742852552532</v>
      </c>
      <c r="J137">
        <f t="shared" ca="1" si="147"/>
        <v>-2615.6398330875122</v>
      </c>
      <c r="K137">
        <f t="shared" ca="1" si="147"/>
        <v>-2933.8905778985591</v>
      </c>
      <c r="L137">
        <f t="shared" ca="1" si="147"/>
        <v>-3421.8978094733993</v>
      </c>
      <c r="M137">
        <f t="shared" ca="1" si="147"/>
        <v>-3932.9296775508619</v>
      </c>
      <c r="N137">
        <f t="shared" ref="N137" ca="1" si="148">N83+N88-N73</f>
        <v>-4469.6084673009073</v>
      </c>
    </row>
    <row r="138" spans="1:14" ht="15" customHeight="1" x14ac:dyDescent="0.25">
      <c r="A138" s="69"/>
      <c r="B138" t="s">
        <v>220</v>
      </c>
      <c r="C138" s="60">
        <f t="shared" ref="C138:N138" si="149">C137/C54</f>
        <v>-0.57885906040268453</v>
      </c>
      <c r="D138" s="60">
        <f t="shared" si="149"/>
        <v>-0.15615615615615616</v>
      </c>
      <c r="E138" s="60">
        <f t="shared" ca="1" si="149"/>
        <v>-0.4016395163804436</v>
      </c>
      <c r="F138" s="60">
        <f t="shared" ca="1" si="149"/>
        <v>-0.48861685017951106</v>
      </c>
      <c r="G138" s="60">
        <f t="shared" ca="1" si="149"/>
        <v>-0.5467931795175226</v>
      </c>
      <c r="H138" s="60">
        <f t="shared" ca="1" si="149"/>
        <v>-0.57887655512457026</v>
      </c>
      <c r="I138" s="60">
        <f t="shared" ca="1" si="149"/>
        <v>-0.61438424641605816</v>
      </c>
      <c r="J138" s="60">
        <f t="shared" ca="1" si="149"/>
        <v>-0.65286417438000588</v>
      </c>
      <c r="K138" s="60">
        <f t="shared" ca="1" si="149"/>
        <v>-0.69084869596148191</v>
      </c>
      <c r="L138" s="60">
        <f t="shared" ca="1" si="149"/>
        <v>-0.77476987553549248</v>
      </c>
      <c r="M138" s="60">
        <f t="shared" ca="1" si="149"/>
        <v>-0.8603625969231522</v>
      </c>
      <c r="N138" s="60">
        <f t="shared" ca="1" si="149"/>
        <v>-0.94928713895594941</v>
      </c>
    </row>
    <row r="139" spans="1:14" ht="15" customHeight="1" x14ac:dyDescent="0.25">
      <c r="A139" s="69"/>
      <c r="B139" t="s">
        <v>221</v>
      </c>
      <c r="C139" s="60">
        <f t="shared" ref="C139:N139" si="150">C54/-C67</f>
        <v>41.103448275862071</v>
      </c>
      <c r="D139" s="60">
        <f t="shared" si="150"/>
        <v>40.189655172413794</v>
      </c>
      <c r="E139" s="60">
        <f t="shared" ca="1" si="150"/>
        <v>32.21179705463183</v>
      </c>
      <c r="F139" s="60">
        <f t="shared" ca="1" si="150"/>
        <v>39.369820176603781</v>
      </c>
      <c r="G139" s="60">
        <f t="shared" ca="1" si="150"/>
        <v>42.510169469283028</v>
      </c>
      <c r="H139" s="60">
        <f t="shared" ca="1" si="150"/>
        <v>46.421105060457073</v>
      </c>
      <c r="I139" s="60">
        <f t="shared" ca="1" si="150"/>
        <v>50.227635675414554</v>
      </c>
      <c r="J139" s="60">
        <f t="shared" ca="1" si="150"/>
        <v>72.252612437320863</v>
      </c>
      <c r="K139" s="60">
        <f t="shared" ca="1" si="150"/>
        <v>115.71639785363512</v>
      </c>
      <c r="L139" s="60">
        <f t="shared" ca="1" si="150"/>
        <v>120.3450537677805</v>
      </c>
      <c r="M139" s="60">
        <f t="shared" ca="1" si="150"/>
        <v>124.55713064965282</v>
      </c>
      <c r="N139" s="60">
        <f t="shared" ca="1" si="150"/>
        <v>128.29384456914241</v>
      </c>
    </row>
    <row r="140" spans="1:14" ht="15" customHeight="1" x14ac:dyDescent="0.25">
      <c r="A140" s="69"/>
      <c r="B140" t="s">
        <v>222</v>
      </c>
      <c r="C140" s="60">
        <f t="shared" ref="C140:M140" si="151">C137/(C137+C92)</f>
        <v>-0.22501222892548509</v>
      </c>
      <c r="D140" s="60">
        <f t="shared" si="151"/>
        <v>-6.0445034872135504E-2</v>
      </c>
      <c r="E140" s="60">
        <f t="shared" ca="1" si="151"/>
        <v>-0.19414208081061454</v>
      </c>
      <c r="F140" s="60">
        <f t="shared" ca="1" si="151"/>
        <v>-0.25518642724789803</v>
      </c>
      <c r="G140" s="60">
        <f t="shared" ca="1" si="151"/>
        <v>-0.30368280983160884</v>
      </c>
      <c r="H140" s="60">
        <f t="shared" ca="1" si="151"/>
        <v>-0.34262658601218465</v>
      </c>
      <c r="I140" s="60">
        <f t="shared" ca="1" si="151"/>
        <v>-0.38370215102306215</v>
      </c>
      <c r="J140" s="60">
        <f t="shared" ca="1" si="151"/>
        <v>-0.42728561301186979</v>
      </c>
      <c r="K140" s="60">
        <f t="shared" ca="1" si="151"/>
        <v>-0.46461740089943199</v>
      </c>
      <c r="L140" s="60">
        <f t="shared" ca="1" si="151"/>
        <v>-0.53807568431881292</v>
      </c>
      <c r="M140" s="60">
        <f t="shared" ca="1" si="151"/>
        <v>-0.61438993394287156</v>
      </c>
      <c r="N140" s="60">
        <f t="shared" ref="N140" ca="1" si="152">N137/(N137+N92)</f>
        <v>-0.69451788577453255</v>
      </c>
    </row>
    <row r="141" spans="1:14" ht="15" customHeight="1" x14ac:dyDescent="0.25">
      <c r="A141" s="69"/>
    </row>
    <row r="142" spans="1:14" ht="15" customHeight="1" x14ac:dyDescent="0.25">
      <c r="A142" s="69" t="s">
        <v>137</v>
      </c>
    </row>
  </sheetData>
  <hyperlinks>
    <hyperlink ref="D66" r:id="rId1" display="https://felix.fe.training/filing/document.php/?hid=69aaf1c2ec7b2" xr:uid="{0FF7FAE9-595A-4AC2-ABFB-40A8F07C04A9}"/>
    <hyperlink ref="D78" r:id="rId2" display="https://felix.fe.training/filing/document.php/?hid=69a969b76d773" xr:uid="{94754642-C621-464E-A255-25B31F91D592}"/>
    <hyperlink ref="D80" r:id="rId3" display="https://felix.fe.training/filing/document.php/?hid=69aaea6a55122" xr:uid="{CF282E11-D3C0-4527-8F62-985D0E7CCFCD}"/>
    <hyperlink ref="D89" r:id="rId4" display="https://felix.fe.training/filing/document.php/?hid=69aaeab4923e5" xr:uid="{076032C5-5020-443E-A52A-31E4B09C3B68}"/>
    <hyperlink ref="C38" r:id="rId5" display="https://felix.fe.training/filing/document.php/?hid=69a969e46ba02" xr:uid="{8CC3F655-1C68-490F-9F3F-36D6893C2B63}"/>
    <hyperlink ref="D38" r:id="rId6" display="https://felix.fe.training/filing/document.php/?hid=69a969efee5fa" xr:uid="{C83544B6-E7C9-4670-9B2F-8BE20743550A}"/>
    <hyperlink ref="D45" r:id="rId7" display="https://felix.fe.training/filing/document.php/?hid=69a96cd5b3888" xr:uid="{A12FDAA6-C236-4F95-804F-9801D24D13BE}"/>
    <hyperlink ref="C45" r:id="rId8" display="https://felix.fe.training/filing/document.php/?hid=69aae4df65670" xr:uid="{D7F32715-5786-4655-97F5-CE50F3166E0E}"/>
    <hyperlink ref="C54" r:id="rId9" display="https://felix.fe.training/filing/document.php/?hid=69a95f0b77754" xr:uid="{C61CB102-62EA-4A5B-A4AC-83A66A692F81}"/>
    <hyperlink ref="D54" r:id="rId10" display="https://felix.fe.training/filing/document.php/?hid=69a95f27ac0f2" xr:uid="{62A0CA94-4DDB-447A-97F1-32EAD79486E3}"/>
    <hyperlink ref="C55" r:id="rId11" display="https://felix.fe.training/filing/document.php/?hid=69aae60fdecf3" xr:uid="{06C10D8A-FF4A-4810-977A-A3D546E2E1EA}"/>
    <hyperlink ref="D55" r:id="rId12" display="https://felix.fe.training/filing/document.php/?hid=69aae61594808" xr:uid="{AE0222BF-B39F-4C91-824A-D294C7384D00}"/>
    <hyperlink ref="C78" r:id="rId13" display="https://felix.fe.training/filing/document.php/?hid=69a969b76d773" xr:uid="{4A21A9CC-0C60-422D-BCB6-2F8E7BEFFB02}"/>
    <hyperlink ref="C79" r:id="rId14" display="https://felix.fe.training/filing/document.php/?hid=69aaea4cd4366" xr:uid="{FEBFC1FD-E63B-4241-93DA-D6474E67DFAF}"/>
    <hyperlink ref="D79" r:id="rId15" display="https://felix.fe.training/filing/document.php/?hid=69aaea531f34d" xr:uid="{0DB06450-F567-43E0-9204-75571A200E43}"/>
    <hyperlink ref="C80" r:id="rId16" display="https://felix.fe.training/filing/document.php/?hid=69aaea6a55122" xr:uid="{0B195463-4BBF-4FBB-8D2A-3C28CF0E549C}"/>
    <hyperlink ref="C89" r:id="rId17" display="https://felix.fe.training/filing/document.php/?hid=69aaeab4923e5" xr:uid="{6C6AD918-32DD-4B5D-844E-4FFCD2C62ABF}"/>
    <hyperlink ref="C66" r:id="rId18" display="https://felix.fe.training/filing/document.php/?hid=69aaf1c2ec7b2" xr:uid="{74F8B151-FB08-41EA-AAD7-3394A7AEC811}"/>
  </hyperlinks>
  <printOptions headings="1" gridLines="1"/>
  <pageMargins left="0.70866141732283472" right="0.70866141732283472" top="0.74803149606299213" bottom="0.74803149606299213" header="0" footer="0"/>
  <pageSetup paperSize="9" scale="62" fitToHeight="0" orientation="landscape" r:id="rId19"/>
  <headerFooter>
    <oddHeader>&amp;R&amp;F  &amp;A</oddHeader>
    <oddFooter>&amp;L© 2016&amp;CPage &amp;P of</oddFooter>
  </headerFooter>
  <rowBreaks count="2" manualBreakCount="2">
    <brk id="47" max="17" man="1"/>
    <brk id="95" max="17" man="1"/>
  </rowBreaks>
  <legacyDrawing r:id="rId2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02E53-0A7A-417D-9FB2-A74C27A6AE0C}">
  <sheetPr>
    <tabColor theme="4"/>
  </sheetPr>
  <dimension ref="A1:M123"/>
  <sheetViews>
    <sheetView topLeftCell="A2" workbookViewId="0">
      <selection activeCell="A2" sqref="A2"/>
    </sheetView>
  </sheetViews>
  <sheetFormatPr defaultRowHeight="15.75" x14ac:dyDescent="0.25"/>
  <cols>
    <col min="1" max="1" width="2" style="69" customWidth="1"/>
    <col min="2" max="2" width="50.5703125" customWidth="1"/>
    <col min="3" max="7" width="12.5703125" customWidth="1"/>
  </cols>
  <sheetData>
    <row r="1" spans="1:13" ht="45" hidden="1" customHeight="1" x14ac:dyDescent="0.45">
      <c r="A1" s="68" t="s">
        <v>223</v>
      </c>
      <c r="B1" s="100"/>
      <c r="C1" s="64"/>
      <c r="D1" s="64"/>
      <c r="E1" s="64"/>
      <c r="F1" s="64"/>
      <c r="G1" s="64"/>
      <c r="H1" s="64"/>
      <c r="I1" s="64"/>
      <c r="J1" s="64"/>
      <c r="K1" s="64"/>
      <c r="L1" s="64"/>
      <c r="M1" s="64"/>
    </row>
    <row r="2" spans="1:13" ht="15" x14ac:dyDescent="0.25">
      <c r="A2" t="s">
        <v>38</v>
      </c>
    </row>
    <row r="4" spans="1:13" x14ac:dyDescent="0.25">
      <c r="A4" s="69" t="s">
        <v>32</v>
      </c>
    </row>
    <row r="5" spans="1:13" x14ac:dyDescent="0.25">
      <c r="B5" t="s">
        <v>224</v>
      </c>
    </row>
    <row r="6" spans="1:13" x14ac:dyDescent="0.25">
      <c r="B6" t="s">
        <v>225</v>
      </c>
    </row>
    <row r="7" spans="1:13" x14ac:dyDescent="0.25">
      <c r="B7" t="s">
        <v>226</v>
      </c>
    </row>
    <row r="8" spans="1:13" x14ac:dyDescent="0.25">
      <c r="B8" t="s">
        <v>227</v>
      </c>
    </row>
    <row r="10" spans="1:13" x14ac:dyDescent="0.25">
      <c r="B10" t="s">
        <v>228</v>
      </c>
      <c r="C10" s="169">
        <f>Info!N7</f>
        <v>46086</v>
      </c>
    </row>
    <row r="11" spans="1:13" x14ac:dyDescent="0.25">
      <c r="B11" t="s">
        <v>229</v>
      </c>
      <c r="C11" s="169" t="s">
        <v>230</v>
      </c>
    </row>
    <row r="12" spans="1:13" x14ac:dyDescent="0.25">
      <c r="B12" t="s">
        <v>231</v>
      </c>
      <c r="C12" s="169" t="s">
        <v>29</v>
      </c>
    </row>
    <row r="14" spans="1:13" x14ac:dyDescent="0.25">
      <c r="B14" s="57" t="s">
        <v>232</v>
      </c>
    </row>
    <row r="15" spans="1:13" x14ac:dyDescent="0.25">
      <c r="B15" t="s">
        <v>233</v>
      </c>
      <c r="C15" s="166" t="s">
        <v>234</v>
      </c>
      <c r="D15" s="166" t="s">
        <v>235</v>
      </c>
      <c r="E15" s="166" t="s">
        <v>236</v>
      </c>
      <c r="F15" s="166" t="s">
        <v>237</v>
      </c>
      <c r="G15" s="166" t="s">
        <v>238</v>
      </c>
    </row>
    <row r="16" spans="1:13" x14ac:dyDescent="0.25">
      <c r="B16" t="s">
        <v>52</v>
      </c>
      <c r="C16" s="52">
        <v>2584.1</v>
      </c>
      <c r="D16" s="52">
        <v>2757</v>
      </c>
      <c r="E16" s="52">
        <v>2923.7</v>
      </c>
      <c r="F16" s="52">
        <v>3087.8</v>
      </c>
      <c r="G16" s="52">
        <v>3321.2</v>
      </c>
    </row>
    <row r="18" spans="1:7" x14ac:dyDescent="0.25">
      <c r="B18" s="57" t="s">
        <v>239</v>
      </c>
    </row>
    <row r="19" spans="1:7" x14ac:dyDescent="0.25">
      <c r="B19" t="s">
        <v>233</v>
      </c>
      <c r="C19" s="166" t="s">
        <v>240</v>
      </c>
      <c r="D19" s="166" t="s">
        <v>235</v>
      </c>
      <c r="E19" s="166" t="s">
        <v>241</v>
      </c>
      <c r="F19" s="166" t="s">
        <v>242</v>
      </c>
      <c r="G19" s="166" t="s">
        <v>243</v>
      </c>
    </row>
    <row r="20" spans="1:7" x14ac:dyDescent="0.25">
      <c r="B20" t="s">
        <v>52</v>
      </c>
      <c r="C20" s="52">
        <v>1727.3</v>
      </c>
      <c r="D20" s="52">
        <v>1727.3</v>
      </c>
      <c r="E20" s="52">
        <v>2074.1</v>
      </c>
      <c r="F20" s="52">
        <v>2702.9</v>
      </c>
      <c r="G20" s="52">
        <v>3422.8</v>
      </c>
    </row>
    <row r="22" spans="1:7" x14ac:dyDescent="0.25">
      <c r="A22" s="69" t="s">
        <v>244</v>
      </c>
    </row>
    <row r="24" spans="1:7" x14ac:dyDescent="0.25">
      <c r="B24" t="s">
        <v>8</v>
      </c>
      <c r="C24" t="s">
        <v>9</v>
      </c>
    </row>
    <row r="25" spans="1:7" x14ac:dyDescent="0.25">
      <c r="B25" t="s">
        <v>245</v>
      </c>
      <c r="C25" s="79">
        <f>250253713/1000000</f>
        <v>250.253713</v>
      </c>
    </row>
    <row r="26" spans="1:7" x14ac:dyDescent="0.25">
      <c r="B26" t="s">
        <v>246</v>
      </c>
      <c r="C26" s="266">
        <f>3/1000</f>
        <v>3.0000000000000001E-3</v>
      </c>
    </row>
    <row r="27" spans="1:7" x14ac:dyDescent="0.25">
      <c r="B27" t="s">
        <v>247</v>
      </c>
      <c r="C27" s="79">
        <v>56.22</v>
      </c>
    </row>
    <row r="28" spans="1:7" x14ac:dyDescent="0.25">
      <c r="B28" t="s">
        <v>248</v>
      </c>
      <c r="C28" s="170">
        <v>200.76</v>
      </c>
    </row>
    <row r="29" spans="1:7" x14ac:dyDescent="0.25">
      <c r="B29" t="s">
        <v>249</v>
      </c>
      <c r="C29">
        <f>C26*MAX(0,(C28-C27)/C28)</f>
        <v>2.1598924088463835E-3</v>
      </c>
    </row>
    <row r="30" spans="1:7" x14ac:dyDescent="0.25">
      <c r="B30" t="s">
        <v>250</v>
      </c>
      <c r="C30" s="79">
        <f>6761/1000</f>
        <v>6.7610000000000001</v>
      </c>
    </row>
    <row r="31" spans="1:7" x14ac:dyDescent="0.25">
      <c r="B31" t="s">
        <v>251</v>
      </c>
      <c r="C31" s="79">
        <f>1071/1000</f>
        <v>1.071</v>
      </c>
    </row>
    <row r="32" spans="1:7" x14ac:dyDescent="0.25">
      <c r="B32" t="s">
        <v>252</v>
      </c>
      <c r="C32" s="79">
        <f>890/1000</f>
        <v>0.89</v>
      </c>
    </row>
    <row r="33" spans="2:6" x14ac:dyDescent="0.25">
      <c r="B33" t="s">
        <v>253</v>
      </c>
      <c r="C33">
        <f>SUM(C29:C32,C25)</f>
        <v>258.97787289240887</v>
      </c>
    </row>
    <row r="34" spans="2:6" x14ac:dyDescent="0.25">
      <c r="B34" t="s">
        <v>254</v>
      </c>
      <c r="C34">
        <f>C33*C28</f>
        <v>51992.397761880005</v>
      </c>
    </row>
    <row r="36" spans="2:6" x14ac:dyDescent="0.25">
      <c r="B36" t="s">
        <v>255</v>
      </c>
      <c r="C36" s="79">
        <f>1485+400</f>
        <v>1885</v>
      </c>
    </row>
    <row r="37" spans="2:6" x14ac:dyDescent="0.25">
      <c r="B37" t="s">
        <v>256</v>
      </c>
      <c r="C37" s="79">
        <v>15</v>
      </c>
    </row>
    <row r="38" spans="2:6" x14ac:dyDescent="0.25">
      <c r="C38" s="79"/>
    </row>
    <row r="39" spans="2:6" x14ac:dyDescent="0.25">
      <c r="B39" t="s">
        <v>257</v>
      </c>
      <c r="C39" s="79">
        <v>2784</v>
      </c>
    </row>
    <row r="40" spans="2:6" x14ac:dyDescent="0.25">
      <c r="B40" t="s">
        <v>258</v>
      </c>
      <c r="C40" s="79">
        <v>115</v>
      </c>
    </row>
    <row r="42" spans="2:6" x14ac:dyDescent="0.25">
      <c r="B42" t="s">
        <v>259</v>
      </c>
      <c r="C42">
        <f>SUM(C34,C36:C37)-SUM(C39:C40)</f>
        <v>50993.397761880005</v>
      </c>
    </row>
    <row r="44" spans="2:6" x14ac:dyDescent="0.25">
      <c r="B44" s="57" t="s">
        <v>260</v>
      </c>
    </row>
    <row r="45" spans="2:6" x14ac:dyDescent="0.25">
      <c r="C45" t="s">
        <v>261</v>
      </c>
      <c r="D45" t="s">
        <v>262</v>
      </c>
      <c r="E45" t="s">
        <v>262</v>
      </c>
    </row>
    <row r="46" spans="2:6" x14ac:dyDescent="0.25">
      <c r="C46" s="193">
        <v>45747</v>
      </c>
      <c r="D46" s="193">
        <v>45656</v>
      </c>
      <c r="E46" s="193">
        <v>46021</v>
      </c>
    </row>
    <row r="47" spans="2:6" x14ac:dyDescent="0.25">
      <c r="B47" t="s">
        <v>263</v>
      </c>
      <c r="C47" s="74" t="s">
        <v>264</v>
      </c>
      <c r="D47" t="s">
        <v>265</v>
      </c>
      <c r="E47" t="s">
        <v>266</v>
      </c>
      <c r="F47" t="s">
        <v>267</v>
      </c>
    </row>
    <row r="48" spans="2:6" x14ac:dyDescent="0.25">
      <c r="B48" t="s">
        <v>48</v>
      </c>
      <c r="C48" s="79">
        <v>1520</v>
      </c>
      <c r="D48" s="79">
        <v>1125</v>
      </c>
      <c r="E48" s="79">
        <v>598</v>
      </c>
    </row>
    <row r="49" spans="2:6" x14ac:dyDescent="0.25">
      <c r="B49" t="s">
        <v>268</v>
      </c>
      <c r="C49" s="79">
        <v>57</v>
      </c>
      <c r="D49" s="79">
        <v>51</v>
      </c>
      <c r="E49" s="79"/>
    </row>
    <row r="50" spans="2:6" x14ac:dyDescent="0.25">
      <c r="B50" t="s">
        <v>269</v>
      </c>
      <c r="C50" s="79">
        <f>62-C49</f>
        <v>5</v>
      </c>
      <c r="D50" s="79">
        <f>58-D49</f>
        <v>7</v>
      </c>
      <c r="E50" s="79"/>
    </row>
    <row r="51" spans="2:6" x14ac:dyDescent="0.25">
      <c r="B51" t="s">
        <v>49</v>
      </c>
      <c r="C51">
        <f>SUM(C48:C50)</f>
        <v>1582</v>
      </c>
      <c r="D51">
        <f>SUM(D48:D50)</f>
        <v>1183</v>
      </c>
      <c r="E51">
        <f>SUM(E48:E50)</f>
        <v>598</v>
      </c>
      <c r="F51">
        <f>C51-D51+E51</f>
        <v>997</v>
      </c>
    </row>
    <row r="52" spans="2:6" x14ac:dyDescent="0.25">
      <c r="B52" t="s">
        <v>50</v>
      </c>
      <c r="C52" s="79">
        <v>356</v>
      </c>
      <c r="D52" s="79">
        <v>277</v>
      </c>
      <c r="E52" s="79">
        <v>240</v>
      </c>
    </row>
    <row r="53" spans="2:6" x14ac:dyDescent="0.25">
      <c r="B53" t="s">
        <v>270</v>
      </c>
      <c r="C53">
        <f>-SUM(C49:C49)</f>
        <v>-57</v>
      </c>
      <c r="D53">
        <f>-SUM(D49:D49)</f>
        <v>-51</v>
      </c>
      <c r="E53">
        <f>-SUM(E49:E49)</f>
        <v>0</v>
      </c>
    </row>
    <row r="54" spans="2:6" x14ac:dyDescent="0.25">
      <c r="B54" t="s">
        <v>52</v>
      </c>
      <c r="C54">
        <f>SUM(C51:C53)</f>
        <v>1881</v>
      </c>
      <c r="D54">
        <f t="shared" ref="D54:E54" si="0">SUM(D51:D53)</f>
        <v>1409</v>
      </c>
      <c r="E54">
        <f t="shared" si="0"/>
        <v>838</v>
      </c>
      <c r="F54">
        <f>C54-D54+E54</f>
        <v>1310</v>
      </c>
    </row>
    <row r="56" spans="2:6" x14ac:dyDescent="0.25">
      <c r="B56" t="s">
        <v>271</v>
      </c>
      <c r="F56" s="60">
        <f>C42/F54</f>
        <v>38.926257833496187</v>
      </c>
    </row>
    <row r="57" spans="2:6" x14ac:dyDescent="0.25">
      <c r="F57" s="60"/>
    </row>
    <row r="58" spans="2:6" x14ac:dyDescent="0.25">
      <c r="B58" s="57" t="s">
        <v>272</v>
      </c>
    </row>
    <row r="59" spans="2:6" x14ac:dyDescent="0.25">
      <c r="C59" t="s">
        <v>261</v>
      </c>
      <c r="D59" t="s">
        <v>262</v>
      </c>
      <c r="E59" t="s">
        <v>262</v>
      </c>
    </row>
    <row r="60" spans="2:6" x14ac:dyDescent="0.25">
      <c r="C60" s="193">
        <v>45747</v>
      </c>
      <c r="D60" s="193">
        <v>45656</v>
      </c>
      <c r="E60" s="193">
        <v>46021</v>
      </c>
    </row>
    <row r="61" spans="2:6" x14ac:dyDescent="0.25">
      <c r="B61" t="s">
        <v>263</v>
      </c>
      <c r="C61" s="74" t="s">
        <v>264</v>
      </c>
      <c r="D61" t="s">
        <v>265</v>
      </c>
      <c r="E61" t="s">
        <v>266</v>
      </c>
      <c r="F61" t="s">
        <v>267</v>
      </c>
    </row>
    <row r="62" spans="2:6" x14ac:dyDescent="0.25">
      <c r="B62" t="s">
        <v>48</v>
      </c>
      <c r="C62" s="79">
        <v>1520</v>
      </c>
      <c r="D62" s="79">
        <v>1125</v>
      </c>
      <c r="E62" s="79">
        <v>598</v>
      </c>
    </row>
    <row r="63" spans="2:6" x14ac:dyDescent="0.25">
      <c r="B63" t="s">
        <v>41</v>
      </c>
      <c r="C63" s="79">
        <v>-114</v>
      </c>
      <c r="D63" s="79">
        <v>-8</v>
      </c>
      <c r="E63" s="79">
        <v>789</v>
      </c>
    </row>
    <row r="64" spans="2:6" x14ac:dyDescent="0.25">
      <c r="B64" t="s">
        <v>273</v>
      </c>
      <c r="C64" s="79">
        <v>356</v>
      </c>
      <c r="D64" s="79">
        <v>277</v>
      </c>
      <c r="E64" s="79">
        <v>240</v>
      </c>
    </row>
    <row r="65" spans="1:6" x14ac:dyDescent="0.25">
      <c r="B65" t="s">
        <v>269</v>
      </c>
      <c r="C65" s="79">
        <v>5</v>
      </c>
      <c r="D65" s="79">
        <v>7</v>
      </c>
      <c r="E65" s="79"/>
    </row>
    <row r="66" spans="1:6" x14ac:dyDescent="0.25">
      <c r="B66" t="s">
        <v>172</v>
      </c>
      <c r="C66" s="79">
        <v>642</v>
      </c>
      <c r="D66" s="79">
        <v>504</v>
      </c>
      <c r="E66" s="79">
        <v>480</v>
      </c>
    </row>
    <row r="67" spans="1:6" x14ac:dyDescent="0.25">
      <c r="B67" t="s">
        <v>274</v>
      </c>
      <c r="C67">
        <f>SUM(C62:C66)</f>
        <v>2409</v>
      </c>
      <c r="D67">
        <f>SUM(D62:D66)</f>
        <v>1905</v>
      </c>
      <c r="E67">
        <f>SUM(E62:E66)</f>
        <v>2107</v>
      </c>
      <c r="F67">
        <f>C67-D67+E67</f>
        <v>2611</v>
      </c>
    </row>
    <row r="69" spans="1:6" x14ac:dyDescent="0.25">
      <c r="B69" t="s">
        <v>271</v>
      </c>
      <c r="F69" s="60">
        <f>C42/F67</f>
        <v>19.530217449973193</v>
      </c>
    </row>
    <row r="70" spans="1:6" x14ac:dyDescent="0.25">
      <c r="F70" s="60"/>
    </row>
    <row r="71" spans="1:6" x14ac:dyDescent="0.25">
      <c r="F71" s="60"/>
    </row>
    <row r="72" spans="1:6" x14ac:dyDescent="0.25">
      <c r="F72" s="60"/>
    </row>
    <row r="74" spans="1:6" x14ac:dyDescent="0.25">
      <c r="A74" s="69" t="s">
        <v>275</v>
      </c>
    </row>
    <row r="76" spans="1:6" x14ac:dyDescent="0.25">
      <c r="B76" t="s">
        <v>8</v>
      </c>
      <c r="C76" t="s">
        <v>29</v>
      </c>
    </row>
    <row r="77" spans="1:6" x14ac:dyDescent="0.25">
      <c r="B77" t="s">
        <v>245</v>
      </c>
      <c r="C77" s="79">
        <f>(661635583+47070464)/1000000</f>
        <v>708.70604700000001</v>
      </c>
    </row>
    <row r="78" spans="1:6" x14ac:dyDescent="0.25">
      <c r="B78" t="s">
        <v>246</v>
      </c>
      <c r="C78" s="79">
        <f>9178/1000</f>
        <v>9.1780000000000008</v>
      </c>
    </row>
    <row r="79" spans="1:6" x14ac:dyDescent="0.25">
      <c r="B79" t="s">
        <v>247</v>
      </c>
      <c r="C79" s="196">
        <v>3.64</v>
      </c>
    </row>
    <row r="80" spans="1:6" x14ac:dyDescent="0.25">
      <c r="B80" t="s">
        <v>248</v>
      </c>
      <c r="C80" s="170">
        <v>66.08</v>
      </c>
    </row>
    <row r="81" spans="2:4" x14ac:dyDescent="0.25">
      <c r="B81" t="s">
        <v>249</v>
      </c>
      <c r="C81">
        <f>C78*MAX(0,(C80-C79)/C80)</f>
        <v>8.6724322033898318</v>
      </c>
    </row>
    <row r="82" spans="2:4" x14ac:dyDescent="0.25">
      <c r="B82" t="s">
        <v>250</v>
      </c>
      <c r="C82" s="79">
        <f>24524/1000</f>
        <v>24.524000000000001</v>
      </c>
    </row>
    <row r="83" spans="2:4" x14ac:dyDescent="0.25">
      <c r="B83" t="s">
        <v>276</v>
      </c>
      <c r="C83" s="79">
        <v>0</v>
      </c>
      <c r="D83" s="187"/>
    </row>
    <row r="84" spans="2:4" x14ac:dyDescent="0.25">
      <c r="B84" t="s">
        <v>277</v>
      </c>
      <c r="C84" s="79">
        <f>893068/1000000</f>
        <v>0.89306799999999997</v>
      </c>
      <c r="D84" s="187"/>
    </row>
    <row r="85" spans="2:4" x14ac:dyDescent="0.25">
      <c r="B85" t="s">
        <v>278</v>
      </c>
      <c r="C85" s="79">
        <f>148844/1000000</f>
        <v>0.148844</v>
      </c>
      <c r="D85" s="187"/>
    </row>
    <row r="86" spans="2:4" x14ac:dyDescent="0.25">
      <c r="B86" t="s">
        <v>253</v>
      </c>
      <c r="C86">
        <f>SUM(C81:C85,C77)</f>
        <v>742.94439120338984</v>
      </c>
    </row>
    <row r="87" spans="2:4" x14ac:dyDescent="0.25">
      <c r="B87" t="s">
        <v>254</v>
      </c>
      <c r="C87">
        <f>C86*C80</f>
        <v>49093.765370720001</v>
      </c>
    </row>
    <row r="89" spans="2:4" x14ac:dyDescent="0.25">
      <c r="B89" t="s">
        <v>279</v>
      </c>
      <c r="C89" s="79">
        <f>993098/1000+14.7</f>
        <v>1007.798</v>
      </c>
    </row>
    <row r="90" spans="2:4" x14ac:dyDescent="0.25">
      <c r="B90" t="s">
        <v>280</v>
      </c>
      <c r="C90" s="79">
        <f>6902/1000</f>
        <v>6.9020000000000001</v>
      </c>
    </row>
    <row r="91" spans="2:4" x14ac:dyDescent="0.25">
      <c r="C91" s="79"/>
    </row>
    <row r="92" spans="2:4" x14ac:dyDescent="0.25">
      <c r="B92" t="s">
        <v>257</v>
      </c>
      <c r="C92" s="79">
        <f>1205319/1000</f>
        <v>1205.319</v>
      </c>
    </row>
    <row r="93" spans="2:4" x14ac:dyDescent="0.25">
      <c r="B93" t="s">
        <v>258</v>
      </c>
      <c r="C93" s="79">
        <f>1849823/1000</f>
        <v>1849.8230000000001</v>
      </c>
    </row>
    <row r="94" spans="2:4" x14ac:dyDescent="0.25">
      <c r="B94" t="s">
        <v>281</v>
      </c>
      <c r="C94" s="79">
        <f>2492593/1000</f>
        <v>2492.5929999999998</v>
      </c>
    </row>
    <row r="95" spans="2:4" x14ac:dyDescent="0.25">
      <c r="C95" s="79"/>
    </row>
    <row r="96" spans="2:4" x14ac:dyDescent="0.25">
      <c r="B96" t="s">
        <v>282</v>
      </c>
      <c r="C96" s="79">
        <v>0</v>
      </c>
    </row>
    <row r="98" spans="2:6" x14ac:dyDescent="0.25">
      <c r="B98" t="s">
        <v>259</v>
      </c>
      <c r="C98">
        <f>C87+SUM(C89:C90)-SUM(C92:C94)+C96</f>
        <v>44560.730370719997</v>
      </c>
    </row>
    <row r="100" spans="2:6" x14ac:dyDescent="0.25">
      <c r="B100" s="57" t="s">
        <v>260</v>
      </c>
    </row>
    <row r="101" spans="2:6" x14ac:dyDescent="0.25">
      <c r="B101" s="57"/>
    </row>
    <row r="102" spans="2:6" x14ac:dyDescent="0.25">
      <c r="B102" t="s">
        <v>263</v>
      </c>
      <c r="C102" s="74" t="s">
        <v>264</v>
      </c>
      <c r="D102" t="s">
        <v>265</v>
      </c>
      <c r="E102" t="s">
        <v>266</v>
      </c>
      <c r="F102" t="s">
        <v>267</v>
      </c>
    </row>
    <row r="103" spans="2:6" x14ac:dyDescent="0.25">
      <c r="B103" t="s">
        <v>48</v>
      </c>
      <c r="C103" s="79">
        <f>-1232342/1000</f>
        <v>-1232.3420000000001</v>
      </c>
      <c r="D103" s="80">
        <v>0</v>
      </c>
      <c r="E103" s="80">
        <v>0</v>
      </c>
    </row>
    <row r="104" spans="2:6" x14ac:dyDescent="0.25">
      <c r="B104" t="s">
        <v>283</v>
      </c>
      <c r="C104" s="80">
        <v>0</v>
      </c>
      <c r="D104" s="80">
        <v>0</v>
      </c>
      <c r="E104" s="80">
        <v>0</v>
      </c>
    </row>
    <row r="105" spans="2:6" x14ac:dyDescent="0.25">
      <c r="B105" t="s">
        <v>283</v>
      </c>
      <c r="C105" s="80">
        <v>0</v>
      </c>
      <c r="D105" s="80">
        <v>0</v>
      </c>
      <c r="E105" s="80">
        <v>0</v>
      </c>
    </row>
    <row r="106" spans="2:6" x14ac:dyDescent="0.25">
      <c r="B106" t="s">
        <v>49</v>
      </c>
      <c r="C106">
        <f>SUM(C103:C105)</f>
        <v>-1232.3420000000001</v>
      </c>
      <c r="D106">
        <f>SUM(D103:D105)</f>
        <v>0</v>
      </c>
      <c r="E106">
        <f>SUM(E103:E105)</f>
        <v>0</v>
      </c>
      <c r="F106">
        <f>C106-D106+E106</f>
        <v>-1232.3420000000001</v>
      </c>
    </row>
    <row r="107" spans="2:6" x14ac:dyDescent="0.25">
      <c r="B107" t="s">
        <v>165</v>
      </c>
      <c r="C107">
        <f>SUM(Accounting!H31:H32)</f>
        <v>225.82</v>
      </c>
      <c r="D107" s="80">
        <v>0</v>
      </c>
      <c r="E107" s="80">
        <v>0</v>
      </c>
    </row>
    <row r="108" spans="2:6" x14ac:dyDescent="0.25">
      <c r="B108" t="s">
        <v>52</v>
      </c>
      <c r="C108">
        <f>SUM(C106:C107)</f>
        <v>-1006.5220000000002</v>
      </c>
      <c r="D108">
        <f t="shared" ref="D108:E108" si="1">SUM(D106:D107)</f>
        <v>0</v>
      </c>
      <c r="E108">
        <f t="shared" si="1"/>
        <v>0</v>
      </c>
      <c r="F108">
        <f>C108-D108+E108</f>
        <v>-1006.5220000000002</v>
      </c>
    </row>
    <row r="110" spans="2:6" x14ac:dyDescent="0.25">
      <c r="B110" t="s">
        <v>271</v>
      </c>
      <c r="F110" s="60">
        <f>C98/F108</f>
        <v>-44.271988461971013</v>
      </c>
    </row>
    <row r="111" spans="2:6" x14ac:dyDescent="0.25">
      <c r="F111" s="60"/>
    </row>
    <row r="112" spans="2:6" x14ac:dyDescent="0.25">
      <c r="B112" s="57" t="s">
        <v>272</v>
      </c>
    </row>
    <row r="114" spans="1:6" x14ac:dyDescent="0.25">
      <c r="B114" t="s">
        <v>263</v>
      </c>
      <c r="C114" s="74" t="s">
        <v>264</v>
      </c>
      <c r="D114" t="s">
        <v>265</v>
      </c>
      <c r="E114" t="s">
        <v>266</v>
      </c>
      <c r="F114" t="s">
        <v>267</v>
      </c>
    </row>
    <row r="115" spans="1:6" x14ac:dyDescent="0.25">
      <c r="B115" t="s">
        <v>48</v>
      </c>
      <c r="C115" s="79">
        <f>-1232342/1000</f>
        <v>-1232.3420000000001</v>
      </c>
      <c r="D115" s="80">
        <v>0</v>
      </c>
      <c r="E115" s="80">
        <v>0</v>
      </c>
    </row>
    <row r="116" spans="1:6" x14ac:dyDescent="0.25">
      <c r="B116" t="s">
        <v>172</v>
      </c>
      <c r="C116" s="79">
        <v>1129</v>
      </c>
      <c r="D116" s="80">
        <v>0</v>
      </c>
      <c r="E116" s="80">
        <v>0</v>
      </c>
    </row>
    <row r="117" spans="1:6" x14ac:dyDescent="0.25">
      <c r="B117" t="s">
        <v>41</v>
      </c>
      <c r="C117" s="79">
        <f>1933.95-36.1</f>
        <v>1897.8500000000001</v>
      </c>
      <c r="D117" s="80">
        <v>0</v>
      </c>
      <c r="E117" s="80">
        <v>0</v>
      </c>
    </row>
    <row r="118" spans="1:6" x14ac:dyDescent="0.25">
      <c r="B118" t="s">
        <v>165</v>
      </c>
      <c r="C118" s="79">
        <f>225820/1000</f>
        <v>225.82</v>
      </c>
      <c r="D118" s="80">
        <v>0</v>
      </c>
      <c r="E118" s="80">
        <v>0</v>
      </c>
    </row>
    <row r="119" spans="1:6" x14ac:dyDescent="0.25">
      <c r="B119" t="s">
        <v>52</v>
      </c>
      <c r="C119">
        <f>SUM(C115:C118)</f>
        <v>2020.328</v>
      </c>
      <c r="D119">
        <f>SUM(D118:D118)</f>
        <v>0</v>
      </c>
      <c r="E119">
        <f>SUM(E118:E118)</f>
        <v>0</v>
      </c>
      <c r="F119">
        <f>C119-D119+E119</f>
        <v>2020.328</v>
      </c>
    </row>
    <row r="121" spans="1:6" x14ac:dyDescent="0.25">
      <c r="B121" t="s">
        <v>271</v>
      </c>
      <c r="F121" s="60">
        <f>C98/F119</f>
        <v>22.056186109740594</v>
      </c>
    </row>
    <row r="123" spans="1:6" x14ac:dyDescent="0.25">
      <c r="A123" s="69" t="s">
        <v>137</v>
      </c>
    </row>
  </sheetData>
  <hyperlinks>
    <hyperlink ref="C96" r:id="rId1" display="https://felix.fe.training/filing/document.php/?hid=69ae80735ffc0" xr:uid="{10B10CB4-48AE-4AA5-ACA2-0D838FA9C787}"/>
    <hyperlink ref="C25" r:id="rId2" display="https://felix.fe.training/filing/document.php/?hid=69aafa32a3890" xr:uid="{D40070EE-A974-4D47-868E-41956244AD8F}"/>
    <hyperlink ref="C26" r:id="rId3" display="https://felix.fe.training/filing/document.php/?hid=69aafa49c9de4" xr:uid="{CD2CDD7D-4214-49F4-AF40-68F284809E3B}"/>
    <hyperlink ref="C27" r:id="rId4" display="https://felix.fe.training/filing/document.php/?hid=69aafa67cfde7" xr:uid="{43939C51-679B-41CD-AB4A-14933639D616}"/>
    <hyperlink ref="C30" r:id="rId5" display="https://felix.fe.training/filing/document.php/?hid=69aafa78087e4" xr:uid="{4F7C7B12-6D15-4A76-95EE-D48E7FE69E83}"/>
    <hyperlink ref="C31" r:id="rId6" display="https://felix.fe.training/filing/document.php/?hid=69aafa8a658fc" xr:uid="{991739FF-9819-49DF-93A0-B1BB8D8AAA0E}"/>
    <hyperlink ref="C32" r:id="rId7" display="https://felix.fe.training/filing/document.php/?hid=69aafa9745280" xr:uid="{EA4DF2D2-972F-495A-891C-3E7D18DED08C}"/>
    <hyperlink ref="C36" r:id="rId8" display="https://felix.fe.training/filing/document.php/?hid=69aafb26eb133" xr:uid="{CF2B8833-0911-4C8E-BD4A-4A892F012E9C}"/>
    <hyperlink ref="C37" r:id="rId9" display="https://felix.fe.training/filing/document.php/?hid=69aafb5a29717" xr:uid="{644354DD-18B9-4B06-875C-4B27E835886D}"/>
    <hyperlink ref="C39" r:id="rId10" display="https://felix.fe.training/filing/document.php/?hid=69aafbc2b7624" xr:uid="{32738ED2-A62B-4423-B97C-94A1AA471C30}"/>
    <hyperlink ref="C40" r:id="rId11" display="https://felix.fe.training/filing/document.php/?hid=69aafbd968e2c" xr:uid="{1BCC7552-6449-473F-AC1F-C019CD12FFD2}"/>
    <hyperlink ref="D48" r:id="rId12" display="https://felix.fe.training/filing/document.php/?hid=69aafc9aaeded" xr:uid="{FC3D2A64-2AB3-496C-B168-88DEAE31DC3B}"/>
    <hyperlink ref="E48" r:id="rId13" display="https://felix.fe.training/filing/document.php/?hid=69aafcb1f0870" xr:uid="{C3B151BE-C887-484D-80F4-CD5B5CEF061E}"/>
    <hyperlink ref="C48" r:id="rId14" display="https://felix.fe.training/filing/document.php/?hid=69a95ed6313a8" xr:uid="{3F38A43B-F4F9-4D74-B476-9ED6B74C28C8}"/>
    <hyperlink ref="D50" r:id="rId15" display="https://felix.fe.training/filing/document.php/?hid=67c5b65a62cbb" xr:uid="{A52EEB89-647E-4C42-8A98-C6305FF78390}"/>
    <hyperlink ref="D49" r:id="rId16" display="https://felix.fe.training/filing/document.php/?hid=67c5ba7724e5d" xr:uid="{1510665E-4F21-4652-A8EE-0BAACF109D7C}"/>
    <hyperlink ref="C50" r:id="rId17" display="https://felix.fe.training/filing/document.php/?hid=69a96225d4d6c" xr:uid="{7DA209D8-1F3A-4365-A59D-C25AF6300B6C}"/>
    <hyperlink ref="C49" r:id="rId18" display="https://felix.fe.training/filing/document.php/?hid=69a96453158e9" xr:uid="{C80EDFCA-BFC3-47F3-B6B4-79A6120DDC09}"/>
    <hyperlink ref="D52" r:id="rId19" display="https://felix.fe.training/filing/document.php/?hid=69aaff28438da" xr:uid="{05E1C262-7605-47A3-8E47-78EF769B24A9}"/>
    <hyperlink ref="E52" r:id="rId20" display="https://felix.fe.training/filing/document.php/?hid=69aaff2d216d0" xr:uid="{02E83234-A2B2-4BC7-91CE-6716ED5DC679}"/>
    <hyperlink ref="C52" r:id="rId21" display="https://felix.fe.training/filing/document.php/?hid=69a9670337150" xr:uid="{4C6FB978-8189-464E-BBC0-2F369AFBF2BE}"/>
    <hyperlink ref="D62" r:id="rId22" display="https://felix.fe.training/filing/document.php/?hid=69aafc9aaeded" xr:uid="{D593FDCF-2A64-4909-A955-028A6A8FD746}"/>
    <hyperlink ref="E62" r:id="rId23" display="https://felix.fe.training/filing/document.php/?hid=69aafcb1f0870" xr:uid="{4C22A6D6-154F-4165-8999-C10581DAC348}"/>
    <hyperlink ref="C62" r:id="rId24" display="https://felix.fe.training/filing/document.php/?hid=69a95ed6313a8" xr:uid="{4881DFDC-37C8-4EEA-9E82-C58FD81FF5CD}"/>
    <hyperlink ref="D65" r:id="rId25" display="https://felix.fe.training/filing/document.php/?hid=67c5b65a62cbb" xr:uid="{5DCBE0F9-2EF0-43B9-B9BF-0AFC9F7AD21B}"/>
    <hyperlink ref="D64" r:id="rId26" display="https://felix.fe.training/filing/document.php/?hid=69ab019052145" xr:uid="{DCD59E45-B2B9-4CDB-BA91-76CAE6B1DD0F}"/>
    <hyperlink ref="E64" r:id="rId27" display="https://felix.fe.training/filing/document.php/?hid=69ab019c2a756" xr:uid="{43CF3E49-58C1-4D1C-96B2-20A6A7C134A0}"/>
    <hyperlink ref="E66" r:id="rId28" display="https://felix.fe.training/filing/document.php/?hid=69ab01c63e871" xr:uid="{D0D90933-9113-48B9-8E39-24B73B4C1D99}"/>
    <hyperlink ref="D66" r:id="rId29" display="https://felix.fe.training/filing/document.php/?hid=69ab01d99f863" xr:uid="{F20630F0-1615-4AA4-95F8-41B25CF3A41B}"/>
    <hyperlink ref="C66" r:id="rId30" display="https://felix.fe.training/filing/document.php/?hid=69ab0211a45c2" xr:uid="{BA09D964-8D47-4CC5-AB04-0ED0F7EE25A8}"/>
    <hyperlink ref="C65" r:id="rId31" display="https://felix.fe.training/filing/document.php/?hid=69a96225d4d6c" xr:uid="{B7D2B40B-9D58-4438-B68D-ECD5925D4921}"/>
    <hyperlink ref="C64" r:id="rId32" display="https://felix.fe.training/filing/document.php/?hid=69a9670337150" xr:uid="{11D45D56-E97A-48AF-B8B5-3342B7BEED07}"/>
    <hyperlink ref="E63" r:id="rId33" display="https://felix.fe.training/filing/document.php/?hid=69ab03dc043d7" xr:uid="{3E2B0F46-0FED-42B9-87A3-DF1E386676FA}"/>
    <hyperlink ref="D63" r:id="rId34" display="https://felix.fe.training/filing/document.php/?hid=69ab03fb1cddf" xr:uid="{4BB19BAB-3D44-4734-ADC2-5A796BCBEA13}"/>
    <hyperlink ref="C63" r:id="rId35" display="https://felix.fe.training/filing/document.php/?hid=69ab04201d707" xr:uid="{3CB5AAC0-4176-47A2-837E-7D735D4D07FB}"/>
    <hyperlink ref="C77" r:id="rId36" display="https://felix.fe.training/filing/document.php/?hid=69ab05a1a3207" xr:uid="{7BBC818E-A095-42F0-9B35-313D485FC630}"/>
    <hyperlink ref="C78" r:id="rId37" display="https://felix.fe.training/filing/document.php/?hid=69ab05ba85ebb" xr:uid="{4648F9EA-CAD7-4DA8-8024-4D7BE980F9D3}"/>
    <hyperlink ref="C79" r:id="rId38" display="https://felix.fe.training/filing/document.php/?hid=69ab05c954d9a" xr:uid="{78F69BDE-950B-4692-9AB9-687CB76F1E78}"/>
    <hyperlink ref="C82" r:id="rId39" display="https://felix.fe.training/filing/document.php/?hid=69ab05ed0b0e9" xr:uid="{E7302E29-23F2-4A8C-89A4-288687F76044}"/>
    <hyperlink ref="C83" r:id="rId40" display="https://felix.fe.training/filing/document.php/?hid=69ab0650b6e0e" xr:uid="{15DEDBA0-DCA4-4E6C-84A5-879CFBB2C174}"/>
    <hyperlink ref="C84" r:id="rId41" display="https://felix.fe.training/filing/document.php/?hid=69ab083270293" xr:uid="{3169D651-68BC-4638-8355-2702C800F260}"/>
    <hyperlink ref="C85" r:id="rId42" display="https://felix.fe.training/filing/document.php/?hid=69ab086541bae" xr:uid="{08F0B670-82F3-4B35-90C6-DD0945451D34}"/>
    <hyperlink ref="C92" r:id="rId43" display="https://felix.fe.training/filing/document.php/?hid=69a99513694dd" xr:uid="{EA7F67E7-9198-4A0F-8BE3-C28A515D6422}"/>
    <hyperlink ref="C89" r:id="rId44" display="https://felix.fe.training/filing/document.php/?hid=69a994ffad8c5" xr:uid="{9BBA1515-81AB-4897-9CAE-7F2751A58643}"/>
    <hyperlink ref="C93" r:id="rId45" display="https://felix.fe.training/filing/document.php/?hid=69a99529852fa" xr:uid="{5954E290-62F3-4677-B80C-D5A78EB98EF4}"/>
    <hyperlink ref="C94" r:id="rId46" display="https://felix.fe.training/filing/document.php/?hid=69ae800734e3f" xr:uid="{83A95011-64B2-4597-8060-5E14F6B1A680}"/>
    <hyperlink ref="C90" r:id="rId47" display="https://felix.fe.training/filing/document.php/?hid=69ae804d11e67" xr:uid="{491D745B-3B3B-4682-AFEA-3E672AC81278}"/>
    <hyperlink ref="C103" r:id="rId48" display="https://felix.fe.training/filing/document.php/?hid=69a98f66093c5" xr:uid="{B1A4BA35-572C-4E80-8DFF-C2DB3B2639D1}"/>
    <hyperlink ref="C115" r:id="rId49" display="https://felix.fe.training/filing/document.php/?hid=69a98f66093c5" xr:uid="{DEA765B0-19B3-4997-90D2-22AEB48FD76C}"/>
    <hyperlink ref="C116" r:id="rId50" display="https://felix.fe.training/filing/document.php?sec_filing=024c60169484434dc0a547f1d24b748336534daa&amp;cik=0001315098" xr:uid="{FDB1F4C4-F592-472E-AD6B-68DFEF1DD0A4}"/>
    <hyperlink ref="C117" r:id="rId51" display="https://felix.fe.training/filing/document.php?sec_filing=024c60169484434dc0a547f1d24b748336534daa&amp;cik=0001315098" xr:uid="{9558B714-1B02-4847-8364-2714628312C2}"/>
    <hyperlink ref="C118" r:id="rId52" display="https://felix.fe.training/filing/document.php/?hid=69a98d259fb85" xr:uid="{362016B4-9DBA-4FEF-88C5-534103DA5B14}"/>
  </hyperlinks>
  <printOptions headings="1" gridLines="1"/>
  <pageMargins left="0.7" right="0.7" top="0.75" bottom="0.75" header="0.3" footer="0.3"/>
  <pageSetup paperSize="9" scale="47" orientation="landscape" r:id="rId53"/>
  <rowBreaks count="1" manualBreakCount="1">
    <brk id="46" max="16" man="1"/>
  </rowBreaks>
  <legacyDrawing r:id="rId5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1B72-D4C7-45E0-91FB-8F578694C7F2}">
  <sheetPr>
    <tabColor theme="4"/>
    <pageSetUpPr fitToPage="1"/>
  </sheetPr>
  <dimension ref="A1:Z77"/>
  <sheetViews>
    <sheetView workbookViewId="0"/>
  </sheetViews>
  <sheetFormatPr defaultColWidth="12.5703125" defaultRowHeight="15" customHeight="1" x14ac:dyDescent="0.25"/>
  <cols>
    <col min="1" max="1" width="1.140625" customWidth="1"/>
    <col min="2" max="2" width="48.5703125" customWidth="1"/>
    <col min="3" max="3" width="20.5703125" customWidth="1"/>
    <col min="4" max="4" width="21.85546875" customWidth="1"/>
    <col min="5" max="5" width="15.5703125" customWidth="1"/>
    <col min="6" max="12" width="11" customWidth="1"/>
    <col min="13" max="13" width="20.5703125" bestFit="1" customWidth="1"/>
    <col min="14" max="16" width="11" customWidth="1"/>
    <col min="17" max="26" width="12.5703125" customWidth="1"/>
  </cols>
  <sheetData>
    <row r="1" spans="1:26" ht="45" customHeight="1" x14ac:dyDescent="0.45">
      <c r="A1" s="68" t="str">
        <f>Accounting!D1</f>
        <v>Electronic Arts</v>
      </c>
      <c r="B1" s="68"/>
      <c r="C1" s="68"/>
      <c r="D1" s="68"/>
      <c r="E1" s="68"/>
      <c r="F1" s="68"/>
      <c r="G1" s="68"/>
      <c r="H1" s="68"/>
      <c r="I1" s="68"/>
      <c r="J1" s="68"/>
      <c r="K1" s="68"/>
      <c r="L1" s="68"/>
      <c r="M1" s="68"/>
      <c r="N1" s="68"/>
      <c r="O1" s="68"/>
      <c r="P1" s="68"/>
      <c r="Q1" s="18"/>
      <c r="R1" s="18"/>
      <c r="S1" s="18"/>
      <c r="T1" s="18"/>
      <c r="U1" s="18"/>
      <c r="V1" s="18"/>
      <c r="W1" s="18"/>
      <c r="X1" s="18"/>
      <c r="Y1" s="18"/>
      <c r="Z1" s="18"/>
    </row>
    <row r="2" spans="1:26" ht="15" customHeight="1" x14ac:dyDescent="0.3">
      <c r="A2" s="44"/>
      <c r="B2" s="44"/>
      <c r="C2" s="19"/>
      <c r="D2" s="44"/>
      <c r="E2" s="44" t="s">
        <v>284</v>
      </c>
      <c r="F2" s="19"/>
      <c r="G2" s="20" t="s">
        <v>285</v>
      </c>
      <c r="H2" s="20"/>
      <c r="I2" s="44"/>
      <c r="J2" s="44"/>
      <c r="K2" s="44"/>
      <c r="L2" s="44"/>
      <c r="M2" s="44"/>
      <c r="N2" s="44"/>
      <c r="O2" s="19"/>
      <c r="P2" s="19"/>
      <c r="Q2" s="19"/>
      <c r="R2" s="19"/>
      <c r="S2" s="19"/>
      <c r="T2" s="19"/>
      <c r="U2" s="19"/>
      <c r="V2" s="19"/>
      <c r="W2" s="19"/>
      <c r="X2" s="19"/>
      <c r="Y2" s="19"/>
      <c r="Z2" s="19"/>
    </row>
    <row r="3" spans="1:26" ht="15" customHeight="1" x14ac:dyDescent="0.3">
      <c r="A3" s="44"/>
      <c r="B3" s="44"/>
      <c r="C3" s="19"/>
      <c r="D3" s="44"/>
      <c r="E3" s="44"/>
      <c r="F3" s="44"/>
      <c r="G3" s="19"/>
      <c r="H3" s="19"/>
      <c r="I3" s="19"/>
      <c r="J3" s="19"/>
      <c r="K3" s="19"/>
      <c r="L3" s="19"/>
      <c r="M3" s="19"/>
      <c r="N3" s="19"/>
      <c r="O3" s="19"/>
      <c r="P3" s="19"/>
      <c r="Q3" s="19"/>
      <c r="R3" s="19"/>
      <c r="S3" s="19"/>
      <c r="T3" s="19"/>
      <c r="U3" s="19"/>
      <c r="V3" s="19"/>
      <c r="W3" s="19"/>
      <c r="X3" s="19"/>
      <c r="Y3" s="19"/>
      <c r="Z3" s="19"/>
    </row>
    <row r="4" spans="1:26" ht="15" customHeight="1" x14ac:dyDescent="0.25">
      <c r="A4" s="21" t="s">
        <v>286</v>
      </c>
      <c r="B4" s="22"/>
      <c r="C4" s="23"/>
      <c r="D4" s="44"/>
      <c r="E4" s="21" t="s">
        <v>287</v>
      </c>
      <c r="F4" s="22"/>
      <c r="G4" s="22"/>
      <c r="H4" s="23"/>
      <c r="I4" s="44"/>
      <c r="J4" s="44"/>
      <c r="K4" s="44"/>
      <c r="L4" s="44"/>
      <c r="M4" s="24"/>
      <c r="N4" s="44"/>
      <c r="O4" s="44"/>
      <c r="P4" s="44"/>
      <c r="Q4" s="44"/>
      <c r="R4" s="44"/>
      <c r="S4" s="44"/>
      <c r="T4" s="44"/>
      <c r="U4" s="44"/>
      <c r="V4" s="44"/>
      <c r="W4" s="44"/>
      <c r="X4" s="44"/>
    </row>
    <row r="5" spans="1:26" ht="15" customHeight="1" x14ac:dyDescent="0.25">
      <c r="A5" s="25"/>
      <c r="B5" s="44" t="s">
        <v>288</v>
      </c>
      <c r="C5" s="26" t="s">
        <v>289</v>
      </c>
      <c r="D5" s="44"/>
      <c r="E5" s="101" t="str">
        <f>"Enterprise value calculation in "&amp;MAIN_CURRENCY&amp;" MM"</f>
        <v>Enterprise value calculation in USD MM</v>
      </c>
      <c r="F5" s="44"/>
      <c r="G5" s="44"/>
      <c r="H5" s="102"/>
      <c r="I5" s="44"/>
      <c r="J5" s="44"/>
      <c r="K5" s="44"/>
      <c r="L5" s="44"/>
      <c r="N5" s="44"/>
      <c r="O5" s="44"/>
      <c r="P5" s="44"/>
      <c r="Q5" s="44"/>
      <c r="R5" s="44"/>
      <c r="S5" s="44"/>
      <c r="T5" s="44"/>
      <c r="U5" s="44"/>
      <c r="V5" s="44"/>
      <c r="W5" s="44"/>
      <c r="X5" s="44"/>
    </row>
    <row r="6" spans="1:26" ht="15" customHeight="1" x14ac:dyDescent="0.25">
      <c r="A6" s="25"/>
      <c r="B6" s="44" t="s">
        <v>290</v>
      </c>
      <c r="C6" s="26" t="s">
        <v>291</v>
      </c>
      <c r="D6" s="44"/>
      <c r="E6" s="103" t="s">
        <v>292</v>
      </c>
      <c r="F6" s="44"/>
      <c r="G6" s="44"/>
      <c r="H6" s="102">
        <f>D34*'1'!COMP_FX</f>
        <v>51992.397761880005</v>
      </c>
      <c r="I6" s="44"/>
      <c r="J6" s="44"/>
      <c r="K6" s="44"/>
      <c r="L6" s="44"/>
      <c r="N6" s="44"/>
      <c r="O6" s="44"/>
      <c r="P6" s="44"/>
      <c r="Q6" s="44"/>
      <c r="R6" s="44"/>
      <c r="S6" s="44"/>
      <c r="T6" s="44"/>
      <c r="U6" s="44"/>
      <c r="V6" s="44"/>
      <c r="W6" s="44"/>
      <c r="X6" s="44"/>
    </row>
    <row r="7" spans="1:26" ht="15" customHeight="1" x14ac:dyDescent="0.25">
      <c r="A7" s="25"/>
      <c r="B7" s="44" t="s">
        <v>12</v>
      </c>
      <c r="C7" s="104">
        <f>ANALYSIS_DATE</f>
        <v>46086</v>
      </c>
      <c r="D7" s="44"/>
      <c r="E7" s="103" t="s">
        <v>293</v>
      </c>
      <c r="F7" s="44"/>
      <c r="G7" s="44"/>
      <c r="H7" s="102">
        <f>SUM(G29:G31)*'1'!COMP_FX</f>
        <v>1899</v>
      </c>
      <c r="I7" s="44"/>
      <c r="J7" s="44"/>
      <c r="K7" s="44"/>
      <c r="L7" s="44"/>
      <c r="M7" s="24"/>
      <c r="N7" s="44"/>
      <c r="O7" s="44"/>
      <c r="P7" s="44"/>
      <c r="Q7" s="44"/>
      <c r="R7" s="44"/>
      <c r="S7" s="44"/>
      <c r="T7" s="44"/>
      <c r="U7" s="44"/>
      <c r="V7" s="44"/>
      <c r="W7" s="44"/>
      <c r="X7" s="44"/>
    </row>
    <row r="8" spans="1:26" ht="15" customHeight="1" x14ac:dyDescent="0.25">
      <c r="A8" s="25"/>
      <c r="B8" s="44" t="s">
        <v>294</v>
      </c>
      <c r="C8" s="104">
        <f>Trading_comps!D5</f>
        <v>46022</v>
      </c>
      <c r="D8" s="44"/>
      <c r="E8" s="103" t="s">
        <v>295</v>
      </c>
      <c r="F8" s="44"/>
      <c r="G8" s="44"/>
      <c r="H8" s="102">
        <f>SUM(J29:J30)*'1'!COMP_FX</f>
        <v>2899</v>
      </c>
      <c r="I8" s="44"/>
      <c r="J8" s="44"/>
      <c r="K8" s="44"/>
      <c r="L8" s="44"/>
      <c r="M8" s="44"/>
      <c r="N8" s="44"/>
      <c r="O8" s="44"/>
      <c r="P8" s="44"/>
      <c r="Q8" s="44"/>
      <c r="R8" s="44"/>
      <c r="S8" s="44"/>
      <c r="T8" s="44"/>
      <c r="U8" s="44"/>
      <c r="V8" s="44"/>
      <c r="W8" s="44"/>
      <c r="X8" s="44"/>
    </row>
    <row r="9" spans="1:26" ht="15" customHeight="1" x14ac:dyDescent="0.25">
      <c r="A9" s="27"/>
      <c r="B9" s="44" t="s">
        <v>296</v>
      </c>
      <c r="C9" s="105" t="str">
        <f>MAIN_CURRENCY</f>
        <v>USD</v>
      </c>
      <c r="D9" s="44"/>
      <c r="E9" s="103" t="s">
        <v>297</v>
      </c>
      <c r="F9" s="44"/>
      <c r="G9" s="44"/>
      <c r="H9" s="102">
        <f>(SUM(J31:J35)-SUM(G32:G35))*'1'!COMP_FX</f>
        <v>0</v>
      </c>
      <c r="I9" s="44"/>
      <c r="J9" s="44"/>
      <c r="K9" s="44"/>
      <c r="L9" s="44"/>
      <c r="M9" s="44"/>
      <c r="N9" s="44"/>
      <c r="O9" s="44"/>
      <c r="P9" s="44"/>
      <c r="Q9" s="44"/>
      <c r="R9" s="44"/>
      <c r="S9" s="44"/>
      <c r="T9" s="44"/>
      <c r="U9" s="44"/>
      <c r="V9" s="44"/>
      <c r="W9" s="44"/>
      <c r="X9" s="44"/>
    </row>
    <row r="10" spans="1:26" ht="15" customHeight="1" x14ac:dyDescent="0.25">
      <c r="A10" s="25"/>
      <c r="B10" s="44" t="s">
        <v>147</v>
      </c>
      <c r="C10" s="28">
        <f>Accounting!E41</f>
        <v>0.219</v>
      </c>
      <c r="D10" s="44"/>
      <c r="E10" s="106" t="s">
        <v>298</v>
      </c>
      <c r="F10" s="78"/>
      <c r="G10" s="78"/>
      <c r="H10" s="107">
        <f>'1'!COMP_EQ_VALUE+'1'!TOTAL_DEBT-H8-H9</f>
        <v>50992.397761880005</v>
      </c>
      <c r="I10" s="44"/>
      <c r="J10" s="44"/>
      <c r="K10" s="44"/>
      <c r="L10" s="44"/>
      <c r="N10" s="44"/>
      <c r="O10" s="44"/>
      <c r="P10" s="44"/>
      <c r="Q10" s="44"/>
      <c r="R10" s="44"/>
      <c r="S10" s="44"/>
      <c r="T10" s="44"/>
      <c r="U10" s="44"/>
      <c r="V10" s="44"/>
      <c r="W10" s="44"/>
      <c r="X10" s="44"/>
    </row>
    <row r="11" spans="1:26" ht="15" customHeight="1" x14ac:dyDescent="0.25">
      <c r="A11" s="25"/>
      <c r="B11" s="44" t="s">
        <v>299</v>
      </c>
      <c r="C11" s="29">
        <v>45747</v>
      </c>
      <c r="D11" s="44"/>
      <c r="E11" s="44"/>
      <c r="F11" s="44"/>
      <c r="G11" s="44"/>
      <c r="H11" s="44"/>
      <c r="I11" s="44"/>
      <c r="J11" s="44"/>
      <c r="K11" s="44"/>
      <c r="L11" s="44"/>
      <c r="N11" s="44"/>
      <c r="O11" s="44"/>
      <c r="P11" s="44"/>
      <c r="Q11" s="44"/>
      <c r="R11" s="44"/>
      <c r="S11" s="44"/>
      <c r="T11" s="44"/>
      <c r="U11" s="44"/>
      <c r="V11" s="44"/>
      <c r="W11" s="44"/>
      <c r="X11" s="44"/>
    </row>
    <row r="12" spans="1:26" ht="15" customHeight="1" x14ac:dyDescent="0.25">
      <c r="A12" s="25"/>
      <c r="B12" s="44" t="s">
        <v>300</v>
      </c>
      <c r="C12" s="200" t="s">
        <v>301</v>
      </c>
      <c r="D12" s="44"/>
      <c r="E12" s="21" t="s">
        <v>302</v>
      </c>
      <c r="F12" s="22"/>
      <c r="G12" s="22"/>
      <c r="H12" s="22"/>
      <c r="I12" s="22"/>
      <c r="J12" s="22"/>
      <c r="K12" s="23"/>
      <c r="L12" s="44"/>
      <c r="N12" s="44"/>
      <c r="O12" s="44"/>
      <c r="P12" s="44"/>
      <c r="Q12" s="44"/>
      <c r="R12" s="44"/>
      <c r="S12" s="44"/>
      <c r="T12" s="44"/>
      <c r="U12" s="44"/>
      <c r="V12" s="44"/>
      <c r="W12" s="44"/>
      <c r="X12" s="44"/>
    </row>
    <row r="13" spans="1:26" ht="15" customHeight="1" x14ac:dyDescent="0.25">
      <c r="A13" s="25"/>
      <c r="B13" s="44" t="s">
        <v>303</v>
      </c>
      <c r="C13" s="104">
        <f>DATE(RIGHT(C12,4),LEFT(C12,2),MID(C12,4,2))</f>
        <v>46022</v>
      </c>
      <c r="D13" s="44"/>
      <c r="E13" s="101" t="str">
        <f>"Numbers in "&amp;MAIN_CURRENCY&amp;" MM"</f>
        <v>Numbers in USD MM</v>
      </c>
      <c r="F13" s="44"/>
      <c r="G13" s="58" t="s">
        <v>267</v>
      </c>
      <c r="H13" s="108" t="str">
        <f>YEAR($C$8)+1&amp;"e"</f>
        <v>2026e</v>
      </c>
      <c r="I13" s="108" t="str">
        <f>YEAR($C$8)+2&amp;"e"</f>
        <v>2027e</v>
      </c>
      <c r="J13" s="108" t="str">
        <f>YEAR($C$8)+3&amp;"e"</f>
        <v>2028e</v>
      </c>
      <c r="K13" s="109" t="str">
        <f>YEAR($C$8)+4&amp;"e"</f>
        <v>2029e</v>
      </c>
      <c r="L13" s="44"/>
      <c r="N13" s="44"/>
      <c r="O13" s="44"/>
      <c r="P13" s="44"/>
      <c r="Q13" s="44"/>
      <c r="R13" s="44"/>
      <c r="S13" s="44"/>
      <c r="T13" s="44"/>
      <c r="U13" s="44"/>
      <c r="V13" s="44"/>
      <c r="W13" s="44"/>
      <c r="X13" s="44"/>
    </row>
    <row r="14" spans="1:26" ht="15" customHeight="1" x14ac:dyDescent="0.25">
      <c r="A14" s="25"/>
      <c r="B14" s="44" t="s">
        <v>304</v>
      </c>
      <c r="C14" s="30" t="s">
        <v>305</v>
      </c>
      <c r="D14" s="44"/>
      <c r="E14" s="101" t="s">
        <v>175</v>
      </c>
      <c r="F14" s="44"/>
      <c r="G14" s="44">
        <f>G42*'1'!COMP_FX</f>
        <v>7306</v>
      </c>
      <c r="H14" s="58">
        <f>IF(I$74&gt;0,SUMPRODUCT('1'!COMP_CALENDARIZE_PERCENTAGES,H42:J42)*I$75*'1'!COMP_FX,"N/A")</f>
        <v>8366</v>
      </c>
      <c r="I14" s="58">
        <f>IF(J$74&gt;0,SUMPRODUCT('1'!COMP_CALENDARIZE_PERCENTAGES,I42:K42)*J$75*'1'!COMP_FX,"N/A")</f>
        <v>8771.0136986301368</v>
      </c>
      <c r="J14" s="58" t="str">
        <f>IF(K$74&gt;0,SUMPRODUCT('1'!COMP_CALENDARIZE_PERCENTAGES,J42:L42)*K$75*'1'!COMP_FX,"N/A")</f>
        <v>N/A</v>
      </c>
      <c r="K14" s="105" t="str">
        <f>IF(L$74&gt;0,SUMPRODUCT('1'!COMP_CALENDARIZE_PERCENTAGES,K42:M42)*L$75*'1'!COMP_FX,"N/A")</f>
        <v>N/A</v>
      </c>
      <c r="L14" s="44"/>
      <c r="N14" s="44"/>
      <c r="O14" s="44"/>
      <c r="P14" s="44"/>
      <c r="Q14" s="44"/>
      <c r="R14" s="44"/>
      <c r="S14" s="44"/>
      <c r="T14" s="44"/>
      <c r="U14" s="44"/>
      <c r="V14" s="44"/>
      <c r="W14" s="44"/>
      <c r="X14" s="44"/>
    </row>
    <row r="15" spans="1:26" ht="15" customHeight="1" x14ac:dyDescent="0.25">
      <c r="A15" s="25"/>
      <c r="B15" s="44" t="s">
        <v>306</v>
      </c>
      <c r="C15" s="30">
        <v>1</v>
      </c>
      <c r="D15" s="44"/>
      <c r="E15" s="101" t="s">
        <v>52</v>
      </c>
      <c r="F15" s="44"/>
      <c r="G15" s="44">
        <f>G53*'1'!COMP_FX</f>
        <v>1310</v>
      </c>
      <c r="H15" s="58">
        <f>IF(I$74&gt;0,SUMPRODUCT('1'!COMP_CALENDARIZE_PERCENTAGES,H53:J53)*I$75*'1'!COMP_FX,"N/A")</f>
        <v>2032.986301369863</v>
      </c>
      <c r="I15" s="58">
        <f>IF(J$74&gt;0,SUMPRODUCT('1'!COMP_CALENDARIZE_PERCENTAGES,I53:K53)*J$75*'1'!COMP_FX,"N/A")</f>
        <v>2334.0547945205481</v>
      </c>
      <c r="J15" s="58" t="str">
        <f>IF(K$74&gt;0,SUMPRODUCT('1'!COMP_CALENDARIZE_PERCENTAGES,J53:L53)*K$75*'1'!COMP_FX,"N/A")</f>
        <v>N/A</v>
      </c>
      <c r="K15" s="105" t="str">
        <f>IF(L$74&gt;0,SUMPRODUCT('1'!COMP_CALENDARIZE_PERCENTAGES,K53:M53)*L$75*'1'!COMP_FX,"N/A")</f>
        <v>N/A</v>
      </c>
      <c r="L15" s="44"/>
      <c r="N15" s="44"/>
      <c r="O15" s="44"/>
      <c r="P15" s="44"/>
      <c r="Q15" s="44"/>
      <c r="R15" s="44"/>
      <c r="S15" s="44"/>
      <c r="T15" s="44"/>
      <c r="U15" s="44"/>
      <c r="V15" s="44"/>
      <c r="W15" s="44"/>
      <c r="X15" s="44"/>
    </row>
    <row r="16" spans="1:26" ht="15" customHeight="1" x14ac:dyDescent="0.25">
      <c r="A16" s="25"/>
      <c r="B16" s="44" t="s">
        <v>307</v>
      </c>
      <c r="C16" s="31">
        <v>200.76</v>
      </c>
      <c r="E16" s="110" t="s">
        <v>308</v>
      </c>
      <c r="F16" s="78"/>
      <c r="G16" s="78"/>
      <c r="H16" s="111">
        <f>IF(I$74&gt;0,SUMPRODUCT('1'!COMP_CALENDARIZE_PERCENTAGES,H54:J54)*I$75*'1'!COMP_FX,"N/A")</f>
        <v>9.14</v>
      </c>
      <c r="I16" s="111">
        <f>IF(J$74&gt;0,SUMPRODUCT('1'!COMP_CALENDARIZE_PERCENTAGES,I54:K54)*J$75*'1'!COMP_FX,"N/A")</f>
        <v>9.9001369863013693</v>
      </c>
      <c r="J16" s="111" t="str">
        <f>IF(K$74&gt;0,SUMPRODUCT('1'!COMP_CALENDARIZE_PERCENTAGES,J54:L54)*K$75*'1'!COMP_FX,"N/A")</f>
        <v>N/A</v>
      </c>
      <c r="K16" s="112" t="str">
        <f>IF(L$74&gt;0,SUMPRODUCT('1'!COMP_CALENDARIZE_PERCENTAGES,K54:M54)*L$75*'1'!COMP_FX,"N/A")</f>
        <v>N/A</v>
      </c>
      <c r="L16" s="44"/>
      <c r="M16" s="44"/>
      <c r="N16" s="44"/>
      <c r="O16" s="44"/>
      <c r="P16" s="44"/>
      <c r="Q16" s="44"/>
      <c r="R16" s="44"/>
      <c r="S16" s="44"/>
      <c r="T16" s="44"/>
      <c r="U16" s="44"/>
      <c r="V16" s="44"/>
      <c r="W16" s="44"/>
      <c r="X16" s="44"/>
    </row>
    <row r="17" spans="1:24" ht="15" customHeight="1" x14ac:dyDescent="0.25">
      <c r="A17" s="25"/>
      <c r="B17" s="44" t="s">
        <v>309</v>
      </c>
      <c r="C17" s="31">
        <v>131.15</v>
      </c>
      <c r="E17" s="44"/>
      <c r="F17" s="44"/>
      <c r="G17" s="44"/>
      <c r="H17" s="44"/>
      <c r="I17" s="44"/>
      <c r="J17" s="44"/>
      <c r="K17" s="44"/>
      <c r="L17" s="44"/>
      <c r="M17" s="44"/>
      <c r="N17" s="44"/>
      <c r="O17" s="44"/>
      <c r="P17" s="44"/>
      <c r="Q17" s="44"/>
      <c r="R17" s="44"/>
      <c r="S17" s="44"/>
      <c r="T17" s="44"/>
      <c r="U17" s="44"/>
      <c r="V17" s="44"/>
      <c r="W17" s="44"/>
      <c r="X17" s="44"/>
    </row>
    <row r="18" spans="1:24" ht="15" customHeight="1" x14ac:dyDescent="0.25">
      <c r="A18" s="25"/>
      <c r="B18" s="44" t="s">
        <v>310</v>
      </c>
      <c r="C18" s="31">
        <v>204.89</v>
      </c>
      <c r="E18" s="21" t="s">
        <v>311</v>
      </c>
      <c r="F18" s="22"/>
      <c r="G18" s="22"/>
      <c r="H18" s="22"/>
      <c r="I18" s="22"/>
      <c r="J18" s="22"/>
      <c r="K18" s="23"/>
      <c r="L18" s="44"/>
      <c r="M18" s="44"/>
      <c r="N18" s="44"/>
      <c r="O18" s="44"/>
      <c r="P18" s="44"/>
      <c r="Q18" s="44"/>
      <c r="R18" s="44"/>
      <c r="S18" s="44"/>
      <c r="T18" s="44"/>
      <c r="U18" s="44"/>
      <c r="V18" s="44"/>
      <c r="W18" s="44"/>
      <c r="X18" s="44"/>
    </row>
    <row r="19" spans="1:24" ht="15" customHeight="1" x14ac:dyDescent="0.25">
      <c r="A19" s="25"/>
      <c r="B19" s="44" t="s">
        <v>312</v>
      </c>
      <c r="C19" s="30" t="s">
        <v>313</v>
      </c>
      <c r="D19" s="44"/>
      <c r="E19" s="101" t="s">
        <v>314</v>
      </c>
      <c r="F19" s="44"/>
      <c r="G19" s="58" t="str">
        <f>G13</f>
        <v>LTM</v>
      </c>
      <c r="H19" s="58" t="str">
        <f>H13</f>
        <v>2026e</v>
      </c>
      <c r="I19" s="58" t="str">
        <f>I13</f>
        <v>2027e</v>
      </c>
      <c r="J19" s="58" t="str">
        <f>J13</f>
        <v>2028e</v>
      </c>
      <c r="K19" s="105" t="str">
        <f>K13</f>
        <v>2029e</v>
      </c>
      <c r="L19" s="44"/>
      <c r="M19" s="44"/>
      <c r="N19" s="44"/>
      <c r="O19" s="44"/>
      <c r="P19" s="44"/>
      <c r="Q19" s="44"/>
      <c r="R19" s="44"/>
      <c r="S19" s="44"/>
      <c r="T19" s="44"/>
      <c r="U19" s="44"/>
      <c r="V19" s="44"/>
      <c r="W19" s="44"/>
      <c r="X19" s="44"/>
    </row>
    <row r="20" spans="1:24" ht="15" customHeight="1" x14ac:dyDescent="0.25">
      <c r="A20" s="25"/>
      <c r="B20" s="44" t="s">
        <v>315</v>
      </c>
      <c r="C20" s="51">
        <v>0.84</v>
      </c>
      <c r="D20" s="44"/>
      <c r="E20" s="101" t="s">
        <v>316</v>
      </c>
      <c r="F20" s="44"/>
      <c r="G20" s="113">
        <f>IF(G14&lt;&gt;0,$H$10/G14,"N/A")</f>
        <v>6.9795233728278134</v>
      </c>
      <c r="H20" s="113">
        <f t="shared" ref="H20:J21" si="0">IF(ISNUMBER(H14),$H$10/H14,"N/A")</f>
        <v>6.0951945687162334</v>
      </c>
      <c r="I20" s="113">
        <f t="shared" si="0"/>
        <v>5.8137405223576417</v>
      </c>
      <c r="J20" s="113" t="str">
        <f t="shared" si="0"/>
        <v>N/A</v>
      </c>
      <c r="K20" s="114" t="str">
        <f>IFERROR($H$10/K14,"N/A")</f>
        <v>N/A</v>
      </c>
      <c r="L20" s="44"/>
      <c r="M20" s="44"/>
      <c r="N20" s="44"/>
      <c r="O20" s="44"/>
      <c r="P20" s="44"/>
      <c r="Q20" s="44"/>
      <c r="R20" s="44"/>
      <c r="S20" s="44"/>
      <c r="T20" s="44"/>
      <c r="U20" s="44"/>
      <c r="V20" s="44"/>
      <c r="W20" s="44"/>
      <c r="X20" s="44"/>
    </row>
    <row r="21" spans="1:24" ht="15" customHeight="1" x14ac:dyDescent="0.25">
      <c r="A21" s="25"/>
      <c r="B21" s="44" t="s">
        <v>317</v>
      </c>
      <c r="C21" s="28" t="s">
        <v>318</v>
      </c>
      <c r="E21" s="101" t="s">
        <v>319</v>
      </c>
      <c r="F21" s="44"/>
      <c r="G21" s="113">
        <f>IF(G15&lt;&gt;0,$H$10/G15,"N/A")</f>
        <v>38.92549447471756</v>
      </c>
      <c r="H21" s="113">
        <f t="shared" si="0"/>
        <v>25.082509275896452</v>
      </c>
      <c r="I21" s="113">
        <f t="shared" si="0"/>
        <v>21.847129673900675</v>
      </c>
      <c r="J21" s="113" t="str">
        <f t="shared" si="0"/>
        <v>N/A</v>
      </c>
      <c r="K21" s="114" t="str">
        <f>IFERROR($H$10/K15,"N/A")</f>
        <v>N/A</v>
      </c>
      <c r="L21" s="44"/>
      <c r="M21" s="44"/>
      <c r="N21" s="44"/>
      <c r="O21" s="44"/>
      <c r="P21" s="44"/>
      <c r="Q21" s="44"/>
      <c r="R21" s="44"/>
      <c r="S21" s="44"/>
      <c r="T21" s="44"/>
      <c r="U21" s="44"/>
      <c r="V21" s="44"/>
      <c r="W21" s="44"/>
      <c r="X21" s="44"/>
    </row>
    <row r="22" spans="1:24" ht="15" customHeight="1" x14ac:dyDescent="0.25">
      <c r="A22" s="25"/>
      <c r="B22" s="44" t="s">
        <v>320</v>
      </c>
      <c r="C22" s="115">
        <f>G51/G42</f>
        <v>0.13646318094716672</v>
      </c>
      <c r="E22" s="101" t="s">
        <v>321</v>
      </c>
      <c r="F22" s="44"/>
      <c r="G22" s="113"/>
      <c r="H22" s="113">
        <f>IF(ISNUMBER(H16),($C$16*'1'!COMP_FX)/H16,"N/A")</f>
        <v>21.96498905908096</v>
      </c>
      <c r="I22" s="113">
        <f>IF(ISNUMBER(I16),($C$16*'1'!COMP_FX)/I16,"N/A")</f>
        <v>20.278507285079769</v>
      </c>
      <c r="J22" s="113" t="str">
        <f>IF(ISNUMBER(J16),($C$16*'1'!COMP_FX)/J16,"N/A")</f>
        <v>N/A</v>
      </c>
      <c r="K22" s="114" t="str">
        <f>IFERROR(($C$16*'1'!COMP_FX)/K16,"N/A")</f>
        <v>N/A</v>
      </c>
      <c r="L22" s="44"/>
      <c r="N22" s="44"/>
      <c r="O22" s="44"/>
      <c r="P22" s="44"/>
      <c r="Q22" s="44"/>
      <c r="R22" s="44"/>
      <c r="S22" s="44"/>
      <c r="T22" s="44"/>
      <c r="U22" s="44"/>
      <c r="V22" s="44"/>
      <c r="W22" s="44"/>
      <c r="X22" s="44"/>
    </row>
    <row r="23" spans="1:24" ht="15" customHeight="1" x14ac:dyDescent="0.25">
      <c r="A23" s="32"/>
      <c r="B23" s="78" t="s">
        <v>322</v>
      </c>
      <c r="C23" s="116">
        <f>G51*(1-'1'!COMP_MTR)/D37</f>
        <v>0.15113684006211181</v>
      </c>
      <c r="E23" s="101" t="s">
        <v>323</v>
      </c>
      <c r="F23" s="44"/>
      <c r="G23" s="113">
        <f>D34/D35</f>
        <v>8.4513000263133957</v>
      </c>
      <c r="H23" s="44"/>
      <c r="I23" s="44"/>
      <c r="J23" s="44"/>
      <c r="K23" s="102"/>
      <c r="L23" s="44"/>
      <c r="N23" s="44"/>
      <c r="O23" s="44"/>
      <c r="P23" s="44"/>
      <c r="Q23" s="44"/>
      <c r="R23" s="44"/>
      <c r="S23" s="44"/>
      <c r="T23" s="44"/>
      <c r="U23" s="44"/>
      <c r="V23" s="44"/>
      <c r="W23" s="44"/>
      <c r="X23" s="44"/>
    </row>
    <row r="24" spans="1:24" ht="15" customHeight="1" x14ac:dyDescent="0.25">
      <c r="A24" s="14"/>
      <c r="B24" s="44"/>
      <c r="C24" s="44"/>
      <c r="E24" s="110" t="s">
        <v>324</v>
      </c>
      <c r="F24" s="78"/>
      <c r="G24" s="117">
        <f>IF(G15=0,"N/A",H7/G15)</f>
        <v>1.449618320610687</v>
      </c>
      <c r="H24" s="78"/>
      <c r="I24" s="78"/>
      <c r="J24" s="78"/>
      <c r="K24" s="107"/>
      <c r="L24" s="44"/>
      <c r="N24" s="44"/>
      <c r="O24" s="44"/>
      <c r="P24" s="44"/>
      <c r="Q24" s="44"/>
      <c r="R24" s="44"/>
      <c r="S24" s="44"/>
      <c r="T24" s="44"/>
      <c r="U24" s="44"/>
      <c r="V24" s="44"/>
      <c r="W24" s="44"/>
      <c r="X24" s="44"/>
    </row>
    <row r="25" spans="1:24" ht="15" customHeight="1" x14ac:dyDescent="0.25">
      <c r="A25" s="25"/>
      <c r="B25" s="44"/>
      <c r="C25" s="44"/>
      <c r="L25" s="44"/>
      <c r="M25" s="44"/>
      <c r="N25" s="44"/>
      <c r="O25" s="44"/>
      <c r="P25" s="44"/>
      <c r="Q25" s="44"/>
      <c r="R25" s="44"/>
      <c r="S25" s="44"/>
      <c r="T25" s="44"/>
      <c r="U25" s="44"/>
      <c r="V25" s="44"/>
      <c r="W25" s="44"/>
      <c r="X25" s="44"/>
    </row>
    <row r="26" spans="1:24" ht="15" customHeight="1" x14ac:dyDescent="0.3">
      <c r="A26" s="21" t="s">
        <v>325</v>
      </c>
      <c r="B26" s="33"/>
      <c r="C26" s="34"/>
      <c r="D26" s="34"/>
      <c r="E26" s="34"/>
      <c r="F26" s="34"/>
      <c r="G26" s="34"/>
      <c r="H26" s="34"/>
      <c r="I26" s="34"/>
      <c r="J26" s="34"/>
      <c r="K26" s="34"/>
      <c r="L26" s="44"/>
      <c r="M26" s="21" t="s">
        <v>326</v>
      </c>
      <c r="N26" s="22"/>
      <c r="O26" s="22"/>
      <c r="P26" s="23"/>
      <c r="Q26" s="44"/>
      <c r="R26" s="44"/>
      <c r="S26" s="44"/>
      <c r="T26" s="44"/>
      <c r="U26" s="44"/>
      <c r="V26" s="44"/>
      <c r="W26" s="44"/>
      <c r="X26" s="44"/>
    </row>
    <row r="27" spans="1:24" ht="15" customHeight="1" x14ac:dyDescent="0.25">
      <c r="A27" s="101"/>
      <c r="B27" s="44"/>
      <c r="C27" s="44"/>
      <c r="D27" s="44"/>
      <c r="E27" s="44"/>
      <c r="F27" s="44"/>
      <c r="H27" s="44"/>
      <c r="I27" s="44"/>
      <c r="J27" s="44"/>
      <c r="K27" s="102"/>
      <c r="L27" s="44"/>
      <c r="M27" s="269" t="s">
        <v>327</v>
      </c>
      <c r="N27" s="58" t="s">
        <v>328</v>
      </c>
      <c r="O27" s="58" t="s">
        <v>329</v>
      </c>
      <c r="P27" s="105" t="s">
        <v>330</v>
      </c>
      <c r="Q27" s="44"/>
      <c r="R27" s="44"/>
      <c r="S27" s="44"/>
      <c r="T27" s="44"/>
      <c r="U27" s="44"/>
      <c r="V27" s="44"/>
      <c r="W27" s="44"/>
      <c r="X27" s="44"/>
    </row>
    <row r="28" spans="1:24" ht="15" customHeight="1" x14ac:dyDescent="0.25">
      <c r="A28" s="25"/>
      <c r="B28" s="16" t="s">
        <v>331</v>
      </c>
      <c r="C28" s="44"/>
      <c r="D28" s="16"/>
      <c r="E28" s="16" t="s">
        <v>332</v>
      </c>
      <c r="F28" s="35"/>
      <c r="G28" s="35"/>
      <c r="H28" s="16" t="s">
        <v>333</v>
      </c>
      <c r="I28" s="35"/>
      <c r="J28" s="35"/>
      <c r="K28" s="102"/>
      <c r="L28" s="44"/>
      <c r="M28" s="251" t="s">
        <v>334</v>
      </c>
      <c r="N28" s="281">
        <f>3/1000</f>
        <v>3.0000000000000001E-3</v>
      </c>
      <c r="O28" s="268">
        <v>56.22</v>
      </c>
      <c r="P28" s="102">
        <f>MAX(('1'!COMP_SHAREPRICE-O28)/'1'!COMP_SHAREPRICE*N28,0)</f>
        <v>2.1598924088463835E-3</v>
      </c>
      <c r="Q28" s="44"/>
      <c r="S28" s="44"/>
      <c r="T28" s="44"/>
      <c r="U28" s="44"/>
      <c r="V28" s="44"/>
      <c r="W28" s="44"/>
      <c r="X28" s="44"/>
    </row>
    <row r="29" spans="1:24" ht="15" customHeight="1" x14ac:dyDescent="0.25">
      <c r="A29" s="25"/>
      <c r="B29" s="44" t="s">
        <v>335</v>
      </c>
      <c r="D29" s="169">
        <f>C13</f>
        <v>46022</v>
      </c>
      <c r="E29" t="s">
        <v>336</v>
      </c>
      <c r="F29" s="44"/>
      <c r="G29" s="268">
        <v>400</v>
      </c>
      <c r="H29" t="s">
        <v>257</v>
      </c>
      <c r="I29" s="44"/>
      <c r="J29" s="268">
        <v>2784</v>
      </c>
      <c r="K29" s="102"/>
      <c r="M29" s="251" t="s">
        <v>250</v>
      </c>
      <c r="N29" s="268">
        <f>6761/1000</f>
        <v>6.7610000000000001</v>
      </c>
      <c r="O29" s="36">
        <v>0</v>
      </c>
      <c r="P29" s="102">
        <f>MAX(('1'!COMP_SHAREPRICE-O29)/'1'!COMP_SHAREPRICE*N29,0)</f>
        <v>6.7610000000000001</v>
      </c>
      <c r="Q29" s="44"/>
      <c r="S29" s="118"/>
      <c r="T29" s="75"/>
      <c r="U29" s="75"/>
      <c r="V29" s="75"/>
      <c r="W29" s="75"/>
      <c r="X29" s="75"/>
    </row>
    <row r="30" spans="1:24" ht="15" customHeight="1" x14ac:dyDescent="0.25">
      <c r="A30" s="25"/>
      <c r="B30" s="44" t="s">
        <v>245</v>
      </c>
      <c r="D30" s="268">
        <f>250253713/1000000</f>
        <v>250.253713</v>
      </c>
      <c r="E30" t="s">
        <v>88</v>
      </c>
      <c r="F30" s="44"/>
      <c r="G30" s="268">
        <v>1484</v>
      </c>
      <c r="H30" t="s">
        <v>337</v>
      </c>
      <c r="I30" s="44"/>
      <c r="J30" s="268">
        <v>115</v>
      </c>
      <c r="K30" s="102"/>
      <c r="M30" s="251" t="s">
        <v>251</v>
      </c>
      <c r="N30" s="268">
        <f>1071/1000</f>
        <v>1.071</v>
      </c>
      <c r="O30" s="36">
        <v>0</v>
      </c>
      <c r="P30" s="102">
        <f>MAX(('1'!COMP_SHAREPRICE-O30)/'1'!COMP_SHAREPRICE*N30,0)</f>
        <v>1.071</v>
      </c>
      <c r="Q30" s="44"/>
      <c r="S30" s="118"/>
      <c r="T30" s="75"/>
      <c r="U30" s="75"/>
      <c r="V30" s="75"/>
      <c r="W30" s="75"/>
      <c r="X30" s="75"/>
    </row>
    <row r="31" spans="1:24" ht="15" customHeight="1" x14ac:dyDescent="0.25">
      <c r="A31" s="25"/>
      <c r="B31" s="44" t="s">
        <v>338</v>
      </c>
      <c r="D31" s="53">
        <v>0</v>
      </c>
      <c r="E31" t="s">
        <v>339</v>
      </c>
      <c r="F31" s="44"/>
      <c r="G31" s="268">
        <v>15</v>
      </c>
      <c r="H31" t="s">
        <v>80</v>
      </c>
      <c r="I31" s="44"/>
      <c r="J31" s="53">
        <v>0</v>
      </c>
      <c r="K31" s="102"/>
      <c r="M31" s="251" t="s">
        <v>252</v>
      </c>
      <c r="N31" s="268">
        <f>890/1000</f>
        <v>0.89</v>
      </c>
      <c r="O31" s="36">
        <v>0</v>
      </c>
      <c r="P31" s="102">
        <f>MAX(('1'!COMP_SHAREPRICE-O31)/'1'!COMP_SHAREPRICE*N31,0)</f>
        <v>0.89</v>
      </c>
      <c r="Q31" s="44"/>
      <c r="R31" s="44"/>
      <c r="S31" s="118"/>
      <c r="T31" s="75"/>
      <c r="U31" s="75"/>
      <c r="V31" s="75"/>
      <c r="W31" s="75"/>
      <c r="X31" s="75"/>
    </row>
    <row r="32" spans="1:24" ht="15" customHeight="1" x14ac:dyDescent="0.25">
      <c r="A32" s="25"/>
      <c r="B32" s="44" t="s">
        <v>340</v>
      </c>
      <c r="D32" s="44">
        <f>P36</f>
        <v>8.7241598924088457</v>
      </c>
      <c r="E32" t="s">
        <v>341</v>
      </c>
      <c r="F32" s="44"/>
      <c r="G32" s="53">
        <v>0</v>
      </c>
      <c r="H32" t="s">
        <v>80</v>
      </c>
      <c r="I32" s="44"/>
      <c r="J32" s="53">
        <v>0</v>
      </c>
      <c r="K32" s="102"/>
      <c r="M32" s="251" t="s">
        <v>342</v>
      </c>
      <c r="N32" s="20">
        <v>0</v>
      </c>
      <c r="O32" s="36">
        <v>0</v>
      </c>
      <c r="P32" s="102">
        <f>MAX(('1'!COMP_SHAREPRICE-O32)/'1'!COMP_SHAREPRICE*N32,0)</f>
        <v>0</v>
      </c>
      <c r="Q32" s="44"/>
      <c r="R32" s="44"/>
      <c r="S32" s="118"/>
      <c r="T32" s="75"/>
      <c r="U32" s="75"/>
      <c r="V32" s="75"/>
      <c r="W32" s="75"/>
      <c r="X32" s="75"/>
    </row>
    <row r="33" spans="1:26" ht="15" customHeight="1" x14ac:dyDescent="0.25">
      <c r="A33" s="25"/>
      <c r="B33" s="44" t="s">
        <v>253</v>
      </c>
      <c r="D33" s="44">
        <f>SUM(D30:D32)</f>
        <v>258.97787289240887</v>
      </c>
      <c r="E33" t="s">
        <v>282</v>
      </c>
      <c r="G33" s="53">
        <v>0</v>
      </c>
      <c r="H33" t="s">
        <v>80</v>
      </c>
      <c r="I33" s="44"/>
      <c r="J33" s="53">
        <v>0</v>
      </c>
      <c r="K33" s="102"/>
      <c r="L33" s="44"/>
      <c r="M33" s="251" t="s">
        <v>343</v>
      </c>
      <c r="N33" s="20">
        <v>0</v>
      </c>
      <c r="O33" s="36">
        <v>0</v>
      </c>
      <c r="P33" s="102">
        <f>MAX(('1'!COMP_SHAREPRICE-O33)/'1'!COMP_SHAREPRICE*N33,0)</f>
        <v>0</v>
      </c>
      <c r="Q33" s="44"/>
      <c r="R33" s="44"/>
      <c r="S33" s="118"/>
      <c r="T33" s="75"/>
      <c r="U33" s="75"/>
      <c r="V33" s="75"/>
      <c r="W33" s="75"/>
      <c r="X33" s="75"/>
    </row>
    <row r="34" spans="1:26" ht="15" customHeight="1" x14ac:dyDescent="0.25">
      <c r="A34" s="25"/>
      <c r="B34" s="44" t="s">
        <v>344</v>
      </c>
      <c r="D34" s="44">
        <f>D33*'1'!COMP_SHAREPRICE</f>
        <v>51992.397761880005</v>
      </c>
      <c r="E34" t="s">
        <v>80</v>
      </c>
      <c r="F34" s="44"/>
      <c r="G34" s="53">
        <v>0</v>
      </c>
      <c r="H34" t="s">
        <v>80</v>
      </c>
      <c r="I34" s="44"/>
      <c r="J34" s="53">
        <v>0</v>
      </c>
      <c r="K34" s="102"/>
      <c r="L34" s="44"/>
      <c r="M34" s="251" t="s">
        <v>345</v>
      </c>
      <c r="N34" s="20">
        <v>0</v>
      </c>
      <c r="O34" s="36">
        <v>0</v>
      </c>
      <c r="P34" s="102">
        <f>MAX(('1'!COMP_SHAREPRICE-O34)/'1'!COMP_SHAREPRICE*N34,0)</f>
        <v>0</v>
      </c>
      <c r="Q34" s="44"/>
      <c r="R34" s="44"/>
      <c r="S34" s="118"/>
      <c r="T34" s="75"/>
      <c r="U34" s="75"/>
      <c r="V34" s="75"/>
      <c r="W34" s="75"/>
      <c r="X34" s="75"/>
    </row>
    <row r="35" spans="1:26" ht="15" customHeight="1" x14ac:dyDescent="0.25">
      <c r="A35" s="25"/>
      <c r="B35" s="44" t="s">
        <v>346</v>
      </c>
      <c r="D35" s="79">
        <v>6152</v>
      </c>
      <c r="E35" t="s">
        <v>80</v>
      </c>
      <c r="F35" s="44"/>
      <c r="G35" s="53">
        <v>0</v>
      </c>
      <c r="H35" t="s">
        <v>80</v>
      </c>
      <c r="I35" s="44"/>
      <c r="J35" s="53">
        <v>0</v>
      </c>
      <c r="K35" s="102"/>
      <c r="L35" s="44"/>
      <c r="M35" s="251" t="s">
        <v>347</v>
      </c>
      <c r="N35" s="20">
        <v>0</v>
      </c>
      <c r="O35" s="36">
        <v>0</v>
      </c>
      <c r="P35" s="102">
        <f>MAX(('1'!COMP_SHAREPRICE-O35)/'1'!COMP_SHAREPRICE*N35,0)</f>
        <v>0</v>
      </c>
      <c r="Q35" s="44"/>
      <c r="R35" s="44"/>
      <c r="S35" s="118"/>
      <c r="T35" s="75"/>
      <c r="U35" s="75"/>
      <c r="V35" s="75"/>
      <c r="W35" s="75"/>
      <c r="X35" s="75"/>
    </row>
    <row r="36" spans="1:26" ht="15" customHeight="1" x14ac:dyDescent="0.25">
      <c r="A36" s="25"/>
      <c r="B36" s="44" t="s">
        <v>348</v>
      </c>
      <c r="C36" s="44"/>
      <c r="D36" s="44">
        <f>G37-J37</f>
        <v>-1000</v>
      </c>
      <c r="F36" s="44"/>
      <c r="G36" s="44"/>
      <c r="H36" s="44"/>
      <c r="I36" s="44"/>
      <c r="J36" s="44"/>
      <c r="K36" s="102"/>
      <c r="L36" s="44"/>
      <c r="M36" s="252" t="s">
        <v>349</v>
      </c>
      <c r="N36" s="78"/>
      <c r="O36" s="78"/>
      <c r="P36" s="107">
        <f>SUM(P28:P35)</f>
        <v>8.7241598924088457</v>
      </c>
      <c r="Q36" s="44"/>
      <c r="R36" s="44"/>
      <c r="S36" s="118"/>
      <c r="T36" s="75"/>
      <c r="U36" s="75"/>
      <c r="V36" s="75"/>
      <c r="W36" s="75"/>
      <c r="X36" s="75"/>
    </row>
    <row r="37" spans="1:26" ht="15" customHeight="1" x14ac:dyDescent="0.25">
      <c r="A37" s="78"/>
      <c r="B37" s="78" t="s">
        <v>105</v>
      </c>
      <c r="C37" s="78"/>
      <c r="D37" s="78">
        <f>D35+D36</f>
        <v>5152</v>
      </c>
      <c r="E37" s="78" t="s">
        <v>350</v>
      </c>
      <c r="F37" s="78"/>
      <c r="G37" s="78">
        <f>SUM(G29:G35)</f>
        <v>1899</v>
      </c>
      <c r="H37" s="78" t="s">
        <v>351</v>
      </c>
      <c r="I37" s="78"/>
      <c r="J37" s="78">
        <f>SUM(J29:J35)</f>
        <v>2899</v>
      </c>
      <c r="K37" s="107"/>
      <c r="L37" s="44"/>
      <c r="M37" s="44"/>
      <c r="N37" s="44"/>
      <c r="O37" s="44"/>
      <c r="P37" s="44"/>
      <c r="Q37" s="44"/>
      <c r="R37" s="44"/>
      <c r="S37" s="44"/>
      <c r="T37" s="75"/>
      <c r="U37" s="75"/>
      <c r="V37" s="75"/>
      <c r="W37" s="75"/>
      <c r="X37" s="75"/>
    </row>
    <row r="38" spans="1:26" ht="15" customHeight="1" x14ac:dyDescent="0.25">
      <c r="A38" s="32"/>
      <c r="B38" s="44"/>
      <c r="C38" s="44"/>
      <c r="D38" s="44"/>
      <c r="E38" s="44"/>
      <c r="F38" s="44"/>
      <c r="G38" s="44"/>
      <c r="H38" s="44"/>
      <c r="I38" s="44"/>
      <c r="J38" s="44"/>
      <c r="K38" s="44"/>
      <c r="L38" s="44"/>
      <c r="M38" s="44"/>
      <c r="N38" s="44"/>
      <c r="O38" s="44"/>
      <c r="P38" s="44"/>
      <c r="Q38" s="44"/>
      <c r="R38" s="44"/>
      <c r="S38" s="44"/>
      <c r="T38" s="44"/>
      <c r="U38" s="44"/>
      <c r="V38" s="44"/>
      <c r="W38" s="44"/>
      <c r="X38" s="44"/>
    </row>
    <row r="39" spans="1:26" ht="15" customHeight="1" x14ac:dyDescent="0.3">
      <c r="A39" s="21" t="s">
        <v>352</v>
      </c>
      <c r="B39" s="33"/>
      <c r="C39" s="34"/>
      <c r="D39" s="34"/>
      <c r="E39" s="34"/>
      <c r="F39" s="34"/>
      <c r="G39" s="34"/>
      <c r="H39" s="34"/>
      <c r="I39" s="22" t="s">
        <v>353</v>
      </c>
      <c r="J39" s="34"/>
      <c r="K39" s="34"/>
      <c r="L39" s="38"/>
      <c r="M39" s="44"/>
      <c r="N39" s="44"/>
      <c r="O39" s="44"/>
      <c r="P39" s="44"/>
      <c r="Q39" s="44"/>
      <c r="R39" s="44"/>
      <c r="S39" s="44"/>
      <c r="T39" s="44"/>
      <c r="U39" s="44"/>
      <c r="V39" s="44"/>
      <c r="W39" s="44"/>
      <c r="X39" s="44"/>
    </row>
    <row r="40" spans="1:26" ht="15.75" customHeight="1" x14ac:dyDescent="0.25">
      <c r="A40" s="25"/>
      <c r="B40" s="44"/>
      <c r="C40" s="58" t="s">
        <v>354</v>
      </c>
      <c r="D40" s="119" t="s">
        <v>355</v>
      </c>
      <c r="E40" s="119" t="s">
        <v>356</v>
      </c>
      <c r="F40" s="44" t="s">
        <v>338</v>
      </c>
      <c r="G40" s="58" t="s">
        <v>357</v>
      </c>
      <c r="H40" s="58" t="s">
        <v>358</v>
      </c>
      <c r="I40" s="58" t="s">
        <v>359</v>
      </c>
      <c r="J40" s="58" t="s">
        <v>360</v>
      </c>
      <c r="K40" s="58" t="s">
        <v>361</v>
      </c>
      <c r="L40" s="105" t="s">
        <v>362</v>
      </c>
      <c r="M40" s="44"/>
      <c r="O40" s="44"/>
      <c r="P40" s="44"/>
      <c r="S40" s="44"/>
      <c r="T40" s="44"/>
      <c r="U40" s="44"/>
      <c r="V40" s="44"/>
      <c r="W40" s="44"/>
      <c r="X40" s="44"/>
    </row>
    <row r="41" spans="1:26" ht="15" customHeight="1" x14ac:dyDescent="0.25">
      <c r="A41" s="25"/>
      <c r="B41" s="44" t="s">
        <v>233</v>
      </c>
      <c r="C41" s="250">
        <f>C11</f>
        <v>45747</v>
      </c>
      <c r="D41" s="39">
        <v>45657</v>
      </c>
      <c r="E41" s="39">
        <v>46022</v>
      </c>
      <c r="F41" s="44"/>
      <c r="G41" s="120">
        <f>C13</f>
        <v>46022</v>
      </c>
      <c r="H41" s="120">
        <f>C41</f>
        <v>45747</v>
      </c>
      <c r="I41" s="120">
        <f>EDATE(C41,12)</f>
        <v>46112</v>
      </c>
      <c r="J41" s="120">
        <f>EDATE(I41,12)</f>
        <v>46477</v>
      </c>
      <c r="K41" s="120">
        <f>EDATE(J41,12)</f>
        <v>46843</v>
      </c>
      <c r="L41" s="104">
        <f>EDATE(K41,12)</f>
        <v>47208</v>
      </c>
      <c r="N41" s="44"/>
      <c r="O41" s="44"/>
      <c r="P41" s="44"/>
      <c r="Q41" s="44"/>
      <c r="R41" s="44"/>
      <c r="S41" s="44"/>
      <c r="T41" s="44"/>
      <c r="U41" s="44"/>
      <c r="V41" s="44"/>
      <c r="W41" s="44"/>
      <c r="X41" s="44"/>
      <c r="Y41" s="44"/>
      <c r="Z41" s="44"/>
    </row>
    <row r="42" spans="1:26" ht="15" customHeight="1" x14ac:dyDescent="0.25">
      <c r="A42" s="25"/>
      <c r="B42" s="44" t="s">
        <v>363</v>
      </c>
      <c r="C42" s="268">
        <v>7463</v>
      </c>
      <c r="D42" s="268">
        <v>5568</v>
      </c>
      <c r="E42" s="268">
        <v>5411</v>
      </c>
      <c r="F42" s="20"/>
      <c r="G42" s="44">
        <f>C42-D42+E42+F42</f>
        <v>7306</v>
      </c>
      <c r="H42" s="44">
        <f>C42</f>
        <v>7463</v>
      </c>
      <c r="I42" s="66">
        <v>8146</v>
      </c>
      <c r="J42" s="66">
        <v>8438</v>
      </c>
      <c r="K42" s="66">
        <v>8880</v>
      </c>
      <c r="L42" s="174" t="s">
        <v>318</v>
      </c>
      <c r="O42" s="44"/>
      <c r="P42" s="44"/>
      <c r="Q42" s="44"/>
      <c r="R42" s="44"/>
      <c r="S42" s="44"/>
      <c r="T42" s="44"/>
      <c r="U42" s="44"/>
      <c r="V42" s="44"/>
      <c r="W42" s="44"/>
      <c r="X42" s="44"/>
      <c r="Y42" s="44"/>
      <c r="Z42" s="44"/>
    </row>
    <row r="43" spans="1:26" ht="15" customHeight="1" x14ac:dyDescent="0.25">
      <c r="A43" s="25"/>
      <c r="B43" s="44" t="s">
        <v>364</v>
      </c>
      <c r="C43" s="66"/>
      <c r="D43" s="66"/>
      <c r="E43" s="66"/>
      <c r="F43" s="20"/>
      <c r="G43" s="44"/>
      <c r="H43" s="41"/>
      <c r="I43" s="44"/>
      <c r="J43" s="49"/>
      <c r="K43" s="49"/>
      <c r="L43" s="40"/>
      <c r="N43" s="44"/>
      <c r="O43" s="44"/>
      <c r="P43" s="44"/>
      <c r="Q43" s="44"/>
      <c r="R43" s="44"/>
      <c r="S43" s="44"/>
      <c r="T43" s="44"/>
      <c r="U43" s="44"/>
      <c r="V43" s="44"/>
      <c r="W43" s="44"/>
      <c r="X43" s="44"/>
      <c r="Y43" s="44"/>
      <c r="Z43" s="44"/>
    </row>
    <row r="44" spans="1:26" ht="15" customHeight="1" x14ac:dyDescent="0.25">
      <c r="A44" s="25"/>
      <c r="B44" s="44" t="s">
        <v>48</v>
      </c>
      <c r="C44" s="268">
        <v>1520</v>
      </c>
      <c r="D44" s="268">
        <v>1125</v>
      </c>
      <c r="E44" s="268">
        <v>598</v>
      </c>
      <c r="F44" s="20"/>
      <c r="G44" s="44"/>
      <c r="H44" s="44"/>
      <c r="I44" s="44"/>
      <c r="J44" s="49"/>
      <c r="K44" s="49"/>
      <c r="L44" s="105"/>
      <c r="N44" s="44"/>
      <c r="O44" s="44"/>
      <c r="P44" s="44"/>
      <c r="Q44" s="44"/>
      <c r="R44" s="44"/>
      <c r="S44" s="44"/>
      <c r="T44" s="44"/>
      <c r="U44" s="44"/>
      <c r="V44" s="44"/>
      <c r="W44" s="44"/>
      <c r="X44" s="44"/>
      <c r="Y44" s="44"/>
      <c r="Z44" s="44"/>
    </row>
    <row r="45" spans="1:26" ht="15" customHeight="1" x14ac:dyDescent="0.25">
      <c r="A45" s="25"/>
      <c r="B45" t="s">
        <v>268</v>
      </c>
      <c r="C45" s="268">
        <v>57</v>
      </c>
      <c r="D45" s="268">
        <v>51</v>
      </c>
      <c r="E45" s="66"/>
      <c r="F45" s="20"/>
      <c r="G45" s="44"/>
      <c r="H45" s="44"/>
      <c r="I45" s="44"/>
      <c r="J45" s="44"/>
      <c r="K45" s="44"/>
      <c r="L45" s="105"/>
      <c r="N45" s="44"/>
      <c r="O45" s="44"/>
      <c r="P45" s="44"/>
      <c r="Q45" s="44"/>
      <c r="R45" s="44"/>
      <c r="S45" s="44"/>
      <c r="T45" s="44"/>
      <c r="U45" s="44"/>
      <c r="V45" s="44"/>
      <c r="W45" s="44"/>
      <c r="X45" s="44"/>
      <c r="Y45" s="44"/>
      <c r="Z45" s="44"/>
    </row>
    <row r="46" spans="1:26" ht="15" customHeight="1" x14ac:dyDescent="0.25">
      <c r="A46" s="25"/>
      <c r="B46" t="s">
        <v>268</v>
      </c>
      <c r="C46" s="66"/>
      <c r="D46" s="66"/>
      <c r="E46" s="66"/>
      <c r="F46" s="20"/>
      <c r="G46" s="44"/>
      <c r="H46" s="44"/>
      <c r="I46" s="44"/>
      <c r="J46" s="49"/>
      <c r="K46" s="49"/>
      <c r="L46" s="105"/>
      <c r="N46" s="44"/>
      <c r="O46" s="44"/>
      <c r="P46" s="44"/>
      <c r="Q46" s="44"/>
      <c r="R46" s="44"/>
      <c r="S46" s="44"/>
      <c r="T46" s="44"/>
      <c r="U46" s="44"/>
      <c r="V46" s="44"/>
      <c r="W46" s="44"/>
      <c r="X46" s="44"/>
      <c r="Y46" s="44"/>
      <c r="Z46" s="44"/>
    </row>
    <row r="47" spans="1:26" ht="15" customHeight="1" x14ac:dyDescent="0.25">
      <c r="A47" s="25"/>
      <c r="B47" t="s">
        <v>268</v>
      </c>
      <c r="C47" s="66"/>
      <c r="D47" s="66"/>
      <c r="E47" s="66"/>
      <c r="F47" s="20"/>
      <c r="G47" s="44"/>
      <c r="H47" s="44"/>
      <c r="I47" s="44"/>
      <c r="J47" s="49"/>
      <c r="K47" s="49"/>
      <c r="L47" s="105"/>
      <c r="N47" s="44"/>
      <c r="O47" s="44"/>
      <c r="P47" s="44"/>
      <c r="Q47" s="44"/>
      <c r="R47" s="44"/>
      <c r="S47" s="44"/>
      <c r="T47" s="44"/>
      <c r="U47" s="44"/>
      <c r="V47" s="44"/>
      <c r="W47" s="44"/>
      <c r="X47" s="44"/>
      <c r="Y47" s="44"/>
      <c r="Z47" s="44"/>
    </row>
    <row r="48" spans="1:26" ht="15" customHeight="1" x14ac:dyDescent="0.25">
      <c r="A48" s="25">
        <v>1</v>
      </c>
      <c r="B48" t="s">
        <v>365</v>
      </c>
      <c r="C48" s="268">
        <v>5</v>
      </c>
      <c r="D48" s="268">
        <v>7</v>
      </c>
      <c r="E48" s="66"/>
      <c r="F48" s="20"/>
      <c r="G48" s="44"/>
      <c r="H48" s="44"/>
      <c r="I48" s="44"/>
      <c r="J48" s="49"/>
      <c r="K48" s="49"/>
      <c r="L48" s="105"/>
      <c r="N48" s="44"/>
      <c r="O48" s="44"/>
      <c r="P48" s="44"/>
      <c r="Q48" s="44"/>
      <c r="R48" s="44"/>
      <c r="S48" s="44"/>
      <c r="T48" s="44"/>
      <c r="U48" s="44"/>
      <c r="V48" s="44"/>
      <c r="W48" s="44"/>
      <c r="X48" s="44"/>
      <c r="Y48" s="44"/>
      <c r="Z48" s="44"/>
    </row>
    <row r="49" spans="1:26" ht="15" customHeight="1" x14ac:dyDescent="0.25">
      <c r="A49" s="25"/>
      <c r="B49" t="s">
        <v>51</v>
      </c>
      <c r="C49" s="66"/>
      <c r="D49" s="66"/>
      <c r="E49" s="66"/>
      <c r="F49" s="20"/>
      <c r="G49" s="44"/>
      <c r="H49" s="44"/>
      <c r="I49" s="44"/>
      <c r="J49" s="49"/>
      <c r="K49" s="49"/>
      <c r="L49" s="105"/>
      <c r="N49" s="44"/>
      <c r="O49" s="44"/>
      <c r="P49" s="44"/>
      <c r="Q49" s="44"/>
      <c r="R49" s="44"/>
      <c r="S49" s="44"/>
      <c r="T49" s="44"/>
      <c r="U49" s="44"/>
      <c r="V49" s="44"/>
      <c r="W49" s="44"/>
      <c r="X49" s="44"/>
      <c r="Y49" s="44"/>
      <c r="Z49" s="44"/>
    </row>
    <row r="50" spans="1:26" ht="15" customHeight="1" x14ac:dyDescent="0.25">
      <c r="A50" s="25"/>
      <c r="B50" t="s">
        <v>51</v>
      </c>
      <c r="C50" s="173"/>
      <c r="D50" s="20"/>
      <c r="E50" s="20"/>
      <c r="F50" s="20"/>
      <c r="G50" s="44"/>
      <c r="H50" s="44"/>
      <c r="J50" s="50"/>
      <c r="K50" s="49"/>
      <c r="L50" s="105"/>
      <c r="N50" s="44"/>
      <c r="O50" s="44"/>
      <c r="P50" s="44"/>
      <c r="Q50" s="44"/>
      <c r="R50" s="44"/>
      <c r="S50" s="44"/>
      <c r="T50" s="44"/>
      <c r="U50" s="44"/>
      <c r="V50" s="44"/>
      <c r="W50" s="44"/>
      <c r="X50" s="44"/>
      <c r="Y50" s="44"/>
      <c r="Z50" s="44"/>
    </row>
    <row r="51" spans="1:26" ht="15" customHeight="1" x14ac:dyDescent="0.25">
      <c r="A51" s="25"/>
      <c r="B51" s="44" t="s">
        <v>49</v>
      </c>
      <c r="C51" s="44">
        <f>SUM(C43:C50)</f>
        <v>1582</v>
      </c>
      <c r="D51" s="44">
        <f t="shared" ref="D51:E51" si="1">SUM(D43:D50)</f>
        <v>1183</v>
      </c>
      <c r="E51" s="44">
        <f t="shared" si="1"/>
        <v>598</v>
      </c>
      <c r="F51" s="44">
        <f>SUM(F43:F50)</f>
        <v>0</v>
      </c>
      <c r="G51" s="44">
        <f>C51-D51+E51+F51</f>
        <v>997</v>
      </c>
      <c r="H51" s="44"/>
      <c r="L51" s="105"/>
      <c r="N51" s="44"/>
      <c r="O51" s="44"/>
      <c r="P51" s="44"/>
      <c r="Q51" s="44"/>
      <c r="R51" s="44"/>
      <c r="S51" s="44"/>
      <c r="T51" s="44"/>
      <c r="U51" s="44"/>
      <c r="V51" s="44"/>
      <c r="W51" s="44"/>
      <c r="X51" s="44"/>
      <c r="Y51" s="44"/>
      <c r="Z51" s="44"/>
    </row>
    <row r="52" spans="1:26" ht="15" customHeight="1" x14ac:dyDescent="0.25">
      <c r="A52" s="25"/>
      <c r="B52" s="44" t="s">
        <v>165</v>
      </c>
      <c r="C52" s="66">
        <v>299</v>
      </c>
      <c r="D52" s="66">
        <v>226</v>
      </c>
      <c r="E52" s="174">
        <v>240</v>
      </c>
      <c r="F52" s="20"/>
      <c r="G52" s="44">
        <f>C52-D52+E52+F52</f>
        <v>313</v>
      </c>
      <c r="H52" s="44"/>
      <c r="L52" s="105"/>
      <c r="N52" s="44"/>
      <c r="O52" s="44"/>
      <c r="P52" s="44"/>
      <c r="Q52" s="44"/>
      <c r="R52" s="44"/>
      <c r="S52" s="44"/>
      <c r="T52" s="44"/>
      <c r="U52" s="44"/>
      <c r="V52" s="44"/>
      <c r="W52" s="44"/>
      <c r="X52" s="44"/>
      <c r="Y52" s="44"/>
      <c r="Z52" s="44"/>
    </row>
    <row r="53" spans="1:26" ht="15" customHeight="1" x14ac:dyDescent="0.25">
      <c r="A53" s="25"/>
      <c r="B53" s="44" t="s">
        <v>52</v>
      </c>
      <c r="C53" s="44">
        <f>C51+C52</f>
        <v>1881</v>
      </c>
      <c r="D53" s="44">
        <f>D51+D52</f>
        <v>1409</v>
      </c>
      <c r="E53" s="44">
        <f>E51+E52</f>
        <v>838</v>
      </c>
      <c r="F53" s="44">
        <f>SUM(F52)</f>
        <v>0</v>
      </c>
      <c r="G53" s="44">
        <f>C53-D53+E53+F53</f>
        <v>1310</v>
      </c>
      <c r="H53" s="44">
        <f>C53</f>
        <v>1881</v>
      </c>
      <c r="I53" s="66">
        <v>1486</v>
      </c>
      <c r="J53" s="66">
        <v>2212</v>
      </c>
      <c r="K53" s="66">
        <v>2374</v>
      </c>
      <c r="L53" s="174" t="s">
        <v>318</v>
      </c>
      <c r="N53" s="44"/>
      <c r="O53" s="44"/>
      <c r="P53" s="44"/>
      <c r="Q53" s="44"/>
      <c r="R53" s="44"/>
      <c r="S53" s="44"/>
      <c r="T53" s="44"/>
      <c r="U53" s="44"/>
      <c r="V53" s="44"/>
      <c r="W53" s="44"/>
      <c r="X53" s="44"/>
      <c r="Y53" s="44"/>
      <c r="Z53" s="44"/>
    </row>
    <row r="54" spans="1:26" ht="15" customHeight="1" x14ac:dyDescent="0.25">
      <c r="A54" s="32"/>
      <c r="B54" s="78" t="s">
        <v>308</v>
      </c>
      <c r="C54" s="78"/>
      <c r="D54" s="121"/>
      <c r="E54" s="121"/>
      <c r="F54" s="121"/>
      <c r="G54" s="78"/>
      <c r="H54" s="175">
        <v>6.91</v>
      </c>
      <c r="I54" s="175">
        <v>8.59</v>
      </c>
      <c r="J54" s="175">
        <v>9.32</v>
      </c>
      <c r="K54" s="175">
        <v>10.09</v>
      </c>
      <c r="L54" s="267" t="s">
        <v>318</v>
      </c>
      <c r="N54" s="44"/>
      <c r="O54" s="44"/>
      <c r="P54" s="44"/>
      <c r="Q54" s="44"/>
      <c r="R54" s="44"/>
      <c r="S54" s="44"/>
      <c r="T54" s="44"/>
      <c r="U54" s="44"/>
      <c r="V54" s="44"/>
      <c r="W54" s="44"/>
      <c r="X54" s="44"/>
      <c r="Y54" s="44"/>
      <c r="Z54" s="44"/>
    </row>
    <row r="55" spans="1:26" ht="15" customHeight="1" x14ac:dyDescent="0.25">
      <c r="A55" s="42"/>
      <c r="B55" s="44"/>
      <c r="C55" s="44"/>
      <c r="D55" s="44"/>
      <c r="E55" s="44"/>
      <c r="F55" s="44"/>
      <c r="G55" s="44"/>
      <c r="K55" s="44"/>
      <c r="L55" s="44"/>
      <c r="M55" s="44"/>
      <c r="N55" s="44"/>
      <c r="O55" s="44"/>
      <c r="P55" s="44"/>
      <c r="Q55" s="44"/>
      <c r="R55" s="44"/>
      <c r="S55" s="44"/>
      <c r="T55" s="44"/>
      <c r="U55" s="44"/>
      <c r="V55" s="44"/>
      <c r="W55" s="44"/>
      <c r="X55" s="44"/>
      <c r="Y55" s="44"/>
      <c r="Z55" s="44"/>
    </row>
    <row r="56" spans="1:26" ht="15" customHeight="1" x14ac:dyDescent="0.3">
      <c r="A56" s="21" t="s">
        <v>366</v>
      </c>
      <c r="B56" s="33"/>
      <c r="C56" s="34"/>
      <c r="D56" s="34"/>
      <c r="E56" s="34"/>
      <c r="F56" s="34"/>
      <c r="G56" s="34"/>
      <c r="H56" s="34"/>
      <c r="I56" s="22"/>
      <c r="J56" s="34"/>
      <c r="K56" s="34"/>
      <c r="L56" s="62"/>
      <c r="M56" s="44"/>
      <c r="N56" s="44"/>
      <c r="O56" s="44"/>
      <c r="P56" s="44"/>
      <c r="Q56" s="44"/>
      <c r="R56" s="44"/>
      <c r="S56" s="44"/>
      <c r="T56" s="44"/>
      <c r="U56" s="44"/>
      <c r="V56" s="44"/>
      <c r="W56" s="44"/>
      <c r="X56" s="44"/>
      <c r="Y56" s="44"/>
      <c r="Z56" s="44"/>
    </row>
    <row r="57" spans="1:26" ht="15" customHeight="1" x14ac:dyDescent="0.25">
      <c r="A57" s="42"/>
      <c r="B57" s="44"/>
      <c r="C57" s="44" t="str">
        <f t="shared" ref="C57:L57" si="2">C40</f>
        <v>Annual</v>
      </c>
      <c r="D57" s="44" t="str">
        <f t="shared" si="2"/>
        <v>Old interim</v>
      </c>
      <c r="E57" s="44" t="str">
        <f t="shared" si="2"/>
        <v>New interim</v>
      </c>
      <c r="F57" s="44" t="str">
        <f t="shared" si="2"/>
        <v>Other adjustments</v>
      </c>
      <c r="G57" s="44" t="str">
        <f t="shared" si="2"/>
        <v>Adj. LTM</v>
      </c>
      <c r="H57" s="44" t="str">
        <f t="shared" si="2"/>
        <v>Fiscal Year</v>
      </c>
      <c r="I57" s="44" t="str">
        <f t="shared" si="2"/>
        <v>FY +1</v>
      </c>
      <c r="J57" s="44" t="str">
        <f t="shared" si="2"/>
        <v>FY +2</v>
      </c>
      <c r="K57" s="44" t="str">
        <f t="shared" si="2"/>
        <v>FY +3</v>
      </c>
      <c r="L57" s="122" t="str">
        <f t="shared" si="2"/>
        <v>FY +4</v>
      </c>
      <c r="M57" s="44"/>
      <c r="N57" s="44"/>
      <c r="O57" s="44"/>
      <c r="P57" s="44"/>
      <c r="Q57" s="44"/>
      <c r="R57" s="44"/>
      <c r="S57" s="44"/>
      <c r="T57" s="44"/>
      <c r="U57" s="44"/>
      <c r="V57" s="44"/>
      <c r="W57" s="44"/>
      <c r="X57" s="44"/>
      <c r="Y57" s="44"/>
      <c r="Z57" s="44"/>
    </row>
    <row r="58" spans="1:26" ht="15" customHeight="1" x14ac:dyDescent="0.25">
      <c r="A58" s="42"/>
      <c r="B58" s="44"/>
      <c r="C58" s="123">
        <f>C41</f>
        <v>45747</v>
      </c>
      <c r="D58" s="123">
        <f>D41</f>
        <v>45657</v>
      </c>
      <c r="E58" s="123">
        <f>E41</f>
        <v>46022</v>
      </c>
      <c r="F58" s="44"/>
      <c r="G58" s="123">
        <f>C13</f>
        <v>46022</v>
      </c>
      <c r="H58" s="120">
        <f>C58</f>
        <v>45747</v>
      </c>
      <c r="I58" s="120">
        <f>EDATE(C58,12)</f>
        <v>46112</v>
      </c>
      <c r="J58" s="120">
        <f>EDATE(I58,12)</f>
        <v>46477</v>
      </c>
      <c r="K58" s="123">
        <f>EDATE(J58,12)</f>
        <v>46843</v>
      </c>
      <c r="L58" s="124">
        <f>EDATE(K58,12)</f>
        <v>47208</v>
      </c>
      <c r="M58" s="44"/>
      <c r="N58" s="44"/>
      <c r="O58" s="44"/>
      <c r="P58" s="44"/>
      <c r="Q58" s="44"/>
      <c r="R58" s="44"/>
      <c r="S58" s="44"/>
      <c r="T58" s="44"/>
      <c r="U58" s="44"/>
      <c r="V58" s="44"/>
      <c r="W58" s="44"/>
      <c r="X58" s="44"/>
      <c r="Y58" s="44"/>
      <c r="Z58" s="44"/>
    </row>
    <row r="59" spans="1:26" ht="15" customHeight="1" x14ac:dyDescent="0.25">
      <c r="A59" s="42"/>
      <c r="B59" s="44" t="s">
        <v>367</v>
      </c>
      <c r="C59" s="268">
        <v>121</v>
      </c>
      <c r="D59" s="66">
        <f>$C$59/$C$42*D42</f>
        <v>90.275760418062433</v>
      </c>
      <c r="E59" s="66">
        <f>$C$59/$C$42*E42</f>
        <v>87.730269328688195</v>
      </c>
      <c r="F59" s="44"/>
      <c r="G59" s="44">
        <f>C59-D59+E59+F59</f>
        <v>118.45450891062576</v>
      </c>
      <c r="H59" s="44">
        <f>C59</f>
        <v>121</v>
      </c>
      <c r="I59" s="44">
        <f>H59/H42*I42</f>
        <v>132.07369690472999</v>
      </c>
      <c r="J59" s="44">
        <f>I59/I42*J42</f>
        <v>136.80798606458529</v>
      </c>
      <c r="K59" s="44">
        <f>J59/J42*K42</f>
        <v>143.97427308053062</v>
      </c>
      <c r="L59" s="122" t="str">
        <f>IFERROR(K59/K42*L42,"N/A")</f>
        <v>N/A</v>
      </c>
      <c r="M59" s="44"/>
      <c r="N59" s="44"/>
      <c r="O59" s="44"/>
      <c r="P59" s="44"/>
      <c r="Q59" s="44"/>
      <c r="R59" s="44"/>
      <c r="S59" s="44"/>
      <c r="T59" s="44"/>
      <c r="U59" s="44"/>
      <c r="V59" s="44"/>
      <c r="W59" s="44"/>
      <c r="X59" s="44"/>
      <c r="Y59" s="44"/>
      <c r="Z59" s="44"/>
    </row>
    <row r="60" spans="1:26" ht="15" customHeight="1" x14ac:dyDescent="0.25">
      <c r="A60" s="42"/>
      <c r="B60" s="44" t="s">
        <v>368</v>
      </c>
      <c r="C60" s="44">
        <f>C53+C59</f>
        <v>2002</v>
      </c>
      <c r="D60" s="44">
        <f>D53+D59</f>
        <v>1499.2757604180624</v>
      </c>
      <c r="E60" s="44">
        <f>E53+E59</f>
        <v>925.73026932868822</v>
      </c>
      <c r="F60" s="44"/>
      <c r="G60" s="44">
        <f>C60-D60+E60+F60</f>
        <v>1428.4545089106259</v>
      </c>
      <c r="H60" s="44">
        <f>C60</f>
        <v>2002</v>
      </c>
      <c r="I60" s="44">
        <f>I53+I59</f>
        <v>1618.07369690473</v>
      </c>
      <c r="J60" s="44">
        <f>J53+J59</f>
        <v>2348.8079860645853</v>
      </c>
      <c r="K60" s="44">
        <f>K53+K59</f>
        <v>2517.9742730805306</v>
      </c>
      <c r="L60" s="122" t="str">
        <f>IFERROR(L53+L59,"N/A")</f>
        <v>N/A</v>
      </c>
      <c r="M60" s="44"/>
      <c r="N60" s="44"/>
      <c r="O60" s="44"/>
      <c r="P60" s="44"/>
      <c r="Q60" s="44"/>
      <c r="R60" s="44"/>
      <c r="S60" s="44"/>
      <c r="T60" s="44"/>
      <c r="U60" s="44"/>
      <c r="V60" s="44"/>
      <c r="W60" s="44"/>
      <c r="X60" s="44"/>
      <c r="Y60" s="44"/>
      <c r="Z60" s="44"/>
    </row>
    <row r="61" spans="1:26" ht="15" customHeight="1" x14ac:dyDescent="0.25">
      <c r="A61" s="42"/>
      <c r="B61" s="44" t="s">
        <v>369</v>
      </c>
      <c r="C61" s="44"/>
      <c r="D61" s="44"/>
      <c r="E61" s="44"/>
      <c r="F61" s="44"/>
      <c r="G61" s="171">
        <v>334</v>
      </c>
      <c r="H61" s="44"/>
      <c r="I61" s="44"/>
      <c r="J61" s="44"/>
      <c r="K61" s="44"/>
      <c r="L61" s="122"/>
      <c r="M61" s="44"/>
      <c r="N61" s="44"/>
      <c r="O61" s="44"/>
      <c r="P61" s="44"/>
      <c r="Q61" s="44"/>
      <c r="R61" s="44"/>
      <c r="S61" s="44"/>
      <c r="T61" s="44"/>
      <c r="U61" s="44"/>
      <c r="V61" s="44"/>
      <c r="W61" s="44"/>
      <c r="X61" s="44"/>
      <c r="Y61" s="44"/>
      <c r="Z61" s="44"/>
    </row>
    <row r="62" spans="1:26" ht="15" customHeight="1" x14ac:dyDescent="0.25">
      <c r="A62" s="42"/>
      <c r="B62" s="44"/>
      <c r="C62" s="44"/>
      <c r="D62" s="44"/>
      <c r="E62" s="44"/>
      <c r="F62" s="44"/>
      <c r="G62" s="44"/>
      <c r="H62" s="44"/>
      <c r="I62" s="44"/>
      <c r="J62" s="44"/>
      <c r="K62" s="44"/>
      <c r="L62" s="122"/>
      <c r="M62" s="44"/>
      <c r="N62" s="44"/>
      <c r="O62" s="44"/>
      <c r="P62" s="44"/>
      <c r="Q62" s="44"/>
      <c r="R62" s="44"/>
      <c r="S62" s="44"/>
      <c r="T62" s="44"/>
      <c r="U62" s="44"/>
      <c r="V62" s="44"/>
      <c r="W62" s="44"/>
      <c r="X62" s="44"/>
      <c r="Y62" s="44"/>
      <c r="Z62" s="44"/>
    </row>
    <row r="63" spans="1:26" ht="15" customHeight="1" x14ac:dyDescent="0.25">
      <c r="A63" s="42"/>
      <c r="B63" s="44" t="str">
        <f>"Calendarized EBITDAR in "&amp;MAIN_CURRENCY&amp;" MM"</f>
        <v>Calendarized EBITDAR in USD MM</v>
      </c>
      <c r="C63" s="44"/>
      <c r="D63" s="44"/>
      <c r="E63" s="44"/>
      <c r="F63" s="44"/>
      <c r="G63" s="44">
        <f>G60*COMP_FX</f>
        <v>1428.4545089106259</v>
      </c>
      <c r="H63" s="44"/>
      <c r="I63" s="44">
        <f>IF(I$74&gt;0,SUMPRODUCT('1'!COMP_CALENDARIZE_PERCENTAGES,H60:J60)*I$75*'1'!COMP_FX,"N/A")</f>
        <v>2168.626928463525</v>
      </c>
      <c r="J63" s="44">
        <f>IF(J$74&gt;0,SUMPRODUCT('1'!COMP_CALENDARIZE_PERCENTAGES,I60:K60)*J$75*'1'!COMP_FX,"N/A")</f>
        <v>2476.2620379259142</v>
      </c>
      <c r="K63" s="44" t="str">
        <f>IF(K$74&gt;0,SUMPRODUCT('1'!COMP_CALENDARIZE_PERCENTAGES,J60:L60)*K$75*'1'!COMP_FX,"N/A")</f>
        <v>N/A</v>
      </c>
      <c r="L63" s="122" t="str">
        <f>IF(L$74&gt;0,SUMPRODUCT('1'!COMP_CALENDARIZE_PERCENTAGES,K60:M60)*L$75*'1'!COMP_FX,"N/A")</f>
        <v>N/A</v>
      </c>
      <c r="M63" s="44"/>
      <c r="N63" s="44"/>
      <c r="O63" s="44"/>
      <c r="P63" s="44"/>
      <c r="Q63" s="44"/>
      <c r="R63" s="44"/>
      <c r="S63" s="44"/>
      <c r="T63" s="44"/>
      <c r="U63" s="44"/>
      <c r="V63" s="44"/>
      <c r="W63" s="44"/>
      <c r="X63" s="44"/>
      <c r="Y63" s="44"/>
      <c r="Z63" s="44"/>
    </row>
    <row r="64" spans="1:26" ht="15" customHeight="1" x14ac:dyDescent="0.25">
      <c r="A64" s="42"/>
      <c r="B64" s="44" t="str">
        <f>"Operating lease liabilities in "&amp;MAIN_CURRENCY&amp;" MM"</f>
        <v>Operating lease liabilities in USD MM</v>
      </c>
      <c r="C64" s="44"/>
      <c r="D64" s="44"/>
      <c r="E64" s="44"/>
      <c r="F64" s="44"/>
      <c r="G64" s="44">
        <f>G61*COMP_FX</f>
        <v>334</v>
      </c>
      <c r="H64" s="44"/>
      <c r="I64" s="44"/>
      <c r="J64" s="44"/>
      <c r="K64" s="44"/>
      <c r="L64" s="122"/>
      <c r="M64" s="44"/>
      <c r="N64" s="44"/>
      <c r="O64" s="44"/>
      <c r="P64" s="44"/>
      <c r="Q64" s="44"/>
      <c r="R64" s="44"/>
      <c r="S64" s="44"/>
      <c r="T64" s="44"/>
      <c r="U64" s="44"/>
      <c r="V64" s="44"/>
      <c r="W64" s="44"/>
      <c r="X64" s="44"/>
      <c r="Y64" s="44"/>
      <c r="Z64" s="44"/>
    </row>
    <row r="65" spans="1:26" ht="15" customHeight="1" x14ac:dyDescent="0.25">
      <c r="A65" s="42"/>
      <c r="B65" s="44"/>
      <c r="C65" s="44"/>
      <c r="D65" s="44"/>
      <c r="E65" s="44"/>
      <c r="F65" s="44"/>
      <c r="G65" s="44"/>
      <c r="H65" s="44"/>
      <c r="I65" s="44"/>
      <c r="J65" s="44"/>
      <c r="K65" s="44"/>
      <c r="L65" s="122"/>
      <c r="M65" s="44"/>
      <c r="N65" s="44"/>
      <c r="O65" s="44"/>
      <c r="P65" s="44"/>
      <c r="Q65" s="44"/>
      <c r="R65" s="44"/>
      <c r="S65" s="44"/>
      <c r="T65" s="44"/>
      <c r="U65" s="44"/>
      <c r="V65" s="44"/>
      <c r="W65" s="44"/>
      <c r="X65" s="44"/>
      <c r="Y65" s="44"/>
      <c r="Z65" s="44"/>
    </row>
    <row r="66" spans="1:26" ht="15" customHeight="1" x14ac:dyDescent="0.25">
      <c r="A66" s="42"/>
      <c r="B66" s="44" t="str">
        <f>"EVR in "&amp;MAIN_CURRENCY&amp;" MM"</f>
        <v>EVR in USD MM</v>
      </c>
      <c r="C66" s="44"/>
      <c r="D66" s="44"/>
      <c r="E66" s="44"/>
      <c r="F66" s="44"/>
      <c r="G66" s="44">
        <f>COMP_EV+(G64*COMP_FX)</f>
        <v>51326.397761880005</v>
      </c>
      <c r="H66" s="44"/>
      <c r="I66" s="44"/>
      <c r="J66" s="44"/>
      <c r="K66" s="44"/>
      <c r="L66" s="122"/>
      <c r="M66" s="44"/>
      <c r="N66" s="44"/>
      <c r="O66" s="44"/>
      <c r="P66" s="44"/>
      <c r="Q66" s="44"/>
      <c r="R66" s="44"/>
      <c r="S66" s="44"/>
      <c r="T66" s="44"/>
      <c r="U66" s="44"/>
      <c r="V66" s="44"/>
      <c r="W66" s="44"/>
      <c r="X66" s="44"/>
      <c r="Y66" s="44"/>
      <c r="Z66" s="44"/>
    </row>
    <row r="67" spans="1:26" ht="15" customHeight="1" x14ac:dyDescent="0.25">
      <c r="A67" s="42"/>
      <c r="B67" s="44" t="s">
        <v>370</v>
      </c>
      <c r="C67" s="44"/>
      <c r="D67" s="44"/>
      <c r="E67" s="44"/>
      <c r="F67" s="44"/>
      <c r="G67" s="125">
        <f>IF(ISNUMBER(G63),EVR/G63,"N/A")</f>
        <v>35.931419195857181</v>
      </c>
      <c r="H67" s="125"/>
      <c r="I67" s="125">
        <f>IF(ISNUMBER(I63),EVR/I63,"N/A")</f>
        <v>23.667693639793001</v>
      </c>
      <c r="J67" s="125">
        <f>IF(ISNUMBER(J63),EVR/J63,"N/A")</f>
        <v>20.727369307357449</v>
      </c>
      <c r="K67" s="125" t="str">
        <f>IF(ISNUMBER(K63),EVR/K63,"N/A")</f>
        <v>N/A</v>
      </c>
      <c r="L67" s="122" t="str">
        <f>IF(ISNUMBER(L63),EVR/L63,"N/A")</f>
        <v>N/A</v>
      </c>
      <c r="M67" s="44"/>
      <c r="N67" s="44"/>
      <c r="O67" s="44"/>
      <c r="P67" s="44"/>
      <c r="Q67" s="44"/>
      <c r="R67" s="44"/>
      <c r="S67" s="44"/>
      <c r="T67" s="44"/>
      <c r="U67" s="44"/>
      <c r="V67" s="44"/>
      <c r="W67" s="44"/>
      <c r="X67" s="44"/>
      <c r="Y67" s="44"/>
      <c r="Z67" s="44"/>
    </row>
    <row r="68" spans="1:26" ht="15" customHeight="1" x14ac:dyDescent="0.25">
      <c r="A68" s="63"/>
      <c r="B68" s="126"/>
      <c r="C68" s="126"/>
      <c r="D68" s="126"/>
      <c r="E68" s="126"/>
      <c r="F68" s="126"/>
      <c r="G68" s="126"/>
      <c r="H68" s="126"/>
      <c r="I68" s="126"/>
      <c r="J68" s="126"/>
      <c r="K68" s="126"/>
      <c r="L68" s="127"/>
      <c r="M68" s="44"/>
      <c r="N68" s="44"/>
      <c r="O68" s="44"/>
      <c r="P68" s="44"/>
      <c r="Q68" s="44"/>
      <c r="R68" s="44"/>
      <c r="S68" s="44"/>
      <c r="T68" s="44"/>
      <c r="U68" s="44"/>
      <c r="V68" s="44"/>
      <c r="W68" s="44"/>
      <c r="X68" s="44"/>
      <c r="Y68" s="44"/>
      <c r="Z68" s="44"/>
    </row>
    <row r="69" spans="1:26" ht="15" customHeight="1" x14ac:dyDescent="0.25">
      <c r="A69" s="44"/>
      <c r="B69" s="44"/>
      <c r="C69" s="44"/>
      <c r="D69" s="44"/>
      <c r="E69" s="44"/>
      <c r="F69" s="44"/>
      <c r="G69" s="44"/>
      <c r="H69" s="44"/>
      <c r="I69" s="44"/>
      <c r="J69" s="44"/>
      <c r="K69" s="44"/>
      <c r="L69" s="44"/>
      <c r="M69" s="44"/>
      <c r="N69" s="44"/>
      <c r="O69" s="44"/>
      <c r="P69" s="44"/>
      <c r="Q69" s="44"/>
      <c r="R69" s="44"/>
      <c r="S69" s="44"/>
      <c r="T69" s="44"/>
      <c r="U69" s="44"/>
      <c r="V69" s="44"/>
      <c r="W69" s="44"/>
      <c r="X69" s="44"/>
      <c r="Y69" s="44"/>
      <c r="Z69" s="44"/>
    </row>
    <row r="70" spans="1:26" ht="15" customHeight="1" x14ac:dyDescent="0.25">
      <c r="A70" s="14"/>
      <c r="E70" s="21" t="s">
        <v>371</v>
      </c>
      <c r="F70" s="22"/>
      <c r="G70" s="22"/>
      <c r="H70" s="22"/>
      <c r="I70" s="22"/>
      <c r="J70" s="22"/>
      <c r="K70" s="22"/>
      <c r="L70" s="23"/>
      <c r="M70" s="44"/>
      <c r="N70" s="44"/>
      <c r="O70" s="44"/>
      <c r="P70" s="44"/>
      <c r="Q70" s="44"/>
      <c r="R70" s="44"/>
      <c r="S70" s="44"/>
      <c r="T70" s="44"/>
      <c r="U70" s="44"/>
      <c r="V70" s="44"/>
      <c r="W70" s="44"/>
      <c r="X70" s="44"/>
      <c r="Y70" s="44"/>
      <c r="Z70" s="44"/>
    </row>
    <row r="71" spans="1:26" ht="15" customHeight="1" x14ac:dyDescent="0.25">
      <c r="A71" s="14"/>
      <c r="E71" s="101"/>
      <c r="F71" s="44"/>
      <c r="G71" s="44"/>
      <c r="H71" s="44"/>
      <c r="I71" s="44"/>
      <c r="J71" s="44"/>
      <c r="K71" s="44"/>
      <c r="L71" s="102"/>
      <c r="M71" s="44"/>
      <c r="N71" s="44"/>
      <c r="O71" s="44"/>
      <c r="P71" s="44"/>
      <c r="Q71" s="44"/>
      <c r="R71" s="44"/>
      <c r="S71" s="44"/>
      <c r="T71" s="44"/>
      <c r="U71" s="44"/>
      <c r="V71" s="44"/>
      <c r="W71" s="44"/>
      <c r="X71" s="44"/>
      <c r="Y71" s="44"/>
      <c r="Z71" s="44"/>
    </row>
    <row r="72" spans="1:26" ht="15" customHeight="1" x14ac:dyDescent="0.25">
      <c r="A72" s="14"/>
      <c r="E72" s="101" t="s">
        <v>372</v>
      </c>
      <c r="F72" s="44"/>
      <c r="G72" s="120">
        <f>C11</f>
        <v>45747</v>
      </c>
      <c r="H72" s="44"/>
      <c r="I72" s="58" t="s">
        <v>373</v>
      </c>
      <c r="J72" s="58" t="s">
        <v>374</v>
      </c>
      <c r="K72" s="58" t="s">
        <v>375</v>
      </c>
      <c r="L72" s="102"/>
      <c r="M72" s="146"/>
      <c r="N72" s="44"/>
      <c r="O72" s="44"/>
      <c r="P72" s="44"/>
      <c r="Q72" s="44"/>
      <c r="R72" s="44"/>
      <c r="S72" s="44"/>
      <c r="T72" s="44"/>
      <c r="U72" s="44"/>
      <c r="V72" s="44"/>
      <c r="W72" s="44"/>
      <c r="X72" s="44"/>
      <c r="Y72" s="44"/>
      <c r="Z72" s="44"/>
    </row>
    <row r="73" spans="1:26" ht="15" customHeight="1" x14ac:dyDescent="0.25">
      <c r="A73" s="14"/>
      <c r="E73" s="101" t="s">
        <v>294</v>
      </c>
      <c r="F73" s="44"/>
      <c r="G73" s="120">
        <f>C8</f>
        <v>46022</v>
      </c>
      <c r="H73" s="44"/>
      <c r="I73" s="128">
        <f>-MIN((G73-G72)/365,0)</f>
        <v>0</v>
      </c>
      <c r="J73" s="128">
        <f>1-I73-K73</f>
        <v>0.24657534246575341</v>
      </c>
      <c r="K73" s="128">
        <f>MAX((G73-G72)/365,0)</f>
        <v>0.75342465753424659</v>
      </c>
      <c r="L73" s="102"/>
      <c r="M73" s="44"/>
      <c r="N73" s="44"/>
      <c r="O73" s="44"/>
      <c r="P73" s="44"/>
      <c r="Q73" s="44"/>
      <c r="R73" s="44"/>
      <c r="S73" s="44"/>
      <c r="T73" s="44"/>
      <c r="U73" s="44"/>
      <c r="V73" s="44"/>
      <c r="W73" s="44"/>
      <c r="X73" s="44"/>
      <c r="Y73" s="44"/>
      <c r="Z73" s="44"/>
    </row>
    <row r="74" spans="1:26" ht="15" customHeight="1" x14ac:dyDescent="0.25">
      <c r="A74" s="14"/>
      <c r="E74" s="101" t="s">
        <v>376</v>
      </c>
      <c r="F74" s="44"/>
      <c r="G74" s="44"/>
      <c r="H74" s="44"/>
      <c r="I74" s="44">
        <f>IF(SUMPRODUCT('1'!COMP_CALENDARIZE_PERCENTAGES,H75:J75)=1,1,0)</f>
        <v>1</v>
      </c>
      <c r="J74" s="44">
        <f>IF(SUMPRODUCT('1'!COMP_CALENDARIZE_PERCENTAGES,I75:K75)=1,1,0)</f>
        <v>1</v>
      </c>
      <c r="K74" s="44">
        <f>IF(SUMPRODUCT('1'!COMP_CALENDARIZE_PERCENTAGES,J75:L75)=1,1,0)</f>
        <v>0</v>
      </c>
      <c r="L74" s="102">
        <f>IF(SUMPRODUCT('1'!COMP_CALENDARIZE_PERCENTAGES,K75:M75)=1,1,0)</f>
        <v>0</v>
      </c>
      <c r="M74" s="44"/>
      <c r="N74" s="44"/>
      <c r="O74" s="44"/>
      <c r="P74" s="44"/>
      <c r="Q74" s="44"/>
      <c r="R74" s="44"/>
      <c r="S74" s="44"/>
      <c r="T74" s="44"/>
      <c r="U74" s="44"/>
      <c r="V74" s="44"/>
      <c r="W74" s="44"/>
      <c r="X74" s="44"/>
      <c r="Y74" s="44"/>
      <c r="Z74" s="44"/>
    </row>
    <row r="75" spans="1:26" ht="15" customHeight="1" x14ac:dyDescent="0.25">
      <c r="A75" s="14"/>
      <c r="E75" s="110" t="s">
        <v>377</v>
      </c>
      <c r="F75" s="78"/>
      <c r="G75" s="78"/>
      <c r="H75" s="78">
        <f>IF(OR(H42=0,H42="N/A"),0,1)</f>
        <v>1</v>
      </c>
      <c r="I75" s="78">
        <f>IF(OR(I42=0,I42="N/A"),0,1)</f>
        <v>1</v>
      </c>
      <c r="J75" s="78">
        <f>IF(OR(J42=0,J42="N/A"),0,1)</f>
        <v>1</v>
      </c>
      <c r="K75" s="78">
        <f>IF(OR(K42=0,K42="N/A"),0,1)</f>
        <v>1</v>
      </c>
      <c r="L75" s="107">
        <f>IF(OR(L42=0,L42="N/A"),0,1)</f>
        <v>0</v>
      </c>
      <c r="M75" s="44"/>
      <c r="N75" s="44"/>
      <c r="O75" s="44"/>
      <c r="P75" s="44"/>
      <c r="Q75" s="44"/>
      <c r="R75" s="44"/>
      <c r="S75" s="44"/>
      <c r="T75" s="44"/>
      <c r="U75" s="44"/>
      <c r="V75" s="44"/>
      <c r="W75" s="44"/>
      <c r="X75" s="44"/>
      <c r="Y75" s="44"/>
      <c r="Z75" s="44"/>
    </row>
    <row r="76" spans="1:26" ht="15" customHeight="1" x14ac:dyDescent="0.25">
      <c r="A76" s="14"/>
      <c r="E76" s="44"/>
      <c r="F76" s="44"/>
      <c r="G76" s="44"/>
      <c r="H76" s="44"/>
      <c r="I76" s="44"/>
      <c r="J76" s="44"/>
      <c r="K76" s="44"/>
      <c r="L76" s="44"/>
      <c r="M76" s="44"/>
      <c r="N76" s="44"/>
      <c r="O76" s="44"/>
      <c r="P76" s="44"/>
      <c r="Q76" s="44"/>
      <c r="R76" s="44"/>
      <c r="S76" s="44"/>
      <c r="T76" s="44"/>
      <c r="U76" s="44"/>
      <c r="V76" s="44"/>
      <c r="W76" s="44"/>
      <c r="X76" s="44"/>
    </row>
    <row r="77" spans="1:26" ht="15" customHeight="1" x14ac:dyDescent="0.25">
      <c r="A77" s="14" t="s">
        <v>137</v>
      </c>
    </row>
  </sheetData>
  <hyperlinks>
    <hyperlink ref="G61" r:id="rId1" display="https://felix.fe.training/filing/document.php/?hid=69a96c045f6d1" xr:uid="{E8F693A3-92F5-43A1-8D87-7739EA34FD81}"/>
    <hyperlink ref="D30" r:id="rId2" display="https://felix.fe.training/filing/document.php/?hid=69aafa32a3890" xr:uid="{FA5F5AB4-8CCC-4DDB-B3E6-A3B8AC198A5E}"/>
    <hyperlink ref="G29" r:id="rId3" display="https://felix.fe.training/filing/document.php/?hid=69a96a0e61567" xr:uid="{6D8462B1-AB1E-465A-9CA9-8D799626517D}"/>
    <hyperlink ref="G30" r:id="rId4" display="https://felix.fe.training/filing/document.php/?hid=69a96a1b88ec1" xr:uid="{9F051DAC-1FAF-4B7D-A0A8-87074B4FDD18}"/>
    <hyperlink ref="G31" r:id="rId5" display="https://felix.fe.training/filing/document.php/?hid=69aafb5a29717" xr:uid="{5FDD5748-7603-40C2-ADF2-7B397547611E}"/>
    <hyperlink ref="D35" r:id="rId6" display="https://felix.fe.training/filing/document.php/?hid=69ae868946c64" xr:uid="{3601432E-9F7F-4742-B5D1-DDACBAFEFC37}"/>
    <hyperlink ref="J29" r:id="rId7" display="https://felix.fe.training/filing/document.php/?hid=69aafbc2b7624" xr:uid="{E13AF979-254B-4B5A-8157-0124CC3C0545}"/>
    <hyperlink ref="J30" r:id="rId8" display="https://felix.fe.training/filing/document.php/?hid=69aafbd968e2c" xr:uid="{470C8556-A3A8-400B-B48E-9F31890A87A2}"/>
    <hyperlink ref="N28" r:id="rId9" display="https://felix.fe.training/filing/document.php/?hid=69aafa49c9de4" xr:uid="{6E0EF42B-71EA-4E35-90F0-674664364A62}"/>
    <hyperlink ref="O28" r:id="rId10" display="https://felix.fe.training/filing/document.php/?hid=69aafa67cfde7" xr:uid="{63E80CFE-48B4-42C8-AEE3-462692B430CB}"/>
    <hyperlink ref="N29" r:id="rId11" display="https://felix.fe.training/filing/document.php/?hid=69aafa78087e4" xr:uid="{8B68070D-7AA5-41BE-9A7F-CF4119A0A528}"/>
    <hyperlink ref="N30" r:id="rId12" display="https://felix.fe.training/filing/document.php/?hid=69aafa8a658fc" xr:uid="{267A6350-E23C-490B-8857-6CDB6A5ED601}"/>
    <hyperlink ref="N31" r:id="rId13" display="https://felix.fe.training/filing/document.php/?hid=69aafa9745280" xr:uid="{DF1C4F96-34A2-4BB5-BECB-41F2D0D04BAA}"/>
    <hyperlink ref="E42" r:id="rId14" display="https://felix.fe.training/filing/document.php/?hid=69ae871319e6b" xr:uid="{5EB29481-AC50-41B5-98AA-5CCFD6EE3258}"/>
    <hyperlink ref="D42" r:id="rId15" display="https://felix.fe.training/filing/document.php/?hid=69ae8b1a3144e" xr:uid="{33186EF0-B952-49C4-A5C0-82E4FEEC2C03}"/>
    <hyperlink ref="C42" r:id="rId16" display="https://felix.fe.training/filing/document.php/?hid=69a95d165f73b" xr:uid="{A8A8FB4F-63AF-42D5-870D-780526C37D99}"/>
    <hyperlink ref="C44" r:id="rId17" display="https://felix.fe.training/filing/document.php/?hid=69ae8b44c7cd9" xr:uid="{2CE82A7F-2406-42D5-A5DC-160C32274C2D}"/>
    <hyperlink ref="D44" r:id="rId18" display="https://felix.fe.training/filing/document.php/?hid=69aafc9aaeded" xr:uid="{E33DACC2-DBA6-4498-A8A2-9D9BE9DA814E}"/>
    <hyperlink ref="E44" r:id="rId19" display="https://felix.fe.training/filing/document.php/?hid=69aafcb1f0870" xr:uid="{367871A7-1886-47EE-8814-5B8C4CECBE67}"/>
    <hyperlink ref="C45" r:id="rId20" display="https://felix.fe.training/filing/document.php/?hid=69a96453158e9" xr:uid="{3CC872F4-14A9-403B-9CF5-FF9DFDD0CB4F}"/>
    <hyperlink ref="C48" r:id="rId21" display="https://felix.fe.training/filing/document.php/?hid=69a96225d4d6c" xr:uid="{BEF6E494-E5B6-4D91-A372-7C8EC2A49A56}"/>
    <hyperlink ref="D45" r:id="rId22" display="https://felix.fe.training/filing/document.php/?hid=67c5ba7724e5d" xr:uid="{5DF9CF82-D5B2-4DF8-9F8C-7E9BFAEE3ACA}"/>
    <hyperlink ref="D48" r:id="rId23" display="https://felix.fe.training/filing/document.php/?hid=67c5b65a62cbb" xr:uid="{5D17E07F-69C3-4AB2-A559-A0D60885C42D}"/>
    <hyperlink ref="C59" r:id="rId24" display="https://felix.fe.training/filing/document.php/?hid=69a96bf887546" xr:uid="{315CB4D7-3579-45E1-85A5-9EA37B2C52B8}"/>
  </hyperlinks>
  <printOptions gridLines="1"/>
  <pageMargins left="0.70866141732283472" right="0.70866141732283472" top="0.74803149606299213" bottom="0.74803149606299213" header="0" footer="0"/>
  <pageSetup paperSize="9" scale="38" orientation="landscape" r:id="rId25"/>
  <headerFooter>
    <oddHeader>&amp;R&amp;F  &amp;A</oddHeader>
    <oddFooter>&amp;L© 2016&amp;CPage &amp;P of</oddFooter>
  </headerFooter>
  <legacyDrawing r:id="rId26"/>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pageSetUpPr fitToPage="1"/>
  </sheetPr>
  <dimension ref="A1:Z79"/>
  <sheetViews>
    <sheetView workbookViewId="0"/>
  </sheetViews>
  <sheetFormatPr defaultColWidth="12.5703125" defaultRowHeight="15" customHeight="1" x14ac:dyDescent="0.25"/>
  <cols>
    <col min="1" max="1" width="1.140625" customWidth="1"/>
    <col min="2" max="2" width="48.5703125" customWidth="1"/>
    <col min="3" max="3" width="20.5703125" customWidth="1"/>
    <col min="4" max="4" width="21.85546875" customWidth="1"/>
    <col min="5" max="5" width="15.5703125" customWidth="1"/>
    <col min="6" max="12" width="11" customWidth="1"/>
    <col min="13" max="13" width="20.5703125" bestFit="1" customWidth="1"/>
    <col min="14" max="16" width="11" customWidth="1"/>
    <col min="17" max="26" width="12.5703125" customWidth="1"/>
  </cols>
  <sheetData>
    <row r="1" spans="1:26" ht="45" customHeight="1" x14ac:dyDescent="0.45">
      <c r="A1" s="68" t="s">
        <v>29</v>
      </c>
      <c r="B1" s="68"/>
      <c r="C1" s="68"/>
      <c r="D1" s="68"/>
      <c r="E1" s="68"/>
      <c r="F1" s="68"/>
      <c r="G1" s="68"/>
      <c r="H1" s="68"/>
      <c r="I1" s="68"/>
      <c r="J1" s="68"/>
      <c r="K1" s="68"/>
      <c r="L1" s="68"/>
      <c r="M1" s="68"/>
      <c r="N1" s="68"/>
      <c r="O1" s="68"/>
      <c r="P1" s="68"/>
      <c r="Q1" s="18"/>
      <c r="R1" s="18"/>
      <c r="S1" s="18"/>
      <c r="T1" s="18"/>
      <c r="U1" s="18"/>
      <c r="V1" s="18"/>
      <c r="W1" s="18"/>
      <c r="X1" s="18"/>
      <c r="Y1" s="18"/>
      <c r="Z1" s="18"/>
    </row>
    <row r="2" spans="1:26" ht="15" customHeight="1" x14ac:dyDescent="0.3">
      <c r="A2" s="44"/>
      <c r="B2" s="44"/>
      <c r="C2" s="19"/>
      <c r="D2" s="44"/>
      <c r="E2" s="44" t="s">
        <v>284</v>
      </c>
      <c r="F2" s="19"/>
      <c r="G2" s="20" t="s">
        <v>285</v>
      </c>
      <c r="H2" s="20"/>
      <c r="I2" s="44"/>
      <c r="J2" s="44"/>
      <c r="K2" s="44"/>
      <c r="L2" s="44"/>
      <c r="M2" s="44"/>
      <c r="N2" s="44"/>
      <c r="O2" s="19"/>
      <c r="P2" s="19"/>
      <c r="Q2" s="19"/>
      <c r="R2" s="19"/>
      <c r="S2" s="19"/>
      <c r="T2" s="19"/>
      <c r="U2" s="19"/>
      <c r="V2" s="19"/>
      <c r="W2" s="19"/>
      <c r="X2" s="19"/>
      <c r="Y2" s="19"/>
      <c r="Z2" s="19"/>
    </row>
    <row r="3" spans="1:26" ht="15" customHeight="1" x14ac:dyDescent="0.3">
      <c r="A3" s="44"/>
      <c r="B3" s="44"/>
      <c r="C3" s="19"/>
      <c r="D3" s="44"/>
      <c r="E3" s="44"/>
      <c r="F3" s="44"/>
      <c r="G3" s="19"/>
      <c r="H3" s="19"/>
      <c r="I3" s="19"/>
      <c r="J3" s="19"/>
      <c r="K3" s="19"/>
      <c r="L3" s="19"/>
      <c r="M3" s="19"/>
      <c r="N3" s="19"/>
      <c r="O3" s="19"/>
      <c r="P3" s="19"/>
      <c r="Q3" s="19"/>
      <c r="R3" s="19"/>
      <c r="S3" s="19"/>
      <c r="T3" s="19"/>
      <c r="U3" s="19"/>
      <c r="V3" s="19"/>
      <c r="W3" s="19"/>
      <c r="X3" s="19"/>
      <c r="Y3" s="19"/>
      <c r="Z3" s="19"/>
    </row>
    <row r="4" spans="1:26" ht="15" customHeight="1" x14ac:dyDescent="0.25">
      <c r="A4" s="21" t="s">
        <v>286</v>
      </c>
      <c r="B4" s="22"/>
      <c r="C4" s="23"/>
      <c r="D4" s="44"/>
      <c r="E4" s="21" t="s">
        <v>287</v>
      </c>
      <c r="F4" s="22"/>
      <c r="G4" s="22"/>
      <c r="H4" s="23"/>
      <c r="I4" s="44"/>
      <c r="J4" s="44"/>
      <c r="K4" s="44"/>
      <c r="L4" s="44"/>
      <c r="M4" s="24"/>
      <c r="N4" s="44"/>
      <c r="O4" s="44"/>
      <c r="P4" s="44"/>
      <c r="Q4" s="44"/>
      <c r="R4" s="44"/>
      <c r="S4" s="44"/>
      <c r="T4" s="44"/>
      <c r="U4" s="44"/>
      <c r="V4" s="44"/>
      <c r="W4" s="44"/>
      <c r="X4" s="44"/>
    </row>
    <row r="5" spans="1:26" ht="15" customHeight="1" x14ac:dyDescent="0.25">
      <c r="A5" s="25"/>
      <c r="B5" s="44" t="s">
        <v>288</v>
      </c>
      <c r="C5" s="26" t="s">
        <v>378</v>
      </c>
      <c r="D5" s="44"/>
      <c r="E5" s="101" t="str">
        <f>"Enterprise value calculation in "&amp;MAIN_CURRENCY&amp;" MM"</f>
        <v>Enterprise value calculation in USD MM</v>
      </c>
      <c r="F5" s="44"/>
      <c r="G5" s="44"/>
      <c r="H5" s="102"/>
      <c r="I5" s="44"/>
      <c r="J5" s="44"/>
      <c r="K5" s="44"/>
      <c r="L5" s="44"/>
      <c r="M5" s="24"/>
      <c r="N5" s="44"/>
      <c r="O5" s="44"/>
      <c r="P5" s="44"/>
      <c r="Q5" s="44"/>
      <c r="R5" s="44"/>
      <c r="S5" s="44"/>
      <c r="T5" s="44"/>
      <c r="U5" s="44"/>
      <c r="V5" s="44"/>
      <c r="W5" s="44"/>
      <c r="X5" s="44"/>
    </row>
    <row r="6" spans="1:26" ht="15" customHeight="1" x14ac:dyDescent="0.25">
      <c r="A6" s="25"/>
      <c r="B6" s="44" t="s">
        <v>290</v>
      </c>
      <c r="C6" s="26" t="s">
        <v>291</v>
      </c>
      <c r="D6" s="44"/>
      <c r="E6" s="103" t="s">
        <v>292</v>
      </c>
      <c r="F6" s="44"/>
      <c r="G6" s="44"/>
      <c r="H6" s="102">
        <f>D34*'2'!COMP_FX</f>
        <v>49095.879930720002</v>
      </c>
      <c r="I6" s="44"/>
      <c r="J6" s="44"/>
      <c r="K6" s="44"/>
      <c r="L6" s="44"/>
      <c r="M6" s="24"/>
      <c r="N6" s="44"/>
      <c r="O6" s="44"/>
      <c r="P6" s="44"/>
      <c r="Q6" s="44"/>
      <c r="R6" s="44"/>
      <c r="S6" s="44"/>
      <c r="T6" s="44"/>
      <c r="U6" s="44"/>
      <c r="V6" s="44"/>
      <c r="W6" s="44"/>
      <c r="X6" s="44"/>
    </row>
    <row r="7" spans="1:26" ht="15" customHeight="1" x14ac:dyDescent="0.25">
      <c r="A7" s="25"/>
      <c r="B7" s="44" t="s">
        <v>12</v>
      </c>
      <c r="C7" s="104">
        <f>ANALYSIS_DATE</f>
        <v>46086</v>
      </c>
      <c r="D7" s="44"/>
      <c r="E7" s="103" t="s">
        <v>293</v>
      </c>
      <c r="F7" s="44"/>
      <c r="G7" s="44"/>
      <c r="H7" s="102">
        <f>SUM(G29:G31)*'2'!COMP_FX</f>
        <v>1014.7020000000001</v>
      </c>
      <c r="I7" s="44"/>
      <c r="J7" s="44"/>
      <c r="K7" s="44"/>
      <c r="L7" s="44"/>
      <c r="M7" s="24"/>
      <c r="N7" s="44"/>
      <c r="O7" s="44"/>
      <c r="P7" s="44"/>
      <c r="Q7" s="44"/>
      <c r="R7" s="44"/>
      <c r="S7" s="44"/>
      <c r="T7" s="44"/>
      <c r="U7" s="44"/>
      <c r="V7" s="44"/>
      <c r="W7" s="44"/>
      <c r="X7" s="44"/>
    </row>
    <row r="8" spans="1:26" ht="15" customHeight="1" x14ac:dyDescent="0.25">
      <c r="A8" s="25"/>
      <c r="B8" s="44" t="s">
        <v>294</v>
      </c>
      <c r="C8" s="104">
        <f>Trading_comps!D5</f>
        <v>46022</v>
      </c>
      <c r="D8" s="44"/>
      <c r="E8" s="103" t="s">
        <v>295</v>
      </c>
      <c r="F8" s="44"/>
      <c r="G8" s="44"/>
      <c r="H8" s="102">
        <f>SUM(J29:J30)*'2'!COMP_FX</f>
        <v>3055.1419999999998</v>
      </c>
      <c r="I8" s="44"/>
      <c r="J8" s="44"/>
      <c r="K8" s="44"/>
      <c r="L8" s="44"/>
      <c r="M8" s="44"/>
      <c r="N8" s="44"/>
      <c r="O8" s="44"/>
      <c r="P8" s="44"/>
      <c r="Q8" s="44"/>
      <c r="R8" s="44"/>
      <c r="S8" s="44"/>
      <c r="T8" s="44"/>
      <c r="U8" s="44"/>
      <c r="V8" s="44"/>
      <c r="W8" s="44"/>
      <c r="X8" s="44"/>
    </row>
    <row r="9" spans="1:26" ht="15" customHeight="1" x14ac:dyDescent="0.25">
      <c r="A9" s="27"/>
      <c r="B9" s="44" t="s">
        <v>296</v>
      </c>
      <c r="C9" s="105" t="str">
        <f>MAIN_CURRENCY</f>
        <v>USD</v>
      </c>
      <c r="D9" s="44"/>
      <c r="E9" s="103" t="s">
        <v>297</v>
      </c>
      <c r="F9" s="44"/>
      <c r="G9" s="44"/>
      <c r="H9" s="102">
        <f>(SUM(J31:J35)-SUM(G32:G35))*'2'!COMP_FX</f>
        <v>2492.5929999999998</v>
      </c>
      <c r="I9" s="44"/>
      <c r="J9" s="44"/>
      <c r="K9" s="44"/>
      <c r="L9" s="44"/>
      <c r="M9" s="44"/>
      <c r="N9" s="44"/>
      <c r="O9" s="44"/>
      <c r="P9" s="44"/>
      <c r="Q9" s="44"/>
      <c r="R9" s="44"/>
      <c r="S9" s="44"/>
      <c r="T9" s="44"/>
      <c r="U9" s="44"/>
      <c r="V9" s="44"/>
      <c r="W9" s="44"/>
      <c r="X9" s="44"/>
    </row>
    <row r="10" spans="1:26" ht="15" customHeight="1" x14ac:dyDescent="0.25">
      <c r="A10" s="25"/>
      <c r="B10" s="44" t="s">
        <v>147</v>
      </c>
      <c r="C10" s="165">
        <f>Accounting!H41</f>
        <v>0.20899999999999999</v>
      </c>
      <c r="D10" s="44"/>
      <c r="E10" s="106" t="s">
        <v>298</v>
      </c>
      <c r="F10" s="78"/>
      <c r="G10" s="78"/>
      <c r="H10" s="107">
        <f>'2'!COMP_EQ_VALUE+'2'!TOTAL_DEBT-H8-H9</f>
        <v>44562.846930719999</v>
      </c>
      <c r="I10" s="44"/>
      <c r="J10" s="44"/>
      <c r="K10" s="44"/>
      <c r="L10" s="44"/>
      <c r="M10" s="44"/>
      <c r="N10" s="44"/>
      <c r="O10" s="44"/>
      <c r="P10" s="44"/>
      <c r="Q10" s="44"/>
      <c r="R10" s="44"/>
      <c r="S10" s="44"/>
      <c r="T10" s="44"/>
      <c r="U10" s="44"/>
      <c r="V10" s="44"/>
      <c r="W10" s="44"/>
      <c r="X10" s="44"/>
    </row>
    <row r="11" spans="1:26" ht="15" customHeight="1" x14ac:dyDescent="0.25">
      <c r="A11" s="25"/>
      <c r="B11" s="44" t="s">
        <v>299</v>
      </c>
      <c r="C11" s="29">
        <v>46022</v>
      </c>
      <c r="D11" s="44"/>
      <c r="E11" s="44"/>
      <c r="F11" s="44"/>
      <c r="G11" s="44"/>
      <c r="H11" s="44"/>
      <c r="I11" s="44"/>
      <c r="J11" s="44"/>
      <c r="K11" s="44"/>
      <c r="L11" s="44"/>
      <c r="M11" s="44"/>
      <c r="N11" s="44"/>
      <c r="O11" s="44"/>
      <c r="P11" s="44"/>
      <c r="Q11" s="44"/>
      <c r="R11" s="44"/>
      <c r="S11" s="44"/>
      <c r="T11" s="44"/>
      <c r="U11" s="44"/>
      <c r="V11" s="44"/>
      <c r="W11" s="44"/>
      <c r="X11" s="44"/>
    </row>
    <row r="12" spans="1:26" ht="15" customHeight="1" x14ac:dyDescent="0.25">
      <c r="A12" s="25"/>
      <c r="B12" s="44" t="s">
        <v>300</v>
      </c>
      <c r="C12" s="200" t="s">
        <v>301</v>
      </c>
      <c r="D12" s="44"/>
      <c r="E12" s="21" t="s">
        <v>302</v>
      </c>
      <c r="F12" s="22"/>
      <c r="G12" s="22"/>
      <c r="H12" s="22"/>
      <c r="I12" s="22"/>
      <c r="J12" s="22"/>
      <c r="K12" s="23"/>
      <c r="L12" s="44"/>
      <c r="M12" s="44"/>
      <c r="N12" s="44"/>
      <c r="O12" s="44"/>
      <c r="P12" s="44"/>
      <c r="Q12" s="44"/>
      <c r="R12" s="44"/>
      <c r="S12" s="44"/>
      <c r="T12" s="44"/>
      <c r="U12" s="44"/>
      <c r="V12" s="44"/>
      <c r="W12" s="44"/>
      <c r="X12" s="44"/>
    </row>
    <row r="13" spans="1:26" ht="15" customHeight="1" x14ac:dyDescent="0.25">
      <c r="A13" s="25"/>
      <c r="B13" s="44" t="s">
        <v>303</v>
      </c>
      <c r="C13" s="104">
        <f>DATE(RIGHT(C12,4),LEFT(C12,2),MID(C12,4,2))</f>
        <v>46022</v>
      </c>
      <c r="D13" s="44"/>
      <c r="E13" s="101" t="str">
        <f>"Numbers in "&amp;MAIN_CURRENCY&amp;" MM"</f>
        <v>Numbers in USD MM</v>
      </c>
      <c r="F13" s="44"/>
      <c r="G13" s="58" t="s">
        <v>267</v>
      </c>
      <c r="H13" s="108" t="str">
        <f>YEAR($C$8)+1&amp;"e"</f>
        <v>2026e</v>
      </c>
      <c r="I13" s="108" t="str">
        <f>YEAR($C$8)+2&amp;"e"</f>
        <v>2027e</v>
      </c>
      <c r="J13" s="108" t="str">
        <f>YEAR($C$8)+3&amp;"e"</f>
        <v>2028e</v>
      </c>
      <c r="K13" s="109" t="str">
        <f>YEAR($C$8)+4&amp;"e"</f>
        <v>2029e</v>
      </c>
      <c r="L13" s="44"/>
      <c r="M13" s="44"/>
      <c r="N13" s="44"/>
      <c r="O13" s="44"/>
      <c r="P13" s="44"/>
      <c r="Q13" s="44"/>
      <c r="R13" s="44"/>
      <c r="S13" s="44"/>
      <c r="T13" s="44"/>
      <c r="U13" s="44"/>
      <c r="V13" s="44"/>
      <c r="W13" s="44"/>
      <c r="X13" s="44"/>
    </row>
    <row r="14" spans="1:26" ht="15" customHeight="1" x14ac:dyDescent="0.25">
      <c r="A14" s="25"/>
      <c r="B14" s="44" t="s">
        <v>304</v>
      </c>
      <c r="C14" s="30" t="s">
        <v>305</v>
      </c>
      <c r="D14" s="44"/>
      <c r="E14" s="101" t="s">
        <v>175</v>
      </c>
      <c r="F14" s="44"/>
      <c r="G14" s="44">
        <f>G42*'2'!COMP_FX</f>
        <v>4890.5510000000004</v>
      </c>
      <c r="H14" s="58">
        <f>IF(I$76&gt;0,SUMPRODUCT('2'!COMP_CALENDARIZE_PERCENTAGES,H42:J42)*I$77*'2'!COMP_FX,"N/A")</f>
        <v>6317</v>
      </c>
      <c r="I14" s="58">
        <f>IF(J$76&gt;0,SUMPRODUCT('2'!COMP_CALENDARIZE_PERCENTAGES,I42:K42)*J$77*'2'!COMP_FX,"N/A")</f>
        <v>7834</v>
      </c>
      <c r="J14" s="58">
        <f>IF(K$76&gt;0,SUMPRODUCT('2'!COMP_CALENDARIZE_PERCENTAGES,J42:L42)*K$77*'2'!COMP_FX,"N/A")</f>
        <v>9765</v>
      </c>
      <c r="K14" s="105" t="str">
        <f>IF(L$76&gt;0,SUMPRODUCT('2'!COMP_CALENDARIZE_PERCENTAGES,K42:M42)*L$77*'2'!COMP_FX,"N/A")</f>
        <v>N/A</v>
      </c>
      <c r="L14" s="44"/>
      <c r="M14" s="44"/>
      <c r="N14" s="44"/>
      <c r="O14" s="44"/>
      <c r="P14" s="44"/>
      <c r="Q14" s="44"/>
      <c r="R14" s="44"/>
      <c r="S14" s="44"/>
      <c r="T14" s="44"/>
      <c r="U14" s="44"/>
      <c r="V14" s="44"/>
      <c r="W14" s="44"/>
      <c r="X14" s="44"/>
    </row>
    <row r="15" spans="1:26" ht="15" customHeight="1" x14ac:dyDescent="0.25">
      <c r="A15" s="25"/>
      <c r="B15" s="44" t="s">
        <v>306</v>
      </c>
      <c r="C15" s="31">
        <v>1</v>
      </c>
      <c r="D15" s="44"/>
      <c r="E15" s="101" t="s">
        <v>52</v>
      </c>
      <c r="F15" s="44"/>
      <c r="G15" s="44">
        <f>G55*'2'!COMP_FX</f>
        <v>-1006.5220000000002</v>
      </c>
      <c r="H15" s="58">
        <f>IF(I$76&gt;0,SUMPRODUCT('2'!COMP_CALENDARIZE_PERCENTAGES,H55:J55)*I$77*'2'!COMP_FX,"N/A")</f>
        <v>-1264.300506425554</v>
      </c>
      <c r="I15" s="58">
        <f>IF(J$76&gt;0,SUMPRODUCT('2'!COMP_CALENDARIZE_PERCENTAGES,I55:K55)*J$77*'2'!COMP_FX,"N/A")</f>
        <v>-1416.5050130343186</v>
      </c>
      <c r="J15" s="58">
        <f>IF(K$76&gt;0,SUMPRODUCT('2'!COMP_CALENDARIZE_PERCENTAGES,J55:L55)*K$77*'2'!COMP_FX,"N/A")</f>
        <v>-1853.2827996272813</v>
      </c>
      <c r="K15" s="105" t="str">
        <f>IF(L$76&gt;0,SUMPRODUCT('2'!COMP_CALENDARIZE_PERCENTAGES,K55:L55)*L$77*'2'!COMP_FX,"N/A")</f>
        <v>N/A</v>
      </c>
      <c r="L15" s="44"/>
      <c r="M15" s="44"/>
      <c r="N15" s="44"/>
      <c r="O15" s="44"/>
      <c r="P15" s="44"/>
      <c r="Q15" s="44"/>
      <c r="R15" s="44"/>
      <c r="S15" s="44"/>
      <c r="T15" s="44"/>
      <c r="U15" s="44"/>
      <c r="V15" s="44"/>
      <c r="W15" s="44"/>
      <c r="X15" s="44"/>
    </row>
    <row r="16" spans="1:26" ht="15" customHeight="1" x14ac:dyDescent="0.25">
      <c r="A16" s="25"/>
      <c r="B16" s="44" t="s">
        <v>307</v>
      </c>
      <c r="C16" s="31">
        <v>66.08</v>
      </c>
      <c r="D16" s="44"/>
      <c r="E16" s="110" t="s">
        <v>308</v>
      </c>
      <c r="F16" s="78"/>
      <c r="G16" s="78"/>
      <c r="H16" s="111">
        <f>IF(I$76&gt;0,SUMPRODUCT('2'!COMP_CALENDARIZE_PERCENTAGES,H56:J56)*I$77*'2'!COMP_FX,"N/A")</f>
        <v>-1.64</v>
      </c>
      <c r="I16" s="111">
        <f>IF(J$76&gt;0,SUMPRODUCT('2'!COMP_CALENDARIZE_PERCENTAGES,I56:K56)*J$77*'2'!COMP_FX,"N/A")</f>
        <v>-1.1299999999999999</v>
      </c>
      <c r="J16" s="111">
        <f>IF(K$76&gt;0,SUMPRODUCT('2'!COMP_CALENDARIZE_PERCENTAGES,J56:L56)*K$77*'2'!COMP_FX,"N/A")</f>
        <v>-0.57999999999999996</v>
      </c>
      <c r="K16" s="112" t="str">
        <f>IF(L$76&gt;0,SUMPRODUCT('2'!COMP_CALENDARIZE_PERCENTAGES,K56:M56)*L$77*'2'!COMP_FX,"N/A")</f>
        <v>N/A</v>
      </c>
      <c r="L16" s="44"/>
      <c r="M16" s="44"/>
      <c r="N16" s="44"/>
      <c r="O16" s="44"/>
      <c r="P16" s="44"/>
      <c r="Q16" s="44"/>
      <c r="R16" s="44"/>
      <c r="S16" s="44"/>
      <c r="T16" s="44"/>
      <c r="U16" s="44"/>
      <c r="V16" s="44"/>
      <c r="W16" s="44"/>
      <c r="X16" s="44"/>
    </row>
    <row r="17" spans="1:24" ht="15" customHeight="1" x14ac:dyDescent="0.25">
      <c r="A17" s="25"/>
      <c r="B17" s="44" t="s">
        <v>309</v>
      </c>
      <c r="C17" s="31">
        <v>50.1</v>
      </c>
      <c r="D17" s="44"/>
      <c r="E17" s="44"/>
      <c r="F17" s="44"/>
      <c r="G17" s="44"/>
      <c r="H17" s="44"/>
      <c r="I17" s="44"/>
      <c r="J17" s="44"/>
      <c r="K17" s="44"/>
      <c r="L17" s="44"/>
      <c r="M17" s="44"/>
      <c r="N17" s="44"/>
      <c r="O17" s="44"/>
      <c r="P17" s="44"/>
      <c r="Q17" s="44"/>
      <c r="R17" s="44"/>
      <c r="S17" s="44"/>
      <c r="T17" s="44"/>
      <c r="U17" s="44"/>
      <c r="V17" s="44"/>
      <c r="W17" s="44"/>
      <c r="X17" s="44"/>
    </row>
    <row r="18" spans="1:24" ht="15" customHeight="1" x14ac:dyDescent="0.25">
      <c r="A18" s="25"/>
      <c r="B18" s="44" t="s">
        <v>310</v>
      </c>
      <c r="C18" s="31">
        <v>150.59</v>
      </c>
      <c r="D18" s="44"/>
      <c r="E18" s="21" t="s">
        <v>311</v>
      </c>
      <c r="F18" s="22"/>
      <c r="G18" s="22"/>
      <c r="H18" s="22"/>
      <c r="I18" s="22"/>
      <c r="J18" s="22"/>
      <c r="K18" s="23"/>
      <c r="L18" s="44"/>
      <c r="M18" s="44"/>
      <c r="N18" s="44"/>
      <c r="O18" s="44"/>
      <c r="P18" s="44"/>
      <c r="Q18" s="44"/>
      <c r="R18" s="44"/>
      <c r="S18" s="44"/>
      <c r="T18" s="44"/>
      <c r="U18" s="44"/>
      <c r="V18" s="44"/>
      <c r="W18" s="44"/>
      <c r="X18" s="44"/>
    </row>
    <row r="19" spans="1:24" ht="15" customHeight="1" x14ac:dyDescent="0.25">
      <c r="A19" s="25"/>
      <c r="B19" s="44" t="s">
        <v>312</v>
      </c>
      <c r="C19" s="30" t="s">
        <v>379</v>
      </c>
      <c r="D19" s="44"/>
      <c r="E19" s="101" t="s">
        <v>314</v>
      </c>
      <c r="F19" s="44"/>
      <c r="G19" s="58" t="str">
        <f>G13</f>
        <v>LTM</v>
      </c>
      <c r="H19" s="58" t="str">
        <f>H13</f>
        <v>2026e</v>
      </c>
      <c r="I19" s="58" t="str">
        <f>I13</f>
        <v>2027e</v>
      </c>
      <c r="J19" s="58" t="str">
        <f>J13</f>
        <v>2028e</v>
      </c>
      <c r="K19" s="105" t="str">
        <f>K13</f>
        <v>2029e</v>
      </c>
      <c r="L19" s="44"/>
      <c r="M19" s="44"/>
      <c r="N19" s="44"/>
      <c r="O19" s="44"/>
      <c r="P19" s="44"/>
      <c r="Q19" s="44"/>
      <c r="R19" s="44"/>
      <c r="S19" s="44"/>
      <c r="T19" s="44"/>
      <c r="U19" s="44"/>
      <c r="V19" s="44"/>
      <c r="W19" s="44"/>
      <c r="X19" s="44"/>
    </row>
    <row r="20" spans="1:24" ht="15" customHeight="1" x14ac:dyDescent="0.25">
      <c r="A20" s="25"/>
      <c r="B20" s="44" t="s">
        <v>315</v>
      </c>
      <c r="C20" s="31">
        <v>1.4</v>
      </c>
      <c r="D20" s="44"/>
      <c r="E20" s="101" t="s">
        <v>316</v>
      </c>
      <c r="F20" s="44"/>
      <c r="G20" s="113">
        <f>IF(G14&lt;&gt;0,$H$10/G14,"N/A")</f>
        <v>9.1120298982098333</v>
      </c>
      <c r="H20" s="113">
        <f t="shared" ref="H20:J21" si="0">IF(ISNUMBER(H14),$H$10/H14,"N/A")</f>
        <v>7.0544319978977361</v>
      </c>
      <c r="I20" s="113">
        <f t="shared" si="0"/>
        <v>5.6883899579678321</v>
      </c>
      <c r="J20" s="113">
        <f t="shared" si="0"/>
        <v>4.5635275914715825</v>
      </c>
      <c r="K20" s="114" t="str">
        <f>IFERROR($H$10/K14,"N/A")</f>
        <v>N/A</v>
      </c>
      <c r="L20" s="44"/>
      <c r="M20" s="44"/>
      <c r="N20" s="44"/>
      <c r="O20" s="44"/>
      <c r="P20" s="44"/>
      <c r="Q20" s="44"/>
      <c r="R20" s="44"/>
      <c r="S20" s="44"/>
      <c r="T20" s="44"/>
      <c r="U20" s="44"/>
      <c r="V20" s="44"/>
      <c r="W20" s="44"/>
      <c r="X20" s="44"/>
    </row>
    <row r="21" spans="1:24" ht="15" customHeight="1" x14ac:dyDescent="0.25">
      <c r="A21" s="25"/>
      <c r="B21" s="44" t="s">
        <v>317</v>
      </c>
      <c r="C21" s="165">
        <v>8.2000000000000003E-2</v>
      </c>
      <c r="D21" s="44"/>
      <c r="E21" s="101" t="s">
        <v>319</v>
      </c>
      <c r="F21" s="44"/>
      <c r="G21" s="113">
        <f>IF(G15&lt;&gt;0,$H$10/G15,"N/A")</f>
        <v>-44.274091307214341</v>
      </c>
      <c r="H21" s="113">
        <f t="shared" si="0"/>
        <v>-35.24703715947139</v>
      </c>
      <c r="I21" s="113">
        <f t="shared" si="0"/>
        <v>-31.459717064651393</v>
      </c>
      <c r="J21" s="113">
        <f t="shared" si="0"/>
        <v>-24.045357211366852</v>
      </c>
      <c r="K21" s="114" t="str">
        <f>IFERROR($H$10/K15,"N/A")</f>
        <v>N/A</v>
      </c>
      <c r="L21" s="44"/>
      <c r="M21" s="44"/>
      <c r="N21" s="44"/>
      <c r="O21" s="44"/>
      <c r="P21" s="44"/>
      <c r="Q21" s="44"/>
      <c r="R21" s="44"/>
      <c r="S21" s="44"/>
      <c r="T21" s="44"/>
      <c r="U21" s="44"/>
      <c r="V21" s="44"/>
      <c r="W21" s="44"/>
      <c r="X21" s="44"/>
    </row>
    <row r="22" spans="1:24" ht="15" customHeight="1" x14ac:dyDescent="0.25">
      <c r="A22" s="25"/>
      <c r="B22" s="44" t="s">
        <v>320</v>
      </c>
      <c r="C22" s="115">
        <f>G51/G42</f>
        <v>-0.25198428561526093</v>
      </c>
      <c r="D22" s="44"/>
      <c r="E22" s="101" t="s">
        <v>321</v>
      </c>
      <c r="F22" s="44"/>
      <c r="G22" s="113"/>
      <c r="H22" s="113">
        <f>IF(ISNUMBER(H16),($C$16*'2'!COMP_FX)/H16,"N/A")</f>
        <v>-40.292682926829272</v>
      </c>
      <c r="I22" s="113">
        <f>IF(ISNUMBER(I16),($C$16*'2'!COMP_FX)/I16,"N/A")</f>
        <v>-58.477876106194692</v>
      </c>
      <c r="J22" s="113">
        <f>IF(ISNUMBER(J16),($C$16*'2'!COMP_FX)/J16,"N/A")</f>
        <v>-113.93103448275862</v>
      </c>
      <c r="K22" s="114" t="str">
        <f>IFERROR(($C$16*'2'!COMP_FX)/K16,"N/A")</f>
        <v>N/A</v>
      </c>
      <c r="L22" s="44"/>
      <c r="N22" s="44"/>
      <c r="O22" s="44"/>
      <c r="P22" s="44"/>
      <c r="Q22" s="44"/>
      <c r="R22" s="44"/>
      <c r="S22" s="44"/>
      <c r="T22" s="44"/>
      <c r="U22" s="44"/>
      <c r="V22" s="44"/>
      <c r="W22" s="44"/>
      <c r="X22" s="44"/>
    </row>
    <row r="23" spans="1:24" ht="15" customHeight="1" x14ac:dyDescent="0.25">
      <c r="A23" s="32"/>
      <c r="B23" s="78" t="s">
        <v>322</v>
      </c>
      <c r="C23" s="116">
        <f>G51*(1-'2'!COMP_MTR)/D37</f>
        <v>0.23443357039253904</v>
      </c>
      <c r="D23" s="44"/>
      <c r="E23" s="101" t="s">
        <v>323</v>
      </c>
      <c r="F23" s="44"/>
      <c r="G23" s="113">
        <f>D34/D35</f>
        <v>130.92234648192002</v>
      </c>
      <c r="H23" s="44"/>
      <c r="I23" s="44"/>
      <c r="J23" s="44"/>
      <c r="K23" s="102"/>
      <c r="L23" s="44"/>
      <c r="N23" s="44"/>
      <c r="O23" s="44"/>
      <c r="P23" s="44"/>
      <c r="Q23" s="44"/>
      <c r="R23" s="44"/>
      <c r="S23" s="44"/>
      <c r="T23" s="44"/>
      <c r="U23" s="44"/>
      <c r="V23" s="44"/>
      <c r="W23" s="44"/>
      <c r="X23" s="44"/>
    </row>
    <row r="24" spans="1:24" ht="15" customHeight="1" x14ac:dyDescent="0.25">
      <c r="A24" s="14"/>
      <c r="B24" s="44"/>
      <c r="D24" s="44"/>
      <c r="E24" s="110" t="s">
        <v>324</v>
      </c>
      <c r="F24" s="78"/>
      <c r="G24" s="117">
        <f>IF(G15=0,"N/A",H7/G15)</f>
        <v>-1.0081269957338239</v>
      </c>
      <c r="H24" s="78"/>
      <c r="I24" s="78"/>
      <c r="J24" s="78"/>
      <c r="K24" s="107"/>
      <c r="L24" s="44"/>
      <c r="N24" s="44"/>
      <c r="O24" s="44"/>
      <c r="P24" s="44"/>
      <c r="Q24" s="44"/>
      <c r="R24" s="44"/>
      <c r="S24" s="44"/>
      <c r="T24" s="44"/>
      <c r="U24" s="44"/>
      <c r="V24" s="44"/>
      <c r="W24" s="44"/>
      <c r="X24" s="44"/>
    </row>
    <row r="25" spans="1:24" ht="15" customHeight="1" x14ac:dyDescent="0.25">
      <c r="A25" s="25"/>
      <c r="B25" s="44"/>
      <c r="C25" s="44"/>
      <c r="D25" s="44"/>
      <c r="E25" s="44"/>
      <c r="F25" s="44"/>
      <c r="G25" s="44"/>
      <c r="H25" s="44"/>
      <c r="I25" s="44"/>
      <c r="J25" s="44"/>
      <c r="K25" s="44"/>
      <c r="L25" s="44"/>
      <c r="Q25" s="44"/>
      <c r="R25" s="44"/>
      <c r="S25" s="44"/>
      <c r="T25" s="44"/>
      <c r="U25" s="44"/>
      <c r="V25" s="44"/>
      <c r="W25" s="44"/>
      <c r="X25" s="44"/>
    </row>
    <row r="26" spans="1:24" ht="15" customHeight="1" x14ac:dyDescent="0.3">
      <c r="A26" s="21" t="s">
        <v>325</v>
      </c>
      <c r="B26" s="33"/>
      <c r="C26" s="34"/>
      <c r="D26" s="34"/>
      <c r="E26" s="34"/>
      <c r="F26" s="34"/>
      <c r="G26" s="34"/>
      <c r="H26" s="34"/>
      <c r="I26" s="34"/>
      <c r="J26" s="34"/>
      <c r="K26" s="34"/>
      <c r="L26" s="44"/>
      <c r="M26" s="21" t="s">
        <v>326</v>
      </c>
      <c r="N26" s="22"/>
      <c r="O26" s="22"/>
      <c r="P26" s="23"/>
      <c r="Q26" s="44"/>
      <c r="R26" s="44"/>
      <c r="S26" s="44"/>
      <c r="T26" s="44"/>
      <c r="U26" s="44"/>
      <c r="V26" s="44"/>
      <c r="W26" s="44"/>
    </row>
    <row r="27" spans="1:24" ht="15" customHeight="1" x14ac:dyDescent="0.25">
      <c r="A27" s="101"/>
      <c r="B27" s="44"/>
      <c r="C27" s="44"/>
      <c r="D27" s="44"/>
      <c r="E27" s="44"/>
      <c r="F27" s="44"/>
      <c r="H27" s="44"/>
      <c r="I27" s="44"/>
      <c r="J27" s="44"/>
      <c r="K27" s="102"/>
      <c r="L27" s="44"/>
      <c r="M27" s="101" t="s">
        <v>327</v>
      </c>
      <c r="N27" s="58" t="s">
        <v>328</v>
      </c>
      <c r="O27" s="58" t="s">
        <v>329</v>
      </c>
      <c r="P27" s="105" t="s">
        <v>330</v>
      </c>
      <c r="Q27" s="44"/>
      <c r="R27" s="44"/>
      <c r="S27" s="44"/>
      <c r="T27" s="44"/>
      <c r="U27" s="44"/>
      <c r="V27" s="44"/>
      <c r="W27" s="44"/>
    </row>
    <row r="28" spans="1:24" ht="15" customHeight="1" x14ac:dyDescent="0.25">
      <c r="A28" s="25"/>
      <c r="B28" s="16" t="s">
        <v>331</v>
      </c>
      <c r="C28" s="44"/>
      <c r="D28" s="16"/>
      <c r="E28" s="16" t="s">
        <v>332</v>
      </c>
      <c r="F28" s="35"/>
      <c r="G28" s="35"/>
      <c r="H28" s="16" t="s">
        <v>333</v>
      </c>
      <c r="I28" s="35"/>
      <c r="J28" s="35"/>
      <c r="K28" s="102"/>
      <c r="L28" s="44"/>
      <c r="M28" s="251" t="s">
        <v>334</v>
      </c>
      <c r="N28" s="268">
        <f>9178/1000</f>
        <v>9.1780000000000008</v>
      </c>
      <c r="O28" s="268">
        <v>3.64</v>
      </c>
      <c r="P28" s="102">
        <f t="shared" ref="P28:P34" si="1">N28*MAX(0,(COMP_SHAREPRICE-O28)/COMP_SHAREPRICE)</f>
        <v>8.6724322033898318</v>
      </c>
      <c r="R28" s="44"/>
      <c r="S28" s="44"/>
      <c r="T28" s="44"/>
      <c r="U28" s="44"/>
      <c r="V28" s="44"/>
      <c r="W28" s="44"/>
    </row>
    <row r="29" spans="1:24" ht="15" customHeight="1" x14ac:dyDescent="0.25">
      <c r="A29" s="25"/>
      <c r="B29" s="44" t="s">
        <v>335</v>
      </c>
      <c r="C29" s="44"/>
      <c r="D29" s="37">
        <v>46022</v>
      </c>
      <c r="E29" t="s">
        <v>336</v>
      </c>
      <c r="F29" s="44"/>
      <c r="G29" s="268">
        <v>14.7</v>
      </c>
      <c r="H29" t="s">
        <v>380</v>
      </c>
      <c r="I29" s="44"/>
      <c r="J29" s="268">
        <f>1205319/1000</f>
        <v>1205.319</v>
      </c>
      <c r="K29" s="102"/>
      <c r="M29" s="251" t="s">
        <v>250</v>
      </c>
      <c r="N29" s="268">
        <f>24524/1000</f>
        <v>24.524000000000001</v>
      </c>
      <c r="O29" s="20">
        <v>0</v>
      </c>
      <c r="P29" s="102">
        <f t="shared" si="1"/>
        <v>24.524000000000001</v>
      </c>
      <c r="R29" s="118"/>
      <c r="S29" s="75"/>
      <c r="T29" s="75"/>
      <c r="U29" s="75"/>
      <c r="V29" s="75"/>
      <c r="W29" s="75"/>
    </row>
    <row r="30" spans="1:24" ht="15" customHeight="1" x14ac:dyDescent="0.25">
      <c r="A30" s="25"/>
      <c r="B30" s="44" t="s">
        <v>245</v>
      </c>
      <c r="D30" s="268">
        <f>(661635583+47070464)/1000000</f>
        <v>708.70604700000001</v>
      </c>
      <c r="E30" t="s">
        <v>255</v>
      </c>
      <c r="F30" s="44"/>
      <c r="G30" s="268">
        <v>993.1</v>
      </c>
      <c r="H30" t="s">
        <v>337</v>
      </c>
      <c r="I30" s="44"/>
      <c r="J30" s="268">
        <f>1849823/1000</f>
        <v>1849.8230000000001</v>
      </c>
      <c r="K30" s="102"/>
      <c r="M30" s="251" t="s">
        <v>381</v>
      </c>
      <c r="N30" s="268">
        <f>32/1000</f>
        <v>3.2000000000000001E-2</v>
      </c>
      <c r="O30" s="20">
        <v>0</v>
      </c>
      <c r="P30" s="102">
        <f t="shared" si="1"/>
        <v>3.2000000000000001E-2</v>
      </c>
      <c r="R30" s="118"/>
      <c r="S30" s="75"/>
      <c r="T30" s="75"/>
      <c r="U30" s="75"/>
      <c r="V30" s="75"/>
      <c r="W30" s="75"/>
    </row>
    <row r="31" spans="1:24" ht="15" customHeight="1" x14ac:dyDescent="0.25">
      <c r="A31" s="25"/>
      <c r="B31" s="44" t="s">
        <v>338</v>
      </c>
      <c r="D31" s="20">
        <v>0</v>
      </c>
      <c r="E31" t="s">
        <v>339</v>
      </c>
      <c r="F31" s="44"/>
      <c r="G31" s="268">
        <f>6902/1000</f>
        <v>6.9020000000000001</v>
      </c>
      <c r="H31" t="s">
        <v>382</v>
      </c>
      <c r="I31" s="44"/>
      <c r="J31" s="268">
        <f>2492593/1000</f>
        <v>2492.5929999999998</v>
      </c>
      <c r="K31" s="102"/>
      <c r="M31" s="251" t="s">
        <v>276</v>
      </c>
      <c r="N31" s="268">
        <v>0</v>
      </c>
      <c r="O31" s="20">
        <v>0</v>
      </c>
      <c r="P31" s="102">
        <f t="shared" si="1"/>
        <v>0</v>
      </c>
      <c r="Q31" s="44"/>
      <c r="R31" s="118"/>
      <c r="S31" s="75"/>
      <c r="T31" s="75"/>
      <c r="U31" s="75"/>
      <c r="V31" s="75"/>
      <c r="W31" s="75"/>
    </row>
    <row r="32" spans="1:24" ht="15" customHeight="1" x14ac:dyDescent="0.25">
      <c r="A32" s="25"/>
      <c r="B32" s="44" t="s">
        <v>340</v>
      </c>
      <c r="D32" s="44">
        <f>P36</f>
        <v>34.270344203389826</v>
      </c>
      <c r="E32" t="s">
        <v>341</v>
      </c>
      <c r="F32" s="44"/>
      <c r="G32" s="20">
        <v>0</v>
      </c>
      <c r="H32" t="s">
        <v>80</v>
      </c>
      <c r="I32" s="44"/>
      <c r="J32" s="20">
        <v>0</v>
      </c>
      <c r="K32" s="102"/>
      <c r="M32" s="251" t="s">
        <v>277</v>
      </c>
      <c r="N32" s="268">
        <f>893068/1000000</f>
        <v>0.89306799999999997</v>
      </c>
      <c r="O32" s="20">
        <v>0</v>
      </c>
      <c r="P32" s="102">
        <f t="shared" si="1"/>
        <v>0.89306799999999997</v>
      </c>
      <c r="Q32" s="44"/>
      <c r="R32" s="118"/>
      <c r="S32" s="75"/>
      <c r="T32" s="75"/>
      <c r="U32" s="75"/>
      <c r="V32" s="75"/>
      <c r="W32" s="75"/>
    </row>
    <row r="33" spans="1:26" ht="15" customHeight="1" x14ac:dyDescent="0.25">
      <c r="A33" s="25"/>
      <c r="B33" s="44" t="s">
        <v>253</v>
      </c>
      <c r="D33" s="44">
        <f>SUM(D30:D32)</f>
        <v>742.97639120338988</v>
      </c>
      <c r="E33" t="s">
        <v>282</v>
      </c>
      <c r="F33" s="44"/>
      <c r="G33" s="268">
        <v>0</v>
      </c>
      <c r="H33" t="s">
        <v>80</v>
      </c>
      <c r="I33" s="44"/>
      <c r="J33" s="20">
        <v>0</v>
      </c>
      <c r="K33" s="102"/>
      <c r="L33" s="44"/>
      <c r="M33" s="251" t="s">
        <v>278</v>
      </c>
      <c r="N33" s="268">
        <f>148844/1000000</f>
        <v>0.148844</v>
      </c>
      <c r="O33" s="20">
        <v>0</v>
      </c>
      <c r="P33" s="102">
        <f t="shared" si="1"/>
        <v>0.148844</v>
      </c>
      <c r="Q33" s="44"/>
      <c r="R33" s="118"/>
      <c r="S33" s="75"/>
      <c r="T33" s="75"/>
      <c r="U33" s="75"/>
      <c r="V33" s="75"/>
      <c r="W33" s="75"/>
    </row>
    <row r="34" spans="1:26" ht="15" customHeight="1" x14ac:dyDescent="0.25">
      <c r="A34" s="25"/>
      <c r="B34" s="44" t="s">
        <v>344</v>
      </c>
      <c r="D34" s="44">
        <f>D33*'2'!COMP_SHAREPRICE</f>
        <v>49095.879930720002</v>
      </c>
      <c r="E34" t="s">
        <v>80</v>
      </c>
      <c r="F34" s="44"/>
      <c r="G34" s="20">
        <v>0</v>
      </c>
      <c r="H34" t="s">
        <v>80</v>
      </c>
      <c r="I34" s="44"/>
      <c r="J34" s="20">
        <v>0</v>
      </c>
      <c r="K34" s="102"/>
      <c r="L34" s="44"/>
      <c r="M34" s="251" t="s">
        <v>345</v>
      </c>
      <c r="N34" s="20">
        <v>0</v>
      </c>
      <c r="O34" s="20">
        <v>0</v>
      </c>
      <c r="P34" s="102">
        <f t="shared" si="1"/>
        <v>0</v>
      </c>
      <c r="Q34" s="44"/>
      <c r="R34" s="118"/>
      <c r="S34" s="75"/>
      <c r="T34" s="75"/>
      <c r="U34" s="75"/>
      <c r="V34" s="75"/>
      <c r="W34" s="75"/>
    </row>
    <row r="35" spans="1:26" ht="15" customHeight="1" x14ac:dyDescent="0.25">
      <c r="A35" s="25"/>
      <c r="B35" s="44" t="s">
        <v>346</v>
      </c>
      <c r="D35" s="268">
        <v>375</v>
      </c>
      <c r="E35" t="s">
        <v>80</v>
      </c>
      <c r="F35" s="44"/>
      <c r="G35" s="20">
        <v>0</v>
      </c>
      <c r="H35" t="s">
        <v>80</v>
      </c>
      <c r="I35" s="44"/>
      <c r="J35" s="20">
        <v>0</v>
      </c>
      <c r="K35" s="102"/>
      <c r="L35" s="44"/>
      <c r="M35" s="251" t="s">
        <v>347</v>
      </c>
      <c r="N35" s="20">
        <v>0</v>
      </c>
      <c r="O35" s="20">
        <v>0</v>
      </c>
      <c r="P35" s="102">
        <f>N35*MAX(0,(COMP_SHAREPRICE-O35)/COMP_SHAREPRICE)</f>
        <v>0</v>
      </c>
      <c r="Q35" s="44"/>
      <c r="R35" s="118"/>
      <c r="S35" s="75"/>
      <c r="T35" s="75"/>
      <c r="U35" s="75"/>
      <c r="V35" s="75"/>
      <c r="W35" s="75"/>
    </row>
    <row r="36" spans="1:26" ht="15" customHeight="1" x14ac:dyDescent="0.25">
      <c r="A36" s="25"/>
      <c r="B36" s="44" t="s">
        <v>348</v>
      </c>
      <c r="C36" s="44"/>
      <c r="D36" s="44">
        <f>G37-J37</f>
        <v>-4533.0329999999994</v>
      </c>
      <c r="F36" s="44"/>
      <c r="G36" s="44"/>
      <c r="H36" s="44"/>
      <c r="I36" s="44"/>
      <c r="J36" s="44"/>
      <c r="K36" s="102"/>
      <c r="L36" s="44"/>
      <c r="M36" s="252" t="s">
        <v>349</v>
      </c>
      <c r="N36" s="78"/>
      <c r="O36" s="78"/>
      <c r="P36" s="107">
        <f>SUM(P28:P35)</f>
        <v>34.270344203389826</v>
      </c>
      <c r="Q36" s="44"/>
      <c r="R36" s="118"/>
      <c r="S36" s="75"/>
      <c r="T36" s="75"/>
      <c r="U36" s="75"/>
      <c r="V36" s="75"/>
      <c r="W36" s="75"/>
    </row>
    <row r="37" spans="1:26" ht="15" customHeight="1" x14ac:dyDescent="0.25">
      <c r="A37" s="78"/>
      <c r="B37" s="78" t="s">
        <v>105</v>
      </c>
      <c r="C37" s="78"/>
      <c r="D37" s="78">
        <f>D35+D36</f>
        <v>-4158.0329999999994</v>
      </c>
      <c r="E37" s="78" t="s">
        <v>350</v>
      </c>
      <c r="F37" s="78"/>
      <c r="G37" s="78">
        <f>SUM(G29:G35)</f>
        <v>1014.7020000000001</v>
      </c>
      <c r="H37" s="78" t="s">
        <v>351</v>
      </c>
      <c r="I37" s="78"/>
      <c r="J37" s="78">
        <f>SUM(J29:J35)</f>
        <v>5547.7349999999997</v>
      </c>
      <c r="K37" s="107"/>
      <c r="L37" s="44"/>
      <c r="M37" s="44"/>
      <c r="N37" s="44"/>
      <c r="O37" s="44"/>
      <c r="P37" s="44"/>
      <c r="Q37" s="44"/>
      <c r="R37" s="44"/>
      <c r="S37" s="44"/>
      <c r="T37" s="75"/>
      <c r="U37" s="75"/>
      <c r="V37" s="75"/>
      <c r="W37" s="75"/>
      <c r="X37" s="75"/>
    </row>
    <row r="38" spans="1:26" ht="15" customHeight="1" x14ac:dyDescent="0.25">
      <c r="A38" s="32"/>
      <c r="B38" s="44"/>
      <c r="C38" s="44"/>
      <c r="D38" s="44"/>
      <c r="E38" s="44"/>
      <c r="F38" s="44"/>
      <c r="G38" s="44"/>
      <c r="H38" s="44"/>
      <c r="I38" s="44"/>
      <c r="J38" s="44"/>
      <c r="K38" s="44"/>
      <c r="L38" s="44"/>
      <c r="O38" s="44"/>
      <c r="P38" s="44"/>
      <c r="Q38" s="44"/>
      <c r="R38" s="44"/>
      <c r="S38" s="44"/>
      <c r="T38" s="44"/>
      <c r="U38" s="44"/>
      <c r="V38" s="44"/>
      <c r="W38" s="44"/>
      <c r="X38" s="44"/>
    </row>
    <row r="39" spans="1:26" ht="15" customHeight="1" x14ac:dyDescent="0.3">
      <c r="A39" s="21" t="s">
        <v>352</v>
      </c>
      <c r="B39" s="33"/>
      <c r="C39" s="34"/>
      <c r="D39" s="34"/>
      <c r="E39" s="34"/>
      <c r="F39" s="34"/>
      <c r="G39" s="34"/>
      <c r="H39" s="34"/>
      <c r="I39" s="22" t="s">
        <v>353</v>
      </c>
      <c r="J39" s="34"/>
      <c r="K39" s="34"/>
      <c r="L39" s="34"/>
      <c r="O39" s="44"/>
      <c r="P39" s="44"/>
      <c r="Q39" s="44"/>
      <c r="R39" s="44"/>
      <c r="S39" s="44"/>
      <c r="T39" s="44"/>
      <c r="U39" s="44"/>
      <c r="V39" s="44"/>
      <c r="W39" s="44"/>
      <c r="X39" s="44"/>
    </row>
    <row r="40" spans="1:26" ht="15.75" customHeight="1" x14ac:dyDescent="0.25">
      <c r="A40" s="25"/>
      <c r="B40" s="44"/>
      <c r="C40" s="58" t="s">
        <v>354</v>
      </c>
      <c r="D40" s="119" t="s">
        <v>355</v>
      </c>
      <c r="E40" s="119" t="s">
        <v>356</v>
      </c>
      <c r="F40" s="44" t="s">
        <v>338</v>
      </c>
      <c r="G40" s="58" t="s">
        <v>357</v>
      </c>
      <c r="H40" s="58" t="s">
        <v>358</v>
      </c>
      <c r="I40" s="58" t="s">
        <v>359</v>
      </c>
      <c r="J40" s="58" t="s">
        <v>360</v>
      </c>
      <c r="K40" s="58" t="s">
        <v>361</v>
      </c>
      <c r="L40" s="105" t="s">
        <v>362</v>
      </c>
      <c r="O40" s="44"/>
      <c r="P40" s="44"/>
      <c r="Q40" s="44"/>
      <c r="S40" s="44"/>
      <c r="T40" s="44"/>
      <c r="U40" s="44"/>
      <c r="V40" s="44"/>
      <c r="W40" s="44"/>
      <c r="X40" s="44"/>
    </row>
    <row r="41" spans="1:26" ht="15" customHeight="1" x14ac:dyDescent="0.25">
      <c r="A41" s="25"/>
      <c r="B41" s="44" t="s">
        <v>233</v>
      </c>
      <c r="C41" s="250">
        <f>C11</f>
        <v>46022</v>
      </c>
      <c r="D41" s="250"/>
      <c r="E41" s="250"/>
      <c r="F41" s="44"/>
      <c r="G41" s="120">
        <f>C13</f>
        <v>46022</v>
      </c>
      <c r="H41" s="120">
        <f>C41</f>
        <v>46022</v>
      </c>
      <c r="I41" s="120">
        <f>EDATE(C41,12)</f>
        <v>46387</v>
      </c>
      <c r="J41" s="120">
        <f>EDATE(I41,12)</f>
        <v>46752</v>
      </c>
      <c r="K41" s="120">
        <f>EDATE(J41,12)</f>
        <v>47118</v>
      </c>
      <c r="L41" s="285">
        <f>EDATE(K41,12)</f>
        <v>47483</v>
      </c>
      <c r="O41" s="44"/>
      <c r="P41" s="44"/>
      <c r="Q41" s="44"/>
      <c r="R41" s="44"/>
      <c r="S41" s="44"/>
      <c r="T41" s="44"/>
      <c r="U41" s="44"/>
      <c r="V41" s="44"/>
      <c r="W41" s="44"/>
      <c r="X41" s="44"/>
      <c r="Y41" s="44"/>
      <c r="Z41" s="44"/>
    </row>
    <row r="42" spans="1:26" ht="15" customHeight="1" x14ac:dyDescent="0.25">
      <c r="A42" s="25"/>
      <c r="B42" s="44" t="s">
        <v>363</v>
      </c>
      <c r="C42" s="268">
        <f>4890551/1000</f>
        <v>4890.5510000000004</v>
      </c>
      <c r="D42" s="20"/>
      <c r="E42" s="20"/>
      <c r="F42" s="20"/>
      <c r="G42" s="44">
        <f>C42-D42+E42+F42</f>
        <v>4890.5510000000004</v>
      </c>
      <c r="H42" s="44">
        <f>C42</f>
        <v>4890.5510000000004</v>
      </c>
      <c r="I42" s="20">
        <v>6317</v>
      </c>
      <c r="J42" s="20">
        <v>7834</v>
      </c>
      <c r="K42" s="20">
        <v>9765</v>
      </c>
      <c r="L42" s="172" t="s">
        <v>318</v>
      </c>
      <c r="N42" s="44"/>
      <c r="O42" s="44"/>
      <c r="P42" s="44"/>
      <c r="Q42" s="44"/>
      <c r="R42" s="44"/>
      <c r="S42" s="44"/>
      <c r="T42" s="44"/>
      <c r="U42" s="44"/>
      <c r="V42" s="44"/>
      <c r="W42" s="44"/>
      <c r="X42" s="44"/>
      <c r="Y42" s="44"/>
      <c r="Z42" s="44"/>
    </row>
    <row r="43" spans="1:26" ht="15" customHeight="1" x14ac:dyDescent="0.25">
      <c r="A43" s="25"/>
      <c r="B43" s="44" t="s">
        <v>364</v>
      </c>
      <c r="C43" s="20"/>
      <c r="D43" s="20"/>
      <c r="E43" s="20"/>
      <c r="F43" s="20"/>
      <c r="G43" s="44"/>
      <c r="H43" s="41"/>
      <c r="I43" s="44"/>
      <c r="J43" s="49"/>
      <c r="K43" s="49"/>
      <c r="L43" s="40"/>
      <c r="N43" s="44"/>
      <c r="O43" s="44"/>
      <c r="P43" s="44"/>
      <c r="Q43" s="44"/>
      <c r="R43" s="44"/>
      <c r="S43" s="44"/>
      <c r="T43" s="44"/>
      <c r="U43" s="44"/>
      <c r="V43" s="44"/>
      <c r="W43" s="44"/>
      <c r="X43" s="44"/>
      <c r="Y43" s="44"/>
      <c r="Z43" s="44"/>
    </row>
    <row r="44" spans="1:26" ht="15" customHeight="1" x14ac:dyDescent="0.25">
      <c r="A44" s="25"/>
      <c r="B44" s="44" t="s">
        <v>48</v>
      </c>
      <c r="C44" s="268">
        <f>-1232342/1000</f>
        <v>-1232.3420000000001</v>
      </c>
      <c r="D44" s="20"/>
      <c r="E44" s="20"/>
      <c r="F44" s="20"/>
      <c r="G44" s="44"/>
      <c r="H44" s="44"/>
      <c r="I44" s="44"/>
      <c r="J44" s="49"/>
      <c r="K44" s="49"/>
      <c r="L44" s="105"/>
      <c r="N44" s="44"/>
      <c r="O44" s="44"/>
      <c r="P44" s="44"/>
      <c r="Q44" s="44"/>
      <c r="R44" s="44"/>
      <c r="S44" s="44"/>
      <c r="T44" s="44"/>
      <c r="U44" s="44"/>
      <c r="V44" s="44"/>
      <c r="W44" s="44"/>
      <c r="X44" s="44"/>
      <c r="Y44" s="44"/>
      <c r="Z44" s="44"/>
    </row>
    <row r="45" spans="1:26" ht="15" customHeight="1" x14ac:dyDescent="0.25">
      <c r="A45" s="25"/>
      <c r="B45" t="s">
        <v>268</v>
      </c>
      <c r="C45" s="20"/>
      <c r="D45" s="20"/>
      <c r="E45" s="20"/>
      <c r="F45" s="20"/>
      <c r="G45" s="44"/>
      <c r="H45" s="44"/>
      <c r="I45" s="44"/>
      <c r="J45" s="49"/>
      <c r="K45" s="49"/>
      <c r="L45" s="105"/>
      <c r="N45" s="44"/>
      <c r="O45" s="44"/>
      <c r="P45" s="44"/>
      <c r="Q45" s="44"/>
      <c r="R45" s="44"/>
      <c r="S45" s="44"/>
      <c r="T45" s="44"/>
      <c r="U45" s="44"/>
      <c r="V45" s="44"/>
      <c r="W45" s="44"/>
      <c r="X45" s="44"/>
      <c r="Y45" s="44"/>
      <c r="Z45" s="44"/>
    </row>
    <row r="46" spans="1:26" ht="15" customHeight="1" x14ac:dyDescent="0.25">
      <c r="A46" s="25"/>
      <c r="B46" t="s">
        <v>268</v>
      </c>
      <c r="C46" s="20"/>
      <c r="D46" s="20"/>
      <c r="E46" s="20"/>
      <c r="F46" s="20"/>
      <c r="G46" s="44"/>
      <c r="H46" s="44"/>
      <c r="I46" s="44"/>
      <c r="J46" s="49"/>
      <c r="K46" s="49"/>
      <c r="L46" s="105"/>
      <c r="N46" s="44"/>
      <c r="O46" s="44"/>
      <c r="P46" s="44"/>
      <c r="Q46" s="44"/>
      <c r="R46" s="44"/>
      <c r="S46" s="44"/>
      <c r="T46" s="44"/>
      <c r="U46" s="44"/>
      <c r="V46" s="44"/>
      <c r="W46" s="44"/>
      <c r="X46" s="44"/>
      <c r="Y46" s="44"/>
      <c r="Z46" s="44"/>
    </row>
    <row r="47" spans="1:26" ht="15" customHeight="1" x14ac:dyDescent="0.25">
      <c r="A47" s="25"/>
      <c r="B47" t="s">
        <v>268</v>
      </c>
      <c r="C47" s="20"/>
      <c r="D47" s="20"/>
      <c r="E47" s="20"/>
      <c r="F47" s="20"/>
      <c r="G47" s="44"/>
      <c r="H47" s="44"/>
      <c r="I47" s="44"/>
      <c r="J47" s="49"/>
      <c r="K47" s="49"/>
      <c r="L47" s="105"/>
      <c r="N47" s="44"/>
      <c r="O47" s="44"/>
      <c r="P47" s="44"/>
      <c r="Q47" s="44"/>
      <c r="R47" s="44"/>
      <c r="S47" s="44"/>
      <c r="T47" s="44"/>
      <c r="U47" s="44"/>
      <c r="V47" s="44"/>
      <c r="W47" s="44"/>
      <c r="X47" s="44"/>
      <c r="Y47" s="44"/>
      <c r="Z47" s="44"/>
    </row>
    <row r="48" spans="1:26" ht="15" customHeight="1" x14ac:dyDescent="0.25">
      <c r="A48" s="25">
        <v>1</v>
      </c>
      <c r="B48" t="s">
        <v>51</v>
      </c>
      <c r="C48" s="20"/>
      <c r="D48" s="20"/>
      <c r="E48" s="20"/>
      <c r="F48" s="20"/>
      <c r="G48" s="44"/>
      <c r="H48" s="44"/>
      <c r="I48" s="44"/>
      <c r="J48" s="49"/>
      <c r="K48" s="49"/>
      <c r="L48" s="105"/>
      <c r="N48" s="44"/>
      <c r="O48" s="44"/>
      <c r="P48" s="44"/>
      <c r="Q48" s="44"/>
      <c r="R48" s="44"/>
      <c r="S48" s="44"/>
      <c r="T48" s="44"/>
      <c r="U48" s="44"/>
      <c r="V48" s="44"/>
      <c r="W48" s="44"/>
      <c r="X48" s="44"/>
      <c r="Y48" s="44"/>
      <c r="Z48" s="44"/>
    </row>
    <row r="49" spans="1:26" ht="15" customHeight="1" x14ac:dyDescent="0.25">
      <c r="A49" s="25"/>
      <c r="B49" t="s">
        <v>51</v>
      </c>
      <c r="C49" s="20"/>
      <c r="D49" s="20"/>
      <c r="E49" s="20"/>
      <c r="F49" s="20"/>
      <c r="G49" s="44"/>
      <c r="H49" s="44"/>
      <c r="I49" s="44"/>
      <c r="J49" s="49"/>
      <c r="K49" s="49"/>
      <c r="L49" s="105"/>
      <c r="N49" s="44"/>
      <c r="O49" s="44"/>
      <c r="P49" s="44"/>
      <c r="Q49" s="44"/>
      <c r="R49" s="44"/>
      <c r="S49" s="44"/>
      <c r="T49" s="44"/>
      <c r="U49" s="44"/>
      <c r="V49" s="44"/>
      <c r="W49" s="44"/>
      <c r="X49" s="44"/>
      <c r="Y49" s="44"/>
      <c r="Z49" s="44"/>
    </row>
    <row r="50" spans="1:26" ht="15" customHeight="1" x14ac:dyDescent="0.25">
      <c r="A50" s="25"/>
      <c r="B50" t="s">
        <v>51</v>
      </c>
      <c r="C50" s="20"/>
      <c r="D50" s="20"/>
      <c r="E50" s="20"/>
      <c r="F50" s="20"/>
      <c r="G50" s="44"/>
      <c r="H50" s="44"/>
      <c r="J50" s="50"/>
      <c r="K50" s="49"/>
      <c r="L50" s="105"/>
      <c r="N50" s="44"/>
      <c r="O50" s="44"/>
      <c r="P50" s="44"/>
      <c r="Q50" s="44"/>
      <c r="R50" s="44"/>
      <c r="S50" s="44"/>
      <c r="T50" s="44"/>
      <c r="U50" s="44"/>
      <c r="V50" s="44"/>
      <c r="W50" s="44"/>
      <c r="X50" s="44"/>
      <c r="Y50" s="44"/>
      <c r="Z50" s="44"/>
    </row>
    <row r="51" spans="1:26" ht="15" customHeight="1" x14ac:dyDescent="0.25">
      <c r="A51" s="25"/>
      <c r="B51" s="44" t="s">
        <v>49</v>
      </c>
      <c r="C51" s="44">
        <f>SUM(C44:C50)</f>
        <v>-1232.3420000000001</v>
      </c>
      <c r="D51" s="44">
        <f t="shared" ref="D51:E51" si="2">SUM(D44:D50)</f>
        <v>0</v>
      </c>
      <c r="E51" s="44">
        <f t="shared" si="2"/>
        <v>0</v>
      </c>
      <c r="F51" s="44">
        <f>SUM(F44:F50)</f>
        <v>0</v>
      </c>
      <c r="G51" s="44">
        <f>C51-D51+E51+F51</f>
        <v>-1232.3420000000001</v>
      </c>
      <c r="H51" s="44">
        <f>C51</f>
        <v>-1232.3420000000001</v>
      </c>
      <c r="L51" s="105"/>
      <c r="O51" s="44"/>
      <c r="P51" s="44"/>
      <c r="Q51" s="44"/>
      <c r="R51" s="44"/>
      <c r="S51" s="44"/>
      <c r="T51" s="44"/>
      <c r="U51" s="44"/>
      <c r="V51" s="44"/>
      <c r="W51" s="44"/>
      <c r="X51" s="44"/>
      <c r="Y51" s="44"/>
      <c r="Z51" s="44"/>
    </row>
    <row r="52" spans="1:26" ht="15" customHeight="1" x14ac:dyDescent="0.25">
      <c r="A52" s="25"/>
      <c r="B52" s="44" t="s">
        <v>165</v>
      </c>
      <c r="C52" s="268">
        <f>225820/1000</f>
        <v>225.82</v>
      </c>
      <c r="D52" s="20"/>
      <c r="E52" s="20"/>
      <c r="F52" s="20">
        <v>0</v>
      </c>
      <c r="G52" s="44">
        <f>C52-D52+E52+F52</f>
        <v>225.82</v>
      </c>
      <c r="H52" s="44">
        <f>C52</f>
        <v>225.82</v>
      </c>
      <c r="L52" s="105"/>
      <c r="O52" s="44"/>
      <c r="P52" s="44"/>
      <c r="Q52" s="44"/>
      <c r="R52" s="44"/>
      <c r="S52" s="44"/>
      <c r="T52" s="44"/>
      <c r="U52" s="44"/>
      <c r="V52" s="44"/>
      <c r="W52" s="44"/>
      <c r="X52" s="44"/>
      <c r="Y52" s="44"/>
      <c r="Z52" s="44"/>
    </row>
    <row r="53" spans="1:26" ht="15" customHeight="1" x14ac:dyDescent="0.25">
      <c r="A53" s="25"/>
      <c r="B53" s="44" t="s">
        <v>383</v>
      </c>
      <c r="C53" s="79"/>
      <c r="G53" s="44"/>
      <c r="H53" s="44"/>
      <c r="I53" s="53">
        <v>194</v>
      </c>
      <c r="J53" s="53">
        <v>392</v>
      </c>
      <c r="K53" s="53">
        <v>401</v>
      </c>
      <c r="L53" s="172" t="s">
        <v>318</v>
      </c>
      <c r="O53" s="44"/>
      <c r="P53" s="44"/>
      <c r="Q53" s="44"/>
      <c r="R53" s="44"/>
      <c r="S53" s="44"/>
      <c r="T53" s="44"/>
      <c r="U53" s="44"/>
      <c r="V53" s="44"/>
      <c r="W53" s="44"/>
      <c r="X53" s="44"/>
      <c r="Y53" s="44"/>
      <c r="Z53" s="44"/>
    </row>
    <row r="54" spans="1:26" ht="15" customHeight="1" x14ac:dyDescent="0.25">
      <c r="A54" s="25"/>
      <c r="B54" s="44" t="s">
        <v>172</v>
      </c>
      <c r="C54" s="79"/>
      <c r="G54" s="44"/>
      <c r="H54" s="268">
        <v>1129</v>
      </c>
      <c r="I54">
        <f>H54*I42/H42</f>
        <v>1458.300506425554</v>
      </c>
      <c r="J54">
        <f t="shared" ref="J54:K54" si="3">I54*J42/I42</f>
        <v>1808.5050130343186</v>
      </c>
      <c r="K54">
        <f t="shared" si="3"/>
        <v>2254.2827996272813</v>
      </c>
      <c r="L54" s="172" t="s">
        <v>318</v>
      </c>
      <c r="O54" s="44"/>
      <c r="P54" s="44"/>
      <c r="Q54" s="44"/>
      <c r="R54" s="44"/>
      <c r="S54" s="44"/>
      <c r="T54" s="44"/>
      <c r="U54" s="44"/>
      <c r="V54" s="44"/>
      <c r="W54" s="44"/>
      <c r="X54" s="44"/>
      <c r="Y54" s="44"/>
      <c r="Z54" s="44"/>
    </row>
    <row r="55" spans="1:26" ht="15" customHeight="1" x14ac:dyDescent="0.25">
      <c r="A55" s="25"/>
      <c r="B55" s="44" t="s">
        <v>52</v>
      </c>
      <c r="C55" s="44">
        <f>C51+C52</f>
        <v>-1006.5220000000002</v>
      </c>
      <c r="D55" s="44">
        <f t="shared" ref="D55:E55" si="4">D51+D52</f>
        <v>0</v>
      </c>
      <c r="E55" s="44">
        <f t="shared" si="4"/>
        <v>0</v>
      </c>
      <c r="F55" s="44">
        <f>SUM(F52)</f>
        <v>0</v>
      </c>
      <c r="G55" s="44">
        <f>C55-D55+E55+F55</f>
        <v>-1006.5220000000002</v>
      </c>
      <c r="H55" s="44">
        <f>C55</f>
        <v>-1006.5220000000002</v>
      </c>
      <c r="I55">
        <f>I53-I54</f>
        <v>-1264.300506425554</v>
      </c>
      <c r="J55">
        <f t="shared" ref="J55:K55" si="5">J53-J54</f>
        <v>-1416.5050130343186</v>
      </c>
      <c r="K55">
        <f t="shared" si="5"/>
        <v>-1853.2827996272813</v>
      </c>
      <c r="L55" s="172" t="s">
        <v>318</v>
      </c>
      <c r="O55" s="44"/>
      <c r="P55" s="44"/>
      <c r="Q55" s="44"/>
      <c r="R55" s="44"/>
      <c r="S55" s="44"/>
      <c r="T55" s="44"/>
      <c r="U55" s="44"/>
      <c r="V55" s="44"/>
      <c r="W55" s="44"/>
      <c r="X55" s="44"/>
      <c r="Y55" s="44"/>
      <c r="Z55" s="44"/>
    </row>
    <row r="56" spans="1:26" ht="15" customHeight="1" x14ac:dyDescent="0.25">
      <c r="A56" s="32"/>
      <c r="B56" s="78" t="s">
        <v>308</v>
      </c>
      <c r="C56" s="78"/>
      <c r="D56" s="121"/>
      <c r="E56" s="121"/>
      <c r="F56" s="121"/>
      <c r="G56" s="78"/>
      <c r="H56" s="175">
        <v>-1.54</v>
      </c>
      <c r="I56" s="175">
        <v>-1.64</v>
      </c>
      <c r="J56" s="175">
        <v>-1.1299999999999999</v>
      </c>
      <c r="K56" s="175">
        <v>-0.57999999999999996</v>
      </c>
      <c r="L56" s="176" t="s">
        <v>318</v>
      </c>
      <c r="N56" s="44"/>
      <c r="O56" s="44"/>
      <c r="P56" s="44"/>
      <c r="Q56" s="44"/>
      <c r="R56" s="44"/>
      <c r="S56" s="44"/>
      <c r="T56" s="44"/>
      <c r="U56" s="44"/>
      <c r="V56" s="44"/>
      <c r="W56" s="44"/>
      <c r="X56" s="44"/>
      <c r="Y56" s="44"/>
      <c r="Z56" s="44"/>
    </row>
    <row r="57" spans="1:26" ht="15" customHeight="1" x14ac:dyDescent="0.25">
      <c r="A57" s="42"/>
      <c r="B57" s="44"/>
      <c r="C57" s="44"/>
      <c r="D57" s="44"/>
      <c r="E57" s="44"/>
      <c r="F57" s="44"/>
      <c r="G57" s="44"/>
      <c r="H57" s="44"/>
      <c r="I57" s="44"/>
      <c r="J57" s="44"/>
      <c r="K57" s="44"/>
      <c r="L57" s="44"/>
      <c r="N57" s="44"/>
      <c r="O57" s="44"/>
      <c r="P57" s="44"/>
      <c r="Q57" s="44"/>
      <c r="R57" s="44"/>
      <c r="S57" s="44"/>
      <c r="T57" s="44"/>
      <c r="U57" s="44"/>
      <c r="V57" s="44"/>
      <c r="W57" s="44"/>
      <c r="X57" s="44"/>
      <c r="Y57" s="44"/>
      <c r="Z57" s="44"/>
    </row>
    <row r="58" spans="1:26" ht="15" customHeight="1" x14ac:dyDescent="0.3">
      <c r="A58" s="21" t="s">
        <v>366</v>
      </c>
      <c r="B58" s="33"/>
      <c r="C58" s="34"/>
      <c r="D58" s="34"/>
      <c r="E58" s="34"/>
      <c r="F58" s="34"/>
      <c r="G58" s="34"/>
      <c r="H58" s="34"/>
      <c r="I58" s="22"/>
      <c r="J58" s="34"/>
      <c r="K58" s="34"/>
      <c r="L58" s="62"/>
      <c r="M58" s="44"/>
      <c r="N58" s="44"/>
      <c r="O58" s="44"/>
      <c r="P58" s="44"/>
      <c r="Q58" s="44"/>
      <c r="R58" s="44"/>
      <c r="S58" s="44"/>
      <c r="T58" s="44"/>
      <c r="U58" s="44"/>
      <c r="V58" s="44"/>
      <c r="W58" s="44"/>
      <c r="X58" s="44"/>
      <c r="Y58" s="44"/>
      <c r="Z58" s="44"/>
    </row>
    <row r="59" spans="1:26" ht="15" customHeight="1" x14ac:dyDescent="0.25">
      <c r="A59" s="42"/>
      <c r="B59" s="44"/>
      <c r="C59" s="44" t="str">
        <f t="shared" ref="C59:L59" si="6">C40</f>
        <v>Annual</v>
      </c>
      <c r="D59" s="44" t="str">
        <f t="shared" si="6"/>
        <v>Old interim</v>
      </c>
      <c r="E59" s="44" t="str">
        <f t="shared" si="6"/>
        <v>New interim</v>
      </c>
      <c r="F59" s="44" t="str">
        <f t="shared" si="6"/>
        <v>Other adjustments</v>
      </c>
      <c r="G59" s="44" t="str">
        <f t="shared" si="6"/>
        <v>Adj. LTM</v>
      </c>
      <c r="H59" s="44" t="str">
        <f t="shared" si="6"/>
        <v>Fiscal Year</v>
      </c>
      <c r="I59" s="44" t="str">
        <f t="shared" si="6"/>
        <v>FY +1</v>
      </c>
      <c r="J59" s="44" t="str">
        <f t="shared" si="6"/>
        <v>FY +2</v>
      </c>
      <c r="K59" s="44" t="str">
        <f t="shared" si="6"/>
        <v>FY +3</v>
      </c>
      <c r="L59" s="122" t="str">
        <f t="shared" si="6"/>
        <v>FY +4</v>
      </c>
      <c r="M59" s="44"/>
      <c r="N59" s="44"/>
      <c r="O59" s="44"/>
      <c r="P59" s="44"/>
      <c r="Q59" s="44"/>
      <c r="R59" s="44"/>
      <c r="S59" s="44"/>
      <c r="T59" s="44"/>
      <c r="U59" s="44"/>
      <c r="V59" s="44"/>
      <c r="W59" s="44"/>
      <c r="X59" s="44"/>
      <c r="Y59" s="44"/>
      <c r="Z59" s="44"/>
    </row>
    <row r="60" spans="1:26" ht="15" customHeight="1" x14ac:dyDescent="0.25">
      <c r="A60" s="42"/>
      <c r="B60" s="44"/>
      <c r="C60" s="123">
        <f>C41</f>
        <v>46022</v>
      </c>
      <c r="D60" s="123">
        <f>D41</f>
        <v>0</v>
      </c>
      <c r="E60" s="123">
        <f>E41</f>
        <v>0</v>
      </c>
      <c r="F60" s="44"/>
      <c r="G60" s="123">
        <f>C13</f>
        <v>46022</v>
      </c>
      <c r="H60" s="120">
        <f>C60</f>
        <v>46022</v>
      </c>
      <c r="I60" s="120">
        <f>EDATE(C60,12)</f>
        <v>46387</v>
      </c>
      <c r="J60" s="120">
        <f>EDATE(I60,12)</f>
        <v>46752</v>
      </c>
      <c r="K60" s="123">
        <f>EDATE(J60,12)</f>
        <v>47118</v>
      </c>
      <c r="L60" s="124">
        <f>EDATE(K60,12)</f>
        <v>47483</v>
      </c>
      <c r="M60" s="44"/>
      <c r="N60" s="44"/>
      <c r="O60" s="44"/>
      <c r="P60" s="44"/>
      <c r="Q60" s="44"/>
      <c r="R60" s="44"/>
      <c r="S60" s="44"/>
      <c r="T60" s="44"/>
      <c r="U60" s="44"/>
      <c r="V60" s="44"/>
      <c r="W60" s="44"/>
      <c r="X60" s="44"/>
      <c r="Y60" s="44"/>
      <c r="Z60" s="44"/>
    </row>
    <row r="61" spans="1:26" ht="15" customHeight="1" x14ac:dyDescent="0.25">
      <c r="A61" s="42"/>
      <c r="B61" s="44" t="s">
        <v>367</v>
      </c>
      <c r="C61" s="268">
        <v>178.7</v>
      </c>
      <c r="D61" s="66">
        <v>0</v>
      </c>
      <c r="E61" s="66">
        <v>0</v>
      </c>
      <c r="F61" s="44"/>
      <c r="G61" s="44">
        <f>C61-D61+E61+F61</f>
        <v>178.7</v>
      </c>
      <c r="H61" s="44">
        <f>C61</f>
        <v>178.7</v>
      </c>
      <c r="I61" s="44">
        <f>H61/H42*I42</f>
        <v>230.82223250508986</v>
      </c>
      <c r="J61" s="44">
        <f>I61/I42*J42</f>
        <v>286.25318496831943</v>
      </c>
      <c r="K61" s="44">
        <f>J61/J42*K42</f>
        <v>356.81163533515945</v>
      </c>
      <c r="L61" s="40" t="s">
        <v>318</v>
      </c>
      <c r="M61" s="44"/>
      <c r="N61" s="44"/>
      <c r="O61" s="44"/>
      <c r="P61" s="44"/>
      <c r="Q61" s="44"/>
      <c r="R61" s="44"/>
      <c r="S61" s="44"/>
      <c r="T61" s="44"/>
      <c r="U61" s="44"/>
      <c r="V61" s="44"/>
      <c r="W61" s="44"/>
      <c r="X61" s="44"/>
      <c r="Y61" s="44"/>
      <c r="Z61" s="44"/>
    </row>
    <row r="62" spans="1:26" ht="15" customHeight="1" x14ac:dyDescent="0.25">
      <c r="A62" s="42"/>
      <c r="B62" s="44" t="s">
        <v>368</v>
      </c>
      <c r="C62" s="44">
        <f>C55+C61</f>
        <v>-827.82200000000012</v>
      </c>
      <c r="D62" s="44">
        <f>D55+D61</f>
        <v>0</v>
      </c>
      <c r="E62" s="44">
        <f>E55+E61</f>
        <v>0</v>
      </c>
      <c r="F62" s="44"/>
      <c r="G62" s="44">
        <f>C62-D62+E62+F62</f>
        <v>-827.82200000000012</v>
      </c>
      <c r="H62" s="44">
        <f>C62</f>
        <v>-827.82200000000012</v>
      </c>
      <c r="I62" s="44">
        <f>I55+I61</f>
        <v>-1033.4782739204641</v>
      </c>
      <c r="J62" s="44">
        <f>J55+J61</f>
        <v>-1130.2518280659992</v>
      </c>
      <c r="K62" s="44">
        <f>K55+K61</f>
        <v>-1496.4711642921218</v>
      </c>
      <c r="L62" s="40" t="s">
        <v>318</v>
      </c>
      <c r="M62" s="44"/>
      <c r="N62" s="44"/>
      <c r="O62" s="44"/>
      <c r="P62" s="44"/>
      <c r="Q62" s="44"/>
      <c r="R62" s="44"/>
      <c r="S62" s="44"/>
      <c r="T62" s="44"/>
      <c r="U62" s="44"/>
      <c r="V62" s="44"/>
      <c r="W62" s="44"/>
      <c r="X62" s="44"/>
      <c r="Y62" s="44"/>
      <c r="Z62" s="44"/>
    </row>
    <row r="63" spans="1:26" ht="15" customHeight="1" x14ac:dyDescent="0.25">
      <c r="A63" s="42"/>
      <c r="B63" s="44" t="s">
        <v>369</v>
      </c>
      <c r="C63" s="44"/>
      <c r="D63" s="44"/>
      <c r="E63" s="44"/>
      <c r="F63" s="44"/>
      <c r="G63" s="270">
        <f>Accounting!H127</f>
        <v>821.7</v>
      </c>
      <c r="H63" s="44"/>
      <c r="I63" s="44"/>
      <c r="J63" s="44"/>
      <c r="K63" s="44"/>
      <c r="L63" s="122"/>
      <c r="M63" s="44"/>
      <c r="N63" s="44"/>
      <c r="O63" s="44"/>
      <c r="P63" s="44"/>
      <c r="Q63" s="44"/>
      <c r="R63" s="44"/>
      <c r="S63" s="44"/>
      <c r="T63" s="44"/>
      <c r="U63" s="44"/>
      <c r="V63" s="44"/>
      <c r="W63" s="44"/>
      <c r="X63" s="44"/>
      <c r="Y63" s="44"/>
      <c r="Z63" s="44"/>
    </row>
    <row r="64" spans="1:26" ht="15" customHeight="1" x14ac:dyDescent="0.25">
      <c r="A64" s="42"/>
      <c r="B64" s="44"/>
      <c r="C64" s="44"/>
      <c r="D64" s="44"/>
      <c r="E64" s="44"/>
      <c r="F64" s="44"/>
      <c r="G64" s="44"/>
      <c r="H64" s="44"/>
      <c r="I64" s="44"/>
      <c r="J64" s="44"/>
      <c r="K64" s="44"/>
      <c r="L64" s="122"/>
      <c r="M64" s="44"/>
      <c r="N64" s="44"/>
      <c r="O64" s="44"/>
      <c r="P64" s="44"/>
      <c r="Q64" s="44"/>
      <c r="R64" s="44"/>
      <c r="S64" s="44"/>
      <c r="T64" s="44"/>
      <c r="U64" s="44"/>
      <c r="V64" s="44"/>
      <c r="W64" s="44"/>
      <c r="X64" s="44"/>
      <c r="Y64" s="44"/>
      <c r="Z64" s="44"/>
    </row>
    <row r="65" spans="1:26" ht="15" customHeight="1" x14ac:dyDescent="0.25">
      <c r="A65" s="42"/>
      <c r="B65" s="44" t="str">
        <f>"Calendarized EBITDAR in "&amp;MAIN_CURRENCY&amp;" MM"</f>
        <v>Calendarized EBITDAR in USD MM</v>
      </c>
      <c r="C65" s="44"/>
      <c r="D65" s="44"/>
      <c r="E65" s="44"/>
      <c r="F65" s="44"/>
      <c r="G65" s="44">
        <f>G62*COMP_FX</f>
        <v>-827.82200000000012</v>
      </c>
      <c r="H65" s="44"/>
      <c r="I65" s="44">
        <f>IF(I$76&gt;0,SUMPRODUCT('2'!COMP_CALENDARIZE_PERCENTAGES,H62:J62)*I$77*'2'!COMP_FX,"N/A")</f>
        <v>-1033.4782739204641</v>
      </c>
      <c r="J65" s="44">
        <f>IF(J$76&gt;0,SUMPRODUCT('2'!COMP_CALENDARIZE_PERCENTAGES,I62:K62)*J$77*'2'!COMP_FX,"N/A")</f>
        <v>-1130.2518280659992</v>
      </c>
      <c r="K65" s="44">
        <f>IF(K$76&gt;0,SUMPRODUCT('2'!COMP_CALENDARIZE_PERCENTAGES,J62:L62)*K$77*'2'!COMP_FX,"N/A")</f>
        <v>-1496.4711642921218</v>
      </c>
      <c r="L65" s="122"/>
      <c r="M65" s="44"/>
      <c r="N65" s="44"/>
      <c r="O65" s="44"/>
      <c r="P65" s="44"/>
      <c r="Q65" s="44"/>
      <c r="R65" s="44"/>
      <c r="S65" s="44"/>
      <c r="T65" s="44"/>
      <c r="U65" s="44"/>
      <c r="V65" s="44"/>
      <c r="W65" s="44"/>
      <c r="X65" s="44"/>
      <c r="Y65" s="44"/>
      <c r="Z65" s="44"/>
    </row>
    <row r="66" spans="1:26" ht="15" customHeight="1" x14ac:dyDescent="0.25">
      <c r="A66" s="42"/>
      <c r="B66" s="44" t="str">
        <f>"Operating lease liabilities in "&amp;MAIN_CURRENCY&amp;" MM"</f>
        <v>Operating lease liabilities in USD MM</v>
      </c>
      <c r="C66" s="44"/>
      <c r="D66" s="44"/>
      <c r="E66" s="44"/>
      <c r="F66" s="44"/>
      <c r="G66" s="44">
        <f>G63*COMP_FX</f>
        <v>821.7</v>
      </c>
      <c r="H66" s="44"/>
      <c r="I66" s="44"/>
      <c r="J66" s="44"/>
      <c r="K66" s="44"/>
      <c r="L66" s="122"/>
      <c r="M66" s="44"/>
      <c r="N66" s="44"/>
      <c r="O66" s="44"/>
      <c r="P66" s="44"/>
      <c r="Q66" s="44"/>
      <c r="R66" s="44"/>
      <c r="S66" s="44"/>
      <c r="T66" s="44"/>
      <c r="U66" s="44"/>
      <c r="V66" s="44"/>
      <c r="W66" s="44"/>
      <c r="X66" s="44"/>
      <c r="Y66" s="44"/>
      <c r="Z66" s="44"/>
    </row>
    <row r="67" spans="1:26" ht="15" customHeight="1" x14ac:dyDescent="0.25">
      <c r="A67" s="42"/>
      <c r="B67" s="44"/>
      <c r="C67" s="44"/>
      <c r="D67" s="44"/>
      <c r="E67" s="44"/>
      <c r="F67" s="44"/>
      <c r="G67" s="44"/>
      <c r="H67" s="44"/>
      <c r="I67" s="44"/>
      <c r="J67" s="44"/>
      <c r="K67" s="44"/>
      <c r="L67" s="122"/>
      <c r="M67" s="44"/>
      <c r="N67" s="44"/>
      <c r="O67" s="44"/>
      <c r="P67" s="44"/>
      <c r="Q67" s="44"/>
      <c r="R67" s="44"/>
      <c r="S67" s="44"/>
      <c r="T67" s="44"/>
      <c r="U67" s="44"/>
      <c r="V67" s="44"/>
      <c r="W67" s="44"/>
      <c r="X67" s="44"/>
      <c r="Y67" s="44"/>
      <c r="Z67" s="44"/>
    </row>
    <row r="68" spans="1:26" ht="15" customHeight="1" x14ac:dyDescent="0.25">
      <c r="A68" s="42"/>
      <c r="B68" s="44" t="str">
        <f>"EVR in "&amp;MAIN_CURRENCY&amp;" MM"</f>
        <v>EVR in USD MM</v>
      </c>
      <c r="C68" s="44"/>
      <c r="D68" s="44"/>
      <c r="E68" s="44"/>
      <c r="F68" s="44"/>
      <c r="G68" s="44">
        <f>COMP_EV+(G66*COMP_FX)</f>
        <v>45384.546930719996</v>
      </c>
      <c r="H68" s="44"/>
      <c r="I68" s="44"/>
      <c r="J68" s="44"/>
      <c r="K68" s="44"/>
      <c r="L68" s="122"/>
      <c r="M68" s="44"/>
      <c r="N68" s="44"/>
      <c r="O68" s="44"/>
      <c r="P68" s="44"/>
      <c r="Q68" s="44"/>
      <c r="R68" s="44"/>
      <c r="S68" s="44"/>
      <c r="T68" s="44"/>
      <c r="U68" s="44"/>
      <c r="V68" s="44"/>
      <c r="W68" s="44"/>
      <c r="X68" s="44"/>
      <c r="Y68" s="44"/>
      <c r="Z68" s="44"/>
    </row>
    <row r="69" spans="1:26" ht="15" customHeight="1" x14ac:dyDescent="0.25">
      <c r="A69" s="42"/>
      <c r="B69" s="44" t="s">
        <v>370</v>
      </c>
      <c r="C69" s="44"/>
      <c r="D69" s="44"/>
      <c r="E69" s="44"/>
      <c r="F69" s="44"/>
      <c r="G69" s="125">
        <f>IF(ISNUMBER(G65),EVR/G65,"N/A")</f>
        <v>-54.824040591721399</v>
      </c>
      <c r="H69" s="125"/>
      <c r="I69" s="125">
        <f>IF(ISNUMBER(I65),EVR/I65,"N/A")</f>
        <v>-43.914369635033822</v>
      </c>
      <c r="J69" s="125">
        <f>IF(ISNUMBER(J65),EVR/J65,"N/A")</f>
        <v>-40.154367198307099</v>
      </c>
      <c r="K69" s="234" t="s">
        <v>318</v>
      </c>
      <c r="L69" s="40" t="s">
        <v>318</v>
      </c>
      <c r="M69" s="44"/>
      <c r="N69" s="44"/>
      <c r="O69" s="44"/>
      <c r="P69" s="44"/>
      <c r="Q69" s="44"/>
      <c r="R69" s="44"/>
      <c r="S69" s="44"/>
      <c r="T69" s="44"/>
      <c r="U69" s="44"/>
      <c r="V69" s="44"/>
      <c r="W69" s="44"/>
      <c r="X69" s="44"/>
      <c r="Y69" s="44"/>
      <c r="Z69" s="44"/>
    </row>
    <row r="70" spans="1:26" ht="15" customHeight="1" x14ac:dyDescent="0.25">
      <c r="A70" s="63"/>
      <c r="B70" s="126"/>
      <c r="C70" s="126"/>
      <c r="D70" s="126"/>
      <c r="E70" s="126"/>
      <c r="F70" s="126"/>
      <c r="G70" s="126"/>
      <c r="H70" s="126"/>
      <c r="I70" s="126"/>
      <c r="J70" s="126"/>
      <c r="K70" s="126"/>
      <c r="L70" s="127"/>
      <c r="M70" s="44"/>
      <c r="N70" s="44"/>
      <c r="O70" s="44"/>
      <c r="P70" s="44"/>
      <c r="Q70" s="44"/>
      <c r="R70" s="44"/>
      <c r="S70" s="44"/>
      <c r="T70" s="44"/>
      <c r="U70" s="44"/>
      <c r="V70" s="44"/>
      <c r="W70" s="44"/>
      <c r="X70" s="44"/>
      <c r="Y70" s="44"/>
      <c r="Z70" s="44"/>
    </row>
    <row r="71" spans="1:26" ht="15" customHeight="1" x14ac:dyDescent="0.25">
      <c r="A71" s="44"/>
      <c r="B71" s="44"/>
      <c r="C71" s="44"/>
      <c r="D71" s="44"/>
      <c r="E71" s="44"/>
      <c r="F71" s="44"/>
      <c r="G71" s="44"/>
      <c r="H71" s="44"/>
      <c r="I71" s="44"/>
      <c r="J71" s="44"/>
      <c r="K71" s="44"/>
      <c r="L71" s="44"/>
      <c r="M71" s="44"/>
      <c r="N71" s="44"/>
      <c r="O71" s="44"/>
      <c r="P71" s="44"/>
      <c r="Q71" s="44"/>
      <c r="R71" s="44"/>
      <c r="S71" s="44"/>
      <c r="T71" s="44"/>
      <c r="U71" s="44"/>
      <c r="V71" s="44"/>
      <c r="W71" s="44"/>
      <c r="X71" s="44"/>
      <c r="Y71" s="44"/>
      <c r="Z71" s="44"/>
    </row>
    <row r="72" spans="1:26" ht="15" customHeight="1" x14ac:dyDescent="0.25">
      <c r="A72" s="14"/>
      <c r="E72" s="21" t="s">
        <v>371</v>
      </c>
      <c r="F72" s="22"/>
      <c r="G72" s="22"/>
      <c r="H72" s="22"/>
      <c r="I72" s="22"/>
      <c r="J72" s="22"/>
      <c r="K72" s="22"/>
      <c r="L72" s="23"/>
      <c r="M72" s="44"/>
      <c r="N72" s="44"/>
      <c r="O72" s="44"/>
      <c r="P72" s="44"/>
      <c r="Q72" s="44"/>
      <c r="R72" s="44"/>
      <c r="S72" s="44"/>
      <c r="T72" s="44"/>
      <c r="U72" s="44"/>
      <c r="V72" s="44"/>
      <c r="W72" s="44"/>
      <c r="X72" s="44"/>
      <c r="Y72" s="44"/>
      <c r="Z72" s="44"/>
    </row>
    <row r="73" spans="1:26" ht="15" customHeight="1" x14ac:dyDescent="0.25">
      <c r="A73" s="14"/>
      <c r="E73" s="101"/>
      <c r="F73" s="44"/>
      <c r="G73" s="44"/>
      <c r="H73" s="44"/>
      <c r="I73" s="44"/>
      <c r="J73" s="44"/>
      <c r="K73" s="44"/>
      <c r="L73" s="102"/>
      <c r="M73" s="44"/>
      <c r="N73" s="44"/>
      <c r="O73" s="44"/>
      <c r="P73" s="44"/>
      <c r="Q73" s="44"/>
      <c r="R73" s="44"/>
      <c r="S73" s="44"/>
      <c r="T73" s="44"/>
      <c r="U73" s="44"/>
      <c r="V73" s="44"/>
      <c r="W73" s="44"/>
      <c r="X73" s="44"/>
      <c r="Y73" s="44"/>
      <c r="Z73" s="44"/>
    </row>
    <row r="74" spans="1:26" ht="15" customHeight="1" x14ac:dyDescent="0.25">
      <c r="A74" s="14"/>
      <c r="E74" s="101" t="s">
        <v>372</v>
      </c>
      <c r="F74" s="44"/>
      <c r="G74" s="120">
        <f>C11</f>
        <v>46022</v>
      </c>
      <c r="H74" s="44"/>
      <c r="I74" s="58" t="s">
        <v>373</v>
      </c>
      <c r="J74" s="58" t="s">
        <v>374</v>
      </c>
      <c r="K74" s="58" t="s">
        <v>375</v>
      </c>
      <c r="L74" s="102"/>
      <c r="M74" s="44"/>
      <c r="N74" s="44"/>
      <c r="O74" s="44"/>
      <c r="P74" s="44"/>
      <c r="Q74" s="44"/>
      <c r="R74" s="44"/>
      <c r="S74" s="44"/>
      <c r="T74" s="44"/>
      <c r="U74" s="44"/>
      <c r="V74" s="44"/>
      <c r="W74" s="44"/>
      <c r="X74" s="44"/>
      <c r="Y74" s="44"/>
      <c r="Z74" s="44"/>
    </row>
    <row r="75" spans="1:26" ht="15" customHeight="1" x14ac:dyDescent="0.25">
      <c r="A75" s="14"/>
      <c r="E75" s="101" t="s">
        <v>294</v>
      </c>
      <c r="F75" s="44"/>
      <c r="G75" s="120">
        <f>C8</f>
        <v>46022</v>
      </c>
      <c r="H75" s="44"/>
      <c r="I75" s="128">
        <f>-MIN((G75-G74)/365,0)</f>
        <v>0</v>
      </c>
      <c r="J75" s="128">
        <f>1-I75-K75</f>
        <v>1</v>
      </c>
      <c r="K75" s="128">
        <f>MAX((G75-G74)/365,0)</f>
        <v>0</v>
      </c>
      <c r="L75" s="102"/>
      <c r="Q75" s="44"/>
      <c r="R75" s="44"/>
      <c r="S75" s="44"/>
      <c r="T75" s="44"/>
      <c r="U75" s="44"/>
      <c r="V75" s="44"/>
      <c r="W75" s="44"/>
      <c r="X75" s="44"/>
      <c r="Y75" s="44"/>
      <c r="Z75" s="44"/>
    </row>
    <row r="76" spans="1:26" ht="15" customHeight="1" x14ac:dyDescent="0.25">
      <c r="A76" s="14"/>
      <c r="E76" s="101" t="s">
        <v>376</v>
      </c>
      <c r="F76" s="44"/>
      <c r="G76" s="44"/>
      <c r="H76" s="44"/>
      <c r="I76" s="44">
        <f>IF(SUMPRODUCT('2'!COMP_CALENDARIZE_PERCENTAGES,H77:J77)=1,1,0)</f>
        <v>1</v>
      </c>
      <c r="J76" s="44">
        <f>IF(SUMPRODUCT('2'!COMP_CALENDARIZE_PERCENTAGES,I77:K77)=1,1,0)</f>
        <v>1</v>
      </c>
      <c r="K76" s="44">
        <f>IF(SUMPRODUCT('2'!COMP_CALENDARIZE_PERCENTAGES,J77:L77)=1,1,0)</f>
        <v>1</v>
      </c>
      <c r="L76" s="102">
        <f>IF(SUMPRODUCT('2'!COMP_CALENDARIZE_PERCENTAGES,K77:M77)=1,1,0)</f>
        <v>0</v>
      </c>
      <c r="Q76" s="44"/>
      <c r="R76" s="44"/>
      <c r="S76" s="44"/>
      <c r="T76" s="44"/>
      <c r="U76" s="44"/>
      <c r="V76" s="44"/>
      <c r="W76" s="44"/>
      <c r="X76" s="44"/>
      <c r="Y76" s="44"/>
      <c r="Z76" s="44"/>
    </row>
    <row r="77" spans="1:26" ht="15" customHeight="1" x14ac:dyDescent="0.25">
      <c r="A77" s="14"/>
      <c r="E77" s="110" t="s">
        <v>377</v>
      </c>
      <c r="F77" s="78"/>
      <c r="G77" s="78"/>
      <c r="H77" s="78">
        <f>IF(OR(H42=0,H42="N/A"),0,1)</f>
        <v>1</v>
      </c>
      <c r="I77" s="78">
        <f>IF(OR(I42=0,I42="N/A"),0,1)</f>
        <v>1</v>
      </c>
      <c r="J77" s="78">
        <f>IF(OR(J42=0,J42="N/A"),0,1)</f>
        <v>1</v>
      </c>
      <c r="K77" s="78">
        <f>IF(OR(K42=0,K42="N/A"),0,1)</f>
        <v>1</v>
      </c>
      <c r="L77" s="107">
        <f>IF(OR(L42=0,L42="N/A"),0,1)</f>
        <v>0</v>
      </c>
      <c r="Q77" s="44"/>
      <c r="R77" s="44"/>
      <c r="S77" s="44"/>
      <c r="T77" s="44"/>
      <c r="U77" s="44"/>
      <c r="V77" s="44"/>
      <c r="W77" s="44"/>
      <c r="X77" s="44"/>
      <c r="Y77" s="44"/>
      <c r="Z77" s="44"/>
    </row>
    <row r="78" spans="1:26" ht="15" customHeight="1" x14ac:dyDescent="0.25">
      <c r="A78" s="14"/>
      <c r="E78" s="44"/>
      <c r="F78" s="44"/>
      <c r="G78" s="44"/>
      <c r="H78" s="44"/>
      <c r="I78" s="44"/>
      <c r="J78" s="44"/>
      <c r="K78" s="44"/>
      <c r="L78" s="44"/>
      <c r="Q78" s="44"/>
      <c r="R78" s="44"/>
      <c r="S78" s="44"/>
      <c r="T78" s="44"/>
      <c r="U78" s="44"/>
      <c r="V78" s="44"/>
      <c r="W78" s="44"/>
      <c r="X78" s="44"/>
    </row>
    <row r="79" spans="1:26" ht="15" customHeight="1" x14ac:dyDescent="0.25">
      <c r="A79" s="14" t="s">
        <v>137</v>
      </c>
    </row>
  </sheetData>
  <hyperlinks>
    <hyperlink ref="G63" r:id="rId1" display="https://felix.fe.training/filing-document/?hid=641052334b4a1" xr:uid="{EDD3F7AE-5548-4EBC-A800-22FEBDFF5511}"/>
    <hyperlink ref="N30" r:id="rId2" display="https://felix.fe.training/filing/document.php/?hid=67c597e16a31f" xr:uid="{ACBD995A-B48E-4E3A-831B-544B07DBF405}"/>
    <hyperlink ref="D30" r:id="rId3" display="https://felix.fe.training/filing/document.php/?hid=69ab05a1a3207" xr:uid="{50ABE802-B1EB-470A-917D-EB717EB1ECE2}"/>
    <hyperlink ref="D35" r:id="rId4" display="https://felix.fe.training/filing/document.php/?hid=69a995732daf0" xr:uid="{9FAC71E9-9DDE-4436-A22A-91D7B2320F91}"/>
    <hyperlink ref="G29" r:id="rId5" display="https://felix.fe.training/filing/document.php/?hid=69a997bceacdc" xr:uid="{7E8B6DDD-A65C-4E35-8293-D53B5371A02B}"/>
    <hyperlink ref="G30" r:id="rId6" display="https://felix.fe.training/filing/document.php/?hid=69a994ffad8c5" xr:uid="{3FB54D23-01F6-4BB8-8124-2863483CD644}"/>
    <hyperlink ref="G31" r:id="rId7" display="https://felix.fe.training/filing/document.php/?hid=69ae804d11e67" xr:uid="{B4399792-3B51-42A7-89B2-08BE3109F5E9}"/>
    <hyperlink ref="J29" r:id="rId8" display="https://felix.fe.training/filing/document.php/?hid=69a99513694dd" xr:uid="{BD955FD6-E040-4349-89F5-BB795A6FD7FD}"/>
    <hyperlink ref="J30" r:id="rId9" display="https://felix.fe.training/filing/document.php/?hid=69a99529852fa" xr:uid="{4BE66F5C-2479-4BFA-AB7F-548782216177}"/>
    <hyperlink ref="J31" r:id="rId10" display="https://felix.fe.training/filing/document.php/?hid=69ae800734e3f" xr:uid="{07FCACCE-B9AE-4EFA-91EF-4EF400FCC571}"/>
    <hyperlink ref="G33" r:id="rId11" display="https://felix.fe.training/filing/document.php/?hid=69ae80735ffc0" xr:uid="{7EEB84D9-3C57-407B-9329-9B607A63C2B6}"/>
    <hyperlink ref="N28" r:id="rId12" display="https://felix.fe.training/filing/document.php/?hid=69ab05ba85ebb" xr:uid="{86A3A72D-B617-4CC9-B622-33EADF3DB7A9}"/>
    <hyperlink ref="O28" r:id="rId13" display="https://felix.fe.training/filing/document.php/?hid=69ab05c954d9a" xr:uid="{1D33FE35-258F-48B7-8584-284B4F2092C0}"/>
    <hyperlink ref="N29" r:id="rId14" display="https://felix.fe.training/filing/document.php/?hid=69ab05ed0b0e9" xr:uid="{357F3773-F8DB-4BA7-8176-46A54271E8BE}"/>
    <hyperlink ref="N31" r:id="rId15" display="https://felix.fe.training/filing/document.php/?hid=69ab0650b6e0e" xr:uid="{BA46D682-EC9C-441B-84AC-9F925528C843}"/>
    <hyperlink ref="N32" r:id="rId16" display="https://felix.fe.training/filing/document.php/?hid=69ab083270293" xr:uid="{1C430942-9658-4CA1-AF8C-C6C5479E1C38}"/>
    <hyperlink ref="N33" r:id="rId17" display="https://felix.fe.training/filing/document.php/?hid=69ab086541bae" xr:uid="{86C63A1A-5FD1-474D-B054-44F6784CB81A}"/>
    <hyperlink ref="C42" r:id="rId18" display="https://felix.fe.training/filing/document.php/?hid=69a98b038baee" xr:uid="{8696BF5C-BCF6-48EA-BD0B-E62637AA58DE}"/>
    <hyperlink ref="C44" r:id="rId19" display="https://felix.fe.training/filing/document.php/?hid=69a98f66093c5" xr:uid="{34EF3B28-4E88-44AF-8411-ADD4B01045CB}"/>
    <hyperlink ref="C52" r:id="rId20" display="https://felix.fe.training/filing/document.php/?hid=69a98d259fb85" xr:uid="{CFD03140-C773-4750-8C18-6D0B356C56CA}"/>
    <hyperlink ref="H54" r:id="rId21" display="https://felix.fe.training/filing/document.php?sec_filing=024c60169484434dc0a547f1d24b748336534daa&amp;cik=0001315098" xr:uid="{818B0238-9A55-4D77-994B-180667322FFB}"/>
    <hyperlink ref="C61" r:id="rId22" display="https://felix.fe.training/filing/document.php/?hid=69a995ea323ca" xr:uid="{96BBF9BA-55CA-4C72-A76A-1AB06E9B6961}"/>
  </hyperlinks>
  <printOptions gridLines="1"/>
  <pageMargins left="0.70866141732283472" right="0.70866141732283472" top="0.74803149606299213" bottom="0.74803149606299213" header="0" footer="0"/>
  <pageSetup paperSize="9" scale="38" orientation="landscape" r:id="rId23"/>
  <headerFooter>
    <oddHeader>&amp;R&amp;F  &amp;A</oddHeader>
    <oddFooter>&amp;L© 2016&amp;CPage &amp;P of</oddFooter>
  </headerFooter>
  <legacyDrawing r:id="rId2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pageSetUpPr fitToPage="1"/>
  </sheetPr>
  <dimension ref="A1:AL74"/>
  <sheetViews>
    <sheetView workbookViewId="0">
      <pane xSplit="3" topLeftCell="D1" activePane="topRight" state="frozen"/>
      <selection pane="topRight" activeCell="D1" sqref="D1"/>
    </sheetView>
  </sheetViews>
  <sheetFormatPr defaultColWidth="12.5703125" defaultRowHeight="15" customHeight="1" x14ac:dyDescent="0.25"/>
  <cols>
    <col min="1" max="1" width="1.5703125" customWidth="1"/>
    <col min="2" max="2" width="5.7109375" customWidth="1"/>
    <col min="3" max="3" width="21.42578125" customWidth="1"/>
    <col min="4" max="4" width="10.5703125" customWidth="1"/>
    <col min="5" max="5" width="12.140625" bestFit="1" customWidth="1"/>
    <col min="6" max="6" width="9.5703125" customWidth="1"/>
    <col min="7" max="8" width="10.7109375" bestFit="1" customWidth="1"/>
    <col min="9" max="9" width="2.5703125" customWidth="1"/>
    <col min="10" max="11" width="9.7109375" customWidth="1"/>
    <col min="12" max="12" width="2.5703125" customWidth="1"/>
    <col min="13" max="15" width="9.5703125" customWidth="1"/>
    <col min="16" max="16" width="2.5703125" customWidth="1"/>
    <col min="17" max="19" width="9.28515625" customWidth="1"/>
    <col min="20" max="20" width="1.7109375" customWidth="1"/>
    <col min="21" max="23" width="9.28515625" customWidth="1"/>
    <col min="24" max="24" width="1.7109375" customWidth="1"/>
    <col min="25" max="27" width="9.28515625" customWidth="1"/>
    <col min="28" max="28" width="1.7109375" customWidth="1"/>
    <col min="29" max="37" width="9.28515625" customWidth="1"/>
    <col min="38" max="38" width="23" customWidth="1"/>
  </cols>
  <sheetData>
    <row r="1" spans="1:38" ht="45" customHeight="1" x14ac:dyDescent="0.45">
      <c r="A1" s="68" t="s">
        <v>223</v>
      </c>
      <c r="B1" s="100"/>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c r="AF1" s="64"/>
      <c r="AG1" s="64"/>
      <c r="AH1" s="64"/>
      <c r="AI1" s="64"/>
      <c r="AJ1" s="68"/>
      <c r="AK1" s="68"/>
      <c r="AL1" s="68"/>
    </row>
    <row r="2" spans="1:38" ht="15.75" customHeight="1" x14ac:dyDescent="0.25">
      <c r="A2" s="69"/>
      <c r="B2" s="44"/>
      <c r="E2" s="44"/>
      <c r="F2" s="44"/>
      <c r="G2" s="44"/>
      <c r="H2" s="44"/>
      <c r="J2" s="44"/>
      <c r="K2" s="44"/>
    </row>
    <row r="3" spans="1:38" ht="15.75" customHeight="1" x14ac:dyDescent="0.25">
      <c r="A3" s="73"/>
      <c r="C3" t="s">
        <v>384</v>
      </c>
      <c r="D3" s="43" t="s">
        <v>305</v>
      </c>
    </row>
    <row r="4" spans="1:38" ht="15.75" customHeight="1" x14ac:dyDescent="0.25">
      <c r="A4" s="73"/>
      <c r="C4" t="s">
        <v>12</v>
      </c>
      <c r="D4" s="205">
        <f>Info!N7</f>
        <v>46086</v>
      </c>
    </row>
    <row r="5" spans="1:38" ht="15.75" customHeight="1" x14ac:dyDescent="0.25">
      <c r="A5" s="73"/>
      <c r="C5" t="s">
        <v>385</v>
      </c>
      <c r="D5" s="201">
        <v>46022</v>
      </c>
    </row>
    <row r="6" spans="1:38" ht="15.75" customHeight="1" x14ac:dyDescent="0.25">
      <c r="A6" s="73"/>
      <c r="B6" s="187"/>
    </row>
    <row r="7" spans="1:38" ht="15.75" customHeight="1" thickBot="1" x14ac:dyDescent="0.3">
      <c r="A7" s="129"/>
      <c r="B7" s="271" t="s">
        <v>386</v>
      </c>
      <c r="C7" s="129"/>
      <c r="D7" s="65"/>
      <c r="E7" s="65" t="s">
        <v>248</v>
      </c>
      <c r="F7" s="65" t="s">
        <v>248</v>
      </c>
      <c r="G7" s="65"/>
      <c r="H7" s="65"/>
      <c r="I7" s="65"/>
      <c r="J7" s="304" t="s">
        <v>387</v>
      </c>
      <c r="K7" s="305"/>
      <c r="L7" s="65"/>
      <c r="M7" s="130"/>
      <c r="N7" s="130" t="s">
        <v>175</v>
      </c>
      <c r="O7" s="130"/>
      <c r="P7" s="72"/>
      <c r="Q7" s="130"/>
      <c r="R7" s="130" t="s">
        <v>388</v>
      </c>
      <c r="S7" s="130"/>
      <c r="T7" s="72"/>
      <c r="U7" s="130"/>
      <c r="V7" s="130" t="s">
        <v>316</v>
      </c>
      <c r="W7" s="130"/>
      <c r="X7" s="72"/>
      <c r="Y7" s="130"/>
      <c r="Z7" s="130" t="s">
        <v>389</v>
      </c>
      <c r="AA7" s="130"/>
      <c r="AB7" s="72"/>
      <c r="AC7" s="65" t="s">
        <v>388</v>
      </c>
      <c r="AD7" s="65" t="s">
        <v>390</v>
      </c>
      <c r="AE7" s="65" t="s">
        <v>391</v>
      </c>
      <c r="AF7" s="65" t="s">
        <v>392</v>
      </c>
      <c r="AG7" s="65" t="s">
        <v>393</v>
      </c>
      <c r="AH7" s="65" t="s">
        <v>394</v>
      </c>
      <c r="AI7" s="65" t="s">
        <v>395</v>
      </c>
      <c r="AJ7" s="65" t="s">
        <v>349</v>
      </c>
      <c r="AK7" s="65"/>
    </row>
    <row r="8" spans="1:38" ht="15.75" customHeight="1" x14ac:dyDescent="0.25">
      <c r="A8" s="129"/>
      <c r="B8" s="129"/>
      <c r="C8" s="65" t="s">
        <v>396</v>
      </c>
      <c r="D8" s="65" t="s">
        <v>248</v>
      </c>
      <c r="E8" s="65" t="s">
        <v>310</v>
      </c>
      <c r="F8" s="65" t="s">
        <v>397</v>
      </c>
      <c r="G8" s="65" t="s">
        <v>398</v>
      </c>
      <c r="H8" s="65" t="s">
        <v>259</v>
      </c>
      <c r="I8" s="65"/>
      <c r="J8" s="65" t="str">
        <f>YEAR(ANALYSIS_DATE)&amp;"e"</f>
        <v>2026e</v>
      </c>
      <c r="K8" s="65" t="str">
        <f>(YEAR(ANALYSIS_DATE)+1)&amp;"e"</f>
        <v>2027e</v>
      </c>
      <c r="L8" s="65"/>
      <c r="M8" s="65" t="s">
        <v>267</v>
      </c>
      <c r="N8" s="65" t="str">
        <f>+J8</f>
        <v>2026e</v>
      </c>
      <c r="O8" s="65" t="str">
        <f>+K8</f>
        <v>2027e</v>
      </c>
      <c r="P8" s="72"/>
      <c r="Q8" s="65" t="s">
        <v>267</v>
      </c>
      <c r="R8" s="65" t="str">
        <f>N8</f>
        <v>2026e</v>
      </c>
      <c r="S8" s="65" t="str">
        <f>+O8</f>
        <v>2027e</v>
      </c>
      <c r="T8" s="72"/>
      <c r="U8" s="65" t="s">
        <v>267</v>
      </c>
      <c r="V8" s="65" t="str">
        <f>+N8</f>
        <v>2026e</v>
      </c>
      <c r="W8" s="65" t="str">
        <f>+O8</f>
        <v>2027e</v>
      </c>
      <c r="X8" s="72"/>
      <c r="Y8" s="65" t="s">
        <v>267</v>
      </c>
      <c r="Z8" s="65" t="str">
        <f>+R8</f>
        <v>2026e</v>
      </c>
      <c r="AA8" s="65" t="str">
        <f>+S8</f>
        <v>2027e</v>
      </c>
      <c r="AB8" s="72"/>
      <c r="AC8" s="65" t="s">
        <v>399</v>
      </c>
      <c r="AD8" s="65" t="s">
        <v>400</v>
      </c>
      <c r="AE8" s="65" t="s">
        <v>401</v>
      </c>
      <c r="AF8" s="65" t="s">
        <v>402</v>
      </c>
      <c r="AG8" s="65" t="s">
        <v>403</v>
      </c>
      <c r="AH8" s="65" t="s">
        <v>315</v>
      </c>
      <c r="AI8" s="65" t="s">
        <v>404</v>
      </c>
      <c r="AJ8" s="65" t="s">
        <v>255</v>
      </c>
      <c r="AK8" s="65" t="s">
        <v>288</v>
      </c>
    </row>
    <row r="9" spans="1:38" ht="15.75" customHeight="1" x14ac:dyDescent="0.25">
      <c r="A9" s="206"/>
      <c r="B9" s="207">
        <v>1</v>
      </c>
      <c r="C9" s="208" t="str">
        <f ca="1">INDIRECT($B9&amp;"!"&amp;C$73)</f>
        <v>Electronic Arts</v>
      </c>
      <c r="D9" s="208">
        <f ca="1">INDIRECT($B9&amp;"!"&amp;D$73)*INDIRECT($B9&amp;"!"&amp;D$74)</f>
        <v>200.76</v>
      </c>
      <c r="E9" s="208">
        <f ca="1">INDIRECT($B9&amp;"!"&amp;E$73)*INDIRECT($B9&amp;"!"&amp;E$74)</f>
        <v>204.89</v>
      </c>
      <c r="F9" s="210">
        <f t="shared" ref="F9" ca="1" si="0">D9/E9</f>
        <v>0.97984284250085418</v>
      </c>
      <c r="G9" s="208">
        <f ca="1">INDIRECT($B9&amp;"!"&amp;G$73)</f>
        <v>51992.397761880005</v>
      </c>
      <c r="H9" s="208">
        <f ca="1">INDIRECT($B9&amp;"!"&amp;H$73)</f>
        <v>50992.397761880005</v>
      </c>
      <c r="I9" s="208"/>
      <c r="J9" s="211">
        <f ca="1">INDIRECT($B9&amp;"!"&amp;J$73)</f>
        <v>21.96498905908096</v>
      </c>
      <c r="K9" s="211">
        <f ca="1">INDIRECT($B9&amp;"!"&amp;K$73)</f>
        <v>20.278507285079769</v>
      </c>
      <c r="L9" s="208"/>
      <c r="M9" s="208">
        <f t="shared" ref="M9:O10" ca="1" si="1">INDIRECT($B9&amp;"!"&amp;M$73)</f>
        <v>7306</v>
      </c>
      <c r="N9" s="208">
        <f t="shared" ca="1" si="1"/>
        <v>8366</v>
      </c>
      <c r="O9" s="208">
        <f t="shared" ca="1" si="1"/>
        <v>8771.0136986301368</v>
      </c>
      <c r="P9" s="208"/>
      <c r="Q9" s="208">
        <f t="shared" ref="Q9:S10" ca="1" si="2">INDIRECT($B9&amp;"!"&amp;Q$73)</f>
        <v>1310</v>
      </c>
      <c r="R9" s="208">
        <f t="shared" ca="1" si="2"/>
        <v>2032.986301369863</v>
      </c>
      <c r="S9" s="208">
        <f t="shared" ca="1" si="2"/>
        <v>2334.0547945205481</v>
      </c>
      <c r="T9" s="208"/>
      <c r="U9" s="211">
        <f t="shared" ref="U9:U21" ca="1" si="3">IFERROR($H9/M9,"N/A ")</f>
        <v>6.9795233728278134</v>
      </c>
      <c r="V9" s="211">
        <f t="shared" ref="V9:V21" ca="1" si="4">IFERROR($H9/N9,"N/A ")</f>
        <v>6.0951945687162334</v>
      </c>
      <c r="W9" s="211">
        <f t="shared" ref="W9:W21" ca="1" si="5">IFERROR($H9/O9,"N/A ")</f>
        <v>5.8137405223576417</v>
      </c>
      <c r="X9" s="208"/>
      <c r="Y9" s="211">
        <f ca="1">IFERROR($H9/Q9,"N/A ")</f>
        <v>38.92549447471756</v>
      </c>
      <c r="Z9" s="211">
        <f ca="1">IFERROR($H9/R9,"N/A ")</f>
        <v>25.082509275896452</v>
      </c>
      <c r="AA9" s="211">
        <f ca="1">IFERROR($H9/S9,"N/A ")</f>
        <v>21.847129673900675</v>
      </c>
      <c r="AB9" s="208"/>
      <c r="AC9" s="210">
        <f ca="1">R9/N9</f>
        <v>0.24300577353213759</v>
      </c>
      <c r="AD9" s="210">
        <f ca="1">INDIRECT($B9&amp;"!"&amp;AD$73)</f>
        <v>0.15113684006211181</v>
      </c>
      <c r="AE9" s="210">
        <f ca="1">O9/M9-1</f>
        <v>0.2005219954325399</v>
      </c>
      <c r="AF9" s="210" t="str">
        <f ca="1">INDIRECT($B9&amp;"!"&amp;AG$73)</f>
        <v>N/A</v>
      </c>
      <c r="AG9" s="211">
        <f ca="1">INDIRECT("'"&amp;$B9&amp;"'!"&amp;AH$73)/INDIRECT("'"&amp;$B9&amp;"'!"&amp;AH$74)</f>
        <v>1.449618320610687</v>
      </c>
      <c r="AH9" s="209">
        <f ca="1">INDIRECT("'"&amp;$B9&amp;"'!"&amp;AI$73)</f>
        <v>0.84</v>
      </c>
      <c r="AI9" s="212" t="str">
        <f ca="1">INDIRECT("'"&amp;$B9&amp;"'!"&amp;AJ$73)</f>
        <v>Baa1</v>
      </c>
      <c r="AJ9" s="208">
        <f ca="1">INDIRECT("'"&amp;$B9&amp;"'!"&amp;AK$72)</f>
        <v>1899</v>
      </c>
      <c r="AK9" s="208" t="str">
        <f ca="1">INDIRECT("'"&amp;$B9&amp;"'!"&amp;AL$73)</f>
        <v>EA_US</v>
      </c>
    </row>
    <row r="10" spans="1:38" ht="15.75" customHeight="1" x14ac:dyDescent="0.25">
      <c r="A10" s="253"/>
      <c r="B10" s="227">
        <f>B9+1</f>
        <v>2</v>
      </c>
      <c r="C10" s="254" t="str">
        <f ca="1">INDIRECT($B10&amp;"!"&amp;C$73)</f>
        <v>Roblox</v>
      </c>
      <c r="D10" s="262">
        <f ca="1">INDIRECT($B10&amp;"!"&amp;D$73)*INDIRECT($B10&amp;"!"&amp;D$74)</f>
        <v>66.08</v>
      </c>
      <c r="E10" s="262">
        <f ca="1">INDIRECT($B10&amp;"!"&amp;E$73)*INDIRECT($B10&amp;"!"&amp;E$74)</f>
        <v>150.59</v>
      </c>
      <c r="F10" s="255">
        <f t="shared" ref="F10" ca="1" si="6">D10/E10</f>
        <v>0.4388073577262766</v>
      </c>
      <c r="G10" s="254">
        <f ca="1">INDIRECT($B10&amp;"!"&amp;G$73)</f>
        <v>49095.879930720002</v>
      </c>
      <c r="H10" s="254">
        <f ca="1">INDIRECT($B10&amp;"!"&amp;H$73)</f>
        <v>44562.846930719999</v>
      </c>
      <c r="I10" s="254"/>
      <c r="J10" s="257">
        <f ca="1">INDIRECT($B10&amp;"!"&amp;J$73)</f>
        <v>-40.292682926829272</v>
      </c>
      <c r="K10" s="257">
        <f ca="1">INDIRECT($B10&amp;"!"&amp;K$73)</f>
        <v>-58.477876106194692</v>
      </c>
      <c r="L10" s="254"/>
      <c r="M10" s="254">
        <f t="shared" ca="1" si="1"/>
        <v>4890.5510000000004</v>
      </c>
      <c r="N10" s="254">
        <f t="shared" ca="1" si="1"/>
        <v>6317</v>
      </c>
      <c r="O10" s="254">
        <f t="shared" ca="1" si="1"/>
        <v>7834</v>
      </c>
      <c r="P10" s="254"/>
      <c r="Q10" s="254">
        <f t="shared" ca="1" si="2"/>
        <v>-1006.5220000000002</v>
      </c>
      <c r="R10" s="254">
        <f t="shared" ca="1" si="2"/>
        <v>-1264.300506425554</v>
      </c>
      <c r="S10" s="254">
        <f t="shared" ca="1" si="2"/>
        <v>-1416.5050130343186</v>
      </c>
      <c r="T10" s="254"/>
      <c r="U10" s="257">
        <f t="shared" ca="1" si="3"/>
        <v>9.1120298982098333</v>
      </c>
      <c r="V10" s="257">
        <f t="shared" ca="1" si="4"/>
        <v>7.0544319978977361</v>
      </c>
      <c r="W10" s="257">
        <f t="shared" ca="1" si="5"/>
        <v>5.6883899579678321</v>
      </c>
      <c r="X10" s="254"/>
      <c r="Y10" s="257">
        <f t="shared" ref="Y10:Y21" ca="1" si="7">IFERROR($H10/Q10,"N/A ")</f>
        <v>-44.274091307214341</v>
      </c>
      <c r="Z10" s="257">
        <f t="shared" ref="Z10:Z21" ca="1" si="8">IFERROR($H10/R10,"N/A ")</f>
        <v>-35.24703715947139</v>
      </c>
      <c r="AA10" s="257">
        <f t="shared" ref="AA10:AA21" ca="1" si="9">IFERROR($H10/S10,"N/A ")</f>
        <v>-31.459717064651393</v>
      </c>
      <c r="AB10" s="254"/>
      <c r="AC10" s="255">
        <f t="shared" ref="AC10:AC21" ca="1" si="10">R10/N10</f>
        <v>-0.20014255286141427</v>
      </c>
      <c r="AD10" s="255">
        <f ca="1">INDIRECT($B10&amp;"!"&amp;AD$73)</f>
        <v>0.23443357039253904</v>
      </c>
      <c r="AE10" s="59">
        <f ca="1">O10/M10-1</f>
        <v>0.60186449338735026</v>
      </c>
      <c r="AF10" s="255">
        <f ca="1">INDIRECT($B10&amp;"!"&amp;AG$73)</f>
        <v>8.2000000000000003E-2</v>
      </c>
      <c r="AG10" s="257">
        <f ca="1">INDIRECT("'"&amp;$B10&amp;"'!"&amp;AH$73)/INDIRECT("'"&amp;$B10&amp;"'!"&amp;AH$74)</f>
        <v>-1.0081269957338239</v>
      </c>
      <c r="AH10" s="262">
        <f ca="1">INDIRECT("'"&amp;$B10&amp;"'!"&amp;AI$73)</f>
        <v>1.4</v>
      </c>
      <c r="AI10" s="263" t="s">
        <v>405</v>
      </c>
      <c r="AJ10" s="254">
        <f ca="1">INDIRECT("'"&amp;$B10&amp;"'!"&amp;AK$72)</f>
        <v>1014.7020000000001</v>
      </c>
      <c r="AK10" s="254" t="str">
        <f ca="1">INDIRECT("'"&amp;$B10&amp;"'!"&amp;AL$73)</f>
        <v>RBLX-US</v>
      </c>
    </row>
    <row r="11" spans="1:38" ht="15.75" customHeight="1" x14ac:dyDescent="0.25">
      <c r="A11" s="206"/>
      <c r="B11" s="207">
        <f t="shared" ref="B11:B17" si="11">B10+1</f>
        <v>3</v>
      </c>
      <c r="C11" s="214" t="s">
        <v>406</v>
      </c>
      <c r="D11" s="214">
        <v>4.476248</v>
      </c>
      <c r="E11" s="214">
        <v>15.671703000000001</v>
      </c>
      <c r="F11" s="261">
        <f>D11/E11</f>
        <v>0.28562613775924672</v>
      </c>
      <c r="G11" s="214">
        <v>617.17247799999996</v>
      </c>
      <c r="H11" s="214">
        <v>1995.3308959999999</v>
      </c>
      <c r="I11" s="208"/>
      <c r="J11" s="213" t="s">
        <v>318</v>
      </c>
      <c r="K11" s="213" t="s">
        <v>318</v>
      </c>
      <c r="L11" s="208"/>
      <c r="M11" s="214">
        <v>2081.224056</v>
      </c>
      <c r="N11" s="214">
        <v>1725.7170410000001</v>
      </c>
      <c r="O11" s="214">
        <v>1901.016846</v>
      </c>
      <c r="P11" s="208"/>
      <c r="Q11" s="214">
        <v>824</v>
      </c>
      <c r="R11" s="214">
        <v>-248</v>
      </c>
      <c r="S11" s="214">
        <v>201</v>
      </c>
      <c r="T11" s="208"/>
      <c r="U11" s="211">
        <f t="shared" si="3"/>
        <v>0.95872949875224767</v>
      </c>
      <c r="V11" s="211">
        <f t="shared" si="4"/>
        <v>1.1562329446800659</v>
      </c>
      <c r="W11" s="211">
        <f t="shared" si="5"/>
        <v>1.0496124220037553</v>
      </c>
      <c r="X11" s="208"/>
      <c r="Y11" s="211">
        <f t="shared" si="7"/>
        <v>2.4215180776699028</v>
      </c>
      <c r="Z11" s="211">
        <f t="shared" si="8"/>
        <v>-8.0456890967741934</v>
      </c>
      <c r="AA11" s="211">
        <f t="shared" si="9"/>
        <v>9.927019383084577</v>
      </c>
      <c r="AB11" s="208"/>
      <c r="AC11" s="210">
        <f t="shared" si="10"/>
        <v>-0.1437083798258674</v>
      </c>
      <c r="AD11" s="261">
        <v>-0.18099999999999999</v>
      </c>
      <c r="AE11" s="210">
        <f t="shared" ref="AE11:AE21" si="12">O11/M11-1</f>
        <v>-8.6587126206079224E-2</v>
      </c>
      <c r="AF11" s="261">
        <v>2.3E-2</v>
      </c>
      <c r="AG11" s="211">
        <f>IFERROR(AJ11/Q11, "N/A")</f>
        <v>2.5921116504854371</v>
      </c>
      <c r="AH11" s="215">
        <v>0.86953000000000003</v>
      </c>
      <c r="AI11" s="273" t="s">
        <v>318</v>
      </c>
      <c r="AJ11" s="214">
        <f>1766.5+369.4</f>
        <v>2135.9</v>
      </c>
      <c r="AK11" s="214" t="s">
        <v>407</v>
      </c>
    </row>
    <row r="12" spans="1:38" ht="15.75" customHeight="1" x14ac:dyDescent="0.25">
      <c r="A12" s="253"/>
      <c r="B12" s="227">
        <f t="shared" si="11"/>
        <v>4</v>
      </c>
      <c r="C12" s="260" t="s">
        <v>408</v>
      </c>
      <c r="D12" s="52">
        <v>211.5</v>
      </c>
      <c r="E12" s="52">
        <v>264.78500400000001</v>
      </c>
      <c r="F12" s="255">
        <f t="shared" ref="F12:F21" si="13">D12/E12</f>
        <v>0.79876124706820628</v>
      </c>
      <c r="G12" s="275">
        <v>41489.895357000001</v>
      </c>
      <c r="H12" s="275">
        <v>42154.295357000003</v>
      </c>
      <c r="I12" s="256"/>
      <c r="J12" s="276">
        <v>59.408214999999998</v>
      </c>
      <c r="K12" s="276">
        <v>30.293751</v>
      </c>
      <c r="L12" s="256"/>
      <c r="M12" s="275">
        <v>6559.1</v>
      </c>
      <c r="N12" s="275">
        <v>6678.4443359999996</v>
      </c>
      <c r="O12" s="275">
        <v>9129.5878909999992</v>
      </c>
      <c r="P12" s="256"/>
      <c r="Q12" s="260">
        <v>561</v>
      </c>
      <c r="R12" s="260">
        <v>1243</v>
      </c>
      <c r="S12" s="260">
        <v>2129</v>
      </c>
      <c r="T12" s="256"/>
      <c r="U12" s="257">
        <f t="shared" si="3"/>
        <v>6.4268413893674436</v>
      </c>
      <c r="V12" s="257">
        <f t="shared" si="4"/>
        <v>6.3119932182062595</v>
      </c>
      <c r="W12" s="257">
        <f t="shared" si="5"/>
        <v>4.6173272945382289</v>
      </c>
      <c r="X12" s="254"/>
      <c r="Y12" s="257">
        <f t="shared" si="7"/>
        <v>75.14134644741533</v>
      </c>
      <c r="Z12" s="257">
        <f t="shared" si="8"/>
        <v>33.913351051488334</v>
      </c>
      <c r="AA12" s="257">
        <f t="shared" si="9"/>
        <v>19.800044789572571</v>
      </c>
      <c r="AB12" s="254"/>
      <c r="AC12" s="59">
        <f t="shared" si="10"/>
        <v>0.18612118892713342</v>
      </c>
      <c r="AD12" s="258">
        <v>3.7999999999999999E-2</v>
      </c>
      <c r="AE12" s="59">
        <f t="shared" si="12"/>
        <v>0.39189643258983686</v>
      </c>
      <c r="AF12" s="259">
        <v>0.253</v>
      </c>
      <c r="AG12" s="257">
        <f t="shared" ref="AG12:AG21" si="14">IFERROR(AJ12/Q12, "N/A")</f>
        <v>5.4709446541889486</v>
      </c>
      <c r="AH12" s="277">
        <v>0.84088099999999999</v>
      </c>
      <c r="AI12" s="259" t="s">
        <v>409</v>
      </c>
      <c r="AJ12" s="275">
        <v>3069.1999510000001</v>
      </c>
      <c r="AK12" s="278" t="s">
        <v>410</v>
      </c>
    </row>
    <row r="13" spans="1:38" ht="15.75" customHeight="1" x14ac:dyDescent="0.25">
      <c r="A13" s="206"/>
      <c r="B13" s="207">
        <f t="shared" si="11"/>
        <v>5</v>
      </c>
      <c r="C13" s="214" t="s">
        <v>411</v>
      </c>
      <c r="D13" s="214">
        <v>19.850000000000001</v>
      </c>
      <c r="E13" s="214">
        <v>52.150002000000001</v>
      </c>
      <c r="F13" s="261">
        <f t="shared" si="13"/>
        <v>0.38063277543114959</v>
      </c>
      <c r="G13" s="214">
        <v>9089.6193600000006</v>
      </c>
      <c r="H13" s="214">
        <v>9527.8343600000007</v>
      </c>
      <c r="I13" s="208"/>
      <c r="J13" s="213">
        <v>20.720939999999999</v>
      </c>
      <c r="K13" s="213">
        <v>16.556142999999999</v>
      </c>
      <c r="L13" s="208"/>
      <c r="M13" s="214">
        <v>1849.6479999999999</v>
      </c>
      <c r="N13" s="214">
        <v>2091.5205080000001</v>
      </c>
      <c r="O13" s="214">
        <v>2364.8305660000001</v>
      </c>
      <c r="P13" s="208"/>
      <c r="Q13" s="214">
        <v>396</v>
      </c>
      <c r="R13" s="214">
        <v>444</v>
      </c>
      <c r="S13" s="214">
        <v>528</v>
      </c>
      <c r="T13" s="208"/>
      <c r="U13" s="211">
        <f t="shared" si="3"/>
        <v>5.1511608479018713</v>
      </c>
      <c r="V13" s="211">
        <f t="shared" si="4"/>
        <v>4.5554582532451073</v>
      </c>
      <c r="W13" s="211">
        <f t="shared" si="5"/>
        <v>4.0289712493508087</v>
      </c>
      <c r="X13" s="208"/>
      <c r="Y13" s="211">
        <f t="shared" si="7"/>
        <v>24.060187777777781</v>
      </c>
      <c r="Z13" s="211">
        <f t="shared" si="8"/>
        <v>21.459086396396398</v>
      </c>
      <c r="AA13" s="211">
        <f t="shared" si="9"/>
        <v>18.045140833333335</v>
      </c>
      <c r="AB13" s="208"/>
      <c r="AC13" s="210">
        <f t="shared" si="10"/>
        <v>0.21228575015244364</v>
      </c>
      <c r="AD13" s="261">
        <v>1E-3</v>
      </c>
      <c r="AE13" s="210">
        <f t="shared" si="12"/>
        <v>0.27853005869224856</v>
      </c>
      <c r="AF13" s="261">
        <v>0.127</v>
      </c>
      <c r="AG13" s="211">
        <f t="shared" si="14"/>
        <v>5.6448234797979797</v>
      </c>
      <c r="AH13" s="215">
        <v>2.2786499999999998</v>
      </c>
      <c r="AI13" s="273" t="s">
        <v>318</v>
      </c>
      <c r="AJ13" s="214">
        <v>2235.3500979999999</v>
      </c>
      <c r="AK13" s="214" t="s">
        <v>412</v>
      </c>
    </row>
    <row r="14" spans="1:38" ht="15.75" customHeight="1" x14ac:dyDescent="0.25">
      <c r="A14" s="253"/>
      <c r="B14" s="227">
        <v>6</v>
      </c>
      <c r="C14" s="260" t="s">
        <v>413</v>
      </c>
      <c r="D14" s="52">
        <v>19.283605999999999</v>
      </c>
      <c r="E14" s="52">
        <v>28.259096</v>
      </c>
      <c r="F14" s="255">
        <f t="shared" si="13"/>
        <v>0.68238580597199572</v>
      </c>
      <c r="G14" s="275">
        <v>14968.87048</v>
      </c>
      <c r="H14" s="275">
        <v>11432.974389000001</v>
      </c>
      <c r="I14" s="256"/>
      <c r="J14" s="276">
        <v>18.808636</v>
      </c>
      <c r="K14" s="276">
        <v>18.131589999999999</v>
      </c>
      <c r="L14" s="256"/>
      <c r="M14" s="275">
        <v>2891.2396669999998</v>
      </c>
      <c r="N14" s="275">
        <v>3432.6345209999999</v>
      </c>
      <c r="O14" s="275">
        <v>3503.7602539999998</v>
      </c>
      <c r="P14" s="256"/>
      <c r="Q14" s="260">
        <v>1004</v>
      </c>
      <c r="R14" s="260">
        <v>1005</v>
      </c>
      <c r="S14" s="260">
        <v>1184</v>
      </c>
      <c r="T14" s="256"/>
      <c r="U14" s="257">
        <f t="shared" si="3"/>
        <v>3.9543502807787125</v>
      </c>
      <c r="V14" s="257">
        <f t="shared" si="4"/>
        <v>3.330670457066117</v>
      </c>
      <c r="W14" s="257">
        <f t="shared" si="5"/>
        <v>3.2630584172954666</v>
      </c>
      <c r="X14" s="254"/>
      <c r="Y14" s="257">
        <f t="shared" si="7"/>
        <v>11.387424690239044</v>
      </c>
      <c r="Z14" s="257">
        <f t="shared" si="8"/>
        <v>11.376093919402987</v>
      </c>
      <c r="AA14" s="257">
        <f t="shared" si="9"/>
        <v>9.6562283690878381</v>
      </c>
      <c r="AB14" s="254"/>
      <c r="AC14" s="59">
        <f t="shared" si="10"/>
        <v>0.29277803793315638</v>
      </c>
      <c r="AD14" s="258">
        <v>6.9000000000000006E-2</v>
      </c>
      <c r="AE14" s="59">
        <f t="shared" si="12"/>
        <v>0.21185396492417441</v>
      </c>
      <c r="AF14" s="259" t="s">
        <v>318</v>
      </c>
      <c r="AG14" s="257">
        <f t="shared" si="14"/>
        <v>0.26225099601593627</v>
      </c>
      <c r="AH14" s="277">
        <v>0.95505300000000004</v>
      </c>
      <c r="AI14" s="259" t="s">
        <v>318</v>
      </c>
      <c r="AJ14" s="275">
        <f>48.5+214.8</f>
        <v>263.3</v>
      </c>
      <c r="AK14" s="278" t="s">
        <v>414</v>
      </c>
    </row>
    <row r="15" spans="1:38" ht="15.75" customHeight="1" x14ac:dyDescent="0.25">
      <c r="A15" s="206"/>
      <c r="B15" s="207">
        <f t="shared" si="11"/>
        <v>7</v>
      </c>
      <c r="C15" s="214" t="s">
        <v>415</v>
      </c>
      <c r="D15" s="214">
        <v>21.466415000000001</v>
      </c>
      <c r="E15" s="214">
        <v>34.951388999999999</v>
      </c>
      <c r="F15" s="261">
        <f t="shared" si="13"/>
        <v>0.61417916752893575</v>
      </c>
      <c r="G15" s="214">
        <v>8978.0080099999996</v>
      </c>
      <c r="H15" s="214">
        <v>8296.7689969999992</v>
      </c>
      <c r="I15" s="208"/>
      <c r="J15" s="213">
        <v>26.784870000000002</v>
      </c>
      <c r="K15" s="213">
        <v>23.699997</v>
      </c>
      <c r="L15" s="208"/>
      <c r="M15" s="214">
        <v>1310.6057840000001</v>
      </c>
      <c r="N15" s="214">
        <v>1181.44165</v>
      </c>
      <c r="O15" s="214">
        <v>1316.3867190000001</v>
      </c>
      <c r="P15" s="208"/>
      <c r="Q15" s="214">
        <v>461</v>
      </c>
      <c r="R15" s="214">
        <v>514</v>
      </c>
      <c r="S15" s="214">
        <v>577</v>
      </c>
      <c r="T15" s="208"/>
      <c r="U15" s="211">
        <f t="shared" si="3"/>
        <v>6.3304840389747579</v>
      </c>
      <c r="V15" s="211">
        <f t="shared" si="4"/>
        <v>7.0225804185928267</v>
      </c>
      <c r="W15" s="211">
        <f t="shared" si="5"/>
        <v>6.3026836090405727</v>
      </c>
      <c r="X15" s="208"/>
      <c r="Y15" s="211">
        <f t="shared" si="7"/>
        <v>17.997329711496743</v>
      </c>
      <c r="Z15" s="211">
        <f t="shared" si="8"/>
        <v>16.141573924124511</v>
      </c>
      <c r="AA15" s="211">
        <f t="shared" si="9"/>
        <v>14.379149041594452</v>
      </c>
      <c r="AB15" s="208"/>
      <c r="AC15" s="210">
        <f t="shared" si="10"/>
        <v>0.43506168925058636</v>
      </c>
      <c r="AD15" s="261">
        <v>0.17699999999999999</v>
      </c>
      <c r="AE15" s="210">
        <f t="shared" si="12"/>
        <v>4.4108877517359257E-3</v>
      </c>
      <c r="AF15" s="261">
        <v>0.14699999999999999</v>
      </c>
      <c r="AG15" s="211">
        <f t="shared" si="14"/>
        <v>0</v>
      </c>
      <c r="AH15" s="215">
        <v>0.64294499999999999</v>
      </c>
      <c r="AI15" s="273" t="s">
        <v>318</v>
      </c>
      <c r="AJ15" s="214">
        <v>0</v>
      </c>
      <c r="AK15" s="214" t="s">
        <v>416</v>
      </c>
    </row>
    <row r="16" spans="1:38" ht="15.75" customHeight="1" x14ac:dyDescent="0.25">
      <c r="A16" s="253"/>
      <c r="B16" s="227">
        <f t="shared" si="11"/>
        <v>8</v>
      </c>
      <c r="C16" s="260" t="s">
        <v>417</v>
      </c>
      <c r="D16" s="52">
        <v>127.224846</v>
      </c>
      <c r="E16" s="52">
        <v>176.820358</v>
      </c>
      <c r="F16" s="255">
        <f t="shared" si="13"/>
        <v>0.71951469524793066</v>
      </c>
      <c r="G16" s="275">
        <v>17246.298728000002</v>
      </c>
      <c r="H16" s="275">
        <v>15636.301484</v>
      </c>
      <c r="I16" s="256"/>
      <c r="J16" s="276">
        <v>30.093422</v>
      </c>
      <c r="K16" s="276">
        <v>24.915915999999999</v>
      </c>
      <c r="L16" s="256"/>
      <c r="M16" s="275">
        <v>3100.2304760000002</v>
      </c>
      <c r="N16" s="275">
        <v>3044.6066890000002</v>
      </c>
      <c r="O16" s="275">
        <v>3334.1694339999999</v>
      </c>
      <c r="P16" s="256"/>
      <c r="Q16" s="260">
        <v>843</v>
      </c>
      <c r="R16" s="260">
        <v>999</v>
      </c>
      <c r="S16" s="260">
        <v>1167</v>
      </c>
      <c r="T16" s="256"/>
      <c r="U16" s="257">
        <f t="shared" si="3"/>
        <v>5.0435932441301494</v>
      </c>
      <c r="V16" s="257">
        <f t="shared" si="4"/>
        <v>5.1357377425771</v>
      </c>
      <c r="W16" s="257">
        <f t="shared" si="5"/>
        <v>4.6897141232685176</v>
      </c>
      <c r="X16" s="254"/>
      <c r="Y16" s="257">
        <f t="shared" si="7"/>
        <v>18.548400336892051</v>
      </c>
      <c r="Z16" s="257">
        <f t="shared" si="8"/>
        <v>15.651953437437436</v>
      </c>
      <c r="AA16" s="257">
        <f t="shared" si="9"/>
        <v>13.398715924592974</v>
      </c>
      <c r="AB16" s="254"/>
      <c r="AC16" s="59">
        <f t="shared" si="10"/>
        <v>0.32812119989400707</v>
      </c>
      <c r="AD16" s="258">
        <v>0.15833537</v>
      </c>
      <c r="AE16" s="59">
        <f t="shared" si="12"/>
        <v>7.5458569874403025E-2</v>
      </c>
      <c r="AF16" s="259">
        <v>0.01</v>
      </c>
      <c r="AG16" s="257">
        <f t="shared" si="14"/>
        <v>0.30218857058125742</v>
      </c>
      <c r="AH16" s="277">
        <v>0.55764000000000002</v>
      </c>
      <c r="AI16" s="259" t="s">
        <v>318</v>
      </c>
      <c r="AJ16" s="275">
        <v>254.74496500000001</v>
      </c>
      <c r="AK16" s="278" t="s">
        <v>418</v>
      </c>
    </row>
    <row r="17" spans="1:38" ht="15.75" customHeight="1" x14ac:dyDescent="0.25">
      <c r="A17" s="206"/>
      <c r="B17" s="207">
        <f t="shared" si="11"/>
        <v>9</v>
      </c>
      <c r="C17" s="214" t="s">
        <v>419</v>
      </c>
      <c r="D17" s="214">
        <v>644.85998500000005</v>
      </c>
      <c r="E17" s="214">
        <v>796.25</v>
      </c>
      <c r="F17" s="261">
        <f t="shared" si="13"/>
        <v>0.8098712527472528</v>
      </c>
      <c r="G17" s="274">
        <v>1710285.0424259999</v>
      </c>
      <c r="H17" s="274">
        <v>1679152.0424259999</v>
      </c>
      <c r="I17" s="208"/>
      <c r="J17" s="213">
        <v>21.692119999999999</v>
      </c>
      <c r="K17" s="213">
        <v>18.685644</v>
      </c>
      <c r="L17" s="208"/>
      <c r="M17" s="214">
        <v>200966</v>
      </c>
      <c r="N17" s="214">
        <v>250277.3125</v>
      </c>
      <c r="O17" s="214">
        <v>296432.03125</v>
      </c>
      <c r="P17" s="208"/>
      <c r="Q17" s="274">
        <v>101892</v>
      </c>
      <c r="R17" s="274">
        <v>117811</v>
      </c>
      <c r="S17" s="274">
        <v>144582</v>
      </c>
      <c r="T17" s="208"/>
      <c r="U17" s="211">
        <f t="shared" si="3"/>
        <v>8.3554036126807514</v>
      </c>
      <c r="V17" s="211">
        <f t="shared" si="4"/>
        <v>6.7091660272882301</v>
      </c>
      <c r="W17" s="211">
        <f t="shared" si="5"/>
        <v>5.6645431849767416</v>
      </c>
      <c r="X17" s="208"/>
      <c r="Y17" s="211">
        <f t="shared" si="7"/>
        <v>16.479724045322499</v>
      </c>
      <c r="Z17" s="211">
        <f t="shared" si="8"/>
        <v>14.252930901409885</v>
      </c>
      <c r="AA17" s="211">
        <f t="shared" si="9"/>
        <v>11.613838807223582</v>
      </c>
      <c r="AB17" s="208"/>
      <c r="AC17" s="210">
        <f t="shared" si="10"/>
        <v>0.47072185178590648</v>
      </c>
      <c r="AD17" s="261">
        <v>0.29711721000000002</v>
      </c>
      <c r="AE17" s="210">
        <f t="shared" si="12"/>
        <v>0.47503573365643947</v>
      </c>
      <c r="AF17" s="261">
        <v>0.188</v>
      </c>
      <c r="AG17" s="211">
        <f t="shared" si="14"/>
        <v>0.57653201428963996</v>
      </c>
      <c r="AH17" s="215">
        <v>1.3011619999999999</v>
      </c>
      <c r="AI17" s="273" t="s">
        <v>420</v>
      </c>
      <c r="AJ17" s="214">
        <v>58744</v>
      </c>
      <c r="AK17" s="214" t="s">
        <v>421</v>
      </c>
    </row>
    <row r="18" spans="1:38" ht="15.75" customHeight="1" x14ac:dyDescent="0.25">
      <c r="A18" s="253"/>
      <c r="B18" s="227">
        <v>10</v>
      </c>
      <c r="C18" s="260" t="s">
        <v>422</v>
      </c>
      <c r="D18" s="52">
        <v>13.121907</v>
      </c>
      <c r="E18" s="52">
        <v>21.307175000000001</v>
      </c>
      <c r="F18" s="255">
        <f t="shared" si="13"/>
        <v>0.61584452185707395</v>
      </c>
      <c r="G18" s="275">
        <v>1385.9755110000001</v>
      </c>
      <c r="H18" s="275">
        <v>1236.794265</v>
      </c>
      <c r="I18" s="256"/>
      <c r="J18" s="276">
        <v>19.657356</v>
      </c>
      <c r="K18" s="276">
        <v>16.967499</v>
      </c>
      <c r="L18" s="256"/>
      <c r="M18" s="275">
        <v>199.56291100000001</v>
      </c>
      <c r="N18" s="275">
        <v>235.052887</v>
      </c>
      <c r="O18" s="275">
        <v>252.94259600000001</v>
      </c>
      <c r="P18" s="256"/>
      <c r="Q18" s="260">
        <v>149.6</v>
      </c>
      <c r="R18" s="260">
        <v>152.80000000000001</v>
      </c>
      <c r="S18" s="260">
        <v>163.6</v>
      </c>
      <c r="T18" s="256"/>
      <c r="U18" s="257">
        <f t="shared" si="3"/>
        <v>6.1975156545997665</v>
      </c>
      <c r="V18" s="257">
        <f t="shared" si="4"/>
        <v>5.2617701521785607</v>
      </c>
      <c r="W18" s="257">
        <f t="shared" si="5"/>
        <v>4.8896243043223926</v>
      </c>
      <c r="X18" s="254"/>
      <c r="Y18" s="257">
        <f t="shared" si="7"/>
        <v>8.2673413435828884</v>
      </c>
      <c r="Z18" s="257">
        <f t="shared" si="8"/>
        <v>8.0942033049738207</v>
      </c>
      <c r="AA18" s="257">
        <f t="shared" si="9"/>
        <v>7.5598671454767725</v>
      </c>
      <c r="AB18" s="254"/>
      <c r="AC18" s="59">
        <f t="shared" si="10"/>
        <v>0.6500664678073067</v>
      </c>
      <c r="AD18" s="258">
        <v>3.6999999999999998E-2</v>
      </c>
      <c r="AE18" s="59">
        <f t="shared" si="12"/>
        <v>0.26748299437263667</v>
      </c>
      <c r="AF18" s="259">
        <v>2.5000000000000001E-2</v>
      </c>
      <c r="AG18" s="257" t="str">
        <f t="shared" si="14"/>
        <v>N/A</v>
      </c>
      <c r="AH18" s="277">
        <v>0.54058899999999999</v>
      </c>
      <c r="AI18" s="259" t="s">
        <v>318</v>
      </c>
      <c r="AJ18" s="275" t="s">
        <v>318</v>
      </c>
      <c r="AK18" s="278" t="s">
        <v>423</v>
      </c>
    </row>
    <row r="19" spans="1:38" ht="15.75" customHeight="1" x14ac:dyDescent="0.25">
      <c r="A19" s="206"/>
      <c r="B19" s="207">
        <v>11</v>
      </c>
      <c r="C19" s="214" t="s">
        <v>424</v>
      </c>
      <c r="D19" s="214">
        <v>408.959991</v>
      </c>
      <c r="E19" s="214">
        <v>555.45001200000002</v>
      </c>
      <c r="F19" s="261">
        <f t="shared" ref="F19" si="15">D19/E19</f>
        <v>0.73626785878978429</v>
      </c>
      <c r="G19" s="274">
        <v>3070319.9869209998</v>
      </c>
      <c r="H19" s="274">
        <v>3001537.9869209998</v>
      </c>
      <c r="I19" s="208"/>
      <c r="J19" s="213">
        <v>27.137122999999999</v>
      </c>
      <c r="K19" s="213">
        <v>23.032762999999999</v>
      </c>
      <c r="L19" s="208"/>
      <c r="M19" s="214">
        <v>305453</v>
      </c>
      <c r="N19" s="214">
        <v>327580.625</v>
      </c>
      <c r="O19" s="214">
        <v>378139.625</v>
      </c>
      <c r="P19" s="208"/>
      <c r="Q19" s="274">
        <v>184893</v>
      </c>
      <c r="R19" s="274">
        <v>226129</v>
      </c>
      <c r="S19" s="274">
        <v>251795</v>
      </c>
      <c r="T19" s="208"/>
      <c r="U19" s="211">
        <f t="shared" si="3"/>
        <v>9.8265133651363712</v>
      </c>
      <c r="V19" s="211">
        <f t="shared" si="4"/>
        <v>9.1627457726506254</v>
      </c>
      <c r="W19" s="211">
        <f t="shared" si="5"/>
        <v>7.9376446912195462</v>
      </c>
      <c r="X19" s="208"/>
      <c r="Y19" s="211">
        <f t="shared" si="7"/>
        <v>16.233919006782301</v>
      </c>
      <c r="Z19" s="211">
        <f t="shared" si="8"/>
        <v>13.273565031114982</v>
      </c>
      <c r="AA19" s="211">
        <f t="shared" si="9"/>
        <v>11.920562310296074</v>
      </c>
      <c r="AB19" s="208"/>
      <c r="AC19" s="210">
        <f t="shared" ref="AC19:AC20" si="16">R19/N19</f>
        <v>0.69030028866939241</v>
      </c>
      <c r="AD19" s="261">
        <v>0.184</v>
      </c>
      <c r="AE19" s="210">
        <f t="shared" si="12"/>
        <v>0.23796336915990346</v>
      </c>
      <c r="AF19" s="261">
        <v>8.8999999999999996E-2</v>
      </c>
      <c r="AG19" s="211">
        <f t="shared" si="14"/>
        <v>0.21775837917065546</v>
      </c>
      <c r="AH19" s="215">
        <v>0.98395100000000002</v>
      </c>
      <c r="AI19" s="273" t="s">
        <v>425</v>
      </c>
      <c r="AJ19" s="214">
        <v>40262</v>
      </c>
      <c r="AK19" s="214" t="s">
        <v>426</v>
      </c>
    </row>
    <row r="20" spans="1:38" ht="15.75" customHeight="1" x14ac:dyDescent="0.25">
      <c r="A20" s="253"/>
      <c r="B20" s="227">
        <v>12</v>
      </c>
      <c r="C20" s="260" t="s">
        <v>427</v>
      </c>
      <c r="D20" s="52">
        <v>66.349625000000003</v>
      </c>
      <c r="E20" s="52">
        <v>87.761002000000005</v>
      </c>
      <c r="F20" s="255">
        <f t="shared" si="13"/>
        <v>0.75602629286297351</v>
      </c>
      <c r="G20" s="275">
        <v>608103.21251800004</v>
      </c>
      <c r="H20" s="275">
        <v>570127.24480700004</v>
      </c>
      <c r="I20" s="256"/>
      <c r="J20" s="276">
        <v>16.633917</v>
      </c>
      <c r="K20" s="276">
        <v>14.686445000000001</v>
      </c>
      <c r="L20" s="256"/>
      <c r="M20" s="275">
        <v>101189.549587</v>
      </c>
      <c r="N20" s="275">
        <v>108950.523438</v>
      </c>
      <c r="O20" s="275">
        <v>120478.65625</v>
      </c>
      <c r="P20" s="256"/>
      <c r="Q20" s="260">
        <v>36499</v>
      </c>
      <c r="R20" s="260">
        <v>42872</v>
      </c>
      <c r="S20" s="260">
        <v>49466</v>
      </c>
      <c r="T20" s="256"/>
      <c r="U20" s="257">
        <f t="shared" si="3"/>
        <v>5.6342502475200789</v>
      </c>
      <c r="V20" s="257">
        <f t="shared" si="4"/>
        <v>5.2329004654249305</v>
      </c>
      <c r="W20" s="257">
        <f t="shared" si="5"/>
        <v>4.7321846254987596</v>
      </c>
      <c r="X20" s="254"/>
      <c r="Y20" s="257">
        <f t="shared" si="7"/>
        <v>15.620352470122469</v>
      </c>
      <c r="Z20" s="257">
        <f t="shared" si="8"/>
        <v>13.298358947728122</v>
      </c>
      <c r="AA20" s="257">
        <f t="shared" si="9"/>
        <v>11.525638717644444</v>
      </c>
      <c r="AB20" s="254"/>
      <c r="AC20" s="59">
        <f t="shared" si="16"/>
        <v>0.39349971571634512</v>
      </c>
      <c r="AD20" s="258">
        <v>0.13200000000000001</v>
      </c>
      <c r="AE20" s="59">
        <f t="shared" si="12"/>
        <v>0.1906235055075105</v>
      </c>
      <c r="AF20" s="259">
        <v>0.14399999999999999</v>
      </c>
      <c r="AG20" s="257">
        <f t="shared" si="14"/>
        <v>1.5046245916052494</v>
      </c>
      <c r="AH20" s="277">
        <v>1.214202</v>
      </c>
      <c r="AI20" s="259" t="s">
        <v>428</v>
      </c>
      <c r="AJ20" s="275">
        <v>54917.292969000002</v>
      </c>
      <c r="AK20" s="278" t="s">
        <v>429</v>
      </c>
    </row>
    <row r="21" spans="1:38" ht="15.75" customHeight="1" x14ac:dyDescent="0.25">
      <c r="A21" s="206"/>
      <c r="B21" s="207">
        <v>13</v>
      </c>
      <c r="C21" s="214" t="s">
        <v>430</v>
      </c>
      <c r="D21" s="214">
        <v>55.077888000000002</v>
      </c>
      <c r="E21" s="214">
        <v>99.996619999999993</v>
      </c>
      <c r="F21" s="261">
        <f t="shared" si="13"/>
        <v>0.55079749695539715</v>
      </c>
      <c r="G21" s="214">
        <v>64123.795631000001</v>
      </c>
      <c r="H21" s="214">
        <v>49601.727635000003</v>
      </c>
      <c r="I21" s="208"/>
      <c r="J21" s="213">
        <v>26.546236</v>
      </c>
      <c r="K21" s="213">
        <v>22.068591999999999</v>
      </c>
      <c r="L21" s="208"/>
      <c r="M21" s="214">
        <v>14134.984919</v>
      </c>
      <c r="N21" s="214">
        <v>14895.770508</v>
      </c>
      <c r="O21" s="214">
        <v>16521.814452999999</v>
      </c>
      <c r="P21" s="208"/>
      <c r="Q21" s="214">
        <v>2374</v>
      </c>
      <c r="R21" s="214">
        <v>3071</v>
      </c>
      <c r="S21" s="214">
        <v>3947</v>
      </c>
      <c r="T21" s="208"/>
      <c r="U21" s="211">
        <f t="shared" si="3"/>
        <v>3.5091461306284257</v>
      </c>
      <c r="V21" s="211">
        <f t="shared" si="4"/>
        <v>3.329920235301735</v>
      </c>
      <c r="W21" s="211">
        <f t="shared" si="5"/>
        <v>3.0021961435351563</v>
      </c>
      <c r="X21" s="208"/>
      <c r="Y21" s="211">
        <f t="shared" si="7"/>
        <v>20.893735313816347</v>
      </c>
      <c r="Z21" s="211">
        <f t="shared" si="8"/>
        <v>16.15165341419733</v>
      </c>
      <c r="AA21" s="211">
        <f t="shared" si="9"/>
        <v>12.566943915632127</v>
      </c>
      <c r="AB21" s="208"/>
      <c r="AC21" s="210">
        <f t="shared" si="10"/>
        <v>0.2061659044995808</v>
      </c>
      <c r="AD21" s="261">
        <v>0.109</v>
      </c>
      <c r="AE21" s="210">
        <f t="shared" si="12"/>
        <v>0.16885971564013946</v>
      </c>
      <c r="AF21" s="261" t="s">
        <v>318</v>
      </c>
      <c r="AG21" s="211">
        <f t="shared" si="14"/>
        <v>1.5417017691659646E-2</v>
      </c>
      <c r="AH21" s="215">
        <v>0.70106500000000005</v>
      </c>
      <c r="AI21" s="273" t="s">
        <v>318</v>
      </c>
      <c r="AJ21" s="214">
        <v>36.6</v>
      </c>
      <c r="AK21" s="214" t="s">
        <v>431</v>
      </c>
    </row>
    <row r="22" spans="1:38" ht="15.75" customHeight="1" x14ac:dyDescent="0.25">
      <c r="A22" s="73"/>
      <c r="B22" s="13"/>
      <c r="D22" s="164"/>
      <c r="E22" s="164"/>
      <c r="F22" s="59"/>
      <c r="G22" s="1"/>
      <c r="H22" s="1"/>
      <c r="J22" s="190"/>
      <c r="K22" s="190"/>
      <c r="M22" s="1"/>
      <c r="N22" s="1"/>
      <c r="O22" s="1"/>
      <c r="Q22" s="1"/>
      <c r="R22" s="1"/>
      <c r="S22" s="1"/>
      <c r="U22" s="76"/>
      <c r="V22" s="76"/>
      <c r="W22" s="76"/>
      <c r="Y22" s="76"/>
      <c r="Z22" s="76"/>
      <c r="AA22" s="76"/>
      <c r="AC22" s="59"/>
      <c r="AD22" s="56"/>
      <c r="AE22" s="202"/>
      <c r="AF22" s="163"/>
      <c r="AG22" s="76"/>
      <c r="AI22" s="67"/>
      <c r="AL22" s="187"/>
    </row>
    <row r="23" spans="1:38" ht="15.75" customHeight="1" thickBot="1" x14ac:dyDescent="0.3">
      <c r="A23" s="129"/>
      <c r="B23" s="129"/>
      <c r="C23" s="129"/>
      <c r="D23" s="65"/>
      <c r="E23" s="65"/>
      <c r="F23" s="65"/>
      <c r="G23" s="65"/>
      <c r="H23" s="65"/>
      <c r="I23" s="65"/>
      <c r="J23" s="304" t="str">
        <f>J7</f>
        <v>P/E</v>
      </c>
      <c r="K23" s="305"/>
      <c r="L23" s="65"/>
      <c r="M23" s="65"/>
      <c r="N23" s="65"/>
      <c r="O23" s="65"/>
      <c r="P23" s="65"/>
      <c r="Q23" s="65"/>
      <c r="R23" s="65"/>
      <c r="S23" s="65"/>
      <c r="T23" s="65"/>
      <c r="U23" s="130"/>
      <c r="V23" s="130" t="str">
        <f>V7</f>
        <v>EV / Revenue</v>
      </c>
      <c r="W23" s="130"/>
      <c r="X23" s="72"/>
      <c r="Y23" s="130"/>
      <c r="Z23" s="130" t="str">
        <f>Z7</f>
        <v>GAAP EV / EBITDA</v>
      </c>
      <c r="AA23" s="130"/>
      <c r="AB23" s="72"/>
      <c r="AC23" s="65" t="str">
        <f>AC7</f>
        <v>GAAP EBITDA</v>
      </c>
      <c r="AD23" s="65" t="str">
        <f>AE7</f>
        <v>2 year fwd</v>
      </c>
      <c r="AE23" s="65" t="str">
        <f>AF7</f>
        <v>5 Yr fwd</v>
      </c>
      <c r="AL23" s="187"/>
    </row>
    <row r="24" spans="1:38" ht="15.75" customHeight="1" x14ac:dyDescent="0.25">
      <c r="A24" s="129"/>
      <c r="B24" s="129"/>
      <c r="C24" s="65" t="s">
        <v>396</v>
      </c>
      <c r="D24" s="65"/>
      <c r="E24" s="65"/>
      <c r="F24" s="65"/>
      <c r="G24" s="65"/>
      <c r="H24" s="65"/>
      <c r="I24" s="65"/>
      <c r="J24" s="65" t="str">
        <f>J8</f>
        <v>2026e</v>
      </c>
      <c r="K24" s="65" t="str">
        <f>K8</f>
        <v>2027e</v>
      </c>
      <c r="L24" s="65"/>
      <c r="M24" s="65"/>
      <c r="N24" s="65"/>
      <c r="O24" s="65"/>
      <c r="P24" s="65"/>
      <c r="Q24" s="65"/>
      <c r="R24" s="65"/>
      <c r="S24" s="65"/>
      <c r="T24" s="65"/>
      <c r="U24" s="65" t="str">
        <f>U8</f>
        <v>LTM</v>
      </c>
      <c r="V24" s="65" t="str">
        <f>V8</f>
        <v>2026e</v>
      </c>
      <c r="W24" s="65" t="str">
        <f>W8</f>
        <v>2027e</v>
      </c>
      <c r="X24" s="65"/>
      <c r="Y24" s="65" t="str">
        <f>Y8</f>
        <v>LTM</v>
      </c>
      <c r="Z24" s="65" t="str">
        <f>Z8</f>
        <v>2026e</v>
      </c>
      <c r="AA24" s="65" t="str">
        <f>AA8</f>
        <v>2027e</v>
      </c>
      <c r="AB24" s="65"/>
      <c r="AC24" s="65" t="str">
        <f>AC8</f>
        <v>Margin CY1</v>
      </c>
      <c r="AD24" s="65" t="str">
        <f>AE8</f>
        <v>Rev CAGR</v>
      </c>
      <c r="AE24" s="65" t="str">
        <f>AF8</f>
        <v>EPS CAGR</v>
      </c>
    </row>
    <row r="25" spans="1:38" ht="15.75" customHeight="1" x14ac:dyDescent="0.25">
      <c r="A25" s="69"/>
      <c r="B25" s="53">
        <v>1</v>
      </c>
      <c r="C25" s="217" t="str">
        <f ca="1">OFFSET(C$8,$B25,0)</f>
        <v>Electronic Arts</v>
      </c>
      <c r="D25" s="217"/>
      <c r="E25" s="217"/>
      <c r="F25" s="217"/>
      <c r="G25" s="217"/>
      <c r="H25" s="217"/>
      <c r="I25" s="217"/>
      <c r="J25" s="218">
        <f t="shared" ref="J25:K25" ca="1" si="17">OFFSET(J$8,$B25,0)</f>
        <v>21.96498905908096</v>
      </c>
      <c r="K25" s="218">
        <f t="shared" ca="1" si="17"/>
        <v>20.278507285079769</v>
      </c>
      <c r="L25" s="217"/>
      <c r="M25" s="217"/>
      <c r="N25" s="217"/>
      <c r="O25" s="217"/>
      <c r="P25" s="217"/>
      <c r="Q25" s="217"/>
      <c r="R25" s="217"/>
      <c r="S25" s="217"/>
      <c r="T25" s="217"/>
      <c r="U25" s="218">
        <f t="shared" ref="U25:W25" ca="1" si="18">OFFSET(U$8,$B25,0)</f>
        <v>6.9795233728278134</v>
      </c>
      <c r="V25" s="218">
        <f t="shared" ca="1" si="18"/>
        <v>6.0951945687162334</v>
      </c>
      <c r="W25" s="218">
        <f t="shared" ca="1" si="18"/>
        <v>5.8137405223576417</v>
      </c>
      <c r="X25" s="217"/>
      <c r="Y25" s="218">
        <f t="shared" ref="Y25:AA25" ca="1" si="19">OFFSET(Y$8,$B25,0)</f>
        <v>38.92549447471756</v>
      </c>
      <c r="Z25" s="218">
        <f t="shared" ca="1" si="19"/>
        <v>25.082509275896452</v>
      </c>
      <c r="AA25" s="218">
        <f t="shared" ca="1" si="19"/>
        <v>21.847129673900675</v>
      </c>
      <c r="AB25" s="217"/>
      <c r="AC25" s="220">
        <f t="shared" ref="AC25:AE25" ca="1" si="20">OFFSET(AC$8,$B25,0)</f>
        <v>0.24300577353213759</v>
      </c>
      <c r="AD25" s="220">
        <f t="shared" ca="1" si="20"/>
        <v>0.15113684006211181</v>
      </c>
      <c r="AE25" s="220">
        <f t="shared" ca="1" si="20"/>
        <v>0.2005219954325399</v>
      </c>
    </row>
    <row r="26" spans="1:38" ht="15.75" customHeight="1" x14ac:dyDescent="0.25">
      <c r="A26" s="69" t="s">
        <v>432</v>
      </c>
    </row>
    <row r="27" spans="1:38" ht="15.75" customHeight="1" x14ac:dyDescent="0.25">
      <c r="A27" s="69"/>
      <c r="B27" s="53">
        <v>12</v>
      </c>
      <c r="C27" t="str">
        <f t="shared" ref="C27:C30" ca="1" si="21">OFFSET(C$8,$B27,0)</f>
        <v>Tencent Holdings</v>
      </c>
      <c r="J27" s="60">
        <f t="shared" ref="J27:K30" ca="1" si="22">OFFSET(J$8,$B27,0)</f>
        <v>16.633917</v>
      </c>
      <c r="K27" s="60">
        <f t="shared" ca="1" si="22"/>
        <v>14.686445000000001</v>
      </c>
      <c r="U27" s="60">
        <f t="shared" ref="U27:W30" ca="1" si="23">OFFSET(U$8,$B27,0)</f>
        <v>5.6342502475200789</v>
      </c>
      <c r="V27" s="60">
        <f t="shared" ca="1" si="23"/>
        <v>5.2329004654249305</v>
      </c>
      <c r="W27" s="60">
        <f t="shared" ca="1" si="23"/>
        <v>4.7321846254987596</v>
      </c>
      <c r="X27" s="60"/>
      <c r="Y27" s="60">
        <f t="shared" ref="Y27:AA30" ca="1" si="24">OFFSET(Y$8,$B27,0)</f>
        <v>15.620352470122469</v>
      </c>
      <c r="Z27" s="60">
        <f t="shared" ca="1" si="24"/>
        <v>13.298358947728122</v>
      </c>
      <c r="AA27" s="60">
        <f t="shared" ca="1" si="24"/>
        <v>11.525638717644444</v>
      </c>
      <c r="AC27" s="59">
        <f t="shared" ref="AC27:AE30" ca="1" si="25">OFFSET(AC$8,$B27,0)</f>
        <v>0.39349971571634512</v>
      </c>
      <c r="AD27" s="59">
        <f t="shared" ca="1" si="25"/>
        <v>0.13200000000000001</v>
      </c>
      <c r="AE27" s="59">
        <f t="shared" ca="1" si="25"/>
        <v>0.1906235055075105</v>
      </c>
    </row>
    <row r="28" spans="1:38" ht="15.75" customHeight="1" x14ac:dyDescent="0.25">
      <c r="A28" s="69"/>
      <c r="B28" s="53">
        <v>4</v>
      </c>
      <c r="C28" t="str">
        <f t="shared" ca="1" si="21"/>
        <v>Take-Two Interactive</v>
      </c>
      <c r="J28" s="60">
        <f t="shared" ca="1" si="22"/>
        <v>59.408214999999998</v>
      </c>
      <c r="K28" s="60">
        <f t="shared" ca="1" si="22"/>
        <v>30.293751</v>
      </c>
      <c r="U28" s="60">
        <f t="shared" ca="1" si="23"/>
        <v>6.4268413893674436</v>
      </c>
      <c r="V28" s="60">
        <f t="shared" ca="1" si="23"/>
        <v>6.3119932182062595</v>
      </c>
      <c r="W28" s="60">
        <f t="shared" ca="1" si="23"/>
        <v>4.6173272945382289</v>
      </c>
      <c r="X28" s="60"/>
      <c r="Y28" s="60">
        <f t="shared" ca="1" si="24"/>
        <v>75.14134644741533</v>
      </c>
      <c r="Z28" s="60">
        <f t="shared" ca="1" si="24"/>
        <v>33.913351051488334</v>
      </c>
      <c r="AA28" s="60">
        <f t="shared" ca="1" si="24"/>
        <v>19.800044789572571</v>
      </c>
      <c r="AC28" s="59">
        <f t="shared" ca="1" si="25"/>
        <v>0.18612118892713342</v>
      </c>
      <c r="AD28" s="59">
        <f t="shared" ca="1" si="25"/>
        <v>3.7999999999999999E-2</v>
      </c>
      <c r="AE28" s="59">
        <f t="shared" ca="1" si="25"/>
        <v>0.39189643258983686</v>
      </c>
    </row>
    <row r="29" spans="1:38" ht="15.75" customHeight="1" x14ac:dyDescent="0.25">
      <c r="A29" s="69"/>
      <c r="B29" s="53">
        <v>7</v>
      </c>
      <c r="C29" t="str">
        <f t="shared" ca="1" si="21"/>
        <v>Capcom</v>
      </c>
      <c r="J29" s="60">
        <f t="shared" ca="1" si="22"/>
        <v>26.784870000000002</v>
      </c>
      <c r="K29" s="60">
        <f t="shared" ca="1" si="22"/>
        <v>23.699997</v>
      </c>
      <c r="U29" s="60">
        <f t="shared" ca="1" si="23"/>
        <v>6.3304840389747579</v>
      </c>
      <c r="V29" s="60">
        <f t="shared" ca="1" si="23"/>
        <v>7.0225804185928267</v>
      </c>
      <c r="W29" s="60">
        <f t="shared" ca="1" si="23"/>
        <v>6.3026836090405727</v>
      </c>
      <c r="X29" s="60"/>
      <c r="Y29" s="60">
        <f t="shared" ca="1" si="24"/>
        <v>17.997329711496743</v>
      </c>
      <c r="Z29" s="60">
        <f t="shared" ca="1" si="24"/>
        <v>16.141573924124511</v>
      </c>
      <c r="AA29" s="60">
        <f t="shared" ca="1" si="24"/>
        <v>14.379149041594452</v>
      </c>
      <c r="AC29" s="59">
        <f t="shared" ca="1" si="25"/>
        <v>0.43506168925058636</v>
      </c>
      <c r="AD29" s="59">
        <f t="shared" ca="1" si="25"/>
        <v>0.17699999999999999</v>
      </c>
      <c r="AE29" s="59">
        <f t="shared" ca="1" si="25"/>
        <v>4.4108877517359257E-3</v>
      </c>
    </row>
    <row r="30" spans="1:38" ht="15.75" customHeight="1" x14ac:dyDescent="0.25">
      <c r="A30" s="69"/>
      <c r="B30" s="53">
        <v>6</v>
      </c>
      <c r="C30" t="str">
        <f t="shared" ca="1" si="21"/>
        <v>NEXON</v>
      </c>
      <c r="J30" s="60">
        <f t="shared" ca="1" si="22"/>
        <v>18.808636</v>
      </c>
      <c r="K30" s="60">
        <f t="shared" ca="1" si="22"/>
        <v>18.131589999999999</v>
      </c>
      <c r="U30" s="60">
        <f t="shared" ca="1" si="23"/>
        <v>3.9543502807787125</v>
      </c>
      <c r="V30" s="60">
        <f t="shared" ca="1" si="23"/>
        <v>3.330670457066117</v>
      </c>
      <c r="W30" s="60">
        <f t="shared" ca="1" si="23"/>
        <v>3.2630584172954666</v>
      </c>
      <c r="X30" s="60"/>
      <c r="Y30" s="60">
        <f t="shared" ca="1" si="24"/>
        <v>11.387424690239044</v>
      </c>
      <c r="Z30" s="60">
        <f t="shared" ca="1" si="24"/>
        <v>11.376093919402987</v>
      </c>
      <c r="AA30" s="60">
        <f t="shared" ca="1" si="24"/>
        <v>9.6562283690878381</v>
      </c>
      <c r="AC30" s="59">
        <f t="shared" ca="1" si="25"/>
        <v>0.29277803793315638</v>
      </c>
      <c r="AD30" s="59">
        <f t="shared" ca="1" si="25"/>
        <v>6.9000000000000006E-2</v>
      </c>
      <c r="AE30" s="59">
        <f t="shared" ca="1" si="25"/>
        <v>0.21185396492417441</v>
      </c>
    </row>
    <row r="31" spans="1:38" ht="15.75" customHeight="1" x14ac:dyDescent="0.25">
      <c r="A31" s="69"/>
      <c r="C31" s="191" t="s">
        <v>433</v>
      </c>
      <c r="D31" s="191"/>
      <c r="E31" s="191"/>
      <c r="F31" s="191"/>
      <c r="G31" s="191"/>
      <c r="H31" s="191"/>
      <c r="I31" s="191"/>
      <c r="J31" s="192"/>
      <c r="K31" s="192"/>
      <c r="L31" s="191"/>
      <c r="M31" s="191"/>
      <c r="N31" s="191"/>
      <c r="O31" s="191"/>
      <c r="P31" s="191"/>
      <c r="Q31" s="191"/>
      <c r="R31" s="191"/>
      <c r="S31" s="191"/>
      <c r="T31" s="191"/>
      <c r="U31" s="192"/>
      <c r="V31" s="272">
        <f ca="1">AVERAGE(V27:V30)</f>
        <v>5.4745361398225336</v>
      </c>
      <c r="W31" s="272">
        <f ca="1">AVERAGE(W27:W30)</f>
        <v>4.728813486593257</v>
      </c>
      <c r="X31" s="191"/>
      <c r="Y31" s="192"/>
      <c r="Z31" s="192">
        <f ca="1">AVERAGE(Z27:Z30)</f>
        <v>18.682344460685989</v>
      </c>
      <c r="AA31" s="192">
        <f ca="1">AVERAGE(AA27:AA30)</f>
        <v>13.840265229474827</v>
      </c>
      <c r="AB31" s="191"/>
      <c r="AC31" s="59"/>
      <c r="AD31" s="59"/>
      <c r="AE31" s="59"/>
    </row>
    <row r="32" spans="1:38" ht="15.75" customHeight="1" x14ac:dyDescent="0.25">
      <c r="A32" s="69"/>
      <c r="C32" s="191" t="s">
        <v>434</v>
      </c>
      <c r="D32" s="191"/>
      <c r="E32" s="191"/>
      <c r="F32" s="191"/>
      <c r="G32" s="191"/>
      <c r="H32" s="191"/>
      <c r="I32" s="191"/>
      <c r="J32" s="192"/>
      <c r="K32" s="192"/>
      <c r="L32" s="191"/>
      <c r="M32" s="191"/>
      <c r="N32" s="191"/>
      <c r="O32" s="191"/>
      <c r="P32" s="191"/>
      <c r="Q32" s="191"/>
      <c r="R32" s="191"/>
      <c r="S32" s="191"/>
      <c r="T32" s="191"/>
      <c r="U32" s="192"/>
      <c r="V32" s="272">
        <f ca="1">MEDIAN(V27:V30)</f>
        <v>5.7724468418155954</v>
      </c>
      <c r="W32" s="272">
        <f ca="1">MEDIAN(W27:W30)</f>
        <v>4.6747559600184942</v>
      </c>
      <c r="X32" s="191"/>
      <c r="Y32" s="192"/>
      <c r="Z32" s="192">
        <f ca="1">MEDIAN(Z27:Z30)</f>
        <v>14.719966435926317</v>
      </c>
      <c r="AA32" s="192">
        <f ca="1">MEDIAN(AA27:AA30)</f>
        <v>12.952393879619448</v>
      </c>
      <c r="AB32" s="191"/>
      <c r="AC32" s="59"/>
      <c r="AD32" s="59"/>
      <c r="AE32" s="59"/>
    </row>
    <row r="33" spans="1:38" ht="15.75" customHeight="1" x14ac:dyDescent="0.25">
      <c r="A33" s="69"/>
      <c r="AK33" s="44"/>
    </row>
    <row r="34" spans="1:38" ht="15.75" customHeight="1" x14ac:dyDescent="0.25">
      <c r="A34" s="69"/>
      <c r="C34" t="str">
        <f>"Target "&amp;J8&amp;" "&amp;K8&amp;" revenue/EBITDA"</f>
        <v>Target 2026e 2027e revenue/EBITDA</v>
      </c>
      <c r="D34" s="44"/>
      <c r="F34" s="44"/>
      <c r="I34" s="44"/>
      <c r="L34" s="44"/>
      <c r="M34" s="44"/>
      <c r="V34">
        <f>'1'!SALES_CY1</f>
        <v>8366</v>
      </c>
      <c r="W34">
        <f>'1'!SALES_CY2</f>
        <v>8771.0136986301368</v>
      </c>
      <c r="X34" s="44"/>
      <c r="Y34" s="44"/>
      <c r="Z34">
        <f>'1'!EBITDA_CY1</f>
        <v>2032.986301369863</v>
      </c>
      <c r="AA34">
        <f>'1'!EBITDA_CY2</f>
        <v>2334.0547945205481</v>
      </c>
      <c r="AB34" s="44"/>
      <c r="AC34" s="44"/>
      <c r="AD34" s="44"/>
      <c r="AG34" s="44"/>
      <c r="AI34" s="44"/>
      <c r="AJ34" s="44"/>
      <c r="AK34" s="44"/>
      <c r="AL34" s="44"/>
    </row>
    <row r="35" spans="1:38" ht="15.75" customHeight="1" x14ac:dyDescent="0.25">
      <c r="A35" s="69"/>
      <c r="C35" t="s">
        <v>435</v>
      </c>
      <c r="D35" s="44"/>
      <c r="F35" s="44"/>
      <c r="I35" s="44"/>
      <c r="L35" s="44"/>
      <c r="M35" s="44"/>
      <c r="V35">
        <f ca="1">V32*V34</f>
        <v>48292.290278629269</v>
      </c>
      <c r="W35">
        <f ca="1">W32*W34</f>
        <v>41002.348563075087</v>
      </c>
      <c r="X35" s="44"/>
      <c r="Y35" s="44"/>
      <c r="Z35">
        <f ca="1">Z32*Z34</f>
        <v>29925.490120862367</v>
      </c>
      <c r="AA35">
        <f ca="1">AA32*AA34</f>
        <v>30231.597035244376</v>
      </c>
      <c r="AB35" s="44"/>
      <c r="AC35" s="44"/>
      <c r="AD35" s="44"/>
      <c r="AG35" s="44"/>
      <c r="AI35" s="44"/>
      <c r="AJ35" s="44"/>
      <c r="AK35" s="44"/>
      <c r="AL35" s="44"/>
    </row>
    <row r="36" spans="1:38" ht="15.75" customHeight="1" x14ac:dyDescent="0.25">
      <c r="A36" s="69"/>
      <c r="C36" t="s">
        <v>436</v>
      </c>
      <c r="D36" s="44"/>
      <c r="F36" s="44"/>
      <c r="I36" s="44"/>
      <c r="L36" s="44"/>
      <c r="M36" s="44"/>
      <c r="V36">
        <f>'1'!G37-'1'!J37</f>
        <v>-1000</v>
      </c>
      <c r="W36">
        <f>'1'!G37-'1'!J37</f>
        <v>-1000</v>
      </c>
      <c r="X36" s="44"/>
      <c r="Y36" s="44"/>
      <c r="Z36">
        <f>V36</f>
        <v>-1000</v>
      </c>
      <c r="AA36">
        <f>V36</f>
        <v>-1000</v>
      </c>
      <c r="AB36" s="44"/>
      <c r="AC36" s="44"/>
      <c r="AD36" s="44"/>
      <c r="AG36" s="44"/>
      <c r="AI36" s="44"/>
      <c r="AJ36" s="44"/>
      <c r="AK36" s="44"/>
      <c r="AL36" s="44"/>
    </row>
    <row r="37" spans="1:38" ht="15.75" customHeight="1" x14ac:dyDescent="0.25">
      <c r="A37" s="69"/>
      <c r="C37" t="s">
        <v>437</v>
      </c>
      <c r="D37" s="44"/>
      <c r="F37" s="44"/>
      <c r="I37" s="44"/>
      <c r="L37" s="44"/>
      <c r="M37" s="44"/>
      <c r="V37">
        <f ca="1">V35-V36</f>
        <v>49292.290278629269</v>
      </c>
      <c r="W37">
        <f ca="1">W35-W36</f>
        <v>42002.348563075087</v>
      </c>
      <c r="X37" s="44"/>
      <c r="Y37" s="44"/>
      <c r="Z37">
        <f ca="1">Z35-Z36</f>
        <v>30925.490120862367</v>
      </c>
      <c r="AA37">
        <f ca="1">AA35-AA36</f>
        <v>31231.597035244376</v>
      </c>
      <c r="AB37" s="44"/>
      <c r="AC37" s="44"/>
      <c r="AD37" s="44"/>
      <c r="AG37" s="44"/>
      <c r="AI37" s="44"/>
      <c r="AJ37" s="44"/>
      <c r="AK37" s="44"/>
      <c r="AL37" s="44"/>
    </row>
    <row r="38" spans="1:38" ht="15.75" customHeight="1" x14ac:dyDescent="0.25">
      <c r="A38" s="69"/>
      <c r="C38" t="s">
        <v>438</v>
      </c>
      <c r="D38" s="44"/>
      <c r="I38" s="44"/>
      <c r="L38" s="44"/>
      <c r="M38" s="44"/>
      <c r="N38" s="44"/>
      <c r="O38" s="44"/>
      <c r="P38" s="44"/>
      <c r="Q38" s="44"/>
      <c r="R38" s="44"/>
      <c r="S38" s="44"/>
      <c r="T38" s="44"/>
      <c r="V38">
        <f ca="1">V37/'1'!DSO</f>
        <v>190.33398385779282</v>
      </c>
      <c r="W38">
        <f ca="1">W37/'1'!DSO</f>
        <v>162.18508590702945</v>
      </c>
      <c r="X38" s="44"/>
      <c r="Y38" s="44"/>
      <c r="Z38">
        <f ca="1">Z37/'1'!DSO</f>
        <v>119.41363860730378</v>
      </c>
      <c r="AA38">
        <f ca="1">AA37/'1'!DSO</f>
        <v>120.59561956561207</v>
      </c>
      <c r="AB38" s="44"/>
      <c r="AC38" s="44"/>
      <c r="AD38" s="44"/>
      <c r="AE38" s="44"/>
      <c r="AF38" s="44"/>
      <c r="AJ38" s="44"/>
      <c r="AL38" s="44"/>
    </row>
    <row r="39" spans="1:38" ht="15.75" customHeight="1" x14ac:dyDescent="0.25">
      <c r="A39" s="69" t="s">
        <v>137</v>
      </c>
    </row>
    <row r="40" spans="1:38" ht="15.75" customHeight="1" x14ac:dyDescent="0.25">
      <c r="A40" s="69" t="s">
        <v>32</v>
      </c>
      <c r="B40" s="44"/>
      <c r="H40" s="44"/>
      <c r="J40" s="44"/>
      <c r="K40" s="44"/>
    </row>
    <row r="41" spans="1:38" ht="15.75" customHeight="1" x14ac:dyDescent="0.25">
      <c r="A41" s="69"/>
      <c r="B41">
        <v>1</v>
      </c>
      <c r="C41" t="s">
        <v>439</v>
      </c>
      <c r="H41" s="44"/>
      <c r="J41" s="44"/>
      <c r="K41" s="44"/>
    </row>
    <row r="42" spans="1:38" ht="15.75" customHeight="1" x14ac:dyDescent="0.25">
      <c r="A42" s="69"/>
      <c r="B42">
        <v>2</v>
      </c>
      <c r="C42" t="s">
        <v>440</v>
      </c>
      <c r="H42" s="44"/>
      <c r="J42" s="44"/>
      <c r="K42" s="44"/>
    </row>
    <row r="43" spans="1:38" ht="15.75" customHeight="1" x14ac:dyDescent="0.25">
      <c r="A43" s="69"/>
      <c r="B43">
        <v>3</v>
      </c>
      <c r="C43" t="s">
        <v>441</v>
      </c>
      <c r="H43" s="44"/>
      <c r="J43" s="44"/>
      <c r="K43" s="44"/>
    </row>
    <row r="44" spans="1:38" ht="15.75" customHeight="1" x14ac:dyDescent="0.25">
      <c r="A44" s="69"/>
      <c r="B44">
        <v>4</v>
      </c>
      <c r="C44" t="s">
        <v>442</v>
      </c>
      <c r="H44" s="44"/>
      <c r="J44" s="44"/>
      <c r="K44" s="44"/>
    </row>
    <row r="45" spans="1:38" ht="15.75" customHeight="1" x14ac:dyDescent="0.25">
      <c r="A45" s="69"/>
      <c r="B45">
        <v>5</v>
      </c>
      <c r="C45" t="s">
        <v>443</v>
      </c>
      <c r="E45" s="69"/>
      <c r="H45" s="44"/>
      <c r="J45" s="44"/>
      <c r="K45" s="44"/>
    </row>
    <row r="46" spans="1:38" ht="15.75" customHeight="1" x14ac:dyDescent="0.25">
      <c r="A46" s="69"/>
      <c r="E46" s="69"/>
      <c r="H46" s="44"/>
      <c r="J46" s="44"/>
      <c r="K46" s="44"/>
    </row>
    <row r="47" spans="1:38" ht="15.75" customHeight="1" x14ac:dyDescent="0.25">
      <c r="A47" s="69" t="s">
        <v>137</v>
      </c>
    </row>
    <row r="48" spans="1:38" ht="15.75" customHeight="1" x14ac:dyDescent="0.25"/>
    <row r="49" spans="1:5" ht="15.75" customHeight="1" x14ac:dyDescent="0.25"/>
    <row r="50" spans="1:5" ht="15.75" customHeight="1" x14ac:dyDescent="0.25"/>
    <row r="51" spans="1:5" ht="15.75" customHeight="1" x14ac:dyDescent="0.25"/>
    <row r="52" spans="1:5" ht="15.75" customHeight="1" x14ac:dyDescent="0.25"/>
    <row r="53" spans="1:5" ht="15.75" customHeight="1" x14ac:dyDescent="0.25"/>
    <row r="54" spans="1:5" ht="15.75" customHeight="1" x14ac:dyDescent="0.25">
      <c r="A54" s="69"/>
    </row>
    <row r="55" spans="1:5" ht="15.75" customHeight="1" x14ac:dyDescent="0.25">
      <c r="A55" s="69"/>
      <c r="D55" s="159"/>
      <c r="E55" s="159"/>
    </row>
    <row r="56" spans="1:5" ht="15.75" customHeight="1" x14ac:dyDescent="0.25">
      <c r="A56" s="69"/>
      <c r="D56" s="159"/>
      <c r="E56" s="159"/>
    </row>
    <row r="57" spans="1:5" ht="15.75" customHeight="1" x14ac:dyDescent="0.25">
      <c r="A57" s="69"/>
      <c r="D57" s="159"/>
      <c r="E57" s="159"/>
    </row>
    <row r="58" spans="1:5" ht="15.75" customHeight="1" x14ac:dyDescent="0.25">
      <c r="A58" s="69"/>
      <c r="D58" s="159"/>
      <c r="E58" s="159"/>
    </row>
    <row r="59" spans="1:5" ht="15" customHeight="1" x14ac:dyDescent="0.25">
      <c r="A59" s="69"/>
      <c r="D59" s="159"/>
      <c r="E59" s="159"/>
    </row>
    <row r="60" spans="1:5" ht="15" customHeight="1" x14ac:dyDescent="0.25">
      <c r="A60" s="69"/>
      <c r="D60" s="159"/>
      <c r="E60" s="159"/>
    </row>
    <row r="61" spans="1:5" ht="15" customHeight="1" x14ac:dyDescent="0.25">
      <c r="A61" s="69"/>
    </row>
    <row r="64" spans="1:5" ht="15.75" customHeight="1" x14ac:dyDescent="0.25">
      <c r="A64" s="16"/>
    </row>
    <row r="65" spans="1:38" ht="15.75" customHeight="1" x14ac:dyDescent="0.25">
      <c r="A65" s="16"/>
    </row>
    <row r="66" spans="1:38" ht="15.75" customHeight="1" x14ac:dyDescent="0.25">
      <c r="A66" s="16"/>
    </row>
    <row r="67" spans="1:38" ht="15.75" customHeight="1" x14ac:dyDescent="0.25">
      <c r="A67" s="16"/>
    </row>
    <row r="68" spans="1:38" ht="15.75" customHeight="1" x14ac:dyDescent="0.25">
      <c r="A68" s="16"/>
    </row>
    <row r="69" spans="1:38" ht="15.75" customHeight="1" x14ac:dyDescent="0.25">
      <c r="A69" s="16"/>
    </row>
    <row r="70" spans="1:38" ht="15.75" customHeight="1" x14ac:dyDescent="0.25">
      <c r="A70" s="16"/>
    </row>
    <row r="71" spans="1:38" ht="15.75" customHeight="1" x14ac:dyDescent="0.25">
      <c r="A71" s="16"/>
    </row>
    <row r="72" spans="1:38" ht="15.75" customHeight="1" x14ac:dyDescent="0.25">
      <c r="A72" s="16" t="s">
        <v>444</v>
      </c>
      <c r="AK72" t="s">
        <v>445</v>
      </c>
    </row>
    <row r="73" spans="1:38" ht="15.75" customHeight="1" x14ac:dyDescent="0.25">
      <c r="A73" s="16"/>
      <c r="C73" t="s">
        <v>446</v>
      </c>
      <c r="D73" t="s">
        <v>447</v>
      </c>
      <c r="E73" t="s">
        <v>448</v>
      </c>
      <c r="G73" t="s">
        <v>449</v>
      </c>
      <c r="H73" t="s">
        <v>450</v>
      </c>
      <c r="J73" t="s">
        <v>451</v>
      </c>
      <c r="K73" t="s">
        <v>452</v>
      </c>
      <c r="M73" t="s">
        <v>453</v>
      </c>
      <c r="N73" t="s">
        <v>454</v>
      </c>
      <c r="O73" t="s">
        <v>455</v>
      </c>
      <c r="Q73" t="s">
        <v>456</v>
      </c>
      <c r="R73" t="s">
        <v>457</v>
      </c>
      <c r="S73" t="s">
        <v>458</v>
      </c>
      <c r="AD73" t="s">
        <v>400</v>
      </c>
      <c r="AG73" t="s">
        <v>459</v>
      </c>
      <c r="AH73" t="s">
        <v>445</v>
      </c>
      <c r="AI73" t="s">
        <v>460</v>
      </c>
      <c r="AJ73" t="s">
        <v>461</v>
      </c>
      <c r="AL73" t="s">
        <v>288</v>
      </c>
    </row>
    <row r="74" spans="1:38" ht="15.75" customHeight="1" x14ac:dyDescent="0.25">
      <c r="A74" s="16"/>
      <c r="D74" t="s">
        <v>462</v>
      </c>
      <c r="E74" t="s">
        <v>462</v>
      </c>
      <c r="G74" t="s">
        <v>451</v>
      </c>
      <c r="H74" t="s">
        <v>452</v>
      </c>
      <c r="AH74" t="s">
        <v>456</v>
      </c>
    </row>
  </sheetData>
  <mergeCells count="2">
    <mergeCell ref="J23:K23"/>
    <mergeCell ref="J7:K7"/>
  </mergeCells>
  <printOptions headings="1" gridLines="1"/>
  <pageMargins left="0.70866141732283472" right="0.70866141732283472" top="0.74803149606299213" bottom="0.74803149606299213" header="0" footer="0"/>
  <pageSetup paperSize="9" scale="38"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pageSetUpPr fitToPage="1"/>
  </sheetPr>
  <dimension ref="A1:R120"/>
  <sheetViews>
    <sheetView workbookViewId="0"/>
  </sheetViews>
  <sheetFormatPr defaultColWidth="12.5703125" defaultRowHeight="15" customHeight="1" outlineLevelCol="1" x14ac:dyDescent="0.25"/>
  <cols>
    <col min="1" max="1" width="1.140625" customWidth="1"/>
    <col min="2" max="2" width="41.5703125" customWidth="1"/>
    <col min="3" max="3" width="16.7109375" hidden="1" customWidth="1" outlineLevel="1"/>
    <col min="4" max="4" width="13.42578125" hidden="1" customWidth="1" outlineLevel="1"/>
    <col min="5" max="5" width="10.28515625" customWidth="1" collapsed="1"/>
    <col min="6" max="16" width="10.28515625" customWidth="1"/>
    <col min="17" max="17" width="11.140625" customWidth="1"/>
  </cols>
  <sheetData>
    <row r="1" spans="1:17" ht="45" customHeight="1" x14ac:dyDescent="0.45">
      <c r="A1" s="68" t="str">
        <f>"Discounted cashflow valuation for "&amp;Info!N5</f>
        <v>Discounted cashflow valuation for Electronic Arts</v>
      </c>
      <c r="B1" s="68"/>
      <c r="C1" s="68"/>
      <c r="D1" s="68"/>
      <c r="E1" s="68"/>
      <c r="F1" s="68"/>
      <c r="G1" s="68"/>
      <c r="H1" s="68"/>
      <c r="I1" s="68"/>
      <c r="J1" s="68"/>
      <c r="K1" s="68"/>
      <c r="L1" s="68"/>
      <c r="M1" s="68"/>
      <c r="N1" s="68"/>
      <c r="O1" s="18"/>
      <c r="P1" s="18"/>
      <c r="Q1" s="18"/>
    </row>
    <row r="2" spans="1:17" ht="15" customHeight="1" x14ac:dyDescent="0.3">
      <c r="A2" s="72"/>
      <c r="B2" s="72"/>
      <c r="C2" s="72"/>
      <c r="D2" s="72" t="str">
        <f>Model!D2</f>
        <v>Actual</v>
      </c>
      <c r="E2" s="72" t="s">
        <v>394</v>
      </c>
      <c r="F2" s="72" t="str">
        <f>Model!F2</f>
        <v>Projected</v>
      </c>
      <c r="G2" s="72" t="str">
        <f>Model!G2</f>
        <v>Projected</v>
      </c>
      <c r="H2" s="72" t="str">
        <f>Model!H2</f>
        <v>Projected</v>
      </c>
      <c r="I2" s="72" t="str">
        <f>Model!I2</f>
        <v>Projected</v>
      </c>
      <c r="J2" s="72" t="str">
        <f>Model!J2</f>
        <v>Projected</v>
      </c>
      <c r="K2" s="72" t="str">
        <f>Model!K2</f>
        <v>Projected</v>
      </c>
      <c r="L2" s="72" t="str">
        <f>Model!L2</f>
        <v>Projected</v>
      </c>
      <c r="M2" s="72" t="str">
        <f>Model!M2</f>
        <v>Projected</v>
      </c>
      <c r="N2" s="72" t="str">
        <f>Model!N2</f>
        <v>Projected</v>
      </c>
      <c r="O2" s="19"/>
      <c r="P2" s="19"/>
      <c r="Q2" s="19"/>
    </row>
    <row r="3" spans="1:17" ht="15" customHeight="1" x14ac:dyDescent="0.25">
      <c r="A3" s="72"/>
      <c r="B3" s="72"/>
      <c r="C3" s="72"/>
      <c r="D3" s="203">
        <f>EDATE(E3,-12)</f>
        <v>45747</v>
      </c>
      <c r="E3" s="203">
        <f>E5</f>
        <v>46112</v>
      </c>
      <c r="F3" s="203">
        <f t="shared" ref="F3:N3" si="0">EDATE(E3,12)</f>
        <v>46477</v>
      </c>
      <c r="G3" s="203">
        <f t="shared" si="0"/>
        <v>46843</v>
      </c>
      <c r="H3" s="203">
        <f t="shared" si="0"/>
        <v>47208</v>
      </c>
      <c r="I3" s="203">
        <f t="shared" si="0"/>
        <v>47573</v>
      </c>
      <c r="J3" s="203">
        <f t="shared" si="0"/>
        <v>47938</v>
      </c>
      <c r="K3" s="203">
        <f t="shared" si="0"/>
        <v>48304</v>
      </c>
      <c r="L3" s="203">
        <f t="shared" si="0"/>
        <v>48669</v>
      </c>
      <c r="M3" s="203">
        <f t="shared" si="0"/>
        <v>49034</v>
      </c>
      <c r="N3" s="203">
        <f t="shared" si="0"/>
        <v>49399</v>
      </c>
    </row>
    <row r="4" spans="1:17" ht="15" customHeight="1" x14ac:dyDescent="0.25">
      <c r="B4" t="s">
        <v>12</v>
      </c>
      <c r="E4" s="205">
        <f>Info!N7</f>
        <v>46086</v>
      </c>
    </row>
    <row r="5" spans="1:17" ht="15" customHeight="1" x14ac:dyDescent="0.25">
      <c r="A5" s="2"/>
      <c r="B5" t="s">
        <v>463</v>
      </c>
      <c r="E5" s="201">
        <v>46112</v>
      </c>
    </row>
    <row r="6" spans="1:17" ht="15" customHeight="1" x14ac:dyDescent="0.25">
      <c r="A6" s="16"/>
      <c r="B6" s="2" t="s">
        <v>140</v>
      </c>
      <c r="C6" s="2"/>
      <c r="D6" s="2"/>
    </row>
    <row r="7" spans="1:17" ht="15" customHeight="1" x14ac:dyDescent="0.25">
      <c r="A7" s="16" t="s">
        <v>464</v>
      </c>
    </row>
    <row r="8" spans="1:17" ht="15" customHeight="1" x14ac:dyDescent="0.25">
      <c r="A8" s="16"/>
      <c r="B8" t="s">
        <v>52</v>
      </c>
      <c r="E8">
        <f>Model!E58</f>
        <v>2247.0173119999999</v>
      </c>
      <c r="F8">
        <f>Model!F58</f>
        <v>2426.3319524640006</v>
      </c>
      <c r="G8">
        <f>Model!G58</f>
        <v>2615.6203570963203</v>
      </c>
      <c r="H8">
        <f>Model!H58</f>
        <v>2831.3158000556809</v>
      </c>
      <c r="I8">
        <f>Model!I58</f>
        <v>3047.8603160464158</v>
      </c>
      <c r="J8">
        <f>Model!J58</f>
        <v>3266.8598641976905</v>
      </c>
      <c r="K8">
        <f>Model!K58</f>
        <v>3459.6441213811422</v>
      </c>
      <c r="L8">
        <f>Model!L58</f>
        <v>3583.851950834091</v>
      </c>
      <c r="M8">
        <f>Model!M58</f>
        <v>3700.3423232652262</v>
      </c>
      <c r="N8">
        <f>Model!N58</f>
        <v>3806.1757657323915</v>
      </c>
    </row>
    <row r="9" spans="1:17" ht="15" customHeight="1" x14ac:dyDescent="0.25">
      <c r="A9" s="16"/>
      <c r="B9" t="s">
        <v>49</v>
      </c>
      <c r="E9">
        <f>Model!E56</f>
        <v>2000.8973120000001</v>
      </c>
      <c r="F9">
        <f>Model!F56</f>
        <v>2184.2965611040004</v>
      </c>
      <c r="G9">
        <f>Model!G56</f>
        <v>2378.9893856288004</v>
      </c>
      <c r="H9">
        <f>Model!H56</f>
        <v>2597.8564091066505</v>
      </c>
      <c r="I9">
        <f>Model!I56</f>
        <v>2810.8806346533956</v>
      </c>
      <c r="J9">
        <f>Model!J56</f>
        <v>3021.6966822524009</v>
      </c>
      <c r="K9">
        <f>Model!K56</f>
        <v>3202.9984831875449</v>
      </c>
      <c r="L9">
        <f>Model!L56</f>
        <v>3331.1184225150464</v>
      </c>
      <c r="M9">
        <f>Model!M56</f>
        <v>3447.7075673030731</v>
      </c>
      <c r="N9">
        <f>Model!N56</f>
        <v>3551.1387943221653</v>
      </c>
    </row>
    <row r="10" spans="1:17" ht="15" customHeight="1" x14ac:dyDescent="0.25">
      <c r="A10" s="16"/>
      <c r="B10" t="s">
        <v>465</v>
      </c>
      <c r="E10" s="59">
        <f>Model!E13</f>
        <v>0.2</v>
      </c>
      <c r="F10" s="59">
        <f>Model!F13</f>
        <v>0.26</v>
      </c>
      <c r="G10" s="59">
        <f>Model!G13</f>
        <v>0.19</v>
      </c>
      <c r="H10" s="59">
        <f>Model!H13</f>
        <v>0.21</v>
      </c>
      <c r="I10" s="59">
        <f>Model!I13</f>
        <v>0.21</v>
      </c>
      <c r="J10" s="59">
        <f>Model!J13</f>
        <v>0.21</v>
      </c>
      <c r="K10" s="59">
        <f>Model!K13</f>
        <v>0.21</v>
      </c>
      <c r="L10" s="59">
        <f>Model!L13</f>
        <v>0.21</v>
      </c>
      <c r="M10" s="59">
        <f>Model!M13</f>
        <v>0.21</v>
      </c>
      <c r="N10" s="59">
        <f>Model!N13</f>
        <v>0.21</v>
      </c>
    </row>
    <row r="11" spans="1:17" ht="15" customHeight="1" x14ac:dyDescent="0.25">
      <c r="A11" s="16"/>
    </row>
    <row r="12" spans="1:17" ht="15" customHeight="1" x14ac:dyDescent="0.25">
      <c r="A12" s="16"/>
      <c r="B12" t="s">
        <v>466</v>
      </c>
      <c r="E12">
        <f t="shared" ref="E12:G12" si="1">E9*(1-E10)</f>
        <v>1600.7178496000001</v>
      </c>
      <c r="F12">
        <f t="shared" si="1"/>
        <v>1616.3794552169602</v>
      </c>
      <c r="G12">
        <f t="shared" si="1"/>
        <v>1926.9814023593285</v>
      </c>
      <c r="H12">
        <f t="shared" ref="H12:N12" si="2">H9*(1-H10)</f>
        <v>2052.3065631942541</v>
      </c>
      <c r="I12">
        <f t="shared" si="2"/>
        <v>2220.5957013761827</v>
      </c>
      <c r="J12">
        <f t="shared" si="2"/>
        <v>2387.1403789793967</v>
      </c>
      <c r="K12">
        <f t="shared" si="2"/>
        <v>2530.3688017181607</v>
      </c>
      <c r="L12">
        <f t="shared" si="2"/>
        <v>2631.5835537868866</v>
      </c>
      <c r="M12">
        <f t="shared" si="2"/>
        <v>2723.6889781694281</v>
      </c>
      <c r="N12">
        <f t="shared" si="2"/>
        <v>2805.3996475145109</v>
      </c>
    </row>
    <row r="13" spans="1:17" ht="15" customHeight="1" x14ac:dyDescent="0.25">
      <c r="A13" s="16"/>
      <c r="B13" t="s">
        <v>467</v>
      </c>
      <c r="F13">
        <f>Model!F99</f>
        <v>242.03539136000006</v>
      </c>
      <c r="G13">
        <f>Model!G99</f>
        <v>236.63097146752006</v>
      </c>
      <c r="H13">
        <f>Model!H99</f>
        <v>233.45939094903039</v>
      </c>
      <c r="I13">
        <f>Model!I99</f>
        <v>236.97968139302017</v>
      </c>
      <c r="J13">
        <f>Model!J99</f>
        <v>245.16318194528972</v>
      </c>
      <c r="K13">
        <f>Model!K99</f>
        <v>256.64563819359751</v>
      </c>
      <c r="L13">
        <f>Model!L99</f>
        <v>252.73352831904475</v>
      </c>
      <c r="M13">
        <f>Model!M99</f>
        <v>252.63475596215292</v>
      </c>
      <c r="N13">
        <f>Model!N99</f>
        <v>255.0369714102263</v>
      </c>
    </row>
    <row r="14" spans="1:17" ht="15" customHeight="1" x14ac:dyDescent="0.25">
      <c r="A14" s="16"/>
      <c r="B14" t="s">
        <v>468</v>
      </c>
      <c r="F14">
        <f>Model!F100</f>
        <v>-14.10615042818381</v>
      </c>
      <c r="G14">
        <f>Model!G100</f>
        <v>-80.469315135924262</v>
      </c>
      <c r="H14">
        <f>Model!H100</f>
        <v>63.151235379426907</v>
      </c>
      <c r="I14">
        <f>Model!I100</f>
        <v>66.813890591915424</v>
      </c>
      <c r="J14">
        <f>Model!J100</f>
        <v>70.666296076165963</v>
      </c>
      <c r="K14">
        <f>Model!K100</f>
        <v>72.219892795929809</v>
      </c>
      <c r="L14">
        <f>Model!L100</f>
        <v>71.258209010209612</v>
      </c>
      <c r="M14">
        <f>Model!M100</f>
        <v>72.73186925871596</v>
      </c>
      <c r="N14">
        <f>Model!N100</f>
        <v>73.852633186950698</v>
      </c>
    </row>
    <row r="15" spans="1:17" ht="15" customHeight="1" x14ac:dyDescent="0.25">
      <c r="A15" s="16"/>
      <c r="B15" t="s">
        <v>196</v>
      </c>
      <c r="F15">
        <f>Model!F101</f>
        <v>-26.278613280000172</v>
      </c>
      <c r="G15">
        <f>Model!G101</f>
        <v>-74.701520615680238</v>
      </c>
      <c r="H15">
        <f>Model!H101</f>
        <v>-298.48260431840299</v>
      </c>
      <c r="I15">
        <f>Model!I101</f>
        <v>-290.5144165335555</v>
      </c>
      <c r="J15">
        <f>Model!J101</f>
        <v>-287.50298660607314</v>
      </c>
      <c r="K15">
        <f>Model!K101</f>
        <v>-125.91565987469676</v>
      </c>
      <c r="L15">
        <f>Model!L101</f>
        <v>-169.87167204913567</v>
      </c>
      <c r="M15">
        <f>Model!M101</f>
        <v>-154.58322156471422</v>
      </c>
      <c r="N15">
        <f>Model!N101</f>
        <v>-137.13740084526762</v>
      </c>
    </row>
    <row r="16" spans="1:17" ht="15" customHeight="1" x14ac:dyDescent="0.25">
      <c r="A16" s="16"/>
      <c r="B16" t="s">
        <v>197</v>
      </c>
      <c r="F16">
        <f>Model!F102</f>
        <v>38.698938720000115</v>
      </c>
      <c r="G16">
        <f>Model!G102</f>
        <v>57.910811853440009</v>
      </c>
      <c r="H16">
        <f>Model!H102</f>
        <v>107.78538489275684</v>
      </c>
      <c r="I16">
        <f>Model!I102</f>
        <v>104.90798374822839</v>
      </c>
      <c r="J16">
        <f>Model!J102</f>
        <v>103.82052294108189</v>
      </c>
      <c r="K16">
        <f>Model!K102</f>
        <v>-153.38816748372165</v>
      </c>
      <c r="L16">
        <f>Model!L102</f>
        <v>53.388239786871509</v>
      </c>
      <c r="M16">
        <f>Model!M102</f>
        <v>48.583298206052859</v>
      </c>
      <c r="N16">
        <f>Model!N102</f>
        <v>43.100325979941317</v>
      </c>
    </row>
    <row r="17" spans="1:18" ht="15" customHeight="1" x14ac:dyDescent="0.25">
      <c r="A17" s="16"/>
      <c r="B17" t="str">
        <f>Model!B105</f>
        <v>(Capital expenditure)</v>
      </c>
      <c r="F17">
        <f>Model!F105</f>
        <v>-222.73389174400003</v>
      </c>
      <c r="G17">
        <f>Model!G105</f>
        <v>-225.30389818720005</v>
      </c>
      <c r="H17">
        <f>Model!H105</f>
        <v>-246.03185682042249</v>
      </c>
      <c r="I17">
        <f>Model!I105</f>
        <v>-266.20646907969717</v>
      </c>
      <c r="J17">
        <f>Model!J105</f>
        <v>-286.17195426067445</v>
      </c>
      <c r="K17">
        <f>Model!K105</f>
        <v>-242.67381721305196</v>
      </c>
      <c r="L17">
        <f>Model!L105</f>
        <v>-252.38076990157404</v>
      </c>
      <c r="M17">
        <f>Model!M105</f>
        <v>-261.21409684812909</v>
      </c>
      <c r="N17">
        <f>Model!N105</f>
        <v>-269.05051975357298</v>
      </c>
    </row>
    <row r="18" spans="1:18" ht="15" customHeight="1" x14ac:dyDescent="0.25">
      <c r="A18" s="16"/>
      <c r="B18" t="s">
        <v>469</v>
      </c>
      <c r="F18">
        <f t="shared" ref="F18" si="3">SUM(F12:F17)</f>
        <v>1633.9951298447766</v>
      </c>
      <c r="G18">
        <f t="shared" ref="G18" si="4">SUM(G12:G17)</f>
        <v>1841.0484517414839</v>
      </c>
      <c r="H18">
        <f t="shared" ref="H18:N18" si="5">SUM(H12:H17)</f>
        <v>1912.1881132766425</v>
      </c>
      <c r="I18">
        <f t="shared" si="5"/>
        <v>2072.576371496094</v>
      </c>
      <c r="J18">
        <f t="shared" si="5"/>
        <v>2233.1154390751867</v>
      </c>
      <c r="K18">
        <f t="shared" si="5"/>
        <v>2337.2566881362172</v>
      </c>
      <c r="L18">
        <f t="shared" si="5"/>
        <v>2586.7110889523024</v>
      </c>
      <c r="M18">
        <f t="shared" si="5"/>
        <v>2681.8415831835068</v>
      </c>
      <c r="N18">
        <f t="shared" si="5"/>
        <v>2771.2016574927884</v>
      </c>
    </row>
    <row r="19" spans="1:18" ht="15" customHeight="1" x14ac:dyDescent="0.25">
      <c r="A19" s="16"/>
    </row>
    <row r="20" spans="1:18" ht="15" customHeight="1" x14ac:dyDescent="0.25">
      <c r="A20" s="16" t="s">
        <v>470</v>
      </c>
    </row>
    <row r="21" spans="1:18" ht="15" customHeight="1" x14ac:dyDescent="0.25">
      <c r="A21" s="16"/>
      <c r="B21" t="s">
        <v>99</v>
      </c>
      <c r="E21" s="59">
        <f>Model!E61/Model!D61-1</f>
        <v>0.1080000000000001</v>
      </c>
      <c r="F21" s="59">
        <f>Model!F61/Model!E61-1</f>
        <v>3.6000000000000032E-2</v>
      </c>
      <c r="G21" s="59">
        <f>Model!G61/Model!F61-1</f>
        <v>5.2000000000000046E-2</v>
      </c>
      <c r="H21" s="59">
        <f>Model!H61/Model!G61-1</f>
        <v>9.2000000000000082E-2</v>
      </c>
      <c r="I21" s="59">
        <f>Model!I61/Model!H61-1</f>
        <v>8.2000000000000073E-2</v>
      </c>
      <c r="J21" s="59">
        <f>Model!J61/Model!I61-1</f>
        <v>7.4999999999999956E-2</v>
      </c>
      <c r="K21" s="59">
        <f>Model!K61/Model!J61-1</f>
        <v>6.0000000000000053E-2</v>
      </c>
      <c r="L21" s="59">
        <f>Model!L61/Model!K61-1</f>
        <v>4.0000000000000036E-2</v>
      </c>
      <c r="M21" s="59">
        <f>Model!M61/Model!L61-1</f>
        <v>3.499999999999992E-2</v>
      </c>
      <c r="N21" s="59">
        <f>Model!N61/Model!M61-1</f>
        <v>3.0000000000000027E-2</v>
      </c>
    </row>
    <row r="22" spans="1:18" ht="15" customHeight="1" x14ac:dyDescent="0.25">
      <c r="A22" s="16"/>
      <c r="B22" t="s">
        <v>471</v>
      </c>
      <c r="F22" s="59">
        <f t="shared" ref="F22:N22" si="6">F18/F12</f>
        <v>1.0108982297262941</v>
      </c>
      <c r="G22" s="59">
        <f t="shared" si="6"/>
        <v>0.95540540738346957</v>
      </c>
      <c r="H22" s="59">
        <f t="shared" si="6"/>
        <v>0.93172635490697442</v>
      </c>
      <c r="I22" s="59">
        <f t="shared" si="6"/>
        <v>0.93334251264723433</v>
      </c>
      <c r="J22" s="59">
        <f t="shared" si="6"/>
        <v>0.9354772173180439</v>
      </c>
      <c r="K22" s="59">
        <f t="shared" si="6"/>
        <v>0.92368222630202468</v>
      </c>
      <c r="L22" s="59">
        <f t="shared" si="6"/>
        <v>0.98294849321048083</v>
      </c>
      <c r="M22" s="59">
        <f t="shared" si="6"/>
        <v>0.98463576593314017</v>
      </c>
      <c r="N22" s="59">
        <f t="shared" si="6"/>
        <v>0.98780994000194566</v>
      </c>
    </row>
    <row r="23" spans="1:18" ht="15" customHeight="1" x14ac:dyDescent="0.25">
      <c r="A23" s="16"/>
      <c r="B23" t="s">
        <v>472</v>
      </c>
      <c r="F23" s="59"/>
      <c r="G23" s="59">
        <f t="shared" ref="G23:N23" si="7">G18/F18-1</f>
        <v>0.12671599695427282</v>
      </c>
      <c r="H23" s="59">
        <f t="shared" si="7"/>
        <v>3.8640841563874151E-2</v>
      </c>
      <c r="I23" s="59">
        <f t="shared" si="7"/>
        <v>8.3876820018830234E-2</v>
      </c>
      <c r="J23" s="59">
        <f t="shared" si="7"/>
        <v>7.7458698162812256E-2</v>
      </c>
      <c r="K23" s="59">
        <f t="shared" si="7"/>
        <v>4.663495994822342E-2</v>
      </c>
      <c r="L23" s="59">
        <f t="shared" si="7"/>
        <v>0.1067295697910724</v>
      </c>
      <c r="M23" s="59">
        <f t="shared" si="7"/>
        <v>3.6776621338773241E-2</v>
      </c>
      <c r="N23" s="59">
        <f t="shared" si="7"/>
        <v>3.3320414922944686E-2</v>
      </c>
    </row>
    <row r="24" spans="1:18" ht="15" customHeight="1" x14ac:dyDescent="0.25">
      <c r="A24" s="16"/>
    </row>
    <row r="25" spans="1:18" ht="15" customHeight="1" x14ac:dyDescent="0.25">
      <c r="A25" s="16"/>
      <c r="B25" t="s">
        <v>105</v>
      </c>
      <c r="E25">
        <f ca="1">Model!E92+Model!E88+Model!E83-Model!E73</f>
        <v>5611.0456382985785</v>
      </c>
      <c r="F25">
        <f ca="1">Model!F92+Model!F88+Model!F83-Model!F73</f>
        <v>5593.4299636707619</v>
      </c>
      <c r="G25">
        <f ca="1">Model!G92+Model!G88+Model!G83-Model!G73</f>
        <v>5679.3629142886057</v>
      </c>
      <c r="H25">
        <f ca="1">Model!H92+Model!H88+Model!H83-Model!H73</f>
        <v>5819.481364206219</v>
      </c>
      <c r="I25">
        <f ca="1">Model!I92+Model!I88+Model!I83-Model!I73</f>
        <v>5967.5006940863059</v>
      </c>
      <c r="J25">
        <f ca="1">Model!J92+Model!J88+Model!J83-Model!J73</f>
        <v>6121.5256339905154</v>
      </c>
      <c r="K25">
        <f ca="1">Model!K92+Model!K88+Model!K83-Model!K73</f>
        <v>6314.6377475724585</v>
      </c>
      <c r="L25">
        <f ca="1">Model!L92+Model!L88+Model!L83-Model!L73</f>
        <v>6359.5102124070436</v>
      </c>
      <c r="M25">
        <f ca="1">Model!M92+Model!M88+Model!M83-Model!M73</f>
        <v>6401.3576073929644</v>
      </c>
      <c r="N25">
        <f ca="1">Model!N92+Model!N88+Model!N83-Model!N73</f>
        <v>6435.5555974146873</v>
      </c>
    </row>
    <row r="26" spans="1:18" ht="15" customHeight="1" x14ac:dyDescent="0.25">
      <c r="A26" s="16"/>
      <c r="B26" t="s">
        <v>106</v>
      </c>
      <c r="E26" s="59"/>
      <c r="F26" s="59">
        <f t="shared" ref="F26:N26" ca="1" si="8">F12/E25</f>
        <v>0.28807098701608325</v>
      </c>
      <c r="G26" s="59">
        <f t="shared" ca="1" si="8"/>
        <v>0.34450800579877494</v>
      </c>
      <c r="H26" s="59">
        <f t="shared" ca="1" si="8"/>
        <v>0.36136210947726077</v>
      </c>
      <c r="I26" s="59">
        <f t="shared" ca="1" si="8"/>
        <v>0.38157965674301514</v>
      </c>
      <c r="J26" s="59">
        <f t="shared" ca="1" si="8"/>
        <v>0.4000234773906291</v>
      </c>
      <c r="K26" s="59">
        <f t="shared" ca="1" si="8"/>
        <v>0.4133559104397081</v>
      </c>
      <c r="L26" s="59">
        <f t="shared" ca="1" si="8"/>
        <v>0.41674339193860305</v>
      </c>
      <c r="M26" s="59">
        <f t="shared" ca="1" si="8"/>
        <v>0.4282859665600765</v>
      </c>
      <c r="N26" s="59">
        <f t="shared" ca="1" si="8"/>
        <v>0.43825073048169327</v>
      </c>
    </row>
    <row r="27" spans="1:18" ht="15" customHeight="1" x14ac:dyDescent="0.25">
      <c r="A27" s="16"/>
      <c r="B27" t="s">
        <v>217</v>
      </c>
      <c r="E27">
        <f ca="1">E25-Model!E79</f>
        <v>235.04563829857852</v>
      </c>
      <c r="F27">
        <f ca="1">F25-Model!F79</f>
        <v>217.42996367076194</v>
      </c>
      <c r="G27">
        <f ca="1">G25-Model!G79</f>
        <v>303.36291428860568</v>
      </c>
      <c r="H27">
        <f ca="1">H25-Model!H79</f>
        <v>443.48136420621904</v>
      </c>
      <c r="I27">
        <f ca="1">I25-Model!I79</f>
        <v>591.50069408630588</v>
      </c>
      <c r="J27">
        <f ca="1">J25-Model!J79</f>
        <v>745.52563399051542</v>
      </c>
      <c r="K27">
        <f ca="1">K25-Model!K79</f>
        <v>938.63774757245847</v>
      </c>
      <c r="L27">
        <f ca="1">L25-Model!L79</f>
        <v>983.51021240704358</v>
      </c>
      <c r="M27">
        <f ca="1">M25-Model!M79</f>
        <v>1025.3576073929644</v>
      </c>
      <c r="N27">
        <f ca="1">N25-Model!N79</f>
        <v>1059.5555974146873</v>
      </c>
    </row>
    <row r="28" spans="1:18" ht="15" customHeight="1" x14ac:dyDescent="0.25">
      <c r="A28" s="16"/>
      <c r="B28" t="s">
        <v>218</v>
      </c>
      <c r="E28" s="59"/>
      <c r="F28" s="59">
        <f t="shared" ref="F28:N28" ca="1" si="9">F27/E27-1</f>
        <v>-7.49457626839235E-2</v>
      </c>
      <c r="G28" s="59">
        <f t="shared" ca="1" si="9"/>
        <v>0.39522128949975643</v>
      </c>
      <c r="H28" s="59">
        <f t="shared" ca="1" si="9"/>
        <v>0.46188391302277321</v>
      </c>
      <c r="I28" s="59">
        <f t="shared" ca="1" si="9"/>
        <v>0.33376674157441655</v>
      </c>
      <c r="J28" s="59">
        <f t="shared" ca="1" si="9"/>
        <v>0.26039688785510662</v>
      </c>
      <c r="K28" s="59">
        <f t="shared" ca="1" si="9"/>
        <v>0.25902813367836508</v>
      </c>
      <c r="L28" s="59">
        <f t="shared" ca="1" si="9"/>
        <v>4.7805945318772913E-2</v>
      </c>
      <c r="M28" s="59">
        <f t="shared" ca="1" si="9"/>
        <v>4.2549019276071798E-2</v>
      </c>
      <c r="N28" s="59">
        <f t="shared" ca="1" si="9"/>
        <v>3.3352256593359053E-2</v>
      </c>
    </row>
    <row r="29" spans="1:18" ht="15" customHeight="1" x14ac:dyDescent="0.25">
      <c r="A29" s="16"/>
      <c r="G29" s="59"/>
      <c r="H29" s="59"/>
      <c r="I29" s="59"/>
      <c r="J29" s="59"/>
      <c r="K29" s="59"/>
      <c r="L29" s="59"/>
      <c r="M29" s="59"/>
    </row>
    <row r="30" spans="1:18" ht="15" customHeight="1" x14ac:dyDescent="0.25">
      <c r="A30" s="16" t="s">
        <v>473</v>
      </c>
      <c r="B30" s="44"/>
      <c r="C30" s="44"/>
      <c r="D30" s="44"/>
      <c r="E30" s="44"/>
      <c r="F30" s="44"/>
      <c r="G30" s="44"/>
      <c r="H30" s="44"/>
      <c r="I30" s="44"/>
      <c r="J30" s="44"/>
      <c r="K30" s="44"/>
      <c r="L30" s="44"/>
      <c r="M30" s="44"/>
      <c r="N30" s="44"/>
      <c r="O30" s="44"/>
      <c r="P30" s="44"/>
      <c r="Q30" s="44"/>
    </row>
    <row r="31" spans="1:18" ht="15" customHeight="1" x14ac:dyDescent="0.25">
      <c r="A31" s="16"/>
      <c r="B31" s="2" t="s">
        <v>474</v>
      </c>
      <c r="C31" s="2"/>
      <c r="D31" s="2"/>
      <c r="E31" s="45">
        <v>0.03</v>
      </c>
      <c r="J31" s="44"/>
      <c r="K31" s="44"/>
      <c r="L31" s="44"/>
      <c r="M31" s="44"/>
      <c r="N31" s="44"/>
      <c r="O31" s="44"/>
      <c r="P31" s="44"/>
      <c r="Q31" s="44"/>
      <c r="R31" s="44"/>
    </row>
    <row r="32" spans="1:18" ht="15" customHeight="1" x14ac:dyDescent="0.25">
      <c r="A32" s="16"/>
      <c r="B32" s="2" t="s">
        <v>475</v>
      </c>
      <c r="C32" s="2"/>
      <c r="D32" s="2"/>
      <c r="E32" s="128">
        <f ca="1">WACC!D29</f>
        <v>8.1027263625874063E-2</v>
      </c>
      <c r="J32" s="44"/>
      <c r="K32" s="44"/>
      <c r="L32" s="44"/>
      <c r="M32" s="44"/>
      <c r="N32" s="44"/>
      <c r="O32" s="44"/>
      <c r="P32" s="44"/>
      <c r="Q32" s="44"/>
      <c r="R32" s="44"/>
    </row>
    <row r="33" spans="1:18" ht="15" customHeight="1" x14ac:dyDescent="0.25">
      <c r="A33" s="16"/>
      <c r="B33" s="2" t="s">
        <v>476</v>
      </c>
      <c r="C33" s="2"/>
      <c r="D33" s="2"/>
      <c r="E33" s="44"/>
      <c r="J33" s="44"/>
      <c r="K33" s="44"/>
      <c r="L33" s="44"/>
      <c r="M33" s="44"/>
      <c r="N33" s="44">
        <f ca="1">N18*(1+ltg)/(WACC-ltg)</f>
        <v>55937.502903256638</v>
      </c>
      <c r="O33" s="44"/>
      <c r="R33" s="44"/>
    </row>
    <row r="34" spans="1:18" ht="15" customHeight="1" x14ac:dyDescent="0.25">
      <c r="A34" s="16"/>
      <c r="B34" s="2" t="s">
        <v>477</v>
      </c>
      <c r="C34" s="2"/>
      <c r="D34" s="2"/>
      <c r="E34" s="44"/>
      <c r="I34" s="44"/>
      <c r="J34" s="44"/>
      <c r="K34" s="44"/>
      <c r="L34" s="44"/>
      <c r="M34" s="44"/>
      <c r="N34" s="133">
        <f ca="1">N33*(1+WACC)^0.5/(N9+N13)</f>
        <v>15.280323858612032</v>
      </c>
      <c r="O34" s="44"/>
      <c r="R34" s="44"/>
    </row>
    <row r="35" spans="1:18" ht="15" customHeight="1" x14ac:dyDescent="0.25">
      <c r="A35" s="16"/>
      <c r="B35" s="44"/>
      <c r="C35" s="44"/>
      <c r="D35" s="44"/>
      <c r="E35" s="44"/>
      <c r="I35" s="44"/>
      <c r="J35" s="44"/>
      <c r="K35" s="44"/>
      <c r="L35" s="44"/>
      <c r="M35" s="44"/>
      <c r="N35" s="44"/>
      <c r="O35" s="44"/>
      <c r="R35" s="44"/>
    </row>
    <row r="36" spans="1:18" ht="15" customHeight="1" x14ac:dyDescent="0.25">
      <c r="A36" s="16"/>
      <c r="B36" s="44" t="s">
        <v>478</v>
      </c>
      <c r="C36" s="44"/>
      <c r="D36" s="44"/>
      <c r="E36" s="46">
        <v>16</v>
      </c>
      <c r="I36" s="44"/>
      <c r="J36" s="44"/>
      <c r="K36" s="44"/>
      <c r="L36" s="44"/>
      <c r="M36" s="44"/>
      <c r="N36" s="44"/>
      <c r="O36" s="146"/>
      <c r="R36" s="44"/>
    </row>
    <row r="37" spans="1:18" ht="15" customHeight="1" x14ac:dyDescent="0.25">
      <c r="A37" s="16"/>
      <c r="B37" s="2" t="s">
        <v>479</v>
      </c>
      <c r="C37" s="2"/>
      <c r="D37" s="2"/>
      <c r="E37" s="44"/>
      <c r="G37" s="44"/>
      <c r="I37" s="44"/>
      <c r="J37" s="44"/>
      <c r="K37" s="44"/>
      <c r="L37" s="44"/>
      <c r="M37" s="44"/>
      <c r="N37" s="44">
        <f>E36*N8</f>
        <v>60898.812251718264</v>
      </c>
      <c r="O37" s="44"/>
      <c r="R37" s="44"/>
    </row>
    <row r="38" spans="1:18" ht="15" customHeight="1" x14ac:dyDescent="0.25">
      <c r="A38" s="16"/>
      <c r="B38" s="2" t="s">
        <v>480</v>
      </c>
      <c r="C38" s="2"/>
      <c r="D38" s="2"/>
      <c r="E38" s="44"/>
      <c r="H38" s="44"/>
      <c r="I38" s="44"/>
      <c r="J38" s="44"/>
      <c r="K38" s="44"/>
      <c r="L38" s="44"/>
      <c r="M38" s="44"/>
      <c r="N38" s="128">
        <f ca="1">(N37/(1+WACC)^0.5*WACC-N18)/(N37/(1+WACC)^0.5+N18)</f>
        <v>3.2191507881282222E-2</v>
      </c>
      <c r="O38" s="44"/>
      <c r="R38" s="44"/>
    </row>
    <row r="39" spans="1:18" ht="15" customHeight="1" x14ac:dyDescent="0.25">
      <c r="A39" s="16"/>
      <c r="B39" s="44"/>
      <c r="C39" s="44"/>
      <c r="D39" s="44"/>
      <c r="E39" s="44"/>
      <c r="F39" s="44"/>
      <c r="H39" s="44"/>
      <c r="I39" s="44"/>
      <c r="J39" s="44"/>
      <c r="K39" s="44"/>
      <c r="L39" s="44"/>
      <c r="M39" s="44"/>
      <c r="N39" s="44"/>
      <c r="O39" s="44"/>
      <c r="P39" s="44"/>
      <c r="Q39" s="44"/>
      <c r="R39" s="44"/>
    </row>
    <row r="40" spans="1:18" ht="15" customHeight="1" x14ac:dyDescent="0.25">
      <c r="A40" s="16" t="s">
        <v>481</v>
      </c>
      <c r="B40" s="44"/>
      <c r="C40" s="44"/>
      <c r="D40" s="44"/>
      <c r="E40" s="44"/>
      <c r="F40" s="44"/>
      <c r="H40" s="44"/>
      <c r="I40" s="44"/>
      <c r="J40" s="44"/>
      <c r="K40" s="44"/>
      <c r="L40" s="44"/>
      <c r="M40" s="44"/>
      <c r="N40" s="44"/>
      <c r="O40" s="44"/>
      <c r="P40" s="44"/>
      <c r="Q40" s="44"/>
      <c r="R40" s="44"/>
    </row>
    <row r="41" spans="1:18" ht="15" customHeight="1" x14ac:dyDescent="0.25">
      <c r="A41" s="16"/>
      <c r="B41" s="2" t="s">
        <v>482</v>
      </c>
      <c r="C41" s="2"/>
      <c r="D41" s="2"/>
      <c r="E41" s="52">
        <v>0</v>
      </c>
      <c r="F41" s="1">
        <v>0.5</v>
      </c>
      <c r="G41" s="44">
        <f>F41+1</f>
        <v>1.5</v>
      </c>
      <c r="H41" s="44">
        <f t="shared" ref="H41:M41" si="10">G41+1</f>
        <v>2.5</v>
      </c>
      <c r="I41" s="44">
        <f t="shared" si="10"/>
        <v>3.5</v>
      </c>
      <c r="J41" s="44">
        <f t="shared" si="10"/>
        <v>4.5</v>
      </c>
      <c r="K41" s="44">
        <f t="shared" si="10"/>
        <v>5.5</v>
      </c>
      <c r="L41" s="44">
        <f t="shared" si="10"/>
        <v>6.5</v>
      </c>
      <c r="M41" s="44">
        <f t="shared" si="10"/>
        <v>7.5</v>
      </c>
      <c r="N41" s="44">
        <f t="shared" ref="N41" si="11">M41+1</f>
        <v>8.5</v>
      </c>
      <c r="O41" s="44"/>
      <c r="P41" s="44"/>
      <c r="R41" s="44"/>
    </row>
    <row r="42" spans="1:18" ht="15" customHeight="1" x14ac:dyDescent="0.25">
      <c r="A42" s="16"/>
      <c r="B42" s="2" t="s">
        <v>483</v>
      </c>
      <c r="C42" s="2"/>
      <c r="D42" s="2"/>
      <c r="E42" s="44"/>
      <c r="F42" s="128">
        <f ca="1">1/(1+WACC)^F41</f>
        <v>0.96179314296397755</v>
      </c>
      <c r="G42" s="128">
        <f t="shared" ref="G42:N42" ca="1" si="12">1/(1+WACC)^G41</f>
        <v>0.88970294767407321</v>
      </c>
      <c r="H42" s="128">
        <f t="shared" ca="1" si="12"/>
        <v>0.82301619728805009</v>
      </c>
      <c r="I42" s="128">
        <f t="shared" ca="1" si="12"/>
        <v>0.76132788226595793</v>
      </c>
      <c r="J42" s="128">
        <f t="shared" ca="1" si="12"/>
        <v>0.70426335013271346</v>
      </c>
      <c r="K42" s="128">
        <f t="shared" ca="1" si="12"/>
        <v>0.65147603009617294</v>
      </c>
      <c r="L42" s="128">
        <f t="shared" ca="1" si="12"/>
        <v>0.60264532821407013</v>
      </c>
      <c r="M42" s="128">
        <f t="shared" ca="1" si="12"/>
        <v>0.5574746803265046</v>
      </c>
      <c r="N42" s="128">
        <f t="shared" ca="1" si="12"/>
        <v>0.51568975092883285</v>
      </c>
      <c r="O42" s="128"/>
      <c r="P42" s="44"/>
      <c r="R42" s="44"/>
    </row>
    <row r="43" spans="1:18" ht="15" customHeight="1" x14ac:dyDescent="0.25">
      <c r="A43" s="16"/>
      <c r="B43" s="2" t="s">
        <v>484</v>
      </c>
      <c r="C43" s="2"/>
      <c r="D43" s="2"/>
      <c r="E43" s="44"/>
      <c r="F43" s="44">
        <f ca="1">F18*F42</f>
        <v>1571.5653115212403</v>
      </c>
      <c r="G43" s="44">
        <f t="shared" ref="G43:N43" ca="1" si="13">G18*G42</f>
        <v>1637.9862343251868</v>
      </c>
      <c r="H43" s="44">
        <f t="shared" ca="1" si="13"/>
        <v>1573.7617894883535</v>
      </c>
      <c r="I43" s="44">
        <f t="shared" ca="1" si="13"/>
        <v>1577.9101797455846</v>
      </c>
      <c r="J43" s="44">
        <f t="shared" ca="1" si="13"/>
        <v>1572.7013603561763</v>
      </c>
      <c r="K43" s="44">
        <f t="shared" ca="1" si="13"/>
        <v>1522.6667085027118</v>
      </c>
      <c r="L43" s="44">
        <f t="shared" ca="1" si="13"/>
        <v>1558.8693531966351</v>
      </c>
      <c r="M43" s="44">
        <f t="shared" ca="1" si="13"/>
        <v>1495.0587792715526</v>
      </c>
      <c r="N43" s="44">
        <f t="shared" ca="1" si="13"/>
        <v>1429.0802925260248</v>
      </c>
      <c r="O43" s="44"/>
      <c r="P43" s="44"/>
      <c r="R43" s="44"/>
    </row>
    <row r="44" spans="1:18" ht="15" customHeight="1" x14ac:dyDescent="0.25">
      <c r="A44" s="16"/>
      <c r="B44" s="2" t="s">
        <v>485</v>
      </c>
      <c r="C44" s="2"/>
      <c r="D44" s="2"/>
      <c r="E44" s="44">
        <f ca="1">SUM(F43:N43)</f>
        <v>13939.600008933465</v>
      </c>
      <c r="F44" s="44"/>
      <c r="H44" s="44"/>
      <c r="I44" s="44"/>
      <c r="J44" s="44"/>
      <c r="L44" s="44"/>
      <c r="M44" s="44"/>
      <c r="N44" s="44"/>
      <c r="O44" s="44"/>
      <c r="P44" s="44"/>
      <c r="Q44" s="44"/>
      <c r="R44" s="44"/>
    </row>
    <row r="45" spans="1:18" ht="15" customHeight="1" x14ac:dyDescent="0.25">
      <c r="A45" s="16"/>
      <c r="B45" s="44"/>
      <c r="C45" s="44"/>
      <c r="D45" s="44"/>
      <c r="E45" s="44"/>
      <c r="F45" s="44"/>
      <c r="G45" s="44"/>
      <c r="H45" s="44"/>
      <c r="I45" s="44"/>
      <c r="J45" s="44"/>
      <c r="L45" s="44"/>
      <c r="M45" s="44"/>
      <c r="N45" s="44"/>
      <c r="O45" s="44"/>
      <c r="P45" s="44"/>
      <c r="Q45" s="44"/>
      <c r="R45" s="44"/>
    </row>
    <row r="46" spans="1:18" ht="15" customHeight="1" x14ac:dyDescent="0.25">
      <c r="A46" s="16"/>
      <c r="B46" s="44"/>
      <c r="C46" s="44"/>
      <c r="D46" s="44"/>
      <c r="E46" s="2" t="s">
        <v>486</v>
      </c>
      <c r="F46" s="44"/>
      <c r="H46" s="2" t="s">
        <v>487</v>
      </c>
      <c r="L46" s="44"/>
      <c r="N46" s="44"/>
      <c r="O46" s="44"/>
      <c r="P46" s="44"/>
      <c r="Q46" s="44"/>
      <c r="R46" s="44"/>
    </row>
    <row r="47" spans="1:18" ht="15" customHeight="1" x14ac:dyDescent="0.25">
      <c r="A47" s="16"/>
      <c r="B47" s="2" t="s">
        <v>485</v>
      </c>
      <c r="C47" s="2"/>
      <c r="D47" s="2"/>
      <c r="E47" s="44">
        <f ca="1">E44</f>
        <v>13939.600008933465</v>
      </c>
      <c r="F47" s="44"/>
      <c r="H47" s="44">
        <f ca="1">E44</f>
        <v>13939.600008933465</v>
      </c>
      <c r="I47" s="44"/>
      <c r="N47" s="44"/>
      <c r="O47" s="44"/>
      <c r="P47" s="44"/>
      <c r="Q47" s="44"/>
      <c r="R47" s="44"/>
    </row>
    <row r="48" spans="1:18" ht="15" customHeight="1" x14ac:dyDescent="0.25">
      <c r="A48" s="16"/>
      <c r="B48" s="2" t="s">
        <v>488</v>
      </c>
      <c r="C48" s="2"/>
      <c r="D48" s="2"/>
      <c r="E48" s="44">
        <f ca="1">N33*N42</f>
        <v>28846.396939761278</v>
      </c>
      <c r="F48" s="44"/>
      <c r="H48" s="44">
        <f ca="1">N37*N42</f>
        <v>31404.893321950345</v>
      </c>
      <c r="I48" s="44"/>
      <c r="N48" s="44"/>
      <c r="O48" s="44"/>
      <c r="P48" s="44"/>
      <c r="Q48" s="44"/>
      <c r="R48" s="44"/>
    </row>
    <row r="49" spans="1:18" ht="15" customHeight="1" x14ac:dyDescent="0.25">
      <c r="A49" s="16"/>
      <c r="B49" s="2" t="s">
        <v>489</v>
      </c>
      <c r="C49" s="2"/>
      <c r="D49" s="2"/>
      <c r="E49" s="44">
        <f ca="1">SUM(E47:E48)</f>
        <v>42785.996948694745</v>
      </c>
      <c r="F49" s="44"/>
      <c r="H49" s="44">
        <f ca="1">SUM(H47:H48)</f>
        <v>45344.493330883808</v>
      </c>
      <c r="I49" s="44"/>
      <c r="N49" s="44"/>
      <c r="O49" s="44"/>
      <c r="P49" s="44"/>
      <c r="Q49" s="44"/>
      <c r="R49" s="44"/>
    </row>
    <row r="50" spans="1:18" ht="15" customHeight="1" x14ac:dyDescent="0.25">
      <c r="A50" s="16"/>
      <c r="B50" s="44"/>
      <c r="C50" s="44"/>
      <c r="D50" s="44"/>
      <c r="E50" s="44"/>
      <c r="F50" s="44"/>
      <c r="H50" s="44"/>
      <c r="I50" s="44"/>
      <c r="N50" s="44"/>
      <c r="O50" s="44"/>
      <c r="P50" s="44"/>
      <c r="Q50" s="44"/>
      <c r="R50" s="44"/>
    </row>
    <row r="51" spans="1:18" ht="15" customHeight="1" x14ac:dyDescent="0.25">
      <c r="A51" s="16"/>
      <c r="B51" s="2" t="s">
        <v>490</v>
      </c>
      <c r="C51" s="2"/>
      <c r="D51" s="2"/>
      <c r="E51" s="44">
        <f>'1'!J37</f>
        <v>2899</v>
      </c>
      <c r="F51" s="44"/>
      <c r="H51" s="44">
        <f>E51</f>
        <v>2899</v>
      </c>
      <c r="I51" s="44"/>
      <c r="N51" s="44"/>
      <c r="O51" s="44"/>
      <c r="P51" s="44"/>
      <c r="Q51" s="44"/>
      <c r="R51" s="44"/>
    </row>
    <row r="52" spans="1:18" ht="15" customHeight="1" x14ac:dyDescent="0.25">
      <c r="A52" s="16"/>
      <c r="B52" s="2" t="s">
        <v>491</v>
      </c>
      <c r="C52" s="2"/>
      <c r="D52" s="2"/>
      <c r="E52" s="44">
        <f>'1'!G37</f>
        <v>1899</v>
      </c>
      <c r="F52" s="44"/>
      <c r="H52" s="44">
        <f>E52</f>
        <v>1899</v>
      </c>
      <c r="I52" s="44"/>
      <c r="N52" s="44"/>
      <c r="O52" s="44"/>
      <c r="P52" s="44"/>
      <c r="Q52" s="44"/>
      <c r="R52" s="44"/>
    </row>
    <row r="53" spans="1:18" ht="15" customHeight="1" x14ac:dyDescent="0.25">
      <c r="A53" s="16"/>
      <c r="B53" s="2" t="s">
        <v>437</v>
      </c>
      <c r="C53" s="2"/>
      <c r="D53" s="2"/>
      <c r="E53" s="44">
        <f ca="1">E49+E51-E52</f>
        <v>43785.996948694745</v>
      </c>
      <c r="F53" s="44"/>
      <c r="H53" s="44">
        <f ca="1">H49+H51-H52</f>
        <v>46344.493330883808</v>
      </c>
      <c r="I53" s="44"/>
      <c r="N53" s="44"/>
      <c r="O53" s="44"/>
      <c r="P53" s="44"/>
      <c r="Q53" s="44"/>
      <c r="R53" s="44"/>
    </row>
    <row r="54" spans="1:18" ht="15" customHeight="1" x14ac:dyDescent="0.25">
      <c r="A54" s="16"/>
      <c r="B54" s="2" t="s">
        <v>438</v>
      </c>
      <c r="C54" s="2"/>
      <c r="D54" s="2"/>
      <c r="E54" s="44">
        <f ca="1">E53/'1'!DSO</f>
        <v>169.07234760896128</v>
      </c>
      <c r="F54" s="44"/>
      <c r="H54" s="44">
        <f ca="1">H53/'1'!DSO</f>
        <v>178.95155602786733</v>
      </c>
      <c r="I54" s="44"/>
      <c r="N54" s="44"/>
      <c r="O54" s="44"/>
      <c r="P54" s="44"/>
      <c r="Q54" s="44"/>
      <c r="R54" s="44"/>
    </row>
    <row r="55" spans="1:18" ht="15" customHeight="1" x14ac:dyDescent="0.25">
      <c r="A55" s="16"/>
      <c r="B55" s="2"/>
      <c r="C55" s="2"/>
      <c r="D55" s="2"/>
      <c r="E55" s="44"/>
      <c r="F55" s="44"/>
      <c r="H55" s="44"/>
      <c r="I55" s="44"/>
      <c r="N55" s="44"/>
      <c r="O55" s="44"/>
      <c r="P55" s="44"/>
      <c r="Q55" s="44"/>
      <c r="R55" s="44"/>
    </row>
    <row r="56" spans="1:18" ht="15" customHeight="1" x14ac:dyDescent="0.25">
      <c r="A56" s="16"/>
      <c r="B56" s="44" t="str">
        <f>"Implied "&amp;YEAR(E3)&amp;" EBITDA multiple"</f>
        <v>Implied 2026 EBITDA multiple</v>
      </c>
      <c r="C56" s="44"/>
      <c r="D56" s="44"/>
      <c r="E56" s="133">
        <f ca="1">E$49/E8</f>
        <v>19.04124045693812</v>
      </c>
      <c r="F56" s="44"/>
      <c r="H56" s="133">
        <f ca="1">H$49/E8</f>
        <v>20.179859357881</v>
      </c>
      <c r="I56" s="44"/>
      <c r="N56" s="44"/>
      <c r="O56" s="44"/>
      <c r="P56" s="44"/>
      <c r="Q56" s="44"/>
      <c r="R56" s="44"/>
    </row>
    <row r="57" spans="1:18" ht="15" customHeight="1" x14ac:dyDescent="0.25">
      <c r="A57" s="16"/>
      <c r="B57" s="44" t="str">
        <f>"Implied forward "&amp;YEAR(F3)&amp;" EBITDA multiple"</f>
        <v>Implied forward 2027 EBITDA multiple</v>
      </c>
      <c r="C57" s="44"/>
      <c r="D57" s="44"/>
      <c r="E57" s="133">
        <f ca="1">E$49/F8</f>
        <v>17.634024439749268</v>
      </c>
      <c r="F57" s="44"/>
      <c r="H57" s="133">
        <f ca="1">H$49/F8</f>
        <v>18.688495316906387</v>
      </c>
      <c r="I57" s="44"/>
      <c r="N57" s="44"/>
      <c r="O57" s="44"/>
      <c r="P57" s="44"/>
      <c r="Q57" s="44"/>
      <c r="R57" s="44"/>
    </row>
    <row r="58" spans="1:18" ht="15" customHeight="1" x14ac:dyDescent="0.25">
      <c r="A58" s="16"/>
      <c r="B58" s="44" t="str">
        <f>"Implied forward "&amp;YEAR(G3)&amp;" EBITDA multiple"</f>
        <v>Implied forward 2028 EBITDA multiple</v>
      </c>
      <c r="C58" s="44"/>
      <c r="D58" s="44"/>
      <c r="E58" s="133">
        <f ca="1">E$49/G8</f>
        <v>16.357877332088353</v>
      </c>
      <c r="F58" s="44"/>
      <c r="H58" s="133">
        <f ca="1">H$49/G8</f>
        <v>17.336037780812394</v>
      </c>
      <c r="I58" s="44"/>
      <c r="N58" s="44"/>
      <c r="O58" s="44"/>
      <c r="P58" s="44"/>
      <c r="Q58" s="44"/>
      <c r="R58" s="44"/>
    </row>
    <row r="59" spans="1:18" ht="15" customHeight="1" x14ac:dyDescent="0.25">
      <c r="A59" s="16"/>
      <c r="B59" s="44"/>
      <c r="C59" s="44"/>
      <c r="D59" s="44"/>
      <c r="E59" s="44"/>
      <c r="F59" s="44"/>
      <c r="G59" s="44"/>
      <c r="H59" s="44"/>
      <c r="I59" s="44"/>
      <c r="J59" s="44"/>
      <c r="K59" s="44"/>
      <c r="L59" s="44"/>
      <c r="M59" s="44"/>
      <c r="N59" s="44"/>
      <c r="O59" s="44"/>
      <c r="P59" s="44"/>
      <c r="Q59" s="44"/>
      <c r="R59" s="44"/>
    </row>
    <row r="60" spans="1:18" ht="15" customHeight="1" x14ac:dyDescent="0.25">
      <c r="A60" s="16" t="s">
        <v>492</v>
      </c>
      <c r="B60" s="44"/>
      <c r="C60" s="44"/>
      <c r="D60" s="44"/>
      <c r="E60" s="44"/>
      <c r="F60" s="44"/>
      <c r="G60" s="44"/>
      <c r="H60" s="44"/>
      <c r="I60" s="44"/>
      <c r="J60" s="44"/>
      <c r="K60" s="44"/>
      <c r="L60" s="44"/>
      <c r="M60" s="44"/>
      <c r="N60" s="44"/>
      <c r="O60" s="44"/>
      <c r="P60" s="44"/>
      <c r="Q60" s="44"/>
      <c r="R60" s="44"/>
    </row>
    <row r="61" spans="1:18" ht="15" customHeight="1" x14ac:dyDescent="0.25">
      <c r="A61" s="16"/>
      <c r="B61" s="2" t="s">
        <v>493</v>
      </c>
      <c r="C61" s="2"/>
      <c r="D61" s="2"/>
      <c r="E61" s="61">
        <v>2E-3</v>
      </c>
      <c r="F61" s="44"/>
      <c r="H61" s="44"/>
      <c r="I61" s="44"/>
      <c r="J61" s="44"/>
      <c r="K61" s="44"/>
      <c r="L61" s="44"/>
      <c r="M61" s="44"/>
      <c r="N61" s="44"/>
      <c r="O61" s="44"/>
      <c r="P61" s="44"/>
      <c r="Q61" s="44"/>
      <c r="R61" s="44"/>
    </row>
    <row r="62" spans="1:18" ht="15" customHeight="1" x14ac:dyDescent="0.25">
      <c r="A62" s="16"/>
      <c r="B62" s="2" t="s">
        <v>494</v>
      </c>
      <c r="C62" s="2"/>
      <c r="D62" s="2"/>
      <c r="E62" s="61">
        <v>1E-3</v>
      </c>
      <c r="F62" s="44"/>
      <c r="H62" s="44"/>
      <c r="I62" s="44"/>
      <c r="J62" s="44"/>
      <c r="K62" s="44"/>
      <c r="L62" s="44"/>
      <c r="M62" s="44"/>
      <c r="N62" s="44"/>
      <c r="O62" s="44"/>
      <c r="P62" s="44"/>
      <c r="Q62" s="44"/>
      <c r="R62" s="44"/>
    </row>
    <row r="63" spans="1:18" ht="15" customHeight="1" x14ac:dyDescent="0.25">
      <c r="A63" s="16"/>
      <c r="B63" s="2" t="s">
        <v>495</v>
      </c>
      <c r="C63" s="2"/>
      <c r="D63" s="2"/>
      <c r="E63" s="55">
        <v>1</v>
      </c>
      <c r="F63" s="44"/>
      <c r="H63" s="44"/>
      <c r="I63" s="44"/>
      <c r="J63" s="44"/>
      <c r="K63" s="44"/>
      <c r="L63" s="44"/>
      <c r="M63" s="44"/>
      <c r="N63" s="44"/>
      <c r="O63" s="44"/>
      <c r="P63" s="44"/>
      <c r="Q63" s="44"/>
      <c r="R63" s="44"/>
    </row>
    <row r="64" spans="1:18" ht="15" customHeight="1" x14ac:dyDescent="0.25">
      <c r="A64" s="16"/>
      <c r="B64" s="44" t="s">
        <v>496</v>
      </c>
      <c r="C64" s="44"/>
      <c r="D64" s="44"/>
      <c r="E64" s="128">
        <f ca="1">WACC!D29</f>
        <v>8.1027263625874063E-2</v>
      </c>
      <c r="F64" s="44"/>
      <c r="H64" s="44"/>
      <c r="I64" s="44"/>
      <c r="J64" s="44"/>
      <c r="K64" s="44"/>
      <c r="L64" s="44"/>
      <c r="M64" s="44"/>
      <c r="N64" s="44"/>
      <c r="O64" s="44"/>
      <c r="P64" s="44"/>
      <c r="Q64" s="44"/>
      <c r="R64" s="44"/>
    </row>
    <row r="65" spans="1:18" ht="15" customHeight="1" x14ac:dyDescent="0.25">
      <c r="A65" s="16"/>
      <c r="B65" s="44"/>
      <c r="C65" s="44"/>
      <c r="D65" s="44"/>
      <c r="E65" s="44"/>
      <c r="F65" s="44"/>
      <c r="G65" s="44"/>
      <c r="H65" s="44"/>
      <c r="I65" s="44"/>
      <c r="J65" s="44"/>
      <c r="K65" s="44"/>
      <c r="L65" s="44"/>
      <c r="M65" s="44"/>
      <c r="N65" s="44"/>
      <c r="O65" s="44"/>
      <c r="P65" s="44"/>
      <c r="Q65" s="44"/>
      <c r="R65" s="44"/>
    </row>
    <row r="66" spans="1:18" ht="15" customHeight="1" x14ac:dyDescent="0.25">
      <c r="A66" s="16"/>
      <c r="B66" s="44"/>
      <c r="C66" s="44"/>
      <c r="D66" s="44"/>
      <c r="F66" s="2" t="s">
        <v>497</v>
      </c>
      <c r="H66" s="44"/>
      <c r="I66" s="44"/>
      <c r="J66" s="44"/>
      <c r="K66" s="44"/>
      <c r="L66" s="44"/>
      <c r="M66" s="44"/>
    </row>
    <row r="67" spans="1:18" ht="15" customHeight="1" x14ac:dyDescent="0.25">
      <c r="A67" s="16"/>
      <c r="B67" s="44"/>
      <c r="C67" s="44"/>
      <c r="D67" s="44"/>
      <c r="E67" s="44"/>
      <c r="F67" s="44"/>
      <c r="G67" s="44"/>
      <c r="H67" s="134" t="s">
        <v>498</v>
      </c>
      <c r="I67" s="44"/>
      <c r="J67" s="44"/>
      <c r="K67" s="44"/>
      <c r="L67" s="44"/>
      <c r="M67" s="44"/>
    </row>
    <row r="68" spans="1:18" ht="15" customHeight="1" x14ac:dyDescent="0.25">
      <c r="A68" s="16"/>
      <c r="B68" s="44"/>
      <c r="C68" s="44"/>
      <c r="D68" s="44"/>
      <c r="E68" s="44"/>
      <c r="F68" s="44"/>
      <c r="G68" s="44">
        <f ca="1">+E49</f>
        <v>42785.996948694745</v>
      </c>
      <c r="H68" s="135">
        <f>I68-$E$62</f>
        <v>2.7999999999999997E-2</v>
      </c>
      <c r="I68" s="135">
        <f>J68-$E$62</f>
        <v>2.8999999999999998E-2</v>
      </c>
      <c r="J68" s="135">
        <v>0.03</v>
      </c>
      <c r="K68" s="135">
        <f>J68+$E$62</f>
        <v>3.1E-2</v>
      </c>
      <c r="L68" s="135">
        <f>K68+$E$62</f>
        <v>3.2000000000000001E-2</v>
      </c>
      <c r="M68" s="44"/>
    </row>
    <row r="69" spans="1:18" ht="15" customHeight="1" x14ac:dyDescent="0.25">
      <c r="A69" s="16"/>
      <c r="B69" s="44"/>
      <c r="C69" s="44"/>
      <c r="D69" s="44"/>
      <c r="E69" s="44"/>
      <c r="F69" s="44"/>
      <c r="G69" s="135">
        <f ca="1">G70+$E$61</f>
        <v>8.5027263625874067E-2</v>
      </c>
      <c r="H69" s="44">
        <f t="dataTable" ref="H69:L73" dt2D="1" dtr="1" r1="E31" r2="E32" ca="1"/>
        <v>38679.482453071956</v>
      </c>
      <c r="I69" s="44">
        <v>39149.789301989273</v>
      </c>
      <c r="J69" s="44">
        <v>39637.189744806339</v>
      </c>
      <c r="K69" s="44">
        <v>40142.632946412457</v>
      </c>
      <c r="L69" s="44">
        <v>40667.139669952201</v>
      </c>
      <c r="M69" s="44"/>
    </row>
    <row r="70" spans="1:18" ht="15" customHeight="1" x14ac:dyDescent="0.25">
      <c r="A70" s="16"/>
      <c r="B70" s="44"/>
      <c r="C70" s="44"/>
      <c r="D70" s="44"/>
      <c r="E70" s="44"/>
      <c r="F70" s="44"/>
      <c r="G70" s="135">
        <f ca="1">G71+$E$61</f>
        <v>8.3027263625874065E-2</v>
      </c>
      <c r="H70" s="44">
        <v>40107.678612690383</v>
      </c>
      <c r="I70" s="44">
        <v>40620.164393368483</v>
      </c>
      <c r="J70" s="44">
        <v>41151.97931704345</v>
      </c>
      <c r="K70" s="44">
        <v>41704.237942216881</v>
      </c>
      <c r="L70" s="44">
        <v>42278.142197037349</v>
      </c>
      <c r="M70" s="44"/>
    </row>
    <row r="71" spans="1:18" ht="15" customHeight="1" x14ac:dyDescent="0.25">
      <c r="A71" s="16"/>
      <c r="B71" s="44"/>
      <c r="C71" s="44"/>
      <c r="D71" s="44"/>
      <c r="E71" s="44"/>
      <c r="F71" s="2" t="s">
        <v>475</v>
      </c>
      <c r="G71" s="135">
        <f ca="1">E64</f>
        <v>8.1027263625874063E-2</v>
      </c>
      <c r="H71" s="44">
        <v>41644.113503760025</v>
      </c>
      <c r="I71" s="44">
        <v>42204.081331336944</v>
      </c>
      <c r="J71" s="44">
        <v>42785.996948694745</v>
      </c>
      <c r="K71" s="44">
        <v>43391.176505559983</v>
      </c>
      <c r="L71" s="44">
        <v>44021.043532706404</v>
      </c>
      <c r="M71" s="44"/>
    </row>
    <row r="72" spans="1:18" ht="15" customHeight="1" x14ac:dyDescent="0.25">
      <c r="A72" s="16"/>
      <c r="B72" s="44"/>
      <c r="C72" s="44"/>
      <c r="D72" s="44"/>
      <c r="E72" s="44"/>
      <c r="F72" s="44"/>
      <c r="G72" s="135">
        <f ca="1">G71-$E$61</f>
        <v>7.9027263625874061E-2</v>
      </c>
      <c r="H72" s="44">
        <v>43301.521366333662</v>
      </c>
      <c r="I72" s="44">
        <v>43915.164623225864</v>
      </c>
      <c r="J72" s="44">
        <v>44553.840615437555</v>
      </c>
      <c r="K72" s="44">
        <v>45219.113000780715</v>
      </c>
      <c r="L72" s="44">
        <v>45912.678437177667</v>
      </c>
      <c r="M72" s="44"/>
    </row>
    <row r="73" spans="1:18" ht="15" customHeight="1" x14ac:dyDescent="0.25">
      <c r="A73" s="16"/>
      <c r="B73" s="44"/>
      <c r="C73" s="44"/>
      <c r="D73" s="44"/>
      <c r="E73" s="44"/>
      <c r="F73" s="44"/>
      <c r="G73" s="135">
        <f ca="1">G72-$E$61</f>
        <v>7.702726362587406E-2</v>
      </c>
      <c r="H73" s="44">
        <v>45094.714457780654</v>
      </c>
      <c r="I73" s="44">
        <v>45769.308349333063</v>
      </c>
      <c r="J73" s="44">
        <v>46472.591721818026</v>
      </c>
      <c r="K73" s="44">
        <v>47206.434520046889</v>
      </c>
      <c r="L73" s="44">
        <v>47972.872805504405</v>
      </c>
      <c r="M73" s="44"/>
    </row>
    <row r="74" spans="1:18" ht="15" customHeight="1" x14ac:dyDescent="0.25">
      <c r="A74" s="16"/>
      <c r="B74" s="44"/>
      <c r="C74" s="44"/>
      <c r="D74" s="44"/>
      <c r="E74" s="44"/>
      <c r="F74" s="44"/>
      <c r="G74" s="44"/>
      <c r="H74" s="44"/>
      <c r="I74" s="44"/>
      <c r="J74" s="44"/>
      <c r="K74" s="44"/>
      <c r="L74" s="44"/>
      <c r="M74" s="44"/>
    </row>
    <row r="75" spans="1:18" ht="15" customHeight="1" x14ac:dyDescent="0.25">
      <c r="A75" s="16"/>
      <c r="B75" s="44"/>
      <c r="C75" s="44"/>
      <c r="D75" s="44"/>
      <c r="F75" s="2" t="str">
        <f>B56&amp;" using long term growth method"</f>
        <v>Implied 2026 EBITDA multiple using long term growth method</v>
      </c>
      <c r="G75" s="44"/>
      <c r="H75" s="44"/>
      <c r="I75" s="44"/>
      <c r="J75" s="44"/>
      <c r="K75" s="44"/>
      <c r="L75" s="44"/>
      <c r="M75" s="44"/>
    </row>
    <row r="76" spans="1:18" ht="15" customHeight="1" x14ac:dyDescent="0.25">
      <c r="A76" s="16"/>
      <c r="B76" s="44"/>
      <c r="C76" s="44"/>
      <c r="D76" s="44"/>
      <c r="E76" s="44"/>
      <c r="F76" s="44"/>
      <c r="G76" s="44"/>
      <c r="H76" s="134" t="s">
        <v>498</v>
      </c>
      <c r="I76" s="44"/>
      <c r="J76" s="44"/>
      <c r="K76" s="44"/>
      <c r="L76" s="44"/>
      <c r="M76" s="44"/>
    </row>
    <row r="77" spans="1:18" ht="15" customHeight="1" x14ac:dyDescent="0.25">
      <c r="A77" s="16"/>
      <c r="B77" s="44"/>
      <c r="C77" s="44"/>
      <c r="D77" s="44"/>
      <c r="E77" s="44"/>
      <c r="F77" s="44"/>
      <c r="G77" s="133">
        <f ca="1">+E56</f>
        <v>19.04124045693812</v>
      </c>
      <c r="H77" s="135">
        <f>I77-$E$62</f>
        <v>2.7999999999999997E-2</v>
      </c>
      <c r="I77" s="135">
        <f>J77-$E$62</f>
        <v>2.8999999999999998E-2</v>
      </c>
      <c r="J77" s="135">
        <f>+J68</f>
        <v>0.03</v>
      </c>
      <c r="K77" s="135">
        <f>J77+$E$62</f>
        <v>3.1E-2</v>
      </c>
      <c r="L77" s="135">
        <f>K77+$E$62</f>
        <v>3.2000000000000001E-2</v>
      </c>
      <c r="M77" s="44"/>
    </row>
    <row r="78" spans="1:18" ht="15" customHeight="1" x14ac:dyDescent="0.25">
      <c r="A78" s="16"/>
      <c r="B78" s="44"/>
      <c r="C78" s="44"/>
      <c r="D78" s="44"/>
      <c r="E78" s="44"/>
      <c r="F78" s="44"/>
      <c r="G78" s="135">
        <f ca="1">G79+$E$61</f>
        <v>8.5027263625874067E-2</v>
      </c>
      <c r="H78" s="133">
        <f t="dataTable" ref="H78:L82" dt2D="1" dtr="1" r1="E31" r2="E32" ca="1"/>
        <v>17.213700244545315</v>
      </c>
      <c r="I78" s="133">
        <v>17.423002970610522</v>
      </c>
      <c r="J78" s="133">
        <v>17.639912933971353</v>
      </c>
      <c r="K78" s="133">
        <v>17.864852545654291</v>
      </c>
      <c r="L78" s="133">
        <v>18.098276080372361</v>
      </c>
      <c r="M78" s="44"/>
    </row>
    <row r="79" spans="1:18" ht="15" customHeight="1" x14ac:dyDescent="0.25">
      <c r="A79" s="16"/>
      <c r="B79" s="44"/>
      <c r="C79" s="44"/>
      <c r="D79" s="44"/>
      <c r="E79" s="44"/>
      <c r="F79" s="44"/>
      <c r="G79" s="135">
        <f ca="1">G80+$E$61</f>
        <v>8.3027263625874065E-2</v>
      </c>
      <c r="H79" s="133">
        <v>17.849296664738105</v>
      </c>
      <c r="I79" s="133">
        <v>18.077370466368922</v>
      </c>
      <c r="J79" s="133">
        <v>18.314046401545237</v>
      </c>
      <c r="K79" s="133">
        <v>18.55982048714046</v>
      </c>
      <c r="L79" s="133">
        <v>18.815227622526368</v>
      </c>
      <c r="M79" s="44"/>
    </row>
    <row r="80" spans="1:18" ht="15" customHeight="1" x14ac:dyDescent="0.25">
      <c r="A80" s="16"/>
      <c r="B80" s="44"/>
      <c r="C80" s="44"/>
      <c r="D80" s="44"/>
      <c r="E80" s="44"/>
      <c r="F80" s="2" t="s">
        <v>475</v>
      </c>
      <c r="G80" s="135">
        <f ca="1">$G$71</f>
        <v>8.1027263625874063E-2</v>
      </c>
      <c r="H80" s="133">
        <v>18.533063043779535</v>
      </c>
      <c r="I80" s="133">
        <v>18.78226798963663</v>
      </c>
      <c r="J80" s="133">
        <v>19.04124045693812</v>
      </c>
      <c r="K80" s="133">
        <v>19.310566177587145</v>
      </c>
      <c r="L80" s="133">
        <v>19.590878671746701</v>
      </c>
      <c r="M80" s="44"/>
    </row>
    <row r="81" spans="1:16" ht="15" customHeight="1" x14ac:dyDescent="0.25">
      <c r="A81" s="16"/>
      <c r="B81" s="44"/>
      <c r="C81" s="44"/>
      <c r="D81" s="44"/>
      <c r="E81" s="44"/>
      <c r="F81" s="44"/>
      <c r="G81" s="135">
        <f ca="1">G80-$E$61</f>
        <v>7.9027263625874061E-2</v>
      </c>
      <c r="H81" s="133">
        <v>19.27066655654394</v>
      </c>
      <c r="I81" s="133">
        <v>19.543758914851594</v>
      </c>
      <c r="J81" s="133">
        <v>19.827991701488749</v>
      </c>
      <c r="K81" s="133">
        <v>20.12406079797071</v>
      </c>
      <c r="L81" s="133">
        <v>20.432721275437004</v>
      </c>
      <c r="M81" s="44"/>
    </row>
    <row r="82" spans="1:16" ht="15" customHeight="1" x14ac:dyDescent="0.25">
      <c r="A82" s="16"/>
      <c r="B82" s="44"/>
      <c r="C82" s="44"/>
      <c r="D82" s="44"/>
      <c r="E82" s="44"/>
      <c r="F82" s="44"/>
      <c r="G82" s="135">
        <f ca="1">G81-$E$61</f>
        <v>7.702726362587406E-2</v>
      </c>
      <c r="H82" s="133">
        <v>20.068699167094202</v>
      </c>
      <c r="I82" s="133">
        <v>20.368916654493965</v>
      </c>
      <c r="J82" s="133">
        <v>20.681901947811085</v>
      </c>
      <c r="K82" s="133">
        <v>21.008487236811682</v>
      </c>
      <c r="L82" s="133">
        <v>21.349578638895867</v>
      </c>
      <c r="M82" s="44"/>
    </row>
    <row r="83" spans="1:16" ht="15" customHeight="1" x14ac:dyDescent="0.25">
      <c r="A83" s="16"/>
      <c r="B83" s="44"/>
      <c r="C83" s="44"/>
      <c r="D83" s="44"/>
      <c r="E83" s="44"/>
      <c r="F83" s="44"/>
      <c r="G83" s="44"/>
      <c r="H83" s="44"/>
      <c r="I83" s="44"/>
      <c r="J83" s="44"/>
      <c r="K83" s="44"/>
      <c r="L83" s="44"/>
      <c r="M83" s="44"/>
    </row>
    <row r="84" spans="1:16" ht="15" customHeight="1" x14ac:dyDescent="0.25">
      <c r="A84" s="16"/>
      <c r="B84" s="44"/>
      <c r="C84" s="44"/>
      <c r="D84" s="44"/>
      <c r="F84" s="2" t="s">
        <v>477</v>
      </c>
      <c r="G84" s="44"/>
      <c r="H84" s="44"/>
      <c r="I84" s="44"/>
      <c r="J84" s="44"/>
      <c r="K84" s="44"/>
      <c r="L84" s="44"/>
      <c r="M84" s="44"/>
    </row>
    <row r="85" spans="1:16" ht="15" customHeight="1" x14ac:dyDescent="0.25">
      <c r="A85" s="16"/>
      <c r="B85" s="44"/>
      <c r="C85" s="44"/>
      <c r="D85" s="44"/>
      <c r="E85" s="44"/>
      <c r="F85" s="44"/>
      <c r="G85" s="44"/>
      <c r="H85" s="134" t="s">
        <v>498</v>
      </c>
      <c r="I85" s="44"/>
      <c r="J85" s="44"/>
      <c r="K85" s="44"/>
      <c r="L85" s="44"/>
      <c r="M85" s="44"/>
    </row>
    <row r="86" spans="1:16" ht="15" customHeight="1" x14ac:dyDescent="0.25">
      <c r="A86" s="16"/>
      <c r="B86" s="44"/>
      <c r="C86" s="44"/>
      <c r="D86" s="44"/>
      <c r="E86" s="44"/>
      <c r="F86" s="44"/>
      <c r="G86" s="133">
        <f ca="1">N34</f>
        <v>15.280323858612032</v>
      </c>
      <c r="H86" s="135">
        <f>I86-$E$62</f>
        <v>2.7999999999999997E-2</v>
      </c>
      <c r="I86" s="135">
        <f>J86-$E$62</f>
        <v>2.8999999999999998E-2</v>
      </c>
      <c r="J86" s="135">
        <f>J77</f>
        <v>0.03</v>
      </c>
      <c r="K86" s="135">
        <f>J86+$E$62</f>
        <v>3.1E-2</v>
      </c>
      <c r="L86" s="135">
        <f>K86+$E$62</f>
        <v>3.2000000000000001E-2</v>
      </c>
      <c r="M86" s="44"/>
    </row>
    <row r="87" spans="1:16" ht="15" customHeight="1" x14ac:dyDescent="0.25">
      <c r="A87" s="16"/>
      <c r="B87" s="44"/>
      <c r="C87" s="44"/>
      <c r="D87" s="44"/>
      <c r="E87" s="44"/>
      <c r="F87" s="44"/>
      <c r="G87" s="135">
        <f ca="1">G88+$E$61</f>
        <v>8.5027263625874067E-2</v>
      </c>
      <c r="H87" s="133">
        <f t="dataTable" ref="H87:L91" dt2D="1" dtr="1" r1="E31" r2="E32" ca="1"/>
        <v>13.67131208582015</v>
      </c>
      <c r="I87" s="133">
        <v>13.928860168793774</v>
      </c>
      <c r="J87" s="133">
        <v>14.195768996460242</v>
      </c>
      <c r="K87" s="133">
        <v>14.472558347764355</v>
      </c>
      <c r="L87" s="133">
        <v>14.759787210081408</v>
      </c>
      <c r="M87" s="44"/>
    </row>
    <row r="88" spans="1:16" ht="15" customHeight="1" x14ac:dyDescent="0.25">
      <c r="A88" s="16"/>
      <c r="B88" s="44"/>
      <c r="C88" s="44"/>
      <c r="D88" s="44"/>
      <c r="E88" s="44"/>
      <c r="F88" s="44"/>
      <c r="G88" s="135">
        <f ca="1">G89+$E$61</f>
        <v>8.3027263625874065E-2</v>
      </c>
      <c r="H88" s="133">
        <v>14.155140448805781</v>
      </c>
      <c r="I88" s="133">
        <v>14.431164855932336</v>
      </c>
      <c r="J88" s="133">
        <v>14.717599923094982</v>
      </c>
      <c r="K88" s="133">
        <v>15.015045950558072</v>
      </c>
      <c r="L88" s="133">
        <v>15.324150295803751</v>
      </c>
      <c r="M88" s="44"/>
    </row>
    <row r="89" spans="1:16" ht="15" customHeight="1" x14ac:dyDescent="0.25">
      <c r="A89" s="16"/>
      <c r="B89" s="44"/>
      <c r="C89" s="44"/>
      <c r="D89" s="44"/>
      <c r="E89" s="44"/>
      <c r="F89" s="2" t="s">
        <v>475</v>
      </c>
      <c r="G89" s="135">
        <f ca="1">$G$71</f>
        <v>8.1027263625874063E-2</v>
      </c>
      <c r="H89" s="133">
        <v>14.675452862631952</v>
      </c>
      <c r="I89" s="133">
        <v>14.972075341121968</v>
      </c>
      <c r="J89" s="133">
        <v>15.280323858612032</v>
      </c>
      <c r="K89" s="133">
        <v>15.600895597287854</v>
      </c>
      <c r="L89" s="133">
        <v>15.934544620517931</v>
      </c>
      <c r="M89" s="44"/>
    </row>
    <row r="90" spans="1:16" ht="15" customHeight="1" x14ac:dyDescent="0.25">
      <c r="A90" s="16"/>
      <c r="B90" s="44"/>
      <c r="C90" s="44"/>
      <c r="D90" s="44"/>
      <c r="E90" s="44"/>
      <c r="F90" s="44"/>
      <c r="G90" s="135">
        <f ca="1">G89-$E$61</f>
        <v>7.9027263625874061E-2</v>
      </c>
      <c r="H90" s="133">
        <v>15.236539239117326</v>
      </c>
      <c r="I90" s="133">
        <v>15.556221758533205</v>
      </c>
      <c r="J90" s="133">
        <v>15.888945288022802</v>
      </c>
      <c r="K90" s="133">
        <v>16.235524428029013</v>
      </c>
      <c r="L90" s="133">
        <v>16.596843066499929</v>
      </c>
      <c r="M90" s="44"/>
    </row>
    <row r="91" spans="1:16" ht="15" customHeight="1" x14ac:dyDescent="0.25">
      <c r="A91" s="16"/>
      <c r="B91" s="44"/>
      <c r="C91" s="44"/>
      <c r="D91" s="44"/>
      <c r="E91" s="44"/>
      <c r="F91" s="44"/>
      <c r="G91" s="135">
        <f ca="1">G90-$E$61</f>
        <v>7.702726362587406E-2</v>
      </c>
      <c r="H91" s="133">
        <v>15.843389494189786</v>
      </c>
      <c r="I91" s="133">
        <v>16.189005493122316</v>
      </c>
      <c r="J91" s="133">
        <v>16.549320029553535</v>
      </c>
      <c r="K91" s="133">
        <v>16.925291135941194</v>
      </c>
      <c r="L91" s="133">
        <v>17.317961951621054</v>
      </c>
      <c r="M91" s="44"/>
    </row>
    <row r="92" spans="1:16" ht="15" customHeight="1" x14ac:dyDescent="0.25">
      <c r="A92" s="16"/>
      <c r="B92" s="44"/>
      <c r="C92" s="44"/>
      <c r="D92" s="44"/>
      <c r="E92" s="44"/>
      <c r="F92" s="44"/>
      <c r="G92" s="44"/>
      <c r="H92" s="44"/>
      <c r="I92" s="44"/>
      <c r="J92" s="44"/>
      <c r="K92" s="44"/>
      <c r="L92" s="44"/>
      <c r="M92" s="44"/>
      <c r="N92" s="44"/>
      <c r="O92" s="44"/>
      <c r="P92" s="44"/>
    </row>
    <row r="93" spans="1:16" ht="15" customHeight="1" x14ac:dyDescent="0.25">
      <c r="B93" s="44"/>
      <c r="C93" s="44"/>
      <c r="D93" s="44"/>
      <c r="E93" s="44"/>
      <c r="F93" s="2" t="s">
        <v>499</v>
      </c>
      <c r="G93" s="44"/>
      <c r="H93" s="44"/>
      <c r="I93" s="44"/>
      <c r="J93" s="44"/>
      <c r="K93" s="44"/>
      <c r="L93" s="44"/>
      <c r="M93" s="44"/>
      <c r="N93" s="44"/>
      <c r="O93" s="44"/>
      <c r="P93" s="44"/>
    </row>
    <row r="94" spans="1:16" ht="15" customHeight="1" x14ac:dyDescent="0.25">
      <c r="F94" s="44"/>
      <c r="G94" s="44"/>
      <c r="H94" s="44" t="s">
        <v>478</v>
      </c>
      <c r="I94" s="44"/>
      <c r="J94" s="44"/>
      <c r="K94" s="44"/>
      <c r="L94" s="44"/>
    </row>
    <row r="95" spans="1:16" ht="15" customHeight="1" x14ac:dyDescent="0.25">
      <c r="F95" s="44"/>
      <c r="G95" s="44">
        <f ca="1">H49</f>
        <v>45344.493330883808</v>
      </c>
      <c r="H95" s="136">
        <f>I95-$E$63</f>
        <v>13</v>
      </c>
      <c r="I95" s="136">
        <f>J95-$E$63</f>
        <v>14</v>
      </c>
      <c r="J95" s="136">
        <v>15</v>
      </c>
      <c r="K95" s="136">
        <f>J95+$E$63</f>
        <v>16</v>
      </c>
      <c r="L95" s="136">
        <f>K95+$E$63</f>
        <v>17</v>
      </c>
    </row>
    <row r="96" spans="1:16" ht="15" customHeight="1" x14ac:dyDescent="0.25">
      <c r="F96" s="44"/>
      <c r="G96" s="135">
        <f ca="1">G97+$E$61</f>
        <v>8.5027263625874067E-2</v>
      </c>
      <c r="H96" s="44">
        <f t="dataTable" ref="H96:L100" dt2D="1" dtr="1" r1="E36" r2="E32" ca="1"/>
        <v>38442.257164006842</v>
      </c>
      <c r="I96" s="44">
        <v>40344.400793530403</v>
      </c>
      <c r="J96" s="44">
        <v>42246.544423053965</v>
      </c>
      <c r="K96" s="44">
        <v>44148.688052577527</v>
      </c>
      <c r="L96" s="44">
        <v>46050.831682101089</v>
      </c>
    </row>
    <row r="97" spans="6:12" ht="15" customHeight="1" x14ac:dyDescent="0.25">
      <c r="F97" s="44"/>
      <c r="G97" s="135">
        <f ca="1">G98+$E$61</f>
        <v>8.3027263625874065E-2</v>
      </c>
      <c r="H97" s="44">
        <v>38944.990203066962</v>
      </c>
      <c r="I97" s="44">
        <v>40877.198884497178</v>
      </c>
      <c r="J97" s="44">
        <v>42809.407565927395</v>
      </c>
      <c r="K97" s="44">
        <v>44741.616247357611</v>
      </c>
      <c r="L97" s="44">
        <v>46673.824928787828</v>
      </c>
    </row>
    <row r="98" spans="6:12" ht="15" customHeight="1" x14ac:dyDescent="0.25">
      <c r="F98" s="2" t="s">
        <v>475</v>
      </c>
      <c r="G98" s="135">
        <f ca="1">$G$71</f>
        <v>8.1027263625874063E-2</v>
      </c>
      <c r="H98" s="44">
        <v>39456.07583301812</v>
      </c>
      <c r="I98" s="44">
        <v>41418.881665640016</v>
      </c>
      <c r="J98" s="44">
        <v>43381.687498261912</v>
      </c>
      <c r="K98" s="44">
        <v>45344.493330883808</v>
      </c>
      <c r="L98" s="44">
        <v>47307.299163505704</v>
      </c>
    </row>
    <row r="99" spans="6:12" ht="15" customHeight="1" x14ac:dyDescent="0.25">
      <c r="F99" s="44"/>
      <c r="G99" s="135">
        <f ca="1">G98-$E$61</f>
        <v>7.9027263625874061E-2</v>
      </c>
      <c r="H99" s="44">
        <v>39975.672504322429</v>
      </c>
      <c r="I99" s="44">
        <v>41969.618015347864</v>
      </c>
      <c r="J99" s="44">
        <v>43963.563526373298</v>
      </c>
      <c r="K99" s="44">
        <v>45957.509037398733</v>
      </c>
      <c r="L99" s="44">
        <v>47951.454548424168</v>
      </c>
    </row>
    <row r="100" spans="6:12" ht="15" customHeight="1" x14ac:dyDescent="0.25">
      <c r="F100" s="44"/>
      <c r="G100" s="135">
        <f ca="1">G99-$E$61</f>
        <v>7.702726362587406E-2</v>
      </c>
      <c r="H100" s="44">
        <v>40503.942007733895</v>
      </c>
      <c r="I100" s="44">
        <v>42529.580376546284</v>
      </c>
      <c r="J100" s="44">
        <v>44555.218745358674</v>
      </c>
      <c r="K100" s="44">
        <v>46580.857114171064</v>
      </c>
      <c r="L100" s="44">
        <v>48606.495482983453</v>
      </c>
    </row>
    <row r="101" spans="6:12" ht="15" customHeight="1" x14ac:dyDescent="0.25">
      <c r="F101" s="44"/>
      <c r="G101" s="44"/>
      <c r="H101" s="44"/>
      <c r="I101" s="44"/>
      <c r="J101" s="44"/>
      <c r="K101" s="44"/>
      <c r="L101" s="44"/>
    </row>
    <row r="102" spans="6:12" ht="15" customHeight="1" x14ac:dyDescent="0.25">
      <c r="F102" s="2" t="str">
        <f>B56&amp;" using multiple method"</f>
        <v>Implied 2026 EBITDA multiple using multiple method</v>
      </c>
      <c r="G102" s="44"/>
      <c r="H102" s="44"/>
      <c r="I102" s="44"/>
      <c r="J102" s="44"/>
      <c r="K102" s="44"/>
      <c r="L102" s="44"/>
    </row>
    <row r="103" spans="6:12" ht="15" customHeight="1" x14ac:dyDescent="0.25">
      <c r="F103" s="44"/>
      <c r="G103" s="44"/>
      <c r="H103" s="44" t="s">
        <v>478</v>
      </c>
      <c r="I103" s="44"/>
      <c r="J103" s="44"/>
      <c r="K103" s="44"/>
      <c r="L103" s="44"/>
    </row>
    <row r="104" spans="6:12" ht="15" customHeight="1" x14ac:dyDescent="0.25">
      <c r="F104" s="44"/>
      <c r="G104" s="133">
        <f ca="1">H56</f>
        <v>20.179859357881</v>
      </c>
      <c r="H104" s="136">
        <f>H95</f>
        <v>13</v>
      </c>
      <c r="I104" s="136">
        <f>I95</f>
        <v>14</v>
      </c>
      <c r="J104" s="136">
        <f>J95</f>
        <v>15</v>
      </c>
      <c r="K104" s="136">
        <f>K95</f>
        <v>16</v>
      </c>
      <c r="L104" s="136">
        <f>L95</f>
        <v>17</v>
      </c>
    </row>
    <row r="105" spans="6:12" ht="15" customHeight="1" x14ac:dyDescent="0.25">
      <c r="F105" s="44"/>
      <c r="G105" s="135">
        <f ca="1">G106+$E$61</f>
        <v>8.5027263625874067E-2</v>
      </c>
      <c r="H105" s="133">
        <f t="dataTable" ref="H105:L109" dt2D="1" dtr="1" r1="E36" r2="E32" ca="1"/>
        <v>17.108126830491834</v>
      </c>
      <c r="I105" s="133">
        <v>17.954646178324772</v>
      </c>
      <c r="J105" s="133">
        <v>18.80116552615771</v>
      </c>
      <c r="K105" s="133">
        <v>19.647684873990649</v>
      </c>
      <c r="L105" s="133">
        <v>20.494204221823587</v>
      </c>
    </row>
    <row r="106" spans="6:12" ht="15" customHeight="1" x14ac:dyDescent="0.25">
      <c r="F106" s="44"/>
      <c r="G106" s="135">
        <f ca="1">G107+$E$61</f>
        <v>8.3027263625874065E-2</v>
      </c>
      <c r="H106" s="133">
        <v>17.3318603266137</v>
      </c>
      <c r="I106" s="133">
        <v>18.191759656766354</v>
      </c>
      <c r="J106" s="133">
        <v>19.051658986919008</v>
      </c>
      <c r="K106" s="133">
        <v>19.911558317071663</v>
      </c>
      <c r="L106" s="133">
        <v>20.771457647224317</v>
      </c>
    </row>
    <row r="107" spans="6:12" ht="15" customHeight="1" x14ac:dyDescent="0.25">
      <c r="F107" s="2" t="s">
        <v>475</v>
      </c>
      <c r="G107" s="135">
        <f ca="1">$G$71</f>
        <v>8.1027263625874063E-2</v>
      </c>
      <c r="H107" s="133">
        <v>17.559311013006614</v>
      </c>
      <c r="I107" s="133">
        <v>18.432827127964742</v>
      </c>
      <c r="J107" s="133">
        <v>19.306343242922871</v>
      </c>
      <c r="K107" s="133">
        <v>20.179859357881</v>
      </c>
      <c r="L107" s="133">
        <v>21.053375472839129</v>
      </c>
    </row>
    <row r="108" spans="6:12" ht="15" customHeight="1" x14ac:dyDescent="0.25">
      <c r="F108" s="44"/>
      <c r="G108" s="135">
        <f ca="1">G107-$E$61</f>
        <v>7.9027263625874061E-2</v>
      </c>
      <c r="H108" s="133">
        <v>17.790549405576822</v>
      </c>
      <c r="I108" s="133">
        <v>18.67792374861234</v>
      </c>
      <c r="J108" s="133">
        <v>19.565298091647858</v>
      </c>
      <c r="K108" s="133">
        <v>20.452672434683375</v>
      </c>
      <c r="L108" s="133">
        <v>21.340046777718893</v>
      </c>
    </row>
    <row r="109" spans="6:12" ht="15" customHeight="1" x14ac:dyDescent="0.25">
      <c r="F109" s="44"/>
      <c r="G109" s="135">
        <f ca="1">G108-$E$61</f>
        <v>7.702726362587406E-2</v>
      </c>
      <c r="H109" s="133">
        <v>18.025647506775371</v>
      </c>
      <c r="I109" s="133">
        <v>18.927126261742966</v>
      </c>
      <c r="J109" s="133">
        <v>19.828605016710558</v>
      </c>
      <c r="K109" s="133">
        <v>20.730083771678153</v>
      </c>
      <c r="L109" s="133">
        <v>21.631562526645748</v>
      </c>
    </row>
    <row r="110" spans="6:12" ht="15" customHeight="1" x14ac:dyDescent="0.25">
      <c r="F110" s="44"/>
      <c r="G110" s="44"/>
      <c r="H110" s="44"/>
      <c r="I110" s="44"/>
      <c r="J110" s="44"/>
      <c r="K110" s="44"/>
      <c r="L110" s="44"/>
    </row>
    <row r="111" spans="6:12" ht="15" customHeight="1" x14ac:dyDescent="0.25">
      <c r="F111" s="2" t="s">
        <v>500</v>
      </c>
      <c r="G111" s="44"/>
      <c r="H111" s="44"/>
      <c r="I111" s="44"/>
      <c r="J111" s="44"/>
      <c r="K111" s="44"/>
      <c r="L111" s="44"/>
    </row>
    <row r="112" spans="6:12" ht="15" customHeight="1" x14ac:dyDescent="0.25">
      <c r="F112" s="44"/>
      <c r="G112" s="44"/>
      <c r="H112" s="44" t="s">
        <v>478</v>
      </c>
      <c r="I112" s="44"/>
      <c r="J112" s="44"/>
      <c r="K112" s="44"/>
      <c r="L112" s="44"/>
    </row>
    <row r="113" spans="1:12" ht="15" customHeight="1" x14ac:dyDescent="0.25">
      <c r="F113" s="44"/>
      <c r="G113" s="128">
        <f ca="1">N38</f>
        <v>3.2191507881282222E-2</v>
      </c>
      <c r="H113" s="136">
        <f>H104</f>
        <v>13</v>
      </c>
      <c r="I113" s="136">
        <f>I104</f>
        <v>14</v>
      </c>
      <c r="J113" s="136">
        <f>J104</f>
        <v>15</v>
      </c>
      <c r="K113" s="136">
        <f>K104</f>
        <v>16</v>
      </c>
      <c r="L113" s="136">
        <f>L104</f>
        <v>17</v>
      </c>
    </row>
    <row r="114" spans="1:12" ht="15" customHeight="1" x14ac:dyDescent="0.25">
      <c r="F114" s="44"/>
      <c r="G114" s="135">
        <f ca="1">G115+$E$61</f>
        <v>8.5027263625874067E-2</v>
      </c>
      <c r="H114" s="128">
        <f t="dataTable" ref="H114:L118" dt2D="1" dtr="1" r1="E36" r2="E32" ca="1"/>
        <v>2.521747550456999E-2</v>
      </c>
      <c r="I114" s="128">
        <v>2.9270067857505699E-2</v>
      </c>
      <c r="J114" s="128">
        <v>3.2808319697071472E-2</v>
      </c>
      <c r="K114" s="128">
        <v>3.592430552515629E-2</v>
      </c>
      <c r="L114" s="128">
        <v>3.8689360477445908E-2</v>
      </c>
    </row>
    <row r="115" spans="1:12" ht="15" customHeight="1" x14ac:dyDescent="0.25">
      <c r="F115" s="44"/>
      <c r="G115" s="135">
        <f ca="1">G116+$E$61</f>
        <v>8.3027263625874065E-2</v>
      </c>
      <c r="H115" s="128">
        <v>2.3379736124845139E-2</v>
      </c>
      <c r="I115" s="128">
        <v>2.7421525531626394E-2</v>
      </c>
      <c r="J115" s="128">
        <v>3.0950322731805206E-2</v>
      </c>
      <c r="K115" s="128">
        <v>3.4057964692732041E-2</v>
      </c>
      <c r="L115" s="128">
        <v>3.6815601704534254E-2</v>
      </c>
    </row>
    <row r="116" spans="1:12" ht="15" customHeight="1" x14ac:dyDescent="0.25">
      <c r="F116" s="2" t="s">
        <v>475</v>
      </c>
      <c r="G116" s="135">
        <f ca="1">$G$71</f>
        <v>8.1027263625874063E-2</v>
      </c>
      <c r="H116" s="128">
        <v>2.1541857882116898E-2</v>
      </c>
      <c r="I116" s="128">
        <v>2.5572852905329065E-2</v>
      </c>
      <c r="J116" s="128">
        <v>2.9092203040576772E-2</v>
      </c>
      <c r="K116" s="128">
        <v>3.2191507881282222E-2</v>
      </c>
      <c r="L116" s="128">
        <v>3.4941732999844391E-2</v>
      </c>
    </row>
    <row r="117" spans="1:12" ht="15" customHeight="1" x14ac:dyDescent="0.25">
      <c r="F117" s="44"/>
      <c r="G117" s="135">
        <f ca="1">G116-$E$61</f>
        <v>7.9027263625874061E-2</v>
      </c>
      <c r="H117" s="128">
        <v>1.9703840629220974E-2</v>
      </c>
      <c r="I117" s="128">
        <v>2.3724049841711902E-2</v>
      </c>
      <c r="J117" s="128">
        <v>2.7233960495420022E-2</v>
      </c>
      <c r="K117" s="128">
        <v>3.032493497068969E-2</v>
      </c>
      <c r="L117" s="128">
        <v>3.3067754250207179E-2</v>
      </c>
    </row>
    <row r="118" spans="1:12" ht="15" customHeight="1" x14ac:dyDescent="0.25">
      <c r="F118" s="44"/>
      <c r="G118" s="135">
        <f ca="1">G117-$E$61</f>
        <v>7.702726362587406E-2</v>
      </c>
      <c r="H118" s="128">
        <v>1.7865684218580515E-2</v>
      </c>
      <c r="I118" s="128">
        <v>2.1875116203489618E-2</v>
      </c>
      <c r="J118" s="128">
        <v>2.5375594968010798E-2</v>
      </c>
      <c r="K118" s="128">
        <v>2.8458245840501484E-2</v>
      </c>
      <c r="L118" s="128">
        <v>3.1193665342137255E-2</v>
      </c>
    </row>
    <row r="120" spans="1:12" ht="15" customHeight="1" x14ac:dyDescent="0.25">
      <c r="A120" s="16" t="s">
        <v>137</v>
      </c>
    </row>
  </sheetData>
  <printOptions headings="1" gridLines="1"/>
  <pageMargins left="0.70866141732283472" right="0.70866141732283472" top="0.74803149606299213" bottom="0.74803149606299213" header="0" footer="0"/>
  <pageSetup paperSize="9" scale="64" fitToHeight="0" orientation="landscape" r:id="rId1"/>
  <headerFooter>
    <oddHeader>&amp;R&amp;F  &amp;A</oddHeader>
    <oddFooter>&amp;L© 2016&amp;CPage &amp;P of</oddFooter>
  </headerFooter>
  <rowBreaks count="1" manualBreakCount="1">
    <brk id="54" max="19"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9eded41-6c5d-4718-b7b7-dbfd1652bccf">
      <Terms xmlns="http://schemas.microsoft.com/office/infopath/2007/PartnerControls"/>
    </lcf76f155ced4ddcb4097134ff3c332f>
    <TaxCatchAll xmlns="6ea4884f-dd23-4a9e-9674-e0962577458b" xsi:nil="true"/>
    <SharedWithUsers xmlns="6ea4884f-dd23-4a9e-9674-e0962577458b">
      <UserInfo>
        <DisplayName/>
        <AccountId xsi:nil="true"/>
        <AccountType/>
      </UserInfo>
    </SharedWithUsers>
    <MediaLengthInSeconds xmlns="69eded41-6c5d-4718-b7b7-dbfd1652bcc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F002F8CDD7ACF40A6C36B1C9FA62C55" ma:contentTypeVersion="14" ma:contentTypeDescription="Create a new document." ma:contentTypeScope="" ma:versionID="d404fa04c35d4f3b5506d3037726f8c7">
  <xsd:schema xmlns:xsd="http://www.w3.org/2001/XMLSchema" xmlns:xs="http://www.w3.org/2001/XMLSchema" xmlns:p="http://schemas.microsoft.com/office/2006/metadata/properties" xmlns:ns2="69eded41-6c5d-4718-b7b7-dbfd1652bccf" xmlns:ns3="6ea4884f-dd23-4a9e-9674-e0962577458b" targetNamespace="http://schemas.microsoft.com/office/2006/metadata/properties" ma:root="true" ma:fieldsID="80694a67426a54d6681b2d2a2fe6f891" ns2:_="" ns3:_="">
    <xsd:import namespace="69eded41-6c5d-4718-b7b7-dbfd1652bccf"/>
    <xsd:import namespace="6ea4884f-dd23-4a9e-9674-e0962577458b"/>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eded41-6c5d-4718-b7b7-dbfd1652bc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c32ff089-c713-41da-a7f8-7725fa36ebb8"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a4884f-dd23-4a9e-9674-e0962577458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97a576b-233c-4f6a-bc99-79689ae6a87f}" ma:internalName="TaxCatchAll" ma:showField="CatchAllData" ma:web="6ea4884f-dd23-4a9e-9674-e096257745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F24BD9-5459-4237-BB08-C0910670372A}">
  <ds:schemaRefs>
    <ds:schemaRef ds:uri="http://schemas.microsoft.com/sharepoint/v3/contenttype/forms"/>
  </ds:schemaRefs>
</ds:datastoreItem>
</file>

<file path=customXml/itemProps2.xml><?xml version="1.0" encoding="utf-8"?>
<ds:datastoreItem xmlns:ds="http://schemas.openxmlformats.org/officeDocument/2006/customXml" ds:itemID="{2B99976A-A153-47D6-BDE7-A7DFBE24173B}">
  <ds:schemaRefs>
    <ds:schemaRef ds:uri="69eded41-6c5d-4718-b7b7-dbfd1652bccf"/>
    <ds:schemaRef ds:uri="http://purl.org/dc/dcmitype/"/>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6ea4884f-dd23-4a9e-9674-e0962577458b"/>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6D6D8C4B-028F-40C9-9EEE-CFC8C6B50A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eded41-6c5d-4718-b7b7-dbfd1652bccf"/>
    <ds:schemaRef ds:uri="6ea4884f-dd23-4a9e-9674-e096257745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157</vt:i4>
      </vt:variant>
    </vt:vector>
  </HeadingPairs>
  <TitlesOfParts>
    <vt:vector size="174" baseType="lpstr">
      <vt:lpstr>Welcome</vt:lpstr>
      <vt:lpstr>Info</vt:lpstr>
      <vt:lpstr>Accounting</vt:lpstr>
      <vt:lpstr>Model</vt:lpstr>
      <vt:lpstr>Trading_comps_scratch</vt:lpstr>
      <vt:lpstr>1</vt:lpstr>
      <vt:lpstr>2</vt:lpstr>
      <vt:lpstr>Trading_comps</vt:lpstr>
      <vt:lpstr>DCF</vt:lpstr>
      <vt:lpstr>WACC</vt:lpstr>
      <vt:lpstr>Transaction_comps</vt:lpstr>
      <vt:lpstr>Synergies</vt:lpstr>
      <vt:lpstr>Valuation_summary</vt:lpstr>
      <vt:lpstr>M&amp;A</vt:lpstr>
      <vt:lpstr>LBO</vt:lpstr>
      <vt:lpstr>Scratchpad</vt:lpstr>
      <vt:lpstr>Factset codes</vt:lpstr>
      <vt:lpstr>ANALYSIS_DATE</vt:lpstr>
      <vt:lpstr>'1'!BETA</vt:lpstr>
      <vt:lpstr>'2'!BETA</vt:lpstr>
      <vt:lpstr>'1'!CASH_AND_ST_INVESTMENTS</vt:lpstr>
      <vt:lpstr>'2'!CASH_AND_ST_INVESTMENTS</vt:lpstr>
      <vt:lpstr>Circswitch</vt:lpstr>
      <vt:lpstr>'1'!COMP_CALENDARIZE_PERCENTAGES</vt:lpstr>
      <vt:lpstr>'2'!COMP_CALENDARIZE_PERCENTAGES</vt:lpstr>
      <vt:lpstr>'Factset codes'!COMP_CALENDARIZE_PERCENTAGES</vt:lpstr>
      <vt:lpstr>'1'!COMP_EQ_VALUE</vt:lpstr>
      <vt:lpstr>'2'!COMP_EQ_VALUE</vt:lpstr>
      <vt:lpstr>'Factset codes'!COMP_EQ_VALUE</vt:lpstr>
      <vt:lpstr>'1'!COMP_EV</vt:lpstr>
      <vt:lpstr>'2'!COMP_EV</vt:lpstr>
      <vt:lpstr>'Factset codes'!COMP_EV</vt:lpstr>
      <vt:lpstr>'1'!COMP_FX</vt:lpstr>
      <vt:lpstr>'2'!COMP_FX</vt:lpstr>
      <vt:lpstr>'1'!COMP_MTR</vt:lpstr>
      <vt:lpstr>'2'!COMP_MTR</vt:lpstr>
      <vt:lpstr>'Factset codes'!Comp_MTR</vt:lpstr>
      <vt:lpstr>'1'!COMP_SHAREPRICE</vt:lpstr>
      <vt:lpstr>'2'!COMP_SHAREPRICE</vt:lpstr>
      <vt:lpstr>'Factset codes'!COMP_SHAREPRICE</vt:lpstr>
      <vt:lpstr>'1'!COMPANY_NAME</vt:lpstr>
      <vt:lpstr>'2'!COMPANY_NAME</vt:lpstr>
      <vt:lpstr>'1'!CREDIT_RATING</vt:lpstr>
      <vt:lpstr>'2'!CREDIT_RATING</vt:lpstr>
      <vt:lpstr>'1'!DSO</vt:lpstr>
      <vt:lpstr>'2'!DSO</vt:lpstr>
      <vt:lpstr>'Factset codes'!EBIT_LTM</vt:lpstr>
      <vt:lpstr>'1'!EBITDA_CY1</vt:lpstr>
      <vt:lpstr>'2'!EBITDA_CY1</vt:lpstr>
      <vt:lpstr>'1'!EBITDA_CY2</vt:lpstr>
      <vt:lpstr>'2'!EBITDA_CY2</vt:lpstr>
      <vt:lpstr>'1'!EBITDA_CY3</vt:lpstr>
      <vt:lpstr>'2'!EBITDA_CY3</vt:lpstr>
      <vt:lpstr>'1'!EBITDA_CY4</vt:lpstr>
      <vt:lpstr>'2'!EBITDA_CY4</vt:lpstr>
      <vt:lpstr>'1'!EBITDA_LTM</vt:lpstr>
      <vt:lpstr>'2'!EBITDA_LTM</vt:lpstr>
      <vt:lpstr>'Factset codes'!EBITDA_LTM</vt:lpstr>
      <vt:lpstr>'1'!EBITDAR_CY1</vt:lpstr>
      <vt:lpstr>'2'!EBITDAR_CY1</vt:lpstr>
      <vt:lpstr>'1'!EBITDAR_CY2</vt:lpstr>
      <vt:lpstr>'2'!EBITDAR_CY2</vt:lpstr>
      <vt:lpstr>'1'!EBITDAR_CY3</vt:lpstr>
      <vt:lpstr>'2'!EBITDAR_CY3</vt:lpstr>
      <vt:lpstr>'1'!EBITDAR_LTM</vt:lpstr>
      <vt:lpstr>'2'!EBITDAR_LTM</vt:lpstr>
      <vt:lpstr>'1'!EPS_5YR_GROWTH</vt:lpstr>
      <vt:lpstr>'2'!EPS_5YR_GROWTH</vt:lpstr>
      <vt:lpstr>'1'!EPS_CY1</vt:lpstr>
      <vt:lpstr>'2'!EPS_CY1</vt:lpstr>
      <vt:lpstr>'1'!EPS_CY2</vt:lpstr>
      <vt:lpstr>'2'!EPS_CY2</vt:lpstr>
      <vt:lpstr>'1'!EPS_CY3</vt:lpstr>
      <vt:lpstr>'2'!EPS_CY3</vt:lpstr>
      <vt:lpstr>'1'!EPS_CY4</vt:lpstr>
      <vt:lpstr>'2'!EPS_CY4</vt:lpstr>
      <vt:lpstr>'Factset codes'!EV_EBIT_CY1</vt:lpstr>
      <vt:lpstr>'Factset codes'!EV_EBIT_CY2</vt:lpstr>
      <vt:lpstr>'Factset codes'!EV_EBIT_CY3</vt:lpstr>
      <vt:lpstr>'Factset codes'!EV_EBIT_CY4</vt:lpstr>
      <vt:lpstr>'Factset codes'!EV_EBIT_LTM</vt:lpstr>
      <vt:lpstr>'1'!EV_EBITDA_CY1</vt:lpstr>
      <vt:lpstr>'2'!EV_EBITDA_CY1</vt:lpstr>
      <vt:lpstr>'Factset codes'!EV_EBITDA_CY1</vt:lpstr>
      <vt:lpstr>'1'!EV_EBITDA_CY2</vt:lpstr>
      <vt:lpstr>'2'!EV_EBITDA_CY2</vt:lpstr>
      <vt:lpstr>'Factset codes'!EV_EBITDA_CY2</vt:lpstr>
      <vt:lpstr>'1'!EV_EBITDA_CY3</vt:lpstr>
      <vt:lpstr>'2'!EV_EBITDA_CY3</vt:lpstr>
      <vt:lpstr>'Factset codes'!EV_EBITDA_CY3</vt:lpstr>
      <vt:lpstr>'1'!EV_EBITDA_CY4</vt:lpstr>
      <vt:lpstr>'2'!EV_EBITDA_CY4</vt:lpstr>
      <vt:lpstr>'Factset codes'!EV_EBITDA_CY4</vt:lpstr>
      <vt:lpstr>'1'!EV_EBITDA_LMT</vt:lpstr>
      <vt:lpstr>'2'!EV_EBITDA_LMT</vt:lpstr>
      <vt:lpstr>'Factset codes'!EV_EBITDA_LMT</vt:lpstr>
      <vt:lpstr>'1'!EV_REVENUE_CY1</vt:lpstr>
      <vt:lpstr>'2'!EV_REVENUE_CY1</vt:lpstr>
      <vt:lpstr>'Factset codes'!EV_REVENUE_CY1</vt:lpstr>
      <vt:lpstr>'1'!EV_REVENUE_CY2</vt:lpstr>
      <vt:lpstr>'2'!EV_REVENUE_CY2</vt:lpstr>
      <vt:lpstr>'Factset codes'!EV_REVENUE_CY2</vt:lpstr>
      <vt:lpstr>'1'!EV_REVENUE_CY3</vt:lpstr>
      <vt:lpstr>'2'!EV_REVENUE_CY3</vt:lpstr>
      <vt:lpstr>'Factset codes'!EV_REVENUE_CY3</vt:lpstr>
      <vt:lpstr>'1'!EV_REVENUE_CY4</vt:lpstr>
      <vt:lpstr>'2'!EV_REVENUE_CY4</vt:lpstr>
      <vt:lpstr>'Factset codes'!EV_REVENUE_CY4</vt:lpstr>
      <vt:lpstr>'1'!EV_REVENUE_LTM</vt:lpstr>
      <vt:lpstr>'2'!EV_REVENUE_LTM</vt:lpstr>
      <vt:lpstr>'Factset codes'!EV_REVENUE_LTM</vt:lpstr>
      <vt:lpstr>'1'!EVR</vt:lpstr>
      <vt:lpstr>'2'!EVR</vt:lpstr>
      <vt:lpstr>'1'!FCF_LTM</vt:lpstr>
      <vt:lpstr>'2'!FCF_LTM</vt:lpstr>
      <vt:lpstr>'Factset codes'!FCF_LTM</vt:lpstr>
      <vt:lpstr>'1'!GROSS_DEBT_LTM_EBITDA</vt:lpstr>
      <vt:lpstr>'2'!GROSS_DEBT_LTM_EBITDA</vt:lpstr>
      <vt:lpstr>ltg</vt:lpstr>
      <vt:lpstr>MAIN_CURRENCY</vt:lpstr>
      <vt:lpstr>'1'!OTHER_ADJUSTMENTS</vt:lpstr>
      <vt:lpstr>'2'!OTHER_ADJUSTMENTS</vt:lpstr>
      <vt:lpstr>'1'!P_BV</vt:lpstr>
      <vt:lpstr>'2'!P_BV</vt:lpstr>
      <vt:lpstr>'1'!PE_CY1</vt:lpstr>
      <vt:lpstr>'2'!PE_CY1</vt:lpstr>
      <vt:lpstr>'Factset codes'!PE_CY1</vt:lpstr>
      <vt:lpstr>'1'!PE_CY2</vt:lpstr>
      <vt:lpstr>'2'!PE_CY2</vt:lpstr>
      <vt:lpstr>'Factset codes'!PE_CY2</vt:lpstr>
      <vt:lpstr>'1'!PE_CY3</vt:lpstr>
      <vt:lpstr>'2'!PE_CY3</vt:lpstr>
      <vt:lpstr>'Factset codes'!PE_CY3</vt:lpstr>
      <vt:lpstr>'1'!PE_CY4</vt:lpstr>
      <vt:lpstr>'2'!PE_CY4</vt:lpstr>
      <vt:lpstr>'Factset codes'!PE_CY4</vt:lpstr>
      <vt:lpstr>'1'!Print_Area</vt:lpstr>
      <vt:lpstr>'2'!Print_Area</vt:lpstr>
      <vt:lpstr>Accounting!Print_Area</vt:lpstr>
      <vt:lpstr>DCF!Print_Area</vt:lpstr>
      <vt:lpstr>Info!Print_Area</vt:lpstr>
      <vt:lpstr>LBO!Print_Area</vt:lpstr>
      <vt:lpstr>'M&amp;A'!Print_Area</vt:lpstr>
      <vt:lpstr>Model!Print_Area</vt:lpstr>
      <vt:lpstr>Scratchpad!Print_Area</vt:lpstr>
      <vt:lpstr>Synergies!Print_Area</vt:lpstr>
      <vt:lpstr>Trading_comps!Print_Area</vt:lpstr>
      <vt:lpstr>Trading_comps_scratch!Print_Area</vt:lpstr>
      <vt:lpstr>Transaction_comps!Print_Area</vt:lpstr>
      <vt:lpstr>Valuation_summary!Print_Area</vt:lpstr>
      <vt:lpstr>WACC!Print_Area</vt:lpstr>
      <vt:lpstr>Welcome!Print_Area</vt:lpstr>
      <vt:lpstr>'1'!ROIC</vt:lpstr>
      <vt:lpstr>'2'!ROIC</vt:lpstr>
      <vt:lpstr>'1'!SALES_CY1</vt:lpstr>
      <vt:lpstr>'2'!SALES_CY1</vt:lpstr>
      <vt:lpstr>'1'!SALES_CY2</vt:lpstr>
      <vt:lpstr>'2'!SALES_CY2</vt:lpstr>
      <vt:lpstr>'1'!SALES_CY3</vt:lpstr>
      <vt:lpstr>'2'!SALES_CY3</vt:lpstr>
      <vt:lpstr>'1'!SALES_CY4</vt:lpstr>
      <vt:lpstr>'2'!SALES_CY4</vt:lpstr>
      <vt:lpstr>'1'!SALES_LTM</vt:lpstr>
      <vt:lpstr>'2'!SALES_LTM</vt:lpstr>
      <vt:lpstr>'Factset codes'!SALES_LTM</vt:lpstr>
      <vt:lpstr>'1'!SHAREPRICE_HIGH</vt:lpstr>
      <vt:lpstr>'2'!SHAREPRICE_HIGH</vt:lpstr>
      <vt:lpstr>'1'!SHAREPRICE_LOW</vt:lpstr>
      <vt:lpstr>'2'!SHAREPRICE_LOW</vt:lpstr>
      <vt:lpstr>'1'!TICKER</vt:lpstr>
      <vt:lpstr>'2'!TICKER</vt:lpstr>
      <vt:lpstr>'1'!TOTAL_DEBT</vt:lpstr>
      <vt:lpstr>'2'!TOTAL_DEBT</vt:lpstr>
      <vt:lpstr>WACC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Alastair Matchett</dc:creator>
  <cp:keywords/>
  <dc:description/>
  <cp:lastModifiedBy>Oliver Sealey</cp:lastModifiedBy>
  <cp:revision/>
  <dcterms:created xsi:type="dcterms:W3CDTF">2016-02-03T14:06:14Z</dcterms:created>
  <dcterms:modified xsi:type="dcterms:W3CDTF">2026-04-09T14:53:18Z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dsSearchOrder">
    <vt:i4>0</vt:i4>
  </property>
  <property fmtid="{D5CDD505-2E9C-101B-9397-08002B2CF9AE}" pid="3" name="ContentTypeId">
    <vt:lpwstr>0x0101004F002F8CDD7ACF40A6C36B1C9FA62C55</vt:lpwstr>
  </property>
  <property fmtid="{D5CDD505-2E9C-101B-9397-08002B2CF9AE}" pid="4" name="MediaServiceImageTags">
    <vt:lpwstr/>
  </property>
  <property fmtid="{D5CDD505-2E9C-101B-9397-08002B2CF9AE}" pid="5" name="Order">
    <vt:r8>37488000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ies>
</file>