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Relationship Id="rId4" Type="http://schemas.openxmlformats.org/officeDocument/2006/relationships/custom-properties" Target="/docProps/custom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r:id="rId1" name="Assumptions" sheetId="1"/>
    <sheet r:id="rId2" name="Revenue_Build" sheetId="2"/>
    <sheet r:id="rId3" name="DCF_Model" sheetId="3"/>
    <sheet r:id="rId4" name="Sensitivity" sheetId="4"/>
  </sheets>
  <calcPr calcId="0" iterateCount="100" iterateDelta="0.00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<sst xmlns="http://schemas.openxmlformats.org/spreadsheetml/2006/main" count="116" uniqueCount="116">
  <si>
    <t>Tesla (TSLA) — DCF Model Assumptions</t>
  </si>
  <si>
    <t>General Inputs</t>
  </si>
  <si>
    <t>Valuation Date</t>
  </si>
  <si>
    <t>2026-02-19</t>
  </si>
  <si>
    <t>Current Share Price ($)</t>
  </si>
  <si>
    <t>Shares Outstanding (B, diluted)</t>
  </si>
  <si>
    <t>Projection Period (Years)</t>
  </si>
  <si>
    <t>FY2024 Actuals ($B)</t>
  </si>
  <si>
    <t>Total Revenue</t>
  </si>
  <si>
    <t xml:space="preserve">  Automotive Revenue</t>
  </si>
  <si>
    <t xml:space="preserve">  Energy Generation &amp; Storage</t>
  </si>
  <si>
    <t xml:space="preserve">  Services &amp; Other</t>
  </si>
  <si>
    <t>EBIT (Operating Income)</t>
  </si>
  <si>
    <t>EBIT Margin</t>
  </si>
  <si>
    <t>D&amp;A</t>
  </si>
  <si>
    <t>CapEx</t>
  </si>
  <si>
    <t>Effective Tax Rate</t>
  </si>
  <si>
    <t>Balance Sheet ($B)</t>
  </si>
  <si>
    <t>Cash &amp; Equivalents</t>
  </si>
  <si>
    <t>Total Debt</t>
  </si>
  <si>
    <t>Net Cash (Debt)</t>
  </si>
  <si>
    <t>Segment Revenue Growth Rates</t>
  </si>
  <si>
    <t>Year 1 (2025)</t>
  </si>
  <si>
    <t>Year 2 (2026)</t>
  </si>
  <si>
    <t>Year 3 (2027)</t>
  </si>
  <si>
    <t>Year 4 (2028)</t>
  </si>
  <si>
    <t>Year 5 (2029)</t>
  </si>
  <si>
    <t>Year 6 (2030)</t>
  </si>
  <si>
    <t>Year 7 (2031)</t>
  </si>
  <si>
    <t>Year 8 (2032)</t>
  </si>
  <si>
    <t>Year 9 (2033)</t>
  </si>
  <si>
    <t>Year 10 (2034)</t>
  </si>
  <si>
    <t>Automotive Growth</t>
  </si>
  <si>
    <t>Energy Growth</t>
  </si>
  <si>
    <t>Services Growth</t>
  </si>
  <si>
    <t>Operating Assumptions</t>
  </si>
  <si>
    <t>D&amp;A (% of Revenue)</t>
  </si>
  <si>
    <t>CapEx (% of Revenue)</t>
  </si>
  <si>
    <t>Change in NWC (% of Rev)</t>
  </si>
  <si>
    <t>WACC Inputs</t>
  </si>
  <si>
    <t>Risk-Free Rate</t>
  </si>
  <si>
    <t>Equity Risk Premium</t>
  </si>
  <si>
    <t>Beta (Levered)</t>
  </si>
  <si>
    <t>Cost of Equity (Ke)</t>
  </si>
  <si>
    <t>Pre-Tax Cost of Debt (Kd)</t>
  </si>
  <si>
    <t>Marginal Tax Rate (for WACC)</t>
  </si>
  <si>
    <t>After-Tax Cost of Debt</t>
  </si>
  <si>
    <t>Equity Weight</t>
  </si>
  <si>
    <t>Debt Weight</t>
  </si>
  <si>
    <t>WACC</t>
  </si>
  <si>
    <t>Terminal Value Assumptions</t>
  </si>
  <si>
    <t>Terminal Growth Rate</t>
  </si>
  <si>
    <t>Exit EV/EBITDA Multiple</t>
  </si>
  <si>
    <t>Tesla (TSLA) — Revenue Build ($B)</t>
  </si>
  <si>
    <t>FY2024A</t>
  </si>
  <si>
    <t>FY2025E</t>
  </si>
  <si>
    <t>FY2026E</t>
  </si>
  <si>
    <t>FY2027E</t>
  </si>
  <si>
    <t>FY2028E</t>
  </si>
  <si>
    <t>FY2029E</t>
  </si>
  <si>
    <t>FY2030E</t>
  </si>
  <si>
    <t>FY2031E</t>
  </si>
  <si>
    <t>FY2032E</t>
  </si>
  <si>
    <t>FY2033E</t>
  </si>
  <si>
    <t>FY2034E</t>
  </si>
  <si>
    <t>Automotive Revenue</t>
  </si>
  <si>
    <t xml:space="preserve">  Growth Rate</t>
  </si>
  <si>
    <t xml:space="preserve">  Revenue</t>
  </si>
  <si>
    <t>Energy Generation &amp; Storage</t>
  </si>
  <si>
    <t>Services &amp; Other</t>
  </si>
  <si>
    <t xml:space="preserve">  YoY Growth</t>
  </si>
  <si>
    <t>Tesla (TSLA) — Discounted Cash Flow Model ($B)</t>
  </si>
  <si>
    <t>Free Cash Flow Build</t>
  </si>
  <si>
    <t>($B)</t>
  </si>
  <si>
    <t>Revenue</t>
  </si>
  <si>
    <t>EBIT</t>
  </si>
  <si>
    <t>Tax Rate</t>
  </si>
  <si>
    <t>Taxes on EBIT</t>
  </si>
  <si>
    <t>NOPAT</t>
  </si>
  <si>
    <t>(+) D&amp;A</t>
  </si>
  <si>
    <t>(-) CapEx</t>
  </si>
  <si>
    <t>(-) Chg in NWC</t>
  </si>
  <si>
    <t>Unlevered Free Cash Flow</t>
  </si>
  <si>
    <t>WACC Calculation</t>
  </si>
  <si>
    <t>Discounted Cash Flows</t>
  </si>
  <si>
    <t>Year</t>
  </si>
  <si>
    <t>Discount Factor</t>
  </si>
  <si>
    <t>PV of FCF</t>
  </si>
  <si>
    <t>Sum of PV of FCFs</t>
  </si>
  <si>
    <t>Terminal Value</t>
  </si>
  <si>
    <t>Perpetuity Growth Method</t>
  </si>
  <si>
    <t xml:space="preserve">  Terminal FCF (Year 10)</t>
  </si>
  <si>
    <t xml:space="preserve">  Terminal Growth Rate</t>
  </si>
  <si>
    <t xml:space="preserve">  Terminal Value (Perpetuity)</t>
  </si>
  <si>
    <t xml:space="preserve">  PV of Terminal Value</t>
  </si>
  <si>
    <t>Exit Multiple Method</t>
  </si>
  <si>
    <t xml:space="preserve">  Terminal EBITDA (Year 10)</t>
  </si>
  <si>
    <t xml:space="preserve">  Exit EV/EBITDA Multiple</t>
  </si>
  <si>
    <t xml:space="preserve">  Terminal Value (Multiple)</t>
  </si>
  <si>
    <t>Enterprise to Equity Bridge ($B)</t>
  </si>
  <si>
    <t>Perpetuity</t>
  </si>
  <si>
    <t>Exit Multiple</t>
  </si>
  <si>
    <t>PV of FCFs</t>
  </si>
  <si>
    <t>PV of Terminal Value</t>
  </si>
  <si>
    <t>Enterprise Value</t>
  </si>
  <si>
    <t>(+) Cash &amp; Equivalents</t>
  </si>
  <si>
    <t>(-) Total Debt</t>
  </si>
  <si>
    <t>Equity Value</t>
  </si>
  <si>
    <t>Shares Outstanding (B)</t>
  </si>
  <si>
    <t>Implied Share Price ($)</t>
  </si>
  <si>
    <t>Upside / (Downside)</t>
  </si>
  <si>
    <t>Tesla (TSLA) — Sensitivity Analysis</t>
  </si>
  <si>
    <t>Implied Share Price ($) — Perpetuity Growth Method</t>
  </si>
  <si>
    <t>WACC \ Terminal Growth</t>
  </si>
  <si>
    <t>Implied Share Price ($) — Exit Multiple Method</t>
  </si>
  <si>
    <t>WACC \ Exit Multiple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</si>
</sst>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470" formatCode="0.0%"/>
    <numFmt numFmtId="8471" formatCode="0.0x"/>
    <numFmt numFmtId="8569" formatCode="#,##0.0"/>
    <numFmt numFmtId="8693" formatCode="#,##0.0;(#,##0.0)"/>
    <numFmt numFmtId="8753" formatCode="0.0000"/>
    <numFmt numFmtId="8794" formatCode="$#,##0.00"/>
  </numFmts>
  <fonts count="19">
    <font>
      <b val="0"/>
      <i val="0"/>
      <sz val="12"/>
      <color theme="1"/>
      <name val="Calibri"/>
      <scheme val="minor"/>
    </font>
    <font>
      <b val="0"/>
      <i val="0"/>
      <sz val="12"/>
      <color theme="1"/>
      <name val="Aptos Narrow"/>
      <scheme val="minor"/>
    </font>
    <font>
      <b/>
      <i val="0"/>
      <sz val="14"/>
      <color auto="1"/>
      <name val="Aptos Narrow"/>
    </font>
    <font>
      <b/>
      <i val="0"/>
      <sz val="12"/>
      <color auto="1"/>
      <name val="Aptos Narrow"/>
    </font>
    <font>
      <b val="0"/>
      <i val="0"/>
      <color auto="1"/>
      <name val="Calibri"/>
      <scheme val="minor"/>
    </font>
    <font>
      <b/>
      <i val="0"/>
      <sz val="14"/>
      <color auto="1"/>
      <name val="Aptos Narrow"/>
    </font>
    <font>
      <b val="0"/>
      <i val="0"/>
      <sz val="11"/>
      <color theme="1"/>
      <name val="Aptos Narrow"/>
    </font>
    <font>
      <b/>
      <i val="0"/>
      <sz val="12"/>
      <color auto="1"/>
      <name val="Aptos Narrow"/>
    </font>
    <font>
      <b/>
      <i val="0"/>
      <sz val="12"/>
      <color theme="1"/>
      <name val="Aptos Narrow"/>
    </font>
    <font>
      <b val="0"/>
      <i val="0"/>
      <sz val="11"/>
      <color rgb="FF0000FF"/>
      <name val="Aptos Narrow"/>
    </font>
    <font>
      <b val="0"/>
      <i val="0"/>
      <sz val="11"/>
      <color rgb="FF000000"/>
      <name val="Aptos Narrow"/>
    </font>
    <font>
      <b val="0"/>
      <i val="0"/>
      <sz val="11"/>
      <color rgb="FF0000FF"/>
      <name val="Aptos Narrow"/>
    </font>
    <font>
      <b val="0"/>
      <i val="0"/>
      <sz val="11"/>
      <color rgb="FF000000"/>
      <name val="Aptos Narrow"/>
    </font>
    <font>
      <b/>
      <i val="0"/>
      <sz val="11"/>
      <color theme="1"/>
      <name val="Aptos Narrow"/>
    </font>
    <font>
      <b/>
      <i val="0"/>
      <sz val="11"/>
      <color rgb="FF000000"/>
      <name val="Aptos Narrow"/>
    </font>
    <font>
      <b/>
      <i val="0"/>
      <sz val="14"/>
      <color theme="1"/>
      <name val="Aptos Narrow"/>
    </font>
    <font>
      <b val="0"/>
      <i val="0"/>
      <sz val="11"/>
      <color rgb="FF008000"/>
      <name val="Aptos Narrow"/>
    </font>
    <font>
      <b/>
      <i val="0"/>
      <sz val="11"/>
      <color rgb="FF008000"/>
      <name val="Aptos Narrow"/>
    </font>
    <font>
      <b/>
      <i val="0"/>
      <sz val="11"/>
      <color rgb="FF00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rgb="FFD6E4F0"/>
      </patternFill>
    </fill>
    <fill>
      <patternFill patternType="solid">
        <fgColor rgb="FFE8E8E8"/>
      </patternFill>
    </fill>
    <fill>
      <patternFill patternType="solid">
        <fgColor rgb="FFF5F5F5"/>
      </patternFill>
    </fill>
  </fills>
  <borders count="8">
    <border>
      <left/>
      <right/>
      <top/>
      <bottom/>
    </border>
    <border>
      <left/>
      <right/>
      <top/>
      <bottom/>
      <diagonal/>
    </border>
    <border>
      <left/>
      <right/>
      <top/>
      <bottom/>
    </border>
    <border>
      <left/>
      <right/>
      <top/>
      <bottom style="medium">
        <color rgb="FF4472C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1"/>
  </cellStyleXfs>
  <cellXfs count="46">
    <xf numFmtId="0" fontId="0" fillId="0" borderId="1" xfId="0"/>
    <xf numFmtId="0" fontId="5" fillId="0" borderId="1" xfId="0">
      <alignment vertical="top"/>
    </xf>
    <xf numFmtId="0" fontId="6" fillId="0" borderId="1" xfId="0"/>
    <xf numFmtId="0" fontId="7" fillId="2" borderId="3" xfId="0">
      <alignment vertical="top"/>
    </xf>
    <xf numFmtId="0" fontId="8" fillId="2" borderId="3" xfId="0"/>
    <xf numFmtId="0" fontId="9" fillId="0" borderId="1" xfId="0"/>
    <xf numFmtId="8470" fontId="10" fillId="0" borderId="1" xfId="0">
      <alignment vertical="top"/>
    </xf>
    <xf numFmtId="8470" fontId="11" fillId="0" borderId="1" xfId="0">
      <alignment vertical="top"/>
    </xf>
    <xf numFmtId="0" fontId="12" fillId="0" borderId="1" xfId="0"/>
    <xf numFmtId="0" fontId="13" fillId="3" borderId="4" xfId="0"/>
    <xf numFmtId="0" fontId="6" fillId="4" borderId="1" xfId="0"/>
    <xf numFmtId="8470" fontId="11" fillId="4" borderId="1" xfId="0">
      <alignment vertical="top"/>
    </xf>
    <xf numFmtId="10" fontId="11" fillId="0" borderId="1" xfId="0">
      <alignment vertical="top"/>
    </xf>
    <xf numFmtId="2" fontId="11" fillId="0" borderId="1" xfId="0">
      <alignment vertical="top"/>
    </xf>
    <xf numFmtId="10" fontId="10" fillId="0" borderId="1" xfId="0">
      <alignment vertical="top"/>
    </xf>
    <xf numFmtId="0" fontId="13" fillId="0" borderId="5" xfId="0"/>
    <xf numFmtId="10" fontId="14" fillId="0" borderId="5" xfId="0">
      <alignment vertical="top"/>
    </xf>
    <xf numFmtId="8471" fontId="11" fillId="0" borderId="1" xfId="0">
      <alignment vertical="top"/>
    </xf>
    <xf numFmtId="0" fontId="15" fillId="0" borderId="1" xfId="0"/>
    <xf numFmtId="0" fontId="13" fillId="2" borderId="3" xfId="0"/>
    <xf numFmtId="0" fontId="13" fillId="3" borderId="1" xfId="0"/>
    <xf numFmtId="8470" fontId="16" fillId="0" borderId="1" xfId="0"/>
    <xf numFmtId="8569" fontId="16" fillId="0" borderId="1" xfId="0"/>
    <xf numFmtId="8569" fontId="6" fillId="0" borderId="1" xfId="0"/>
    <xf numFmtId="0" fontId="13" fillId="0" borderId="6" xfId="0"/>
    <xf numFmtId="8569" fontId="17" fillId="0" borderId="6" xfId="0"/>
    <xf numFmtId="8569" fontId="13" fillId="0" borderId="6" xfId="0"/>
    <xf numFmtId="8470" fontId="6" fillId="0" borderId="1" xfId="0"/>
    <xf numFmtId="0" fontId="13" fillId="0" borderId="1" xfId="0"/>
    <xf numFmtId="8569" fontId="12" fillId="0" borderId="1" xfId="0"/>
    <xf numFmtId="8693" fontId="12" fillId="0" borderId="1" xfId="0"/>
    <xf numFmtId="0" fontId="13" fillId="0" borderId="7" xfId="0"/>
    <xf numFmtId="8569" fontId="18" fillId="0" borderId="7" xfId="0"/>
    <xf numFmtId="8693" fontId="16" fillId="0" borderId="1" xfId="0"/>
    <xf numFmtId="8569" fontId="18" fillId="0" borderId="6" xfId="0"/>
    <xf numFmtId="10" fontId="16" fillId="0" borderId="1" xfId="0"/>
    <xf numFmtId="8753" fontId="12" fillId="0" borderId="1" xfId="0"/>
    <xf numFmtId="8471" fontId="16" fillId="0" borderId="1" xfId="0"/>
    <xf numFmtId="0" fontId="16" fillId="0" borderId="1" xfId="0"/>
    <xf numFmtId="8794" fontId="18" fillId="0" borderId="6" xfId="0"/>
    <xf numFmtId="8794" fontId="16" fillId="0" borderId="1" xfId="0"/>
    <xf numFmtId="8470" fontId="12" fillId="0" borderId="1" xfId="0"/>
    <xf numFmtId="8470" fontId="13" fillId="3" borderId="4" xfId="0"/>
    <xf numFmtId="8470" fontId="13" fillId="0" borderId="1" xfId="0"/>
    <xf numFmtId="8794" fontId="6" fillId="0" borderId="1" xfId="0"/>
    <xf numFmtId="8471" fontId="13" fillId="3" borderId="4" xfId="0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theme" Target="theme/theme1.xml"/><Relationship Id="rId7" Type="http://schemas.openxmlformats.org/officeDocument/2006/relationships/sharedStrings" Target="sharedStrings.xml"/><Relationship Id="rId8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9ACB778-4C2D-E1F8-E0A8-DB24C87E2668}" mc:Ignorable="x14ac xr xr2 xr3">
  <dimension ref="A1:CV10000"/>
  <sheetViews>
    <sheetView showGridLines="0" topLeftCell="A1" workbookViewId="0" tabSelected="1">
      <pane ySplit="3" topLeftCell="A7" activePane="bottomLeft" state="frozen"/>
      <selection pane="bottomLeft" activeCell="A1" sqref="A1"/>
    </sheetView>
  </sheetViews>
  <sheetFormatPr defaultRowHeight="15" defaultColWidth="7.75390625" customHeight="1"/>
  <cols>
    <col min="1" max="1" width="1.875" customWidth="1"/>
    <col min="2" max="2" width="30.00390625" customWidth="1"/>
    <col min="3" max="12" width="13.75390625" customWidth="1"/>
  </cols>
  <sheetData>
    <row r="2" ht="18" customHeight="1">
      <c r="B2" s="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 ht="1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16.5" customHeight="1">
      <c r="B4" s="3" t="s">
        <v>1</v>
      </c>
      <c r="C4" s="4"/>
      <c r="D4" s="4"/>
      <c r="E4" s="4"/>
      <c r="F4" s="4"/>
      <c r="G4" s="4"/>
      <c r="H4" s="4"/>
      <c r="I4" s="4"/>
      <c r="J4" s="4"/>
      <c r="K4" s="4"/>
      <c r="L4" s="4"/>
    </row>
    <row r="5" ht="15.75" customHeight="1">
      <c r="B5" s="2" t="s">
        <v>2</v>
      </c>
      <c r="C5" s="5" t="s">
        <v>3</v>
      </c>
      <c r="D5" s="2"/>
      <c r="E5" s="2"/>
      <c r="F5" s="2"/>
      <c r="G5" s="2"/>
      <c r="H5" s="2"/>
      <c r="I5" s="2"/>
      <c r="J5" s="2"/>
      <c r="K5" s="2"/>
      <c r="L5" s="2"/>
    </row>
    <row r="6" ht="15.75" customHeight="1">
      <c r="B6" s="2" t="s">
        <v>4</v>
      </c>
      <c r="C6" s="5">
        <v>410</v>
      </c>
      <c r="D6" s="2"/>
      <c r="E6" s="2"/>
      <c r="F6" s="2"/>
      <c r="G6" s="2"/>
      <c r="H6" s="2"/>
      <c r="I6" s="2"/>
      <c r="J6" s="2"/>
      <c r="K6" s="2"/>
      <c r="L6" s="2"/>
    </row>
    <row r="7" ht="15.75" customHeight="1">
      <c r="B7" s="2" t="s">
        <v>5</v>
      </c>
      <c r="C7" s="5">
        <v>3.53</v>
      </c>
      <c r="D7" s="2"/>
      <c r="E7" s="2"/>
      <c r="F7" s="2"/>
      <c r="G7" s="2"/>
      <c r="H7" s="2"/>
      <c r="I7" s="2"/>
      <c r="J7" s="2"/>
      <c r="K7" s="2"/>
      <c r="L7" s="2"/>
    </row>
    <row r="8" ht="15.75" customHeight="1">
      <c r="B8" s="2" t="s">
        <v>6</v>
      </c>
      <c r="C8" s="5">
        <v>10</v>
      </c>
      <c r="D8" s="2"/>
      <c r="E8" s="2"/>
      <c r="F8" s="2"/>
      <c r="G8" s="2"/>
      <c r="H8" s="2"/>
      <c r="I8" s="2"/>
      <c r="J8" s="2"/>
      <c r="K8" s="2"/>
      <c r="L8" s="2"/>
    </row>
    <row r="9" ht="15" customHeight="1"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ht="16.5" customHeight="1">
      <c r="B10" s="3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</row>
    <row r="11" ht="15.75" customHeight="1">
      <c r="B11" s="2" t="s">
        <v>8</v>
      </c>
      <c r="C11" s="5">
        <v>97.7</v>
      </c>
      <c r="D11" s="2"/>
      <c r="E11" s="2"/>
      <c r="F11" s="2"/>
      <c r="G11" s="2"/>
      <c r="H11" s="2"/>
      <c r="I11" s="2"/>
      <c r="J11" s="2"/>
      <c r="K11" s="2"/>
      <c r="L11" s="2"/>
    </row>
    <row r="12" ht="15.75" customHeight="1">
      <c r="B12" s="2" t="s">
        <v>9</v>
      </c>
      <c r="C12" s="5">
        <v>77.1</v>
      </c>
      <c r="D12" s="2"/>
      <c r="E12" s="2"/>
      <c r="F12" s="2"/>
      <c r="G12" s="2"/>
      <c r="H12" s="2"/>
      <c r="I12" s="2"/>
      <c r="J12" s="2"/>
      <c r="K12" s="2"/>
      <c r="L12" s="2"/>
    </row>
    <row r="13" ht="15.75" customHeight="1">
      <c r="B13" s="2" t="s">
        <v>10</v>
      </c>
      <c r="C13" s="5">
        <v>10.4</v>
      </c>
      <c r="D13" s="2"/>
      <c r="E13" s="2"/>
      <c r="F13" s="2"/>
      <c r="G13" s="2"/>
      <c r="H13" s="2"/>
      <c r="I13" s="2"/>
      <c r="J13" s="2"/>
      <c r="K13" s="2"/>
      <c r="L13" s="2"/>
    </row>
    <row r="14" ht="15.75" customHeight="1">
      <c r="B14" s="2" t="s">
        <v>11</v>
      </c>
      <c r="C14" s="5">
        <v>10.2</v>
      </c>
      <c r="D14" s="2"/>
      <c r="E14" s="2"/>
      <c r="F14" s="2"/>
      <c r="G14" s="2"/>
      <c r="H14" s="2"/>
      <c r="I14" s="2"/>
      <c r="J14" s="2"/>
      <c r="K14" s="2"/>
      <c r="L14" s="2"/>
    </row>
    <row r="15" ht="15.75" customHeight="1">
      <c r="B15" s="2" t="s">
        <v>12</v>
      </c>
      <c r="C15" s="5">
        <v>7.08</v>
      </c>
      <c r="D15" s="2"/>
      <c r="E15" s="2"/>
      <c r="F15" s="2"/>
      <c r="G15" s="2"/>
      <c r="H15" s="2"/>
      <c r="I15" s="2"/>
      <c r="J15" s="2"/>
      <c r="K15" s="2"/>
      <c r="L15" s="2"/>
    </row>
    <row r="16" ht="15.75" customHeight="1">
      <c r="B16" s="2" t="s">
        <v>13</v>
      </c>
      <c r="C16" s="6">
        <f>C15/C11</f>
        <v>0.0724667349027636</v>
      </c>
      <c r="D16" s="2"/>
      <c r="E16" s="2"/>
      <c r="F16" s="2"/>
      <c r="G16" s="2"/>
      <c r="H16" s="2"/>
      <c r="I16" s="2"/>
      <c r="J16" s="2"/>
      <c r="K16" s="2"/>
      <c r="L16" s="2"/>
    </row>
    <row r="17" ht="15.75" customHeight="1">
      <c r="B17" s="2" t="s">
        <v>14</v>
      </c>
      <c r="C17" s="5">
        <v>5.4</v>
      </c>
      <c r="D17" s="2"/>
      <c r="E17" s="2"/>
      <c r="F17" s="2"/>
      <c r="G17" s="2"/>
      <c r="H17" s="2"/>
      <c r="I17" s="2"/>
      <c r="J17" s="2"/>
      <c r="K17" s="2"/>
      <c r="L17" s="2"/>
    </row>
    <row r="18" ht="15.75" customHeight="1">
      <c r="B18" s="2" t="s">
        <v>15</v>
      </c>
      <c r="C18" s="5">
        <v>11.3</v>
      </c>
      <c r="D18" s="2"/>
      <c r="E18" s="2"/>
      <c r="F18" s="2"/>
      <c r="G18" s="2"/>
      <c r="H18" s="2"/>
      <c r="I18" s="2"/>
      <c r="J18" s="2"/>
      <c r="K18" s="2"/>
      <c r="L18" s="2"/>
    </row>
    <row r="19" ht="15.75" customHeight="1">
      <c r="B19" s="2" t="s">
        <v>16</v>
      </c>
      <c r="C19" s="7">
        <v>0.11</v>
      </c>
      <c r="D19" s="2"/>
      <c r="E19" s="2"/>
      <c r="F19" s="2"/>
      <c r="G19" s="2"/>
      <c r="H19" s="2"/>
      <c r="I19" s="2"/>
      <c r="J19" s="2"/>
      <c r="K19" s="2"/>
      <c r="L19" s="2"/>
    </row>
    <row r="20" ht="15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ht="16.5" customHeight="1">
      <c r="B21" s="3" t="s">
        <v>17</v>
      </c>
      <c r="C21" s="4"/>
      <c r="D21" s="4"/>
      <c r="E21" s="4"/>
      <c r="F21" s="4"/>
      <c r="G21" s="4"/>
      <c r="H21" s="4"/>
      <c r="I21" s="4"/>
      <c r="J21" s="4"/>
      <c r="K21" s="4"/>
      <c r="L21" s="4"/>
    </row>
    <row r="22" ht="15.75" customHeight="1">
      <c r="B22" s="2" t="s">
        <v>18</v>
      </c>
      <c r="C22" s="5">
        <v>44</v>
      </c>
      <c r="D22" s="2"/>
      <c r="E22" s="2"/>
      <c r="F22" s="2"/>
      <c r="G22" s="2"/>
      <c r="H22" s="2"/>
      <c r="I22" s="2"/>
      <c r="J22" s="2"/>
      <c r="K22" s="2"/>
      <c r="L22" s="2"/>
    </row>
    <row r="23" ht="15.75" customHeight="1">
      <c r="B23" s="2" t="s">
        <v>19</v>
      </c>
      <c r="C23" s="5">
        <v>14.7</v>
      </c>
      <c r="D23" s="2"/>
      <c r="E23" s="2"/>
      <c r="F23" s="2"/>
      <c r="G23" s="2"/>
      <c r="H23" s="2"/>
      <c r="I23" s="2"/>
      <c r="J23" s="2"/>
      <c r="K23" s="2"/>
      <c r="L23" s="2"/>
    </row>
    <row r="24" ht="15.75" customHeight="1">
      <c r="B24" s="2" t="s">
        <v>20</v>
      </c>
      <c r="C24" s="8">
        <f>C22-C23</f>
        <v>29.3</v>
      </c>
      <c r="D24" s="2"/>
      <c r="E24" s="2"/>
      <c r="F24" s="2"/>
      <c r="G24" s="2"/>
      <c r="H24" s="2"/>
      <c r="I24" s="2"/>
      <c r="J24" s="2"/>
      <c r="K24" s="2"/>
      <c r="L24" s="2"/>
    </row>
    <row r="25" ht="1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ht="16.5" customHeight="1">
      <c r="B26" s="3" t="s">
        <v>21</v>
      </c>
      <c r="C26" s="4"/>
      <c r="D26" s="4"/>
      <c r="E26" s="4"/>
      <c r="F26" s="4"/>
      <c r="G26" s="4"/>
      <c r="H26" s="4"/>
      <c r="I26" s="4"/>
      <c r="J26" s="4"/>
      <c r="K26" s="4"/>
      <c r="L26" s="4"/>
    </row>
    <row r="27" ht="15.75" customHeight="1">
      <c r="B27" s="9">
        <v>0</v>
      </c>
      <c r="C27" s="9" t="s">
        <v>22</v>
      </c>
      <c r="D27" s="9" t="s">
        <v>23</v>
      </c>
      <c r="E27" s="9" t="s">
        <v>24</v>
      </c>
      <c r="F27" s="9" t="s">
        <v>25</v>
      </c>
      <c r="G27" s="9" t="s">
        <v>26</v>
      </c>
      <c r="H27" s="9" t="s">
        <v>27</v>
      </c>
      <c r="I27" s="9" t="s">
        <v>28</v>
      </c>
      <c r="J27" s="9" t="s">
        <v>29</v>
      </c>
      <c r="K27" s="9" t="s">
        <v>30</v>
      </c>
      <c r="L27" s="9" t="s">
        <v>31</v>
      </c>
    </row>
    <row r="28" ht="15.75" customHeight="1">
      <c r="B28" s="10" t="s">
        <v>32</v>
      </c>
      <c r="C28" s="11">
        <v>0.15</v>
      </c>
      <c r="D28" s="11">
        <v>0.14</v>
      </c>
      <c r="E28" s="11">
        <v>0.12</v>
      </c>
      <c r="F28" s="11">
        <v>0.1</v>
      </c>
      <c r="G28" s="11">
        <v>0.09</v>
      </c>
      <c r="H28" s="11">
        <v>0.08</v>
      </c>
      <c r="I28" s="11">
        <v>0.07</v>
      </c>
      <c r="J28" s="11">
        <v>0.06</v>
      </c>
      <c r="K28" s="11">
        <v>0.05</v>
      </c>
      <c r="L28" s="11">
        <v>0.04</v>
      </c>
    </row>
    <row r="29" ht="15.75" customHeight="1">
      <c r="B29" s="2" t="s">
        <v>33</v>
      </c>
      <c r="C29" s="7">
        <v>0.2</v>
      </c>
      <c r="D29" s="7">
        <v>0.18</v>
      </c>
      <c r="E29" s="7">
        <v>0.16</v>
      </c>
      <c r="F29" s="7">
        <v>0.14</v>
      </c>
      <c r="G29" s="7">
        <v>0.12</v>
      </c>
      <c r="H29" s="7">
        <v>0.1</v>
      </c>
      <c r="I29" s="7">
        <v>0.08</v>
      </c>
      <c r="J29" s="7">
        <v>0.06</v>
      </c>
      <c r="K29" s="7">
        <v>0.05</v>
      </c>
      <c r="L29" s="7">
        <v>0.04</v>
      </c>
    </row>
    <row r="30" ht="15.75" customHeight="1">
      <c r="B30" s="10" t="s">
        <v>34</v>
      </c>
      <c r="C30" s="11">
        <v>0.18</v>
      </c>
      <c r="D30" s="11">
        <v>0.16</v>
      </c>
      <c r="E30" s="11">
        <v>0.14</v>
      </c>
      <c r="F30" s="11">
        <v>0.12</v>
      </c>
      <c r="G30" s="11">
        <v>0.1</v>
      </c>
      <c r="H30" s="11">
        <v>0.08</v>
      </c>
      <c r="I30" s="11">
        <v>0.07</v>
      </c>
      <c r="J30" s="11">
        <v>0.05</v>
      </c>
      <c r="K30" s="11">
        <v>0.04</v>
      </c>
      <c r="L30" s="11">
        <v>0.03</v>
      </c>
    </row>
    <row r="31" ht="1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ht="16.5" customHeight="1">
      <c r="B32" s="3" t="s">
        <v>35</v>
      </c>
      <c r="C32" s="4"/>
      <c r="D32" s="4"/>
      <c r="E32" s="4"/>
      <c r="F32" s="4"/>
      <c r="G32" s="4"/>
      <c r="H32" s="4"/>
      <c r="I32" s="4"/>
      <c r="J32" s="4"/>
      <c r="K32" s="4"/>
      <c r="L32" s="4"/>
    </row>
    <row r="33" ht="15.75" customHeight="1">
      <c r="B33" s="10" t="s">
        <v>13</v>
      </c>
      <c r="C33" s="11">
        <v>0.082</v>
      </c>
      <c r="D33" s="11">
        <v>0.092</v>
      </c>
      <c r="E33" s="11">
        <v>0.102</v>
      </c>
      <c r="F33" s="11">
        <v>0.112</v>
      </c>
      <c r="G33" s="11">
        <v>0.122</v>
      </c>
      <c r="H33" s="11">
        <v>0.132</v>
      </c>
      <c r="I33" s="11">
        <v>0.142</v>
      </c>
      <c r="J33" s="11">
        <v>0.152</v>
      </c>
      <c r="K33" s="11">
        <v>0.162</v>
      </c>
      <c r="L33" s="11">
        <v>0.17</v>
      </c>
    </row>
    <row r="34" ht="15.75" customHeight="1">
      <c r="B34" s="2" t="s">
        <v>16</v>
      </c>
      <c r="C34" s="7">
        <v>0.11</v>
      </c>
      <c r="D34" s="7">
        <v>0.122</v>
      </c>
      <c r="E34" s="7">
        <v>0.133</v>
      </c>
      <c r="F34" s="7">
        <v>0.144</v>
      </c>
      <c r="G34" s="7">
        <v>0.156</v>
      </c>
      <c r="H34" s="7">
        <v>0.167</v>
      </c>
      <c r="I34" s="7">
        <v>0.178</v>
      </c>
      <c r="J34" s="7">
        <v>0.189</v>
      </c>
      <c r="K34" s="7">
        <v>0.2</v>
      </c>
      <c r="L34" s="7">
        <v>0.21</v>
      </c>
    </row>
    <row r="35" ht="15.75" customHeight="1">
      <c r="B35" s="10" t="s">
        <v>36</v>
      </c>
      <c r="C35" s="11">
        <v>0.05</v>
      </c>
      <c r="D35" s="11">
        <v>0.048</v>
      </c>
      <c r="E35" s="11">
        <v>0.046</v>
      </c>
      <c r="F35" s="11">
        <v>0.044</v>
      </c>
      <c r="G35" s="11">
        <v>0.042</v>
      </c>
      <c r="H35" s="11">
        <v>0.04</v>
      </c>
      <c r="I35" s="11">
        <v>0.038</v>
      </c>
      <c r="J35" s="11">
        <v>0.036</v>
      </c>
      <c r="K35" s="11">
        <v>0.035</v>
      </c>
      <c r="L35" s="11">
        <v>0.034</v>
      </c>
    </row>
    <row r="36" ht="15.75" customHeight="1">
      <c r="B36" s="2" t="s">
        <v>37</v>
      </c>
      <c r="C36" s="7">
        <v>0.1</v>
      </c>
      <c r="D36" s="7">
        <v>0.095</v>
      </c>
      <c r="E36" s="7">
        <v>0.09</v>
      </c>
      <c r="F36" s="7">
        <v>0.085</v>
      </c>
      <c r="G36" s="7">
        <v>0.08</v>
      </c>
      <c r="H36" s="7">
        <v>0.075</v>
      </c>
      <c r="I36" s="7">
        <v>0.07</v>
      </c>
      <c r="J36" s="7">
        <v>0.065</v>
      </c>
      <c r="K36" s="7">
        <v>0.06</v>
      </c>
      <c r="L36" s="7">
        <v>0.055</v>
      </c>
    </row>
    <row r="37" ht="15.75" customHeight="1">
      <c r="B37" s="10" t="s">
        <v>38</v>
      </c>
      <c r="C37" s="11">
        <v>0.02</v>
      </c>
      <c r="D37" s="11">
        <v>0.02</v>
      </c>
      <c r="E37" s="11">
        <v>0.018</v>
      </c>
      <c r="F37" s="11">
        <v>0.018</v>
      </c>
      <c r="G37" s="11">
        <v>0.015</v>
      </c>
      <c r="H37" s="11">
        <v>0.015</v>
      </c>
      <c r="I37" s="11">
        <v>0.012</v>
      </c>
      <c r="J37" s="11">
        <v>0.012</v>
      </c>
      <c r="K37" s="11">
        <v>0.01</v>
      </c>
      <c r="L37" s="11">
        <v>0.01</v>
      </c>
    </row>
    <row r="38" ht="15" customHeight="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ht="16.5" customHeight="1">
      <c r="B39" s="3" t="s">
        <v>39</v>
      </c>
      <c r="C39" s="4"/>
      <c r="D39" s="4"/>
      <c r="E39" s="4"/>
      <c r="F39" s="4"/>
      <c r="G39" s="4"/>
      <c r="H39" s="4"/>
      <c r="I39" s="4"/>
      <c r="J39" s="4"/>
      <c r="K39" s="4"/>
      <c r="L39" s="4"/>
    </row>
    <row r="40" ht="15.75" customHeight="1">
      <c r="B40" s="2" t="s">
        <v>40</v>
      </c>
      <c r="C40" s="12">
        <v>0.0406</v>
      </c>
      <c r="D40" s="2"/>
      <c r="E40" s="2"/>
      <c r="F40" s="2"/>
      <c r="G40" s="2"/>
      <c r="H40" s="2"/>
      <c r="I40" s="2"/>
      <c r="J40" s="2"/>
      <c r="K40" s="2"/>
      <c r="L40" s="2"/>
    </row>
    <row r="41" ht="15.75" customHeight="1">
      <c r="B41" s="2" t="s">
        <v>41</v>
      </c>
      <c r="C41" s="12">
        <v>0.0433</v>
      </c>
      <c r="D41" s="2"/>
      <c r="E41" s="2"/>
      <c r="F41" s="2"/>
      <c r="G41" s="2"/>
      <c r="H41" s="2"/>
      <c r="I41" s="2"/>
      <c r="J41" s="2"/>
      <c r="K41" s="2"/>
      <c r="L41" s="2"/>
    </row>
    <row r="42" ht="15.75" customHeight="1">
      <c r="B42" s="2" t="s">
        <v>42</v>
      </c>
      <c r="C42" s="13">
        <v>2</v>
      </c>
      <c r="D42" s="2"/>
      <c r="E42" s="2"/>
      <c r="F42" s="2"/>
      <c r="G42" s="2"/>
      <c r="H42" s="2"/>
      <c r="I42" s="2"/>
      <c r="J42" s="2"/>
      <c r="K42" s="2"/>
      <c r="L42" s="2"/>
    </row>
    <row r="43" ht="15.75" customHeight="1">
      <c r="B43" s="2" t="s">
        <v>43</v>
      </c>
      <c r="C43" s="14">
        <f>C40+C42*C41</f>
        <v>0.1272</v>
      </c>
      <c r="D43" s="2"/>
      <c r="E43" s="2"/>
      <c r="F43" s="2"/>
      <c r="G43" s="2"/>
      <c r="H43" s="2"/>
      <c r="I43" s="2"/>
      <c r="J43" s="2"/>
      <c r="K43" s="2"/>
      <c r="L43" s="2"/>
    </row>
    <row r="44" ht="15.75" customHeight="1">
      <c r="B44" s="2" t="s">
        <v>44</v>
      </c>
      <c r="C44" s="12">
        <v>0.045</v>
      </c>
      <c r="D44" s="2"/>
      <c r="E44" s="2"/>
      <c r="F44" s="2"/>
      <c r="G44" s="2"/>
      <c r="H44" s="2"/>
      <c r="I44" s="2"/>
      <c r="J44" s="2"/>
      <c r="K44" s="2"/>
      <c r="L44" s="2"/>
    </row>
    <row r="45" ht="15.75" customHeight="1">
      <c r="B45" s="2" t="s">
        <v>45</v>
      </c>
      <c r="C45" s="7">
        <v>0.21</v>
      </c>
      <c r="D45" s="2"/>
      <c r="E45" s="2"/>
      <c r="F45" s="2"/>
      <c r="G45" s="2"/>
      <c r="H45" s="2"/>
      <c r="I45" s="2"/>
      <c r="J45" s="2"/>
      <c r="K45" s="2"/>
      <c r="L45" s="2"/>
    </row>
    <row r="46" ht="15.75" customHeight="1">
      <c r="B46" s="2" t="s">
        <v>46</v>
      </c>
      <c r="C46" s="14">
        <f>C44*(1-C45)</f>
        <v>0.03555</v>
      </c>
      <c r="D46" s="2"/>
      <c r="E46" s="2"/>
      <c r="F46" s="2"/>
      <c r="G46" s="2"/>
      <c r="H46" s="2"/>
      <c r="I46" s="2"/>
      <c r="J46" s="2"/>
      <c r="K46" s="2"/>
      <c r="L46" s="2"/>
    </row>
    <row r="47" ht="15.75" customHeight="1">
      <c r="B47" s="2" t="s">
        <v>47</v>
      </c>
      <c r="C47" s="7">
        <v>0.95</v>
      </c>
      <c r="D47" s="2"/>
      <c r="E47" s="2"/>
      <c r="F47" s="2"/>
      <c r="G47" s="2"/>
      <c r="H47" s="2"/>
      <c r="I47" s="2"/>
      <c r="J47" s="2"/>
      <c r="K47" s="2"/>
      <c r="L47" s="2"/>
    </row>
    <row r="48" ht="15.75" customHeight="1">
      <c r="B48" s="2" t="s">
        <v>48</v>
      </c>
      <c r="C48" s="6">
        <f>1-C47</f>
        <v>0.05</v>
      </c>
      <c r="D48" s="2"/>
      <c r="E48" s="2"/>
      <c r="F48" s="2"/>
      <c r="G48" s="2"/>
      <c r="H48" s="2"/>
      <c r="I48" s="2"/>
      <c r="J48" s="2"/>
      <c r="K48" s="2"/>
      <c r="L48" s="2"/>
    </row>
    <row r="49" ht="15.75" customHeight="1">
      <c r="B49" s="15" t="s">
        <v>49</v>
      </c>
      <c r="C49" s="16">
        <f>C47*C43+C48*C46</f>
        <v>0.1226175</v>
      </c>
      <c r="D49" s="2"/>
      <c r="E49" s="2"/>
      <c r="F49" s="2"/>
      <c r="G49" s="2"/>
      <c r="H49" s="2"/>
      <c r="I49" s="2"/>
      <c r="J49" s="2"/>
      <c r="K49" s="2"/>
      <c r="L49" s="2"/>
    </row>
    <row r="50" ht="15" customHeight="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ht="16.5" customHeight="1">
      <c r="B51" s="3" t="s">
        <v>50</v>
      </c>
      <c r="C51" s="4"/>
      <c r="D51" s="4"/>
      <c r="E51" s="4"/>
      <c r="F51" s="4"/>
      <c r="G51" s="4"/>
      <c r="H51" s="4"/>
      <c r="I51" s="4"/>
      <c r="J51" s="4"/>
      <c r="K51" s="4"/>
      <c r="L51" s="4"/>
    </row>
    <row r="52" ht="15.75" customHeight="1">
      <c r="B52" s="2" t="s">
        <v>51</v>
      </c>
      <c r="C52" s="7">
        <v>0.035</v>
      </c>
      <c r="D52" s="2"/>
      <c r="E52" s="2"/>
      <c r="F52" s="2"/>
      <c r="G52" s="2"/>
      <c r="H52" s="2"/>
      <c r="I52" s="2"/>
      <c r="J52" s="2"/>
      <c r="K52" s="2"/>
      <c r="L52" s="2"/>
    </row>
    <row r="53" ht="15.75" customHeight="1">
      <c r="B53" s="2" t="s">
        <v>52</v>
      </c>
      <c r="C53" s="17">
        <v>15</v>
      </c>
      <c r="D53" s="2"/>
      <c r="E53" s="2"/>
      <c r="F53" s="2"/>
      <c r="G53" s="2"/>
      <c r="H53" s="2"/>
      <c r="I53" s="2"/>
      <c r="J53" s="2"/>
      <c r="K53" s="2"/>
      <c r="L53" s="2"/>
    </row>
  </sheetData>
  <printOptions/>
  <pageMargins left="0.7" right="0.7" top="0.75" bottom="0.75" header="0.3" footer="0.3"/>
  <pageSetup paperSize="1" pageOrder="downThenOver" orientation="portrait"/>
  <headerFooter>
    <oddHeader>&amp;L&amp;C&amp;R</oddHeader>
    <oddFooter>&amp;L&amp;C&amp;R</oddFooter>
  </headerFooter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2BEF3C8-00A8-040A-AF18-CE52D0ACE56A}" mc:Ignorable="x14ac xr xr2 xr3">
  <dimension ref="A1:CV10000"/>
  <sheetViews>
    <sheetView showGridLines="0" topLeftCell="A1" workbookViewId="0">
      <pane ySplit="4" topLeftCell="A11" activePane="bottomLeft" state="frozen"/>
      <selection pane="bottomLeft" activeCell="A1" sqref="A1"/>
    </sheetView>
  </sheetViews>
  <sheetFormatPr defaultRowHeight="15" defaultColWidth="7.75390625" customHeight="1"/>
  <cols>
    <col min="1" max="1" width="1.875" customWidth="1"/>
    <col min="2" max="2" width="30.00390625" customWidth="1"/>
    <col min="3" max="13" width="12.50390625" customWidth="1"/>
  </cols>
  <sheetData>
    <row r="2" ht="18" customHeight="1">
      <c r="B2" s="18" t="s">
        <v>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ht="15" customHeight="1">
      <c r="B4" s="19"/>
      <c r="C4" s="19" t="s">
        <v>54</v>
      </c>
      <c r="D4" s="19" t="s">
        <v>55</v>
      </c>
      <c r="E4" s="19" t="s">
        <v>56</v>
      </c>
      <c r="F4" s="19" t="s">
        <v>57</v>
      </c>
      <c r="G4" s="19" t="s">
        <v>58</v>
      </c>
      <c r="H4" s="19" t="s">
        <v>59</v>
      </c>
      <c r="I4" s="19" t="s">
        <v>60</v>
      </c>
      <c r="J4" s="19" t="s">
        <v>61</v>
      </c>
      <c r="K4" s="19" t="s">
        <v>62</v>
      </c>
      <c r="L4" s="19" t="s">
        <v>63</v>
      </c>
      <c r="M4" s="19" t="s">
        <v>64</v>
      </c>
    </row>
    <row r="5" ht="15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ht="15" customHeight="1">
      <c r="B6" s="20" t="s">
        <v>65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7" ht="17.25" customHeight="1">
      <c r="B7" s="2" t="s">
        <v>66</v>
      </c>
      <c r="C7" s="2"/>
      <c r="D7" s="21" cm="1">
        <f t="array" ref="D7">Assumptions!C28</f>
        <v>0.15</v>
      </c>
      <c r="E7" s="21" cm="1">
        <f t="array" ref="E7">Assumptions!D28</f>
        <v>0.14</v>
      </c>
      <c r="F7" s="21" cm="1">
        <f t="array" ref="F7">Assumptions!E28</f>
        <v>0.12</v>
      </c>
      <c r="G7" s="21" cm="1">
        <f t="array" ref="G7">Assumptions!F28</f>
        <v>0.1</v>
      </c>
      <c r="H7" s="21" cm="1">
        <f t="array" ref="H7">Assumptions!G28</f>
        <v>0.09</v>
      </c>
      <c r="I7" s="21" cm="1">
        <f t="array" ref="I7">Assumptions!H28</f>
        <v>0.08</v>
      </c>
      <c r="J7" s="21" cm="1">
        <f t="array" ref="J7">Assumptions!I28</f>
        <v>0.07</v>
      </c>
      <c r="K7" s="21" cm="1">
        <f t="array" ref="K7">Assumptions!J28</f>
        <v>0.06</v>
      </c>
      <c r="L7" s="21" cm="1">
        <f t="array" ref="L7">Assumptions!K28</f>
        <v>0.05</v>
      </c>
      <c r="M7" s="21" cm="1">
        <f t="array" ref="M7">Assumptions!L28</f>
        <v>0.04</v>
      </c>
    </row>
    <row r="8" ht="17.25" customHeight="1">
      <c r="B8" s="2" t="s">
        <v>67</v>
      </c>
      <c r="C8" s="22" cm="1">
        <f t="array" ref="C8">Assumptions!C12</f>
        <v>77.1</v>
      </c>
      <c r="D8" s="23">
        <f t="shared" si="0" ref="D8:M16">C8*(1+D7)</f>
        <v>88.665</v>
      </c>
      <c r="E8" s="23">
        <f t="shared" si="0"/>
        <v>101.0781</v>
      </c>
      <c r="F8" s="23">
        <f t="shared" si="0"/>
        <v>113.207472</v>
      </c>
      <c r="G8" s="23">
        <f t="shared" si="0"/>
        <v>124.5282192</v>
      </c>
      <c r="H8" s="23">
        <f t="shared" si="0"/>
        <v>135.735758928</v>
      </c>
      <c r="I8" s="23">
        <f t="shared" si="0"/>
        <v>146.59461964224</v>
      </c>
      <c r="J8" s="23">
        <f t="shared" si="0"/>
        <v>156.856243017197</v>
      </c>
      <c r="K8" s="23">
        <f t="shared" si="0"/>
        <v>166.267617598229</v>
      </c>
      <c r="L8" s="23">
        <f t="shared" si="0"/>
        <v>174.58099847814</v>
      </c>
      <c r="M8" s="23">
        <f t="shared" si="0"/>
        <v>181.564238417266</v>
      </c>
    </row>
    <row r="9" ht="15" customHeight="1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ht="15" customHeight="1">
      <c r="B10" s="20" t="s">
        <v>68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</row>
    <row r="11" ht="17.25" customHeight="1">
      <c r="B11" s="2" t="s">
        <v>66</v>
      </c>
      <c r="C11" s="2"/>
      <c r="D11" s="21" cm="1">
        <f t="array" ref="D11">Assumptions!C29</f>
        <v>0.2</v>
      </c>
      <c r="E11" s="21" cm="1">
        <f t="array" ref="E11">Assumptions!D29</f>
        <v>0.18</v>
      </c>
      <c r="F11" s="21" cm="1">
        <f t="array" ref="F11">Assumptions!E29</f>
        <v>0.16</v>
      </c>
      <c r="G11" s="21" cm="1">
        <f t="array" ref="G11">Assumptions!F29</f>
        <v>0.14</v>
      </c>
      <c r="H11" s="21" cm="1">
        <f t="array" ref="H11">Assumptions!G29</f>
        <v>0.12</v>
      </c>
      <c r="I11" s="21" cm="1">
        <f t="array" ref="I11">Assumptions!H29</f>
        <v>0.1</v>
      </c>
      <c r="J11" s="21" cm="1">
        <f t="array" ref="J11">Assumptions!I29</f>
        <v>0.08</v>
      </c>
      <c r="K11" s="21" cm="1">
        <f t="array" ref="K11">Assumptions!J29</f>
        <v>0.06</v>
      </c>
      <c r="L11" s="21" cm="1">
        <f t="array" ref="L11">Assumptions!K29</f>
        <v>0.05</v>
      </c>
      <c r="M11" s="21" cm="1">
        <f t="array" ref="M11">Assumptions!L29</f>
        <v>0.04</v>
      </c>
    </row>
    <row r="12" ht="17.25" customHeight="1">
      <c r="B12" s="2" t="s">
        <v>67</v>
      </c>
      <c r="C12" s="22" cm="1">
        <f t="array" ref="C12">Assumptions!C13</f>
        <v>10.4</v>
      </c>
      <c r="D12" s="23">
        <f t="shared" si="0"/>
        <v>12.48</v>
      </c>
      <c r="E12" s="23">
        <f t="shared" si="0"/>
        <v>14.7264</v>
      </c>
      <c r="F12" s="23">
        <f t="shared" si="0"/>
        <v>17.082624</v>
      </c>
      <c r="G12" s="23">
        <f t="shared" si="0"/>
        <v>19.47419136</v>
      </c>
      <c r="H12" s="23">
        <f t="shared" si="0"/>
        <v>21.8110943232</v>
      </c>
      <c r="I12" s="23">
        <f t="shared" si="0"/>
        <v>23.99220375552</v>
      </c>
      <c r="J12" s="23">
        <f t="shared" si="0"/>
        <v>25.9115800559616</v>
      </c>
      <c r="K12" s="23">
        <f t="shared" si="0"/>
        <v>27.4662748593193</v>
      </c>
      <c r="L12" s="23">
        <f t="shared" si="0"/>
        <v>28.8395886022853</v>
      </c>
      <c r="M12" s="23">
        <f t="shared" si="0"/>
        <v>29.9931721463767</v>
      </c>
    </row>
    <row r="13" ht="15" customHeight="1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ht="15" customHeight="1">
      <c r="B14" s="20" t="s">
        <v>69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</row>
    <row r="15" ht="17.25" customHeight="1">
      <c r="B15" s="2" t="s">
        <v>66</v>
      </c>
      <c r="C15" s="2"/>
      <c r="D15" s="21" cm="1">
        <f t="array" ref="D15">Assumptions!C30</f>
        <v>0.18</v>
      </c>
      <c r="E15" s="21" cm="1">
        <f t="array" ref="E15">Assumptions!D30</f>
        <v>0.16</v>
      </c>
      <c r="F15" s="21" cm="1">
        <f t="array" ref="F15">Assumptions!E30</f>
        <v>0.14</v>
      </c>
      <c r="G15" s="21" cm="1">
        <f t="array" ref="G15">Assumptions!F30</f>
        <v>0.12</v>
      </c>
      <c r="H15" s="21" cm="1">
        <f t="array" ref="H15">Assumptions!G30</f>
        <v>0.1</v>
      </c>
      <c r="I15" s="21" cm="1">
        <f t="array" ref="I15">Assumptions!H30</f>
        <v>0.08</v>
      </c>
      <c r="J15" s="21" cm="1">
        <f t="array" ref="J15">Assumptions!I30</f>
        <v>0.07</v>
      </c>
      <c r="K15" s="21" cm="1">
        <f t="array" ref="K15">Assumptions!J30</f>
        <v>0.05</v>
      </c>
      <c r="L15" s="21" cm="1">
        <f t="array" ref="L15">Assumptions!K30</f>
        <v>0.04</v>
      </c>
      <c r="M15" s="21" cm="1">
        <f t="array" ref="M15">Assumptions!L30</f>
        <v>0.03</v>
      </c>
    </row>
    <row r="16" ht="17.25" customHeight="1">
      <c r="B16" s="2" t="s">
        <v>67</v>
      </c>
      <c r="C16" s="22" cm="1">
        <f t="array" ref="C16">Assumptions!C14</f>
        <v>10.2</v>
      </c>
      <c r="D16" s="23">
        <f t="shared" si="0"/>
        <v>12.036</v>
      </c>
      <c r="E16" s="23">
        <f t="shared" si="0"/>
        <v>13.96176</v>
      </c>
      <c r="F16" s="23">
        <f t="shared" si="0"/>
        <v>15.9164064</v>
      </c>
      <c r="G16" s="23">
        <f t="shared" si="0"/>
        <v>17.826375168</v>
      </c>
      <c r="H16" s="23">
        <f t="shared" si="0"/>
        <v>19.6090126848</v>
      </c>
      <c r="I16" s="23">
        <f t="shared" si="0"/>
        <v>21.177733699584</v>
      </c>
      <c r="J16" s="23">
        <f t="shared" si="0"/>
        <v>22.6601750585549</v>
      </c>
      <c r="K16" s="23">
        <f t="shared" si="0"/>
        <v>23.7931838114826</v>
      </c>
      <c r="L16" s="23">
        <f t="shared" si="0"/>
        <v>24.7449111639419</v>
      </c>
      <c r="M16" s="23">
        <f t="shared" si="0"/>
        <v>25.4872584988602</v>
      </c>
    </row>
    <row r="17" ht="15" customHeight="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ht="17.25" customHeight="1">
      <c r="B18" s="24" t="s">
        <v>8</v>
      </c>
      <c r="C18" s="25" cm="1">
        <f t="array" ref="C18">Assumptions!C11</f>
        <v>97.7</v>
      </c>
      <c r="D18" s="26">
        <f t="shared" si="1" ref="D18:M18">D8+D12+D16</f>
        <v>113.181</v>
      </c>
      <c r="E18" s="26">
        <f t="shared" si="1"/>
        <v>129.76626</v>
      </c>
      <c r="F18" s="26">
        <f t="shared" si="1"/>
        <v>146.2065024</v>
      </c>
      <c r="G18" s="26">
        <f t="shared" si="1"/>
        <v>161.828785728</v>
      </c>
      <c r="H18" s="26">
        <f t="shared" si="1"/>
        <v>177.155865936</v>
      </c>
      <c r="I18" s="26">
        <f t="shared" si="1"/>
        <v>191.764557097344</v>
      </c>
      <c r="J18" s="26">
        <f t="shared" si="1"/>
        <v>205.427998131713</v>
      </c>
      <c r="K18" s="26">
        <f t="shared" si="1"/>
        <v>217.527076269031</v>
      </c>
      <c r="L18" s="26">
        <f t="shared" si="1"/>
        <v>228.165498244367</v>
      </c>
      <c r="M18" s="26">
        <f t="shared" si="1"/>
        <v>237.044669062503</v>
      </c>
    </row>
    <row r="19" ht="17.25" customHeight="1">
      <c r="B19" s="2" t="s">
        <v>70</v>
      </c>
      <c r="C19" s="2"/>
      <c r="D19" s="27">
        <f t="shared" si="2" ref="D19:M19">D18/C18-1</f>
        <v>0.158454452405322</v>
      </c>
      <c r="E19" s="27">
        <f t="shared" si="2"/>
        <v>0.146537493042118</v>
      </c>
      <c r="F19" s="27">
        <f t="shared" si="2"/>
        <v>0.126691193843454</v>
      </c>
      <c r="G19" s="27">
        <f t="shared" si="2"/>
        <v>0.106850810815922</v>
      </c>
      <c r="H19" s="27">
        <f t="shared" si="2"/>
        <v>0.0947117049605846</v>
      </c>
      <c r="I19" s="27">
        <f t="shared" si="2"/>
        <v>0.0824623620796254</v>
      </c>
      <c r="J19" s="27">
        <f t="shared" si="2"/>
        <v>0.0712511281604198</v>
      </c>
      <c r="K19" s="27">
        <f t="shared" si="2"/>
        <v>0.0588969285947114</v>
      </c>
      <c r="L19" s="27">
        <f t="shared" si="2"/>
        <v>0.0489061966804478</v>
      </c>
      <c r="M19" s="27">
        <f t="shared" si="2"/>
        <v>0.038915484095787</v>
      </c>
    </row>
  </sheetData>
  <printOptions/>
  <pageMargins left="0.7" right="0.7" top="0.75" bottom="0.75" header="0.3" footer="0.3"/>
  <pageSetup paperSize="1" pageOrder="downThenOver" orientation="portrait"/>
  <headerFooter>
    <oddHeader>&amp;L&amp;C&amp;R</oddHeader>
    <oddFooter>&amp;L&amp;C&amp;R</oddFooter>
  </headerFooter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8B73828-F9A8-2162-8F28-5D9F2E5480F8}" mc:Ignorable="x14ac xr xr2 xr3">
  <dimension ref="A1:CV10000"/>
  <sheetViews>
    <sheetView showGridLines="0" topLeftCell="A1" workbookViewId="0">
      <pane ySplit="5" topLeftCell="A6" activePane="bottomLeft" state="frozen"/>
      <selection pane="bottomLeft" activeCell="A1" sqref="A1"/>
    </sheetView>
  </sheetViews>
  <sheetFormatPr defaultRowHeight="15" defaultColWidth="7.75390625" customHeight="1"/>
  <cols>
    <col min="1" max="1" width="1.875" customWidth="1"/>
    <col min="2" max="2" width="30.00390625" customWidth="1"/>
    <col min="3" max="3" width="12.50390625" customWidth="1"/>
    <col min="4" max="4" width="13.75390625" customWidth="1"/>
    <col min="5" max="12" width="12.50390625" customWidth="1"/>
  </cols>
  <sheetData>
    <row r="2" ht="18" customHeight="1">
      <c r="B2" s="18" t="s">
        <v>71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 ht="1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16.5" customHeight="1">
      <c r="B4" s="4" t="s">
        <v>72</v>
      </c>
      <c r="C4" s="4"/>
      <c r="D4" s="4"/>
      <c r="E4" s="4"/>
      <c r="F4" s="4"/>
      <c r="G4" s="4"/>
      <c r="H4" s="4"/>
      <c r="I4" s="4"/>
      <c r="J4" s="4"/>
      <c r="K4" s="4"/>
      <c r="L4" s="4"/>
    </row>
    <row r="5" ht="15" customHeight="1">
      <c r="B5" s="2" t="s">
        <v>73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" t="s">
        <v>60</v>
      </c>
      <c r="I5" s="2" t="s">
        <v>61</v>
      </c>
      <c r="J5" s="2" t="s">
        <v>62</v>
      </c>
      <c r="K5" s="2" t="s">
        <v>63</v>
      </c>
      <c r="L5" s="2" t="s">
        <v>64</v>
      </c>
    </row>
    <row r="6" ht="15" customHeight="1"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ht="15" customHeight="1">
      <c r="B7" s="28" t="s">
        <v>74</v>
      </c>
      <c r="C7" s="22" cm="1">
        <f t="array" ref="C7">Revenue_Build!C18</f>
        <v>97.7</v>
      </c>
      <c r="D7" s="22" cm="1">
        <f t="array" ref="D7">Revenue_Build!D18</f>
        <v>113.181</v>
      </c>
      <c r="E7" s="22" cm="1">
        <f t="array" ref="E7">Revenue_Build!E18</f>
        <v>129.76626</v>
      </c>
      <c r="F7" s="22" cm="1">
        <f t="array" ref="F7">Revenue_Build!F18</f>
        <v>146.2065024</v>
      </c>
      <c r="G7" s="22" cm="1">
        <f t="array" ref="G7">Revenue_Build!G18</f>
        <v>161.828785728</v>
      </c>
      <c r="H7" s="22" cm="1">
        <f t="array" ref="H7">Revenue_Build!H18</f>
        <v>177.155865936</v>
      </c>
      <c r="I7" s="22" cm="1">
        <f t="array" ref="I7">Revenue_Build!I18</f>
        <v>191.764557097344</v>
      </c>
      <c r="J7" s="22" cm="1">
        <f t="array" ref="J7">Revenue_Build!J18</f>
        <v>205.427998131713</v>
      </c>
      <c r="K7" s="22" cm="1">
        <f t="array" ref="K7">Revenue_Build!K18</f>
        <v>217.527076269031</v>
      </c>
      <c r="L7" s="22" cm="1">
        <f t="array" ref="L7">Revenue_Build!L18</f>
        <v>228.165498244367</v>
      </c>
    </row>
    <row r="8" ht="15" customHeight="1">
      <c r="B8" s="2" t="s">
        <v>70</v>
      </c>
      <c r="C8" s="21" cm="1">
        <f t="array" ref="C8">Revenue_Build!C19</f>
        <v>0</v>
      </c>
      <c r="D8" s="21" cm="1">
        <f t="array" ref="D8">Revenue_Build!D19</f>
        <v>0.158454452405322</v>
      </c>
      <c r="E8" s="21" cm="1">
        <f t="array" ref="E8">Revenue_Build!E19</f>
        <v>0.146537493042118</v>
      </c>
      <c r="F8" s="21" cm="1">
        <f t="array" ref="F8">Revenue_Build!F19</f>
        <v>0.126691193843454</v>
      </c>
      <c r="G8" s="21" cm="1">
        <f t="array" ref="G8">Revenue_Build!G19</f>
        <v>0.106850810815922</v>
      </c>
      <c r="H8" s="21" cm="1">
        <f t="array" ref="H8">Revenue_Build!H19</f>
        <v>0.0947117049605846</v>
      </c>
      <c r="I8" s="21" cm="1">
        <f t="array" ref="I8">Revenue_Build!I19</f>
        <v>0.0824623620796254</v>
      </c>
      <c r="J8" s="21" cm="1">
        <f t="array" ref="J8">Revenue_Build!J19</f>
        <v>0.0712511281604198</v>
      </c>
      <c r="K8" s="21" cm="1">
        <f t="array" ref="K8">Revenue_Build!K19</f>
        <v>0.0588969285947114</v>
      </c>
      <c r="L8" s="21" cm="1">
        <f t="array" ref="L8">Revenue_Build!L19</f>
        <v>0.0489061966804478</v>
      </c>
    </row>
    <row r="9" ht="15" customHeight="1"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ht="15" customHeight="1">
      <c r="B10" s="2" t="s">
        <v>13</v>
      </c>
      <c r="C10" s="21" cm="1">
        <f t="array" ref="C10">Assumptions!C33</f>
        <v>0.082</v>
      </c>
      <c r="D10" s="21" cm="1">
        <f t="array" ref="D10">Assumptions!D33</f>
        <v>0.092</v>
      </c>
      <c r="E10" s="21" cm="1">
        <f t="array" ref="E10">Assumptions!E33</f>
        <v>0.102</v>
      </c>
      <c r="F10" s="21" cm="1">
        <f t="array" ref="F10">Assumptions!F33</f>
        <v>0.112</v>
      </c>
      <c r="G10" s="21" cm="1">
        <f t="array" ref="G10">Assumptions!G33</f>
        <v>0.122</v>
      </c>
      <c r="H10" s="21" cm="1">
        <f t="array" ref="H10">Assumptions!H33</f>
        <v>0.132</v>
      </c>
      <c r="I10" s="21" cm="1">
        <f t="array" ref="I10">Assumptions!I33</f>
        <v>0.142</v>
      </c>
      <c r="J10" s="21" cm="1">
        <f t="array" ref="J10">Assumptions!J33</f>
        <v>0.152</v>
      </c>
      <c r="K10" s="21" cm="1">
        <f t="array" ref="K10">Assumptions!K33</f>
        <v>0.162</v>
      </c>
      <c r="L10" s="21" cm="1">
        <f t="array" ref="L10">Assumptions!L33</f>
        <v>0.17</v>
      </c>
    </row>
    <row r="11" ht="15" customHeight="1">
      <c r="B11" s="28" t="s">
        <v>75</v>
      </c>
      <c r="C11" s="29">
        <f t="shared" si="0" ref="C11:L11">C7*C10</f>
        <v>8.0114</v>
      </c>
      <c r="D11" s="29">
        <f t="shared" si="0"/>
        <v>10.412652</v>
      </c>
      <c r="E11" s="29">
        <f t="shared" si="0"/>
        <v>13.23615852</v>
      </c>
      <c r="F11" s="29">
        <f t="shared" si="0"/>
        <v>16.3751282688</v>
      </c>
      <c r="G11" s="29">
        <f t="shared" si="0"/>
        <v>19.743111858816</v>
      </c>
      <c r="H11" s="29">
        <f t="shared" si="0"/>
        <v>23.384574303552</v>
      </c>
      <c r="I11" s="29">
        <f t="shared" si="0"/>
        <v>27.2305671078228</v>
      </c>
      <c r="J11" s="29">
        <f t="shared" si="0"/>
        <v>31.2250557160204</v>
      </c>
      <c r="K11" s="29">
        <f t="shared" si="0"/>
        <v>35.239386355583</v>
      </c>
      <c r="L11" s="29">
        <f t="shared" si="0"/>
        <v>38.7881347015424</v>
      </c>
    </row>
    <row r="12" ht="1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ht="15" customHeight="1">
      <c r="B13" s="2" t="s">
        <v>76</v>
      </c>
      <c r="C13" s="21" cm="1">
        <f t="array" ref="C13">Assumptions!C34</f>
        <v>0.11</v>
      </c>
      <c r="D13" s="21" cm="1">
        <f t="array" ref="D13">Assumptions!D34</f>
        <v>0.122</v>
      </c>
      <c r="E13" s="21" cm="1">
        <f t="array" ref="E13">Assumptions!E34</f>
        <v>0.133</v>
      </c>
      <c r="F13" s="21" cm="1">
        <f t="array" ref="F13">Assumptions!F34</f>
        <v>0.144</v>
      </c>
      <c r="G13" s="21" cm="1">
        <f t="array" ref="G13">Assumptions!G34</f>
        <v>0.156</v>
      </c>
      <c r="H13" s="21" cm="1">
        <f t="array" ref="H13">Assumptions!H34</f>
        <v>0.167</v>
      </c>
      <c r="I13" s="21" cm="1">
        <f t="array" ref="I13">Assumptions!I34</f>
        <v>0.178</v>
      </c>
      <c r="J13" s="21" cm="1">
        <f t="array" ref="J13">Assumptions!J34</f>
        <v>0.189</v>
      </c>
      <c r="K13" s="21" cm="1">
        <f t="array" ref="K13">Assumptions!K34</f>
        <v>0.2</v>
      </c>
      <c r="L13" s="21" cm="1">
        <f t="array" ref="L13">Assumptions!L34</f>
        <v>0.21</v>
      </c>
    </row>
    <row r="14" ht="15" customHeight="1">
      <c r="B14" s="2" t="s">
        <v>77</v>
      </c>
      <c r="C14" s="30">
        <f t="shared" si="1" ref="C14:L14">-C11*C13</f>
        <v>-0.881254</v>
      </c>
      <c r="D14" s="30">
        <f t="shared" si="1"/>
        <v>-1.270343544</v>
      </c>
      <c r="E14" s="30">
        <f t="shared" si="1"/>
        <v>-1.76040908316</v>
      </c>
      <c r="F14" s="30">
        <f t="shared" si="1"/>
        <v>-2.3580184707072</v>
      </c>
      <c r="G14" s="30">
        <f t="shared" si="1"/>
        <v>-3.0799254499753</v>
      </c>
      <c r="H14" s="30">
        <f t="shared" si="1"/>
        <v>-3.90522390869318</v>
      </c>
      <c r="I14" s="30">
        <f t="shared" si="1"/>
        <v>-4.84704094519246</v>
      </c>
      <c r="J14" s="30">
        <f t="shared" si="1"/>
        <v>-5.90153553032786</v>
      </c>
      <c r="K14" s="30">
        <f t="shared" si="1"/>
        <v>-7.0478772711166</v>
      </c>
      <c r="L14" s="30">
        <f t="shared" si="1"/>
        <v>-8.1455082873239</v>
      </c>
    </row>
    <row r="15" ht="15" customHeight="1">
      <c r="B15" s="31" t="s">
        <v>78</v>
      </c>
      <c r="C15" s="32">
        <f t="shared" si="2" ref="C15:L15">C11+C14</f>
        <v>7.130146</v>
      </c>
      <c r="D15" s="32">
        <f t="shared" si="2"/>
        <v>9.142308456</v>
      </c>
      <c r="E15" s="32">
        <f t="shared" si="2"/>
        <v>11.47574943684</v>
      </c>
      <c r="F15" s="32">
        <f t="shared" si="2"/>
        <v>14.0171097980928</v>
      </c>
      <c r="G15" s="32">
        <f t="shared" si="2"/>
        <v>16.6631864088407</v>
      </c>
      <c r="H15" s="32">
        <f t="shared" si="2"/>
        <v>19.4793503948588</v>
      </c>
      <c r="I15" s="32">
        <f t="shared" si="2"/>
        <v>22.3835261626303</v>
      </c>
      <c r="J15" s="32">
        <f t="shared" si="2"/>
        <v>25.3235201856925</v>
      </c>
      <c r="K15" s="32">
        <f t="shared" si="2"/>
        <v>28.1915090844664</v>
      </c>
      <c r="L15" s="32">
        <f t="shared" si="2"/>
        <v>30.6426264142185</v>
      </c>
    </row>
    <row r="16" ht="15" customHeight="1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ht="15" customHeight="1">
      <c r="B17" s="2" t="s">
        <v>79</v>
      </c>
      <c r="C17" s="22">
        <f>Assumptions!C35*C7</f>
        <v>4.885</v>
      </c>
      <c r="D17" s="22">
        <f>Assumptions!D35*D7</f>
        <v>5.432688</v>
      </c>
      <c r="E17" s="22">
        <f>Assumptions!E35*E7</f>
        <v>5.96924796</v>
      </c>
      <c r="F17" s="22">
        <f>Assumptions!F35*F7</f>
        <v>6.4330861056</v>
      </c>
      <c r="G17" s="22">
        <f>Assumptions!G35*G7</f>
        <v>6.796809000576</v>
      </c>
      <c r="H17" s="22">
        <f>Assumptions!H35*H7</f>
        <v>7.08623463744</v>
      </c>
      <c r="I17" s="22">
        <f>Assumptions!I35*I7</f>
        <v>7.28705316969907</v>
      </c>
      <c r="J17" s="22">
        <f>Assumptions!J35*J7</f>
        <v>7.39540793274167</v>
      </c>
      <c r="K17" s="22">
        <f>Assumptions!K35*K7</f>
        <v>7.61344766941609</v>
      </c>
      <c r="L17" s="22">
        <f>Assumptions!L35*L7</f>
        <v>7.75762694030848</v>
      </c>
    </row>
    <row r="18" ht="15" customHeight="1">
      <c r="B18" s="2" t="s">
        <v>80</v>
      </c>
      <c r="C18" s="33">
        <f>-Assumptions!C36*C7</f>
        <v>-9.77</v>
      </c>
      <c r="D18" s="33">
        <f>-Assumptions!D36*D7</f>
        <v>-10.752195</v>
      </c>
      <c r="E18" s="33">
        <f>-Assumptions!E36*E7</f>
        <v>-11.6789634</v>
      </c>
      <c r="F18" s="33">
        <f>-Assumptions!F36*F7</f>
        <v>-12.427552704</v>
      </c>
      <c r="G18" s="33">
        <f>-Assumptions!G36*G7</f>
        <v>-12.94630285824</v>
      </c>
      <c r="H18" s="33">
        <f>-Assumptions!H36*H7</f>
        <v>-13.2866899452</v>
      </c>
      <c r="I18" s="33">
        <f>-Assumptions!I36*I7</f>
        <v>-13.4235189968141</v>
      </c>
      <c r="J18" s="33">
        <f>-Assumptions!J36*J7</f>
        <v>-13.3528198785613</v>
      </c>
      <c r="K18" s="33">
        <f>-Assumptions!K36*K7</f>
        <v>-13.0516245761419</v>
      </c>
      <c r="L18" s="33">
        <f>-Assumptions!L36*L7</f>
        <v>-12.5491024034402</v>
      </c>
    </row>
    <row r="19" ht="15" customHeight="1">
      <c r="B19" s="2" t="s">
        <v>81</v>
      </c>
      <c r="C19" s="33">
        <f>-Assumptions!C37*C7</f>
        <v>-1.954</v>
      </c>
      <c r="D19" s="33">
        <f>-Assumptions!D37*D7</f>
        <v>-2.26362</v>
      </c>
      <c r="E19" s="33">
        <f>-Assumptions!E37*E7</f>
        <v>-2.33579268</v>
      </c>
      <c r="F19" s="33">
        <f>-Assumptions!F37*F7</f>
        <v>-2.6317170432</v>
      </c>
      <c r="G19" s="33">
        <f>-Assumptions!G37*G7</f>
        <v>-2.42743178592</v>
      </c>
      <c r="H19" s="33">
        <f>-Assumptions!H37*H7</f>
        <v>-2.65733798904</v>
      </c>
      <c r="I19" s="33">
        <f>-Assumptions!I37*I7</f>
        <v>-2.30117468516813</v>
      </c>
      <c r="J19" s="33">
        <f>-Assumptions!J37*J7</f>
        <v>-2.46513597758056</v>
      </c>
      <c r="K19" s="33">
        <f>-Assumptions!K37*K7</f>
        <v>-2.17527076269031</v>
      </c>
      <c r="L19" s="33">
        <f>-Assumptions!L37*L7</f>
        <v>-2.28165498244367</v>
      </c>
    </row>
    <row r="20" ht="15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ht="15" customHeight="1">
      <c r="B21" s="24" t="s">
        <v>82</v>
      </c>
      <c r="C21" s="34">
        <f t="shared" si="3" ref="C21:L21">C15+C17+C18+C19</f>
        <v>0.291146</v>
      </c>
      <c r="D21" s="34">
        <f t="shared" si="3"/>
        <v>1.559181456</v>
      </c>
      <c r="E21" s="34">
        <f t="shared" si="3"/>
        <v>3.43024131684</v>
      </c>
      <c r="F21" s="34">
        <f t="shared" si="3"/>
        <v>5.3909261564928</v>
      </c>
      <c r="G21" s="34">
        <f t="shared" si="3"/>
        <v>8.0862607652567</v>
      </c>
      <c r="H21" s="34">
        <f t="shared" si="3"/>
        <v>10.6215570980588</v>
      </c>
      <c r="I21" s="34">
        <f t="shared" si="3"/>
        <v>13.9458856503471</v>
      </c>
      <c r="J21" s="34">
        <f t="shared" si="3"/>
        <v>16.9009722622923</v>
      </c>
      <c r="K21" s="34">
        <f t="shared" si="3"/>
        <v>20.5780614150503</v>
      </c>
      <c r="L21" s="34">
        <f t="shared" si="3"/>
        <v>23.5694959686431</v>
      </c>
    </row>
    <row r="22" ht="15" customHeight="1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ht="16.5" customHeight="1">
      <c r="B23" s="4" t="s">
        <v>83</v>
      </c>
      <c r="C23" s="4"/>
      <c r="D23" s="4"/>
      <c r="E23" s="4"/>
      <c r="F23" s="4"/>
      <c r="G23" s="4"/>
      <c r="H23" s="4"/>
      <c r="I23" s="4"/>
      <c r="J23" s="4"/>
      <c r="K23" s="4"/>
      <c r="L23" s="4"/>
    </row>
    <row r="24" ht="15" customHeight="1">
      <c r="B24" s="28" t="s">
        <v>49</v>
      </c>
      <c r="C24" s="35" cm="1">
        <f t="array" ref="C24">Assumptions!C49</f>
        <v>0.1226175</v>
      </c>
      <c r="D24" s="2"/>
      <c r="E24" s="2"/>
      <c r="F24" s="2"/>
      <c r="G24" s="2"/>
      <c r="H24" s="2"/>
      <c r="I24" s="2"/>
      <c r="J24" s="2"/>
      <c r="K24" s="2"/>
      <c r="L24" s="2"/>
    </row>
    <row r="25" ht="1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ht="16.5" customHeight="1">
      <c r="B26" s="4" t="s">
        <v>84</v>
      </c>
      <c r="C26" s="4"/>
      <c r="D26" s="4"/>
      <c r="E26" s="4"/>
      <c r="F26" s="4"/>
      <c r="G26" s="4"/>
      <c r="H26" s="4"/>
      <c r="I26" s="4"/>
      <c r="J26" s="4"/>
      <c r="K26" s="4"/>
      <c r="L26" s="4"/>
    </row>
    <row r="27" ht="15" customHeight="1">
      <c r="B27" s="2" t="s">
        <v>85</v>
      </c>
      <c r="C27" s="2">
        <v>1</v>
      </c>
      <c r="D27" s="2">
        <v>2</v>
      </c>
      <c r="E27" s="2">
        <v>3</v>
      </c>
      <c r="F27" s="2">
        <v>4</v>
      </c>
      <c r="G27" s="2">
        <v>5</v>
      </c>
      <c r="H27" s="2">
        <v>6</v>
      </c>
      <c r="I27" s="2">
        <v>7</v>
      </c>
      <c r="J27" s="2">
        <v>8</v>
      </c>
      <c r="K27" s="2">
        <v>9</v>
      </c>
      <c r="L27" s="2">
        <v>10</v>
      </c>
    </row>
    <row r="28" ht="15" customHeight="1">
      <c r="B28" s="2" t="s">
        <v>86</v>
      </c>
      <c r="C28" s="36">
        <f t="shared" si="4" ref="C28:L28">1/(1+$C$24)^C27</f>
        <v>0.890775353136754</v>
      </c>
      <c r="D28" s="36">
        <f t="shared" si="4"/>
        <v>0.793480729755909</v>
      </c>
      <c r="E28" s="36">
        <f t="shared" si="4"/>
        <v>0.706813077255529</v>
      </c>
      <c r="F28" s="36">
        <f t="shared" si="4"/>
        <v>0.62961166849397</v>
      </c>
      <c r="G28" s="36">
        <f t="shared" si="4"/>
        <v>0.560842556341737</v>
      </c>
      <c r="H28" s="36">
        <f t="shared" si="4"/>
        <v>0.49958472617943</v>
      </c>
      <c r="I28" s="36">
        <f t="shared" si="4"/>
        <v>0.445017760884211</v>
      </c>
      <c r="J28" s="36">
        <f t="shared" si="4"/>
        <v>0.39641085310376</v>
      </c>
      <c r="K28" s="36">
        <f t="shared" si="4"/>
        <v>0.353113017660744</v>
      </c>
      <c r="L28" s="36">
        <f t="shared" si="4"/>
        <v>0.314544373003934</v>
      </c>
    </row>
    <row r="29" ht="15" customHeight="1">
      <c r="B29" s="28" t="s">
        <v>87</v>
      </c>
      <c r="C29" s="29">
        <f t="shared" si="5" ref="C29:L29">C21*C28</f>
        <v>0.259345680964353</v>
      </c>
      <c r="D29" s="29">
        <f t="shared" si="5"/>
        <v>1.23718043952876</v>
      </c>
      <c r="E29" s="29">
        <f t="shared" si="5"/>
        <v>2.42453942088474</v>
      </c>
      <c r="F29" s="29">
        <f t="shared" si="5"/>
        <v>3.39419001211722</v>
      </c>
      <c r="G29" s="29">
        <f t="shared" si="5"/>
        <v>4.53511915883246</v>
      </c>
      <c r="H29" s="29">
        <f t="shared" si="5"/>
        <v>5.30636769443289</v>
      </c>
      <c r="I29" s="29">
        <f t="shared" si="5"/>
        <v>6.20616680566472</v>
      </c>
      <c r="J29" s="29">
        <f t="shared" si="5"/>
        <v>6.69972883277828</v>
      </c>
      <c r="K29" s="29">
        <f t="shared" si="5"/>
        <v>7.26638136387653</v>
      </c>
      <c r="L29" s="29">
        <f t="shared" si="5"/>
        <v>7.41365233147559</v>
      </c>
    </row>
    <row r="30" ht="15" customHeight="1">
      <c r="B30" s="28" t="s">
        <v>88</v>
      </c>
      <c r="C30" s="29">
        <f>SUM(C29:L29)</f>
        <v>44.7426717405555</v>
      </c>
      <c r="D30" s="2"/>
      <c r="E30" s="2"/>
      <c r="F30" s="2"/>
      <c r="G30" s="2"/>
      <c r="H30" s="2"/>
      <c r="I30" s="2"/>
      <c r="J30" s="2"/>
      <c r="K30" s="2"/>
      <c r="L30" s="2"/>
    </row>
    <row r="31" ht="1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ht="16.5" customHeight="1">
      <c r="B32" s="4" t="s">
        <v>89</v>
      </c>
      <c r="C32" s="4"/>
      <c r="D32" s="4"/>
      <c r="E32" s="4"/>
      <c r="F32" s="4"/>
      <c r="G32" s="4"/>
      <c r="H32" s="4"/>
      <c r="I32" s="4"/>
      <c r="J32" s="4"/>
      <c r="K32" s="4"/>
      <c r="L32" s="4"/>
    </row>
    <row r="33" ht="15" customHeight="1">
      <c r="B33" s="2" t="s">
        <v>90</v>
      </c>
      <c r="C33" s="2"/>
      <c r="D33" s="2"/>
      <c r="E33" s="2"/>
      <c r="F33" s="2"/>
      <c r="G33" s="2"/>
      <c r="H33" s="2"/>
      <c r="I33" s="2"/>
      <c r="J33" s="2"/>
      <c r="K33" s="2"/>
      <c r="L33" s="2"/>
    </row>
    <row r="34" ht="15" customHeight="1">
      <c r="B34" s="2" t="s">
        <v>91</v>
      </c>
      <c r="C34" s="29" cm="1">
        <f t="array" ref="C34">L21</f>
        <v>23.5694959686431</v>
      </c>
      <c r="D34" s="2"/>
      <c r="E34" s="2"/>
      <c r="F34" s="2"/>
      <c r="G34" s="2"/>
      <c r="H34" s="2"/>
      <c r="I34" s="2"/>
      <c r="J34" s="2"/>
      <c r="K34" s="2"/>
      <c r="L34" s="2"/>
    </row>
    <row r="35" ht="15" customHeight="1">
      <c r="B35" s="2" t="s">
        <v>92</v>
      </c>
      <c r="C35" s="21" cm="1">
        <f t="array" ref="C35">Assumptions!C52</f>
        <v>0.035</v>
      </c>
      <c r="D35" s="2"/>
      <c r="E35" s="2"/>
      <c r="F35" s="2"/>
      <c r="G35" s="2"/>
      <c r="H35" s="2"/>
      <c r="I35" s="2"/>
      <c r="J35" s="2"/>
      <c r="K35" s="2"/>
      <c r="L35" s="2"/>
    </row>
    <row r="36" ht="15" customHeight="1">
      <c r="B36" s="2" t="s">
        <v>93</v>
      </c>
      <c r="C36" s="29">
        <f>C34*(1+C35)/(C24-C35)</f>
        <v>278.4195888669</v>
      </c>
      <c r="D36" s="2"/>
      <c r="E36" s="2"/>
      <c r="F36" s="2"/>
      <c r="G36" s="2"/>
      <c r="H36" s="2"/>
      <c r="I36" s="2"/>
      <c r="J36" s="2"/>
      <c r="K36" s="2"/>
      <c r="L36" s="2"/>
    </row>
    <row r="37" ht="15" customHeight="1">
      <c r="B37" s="2" t="s">
        <v>94</v>
      </c>
      <c r="C37" s="29">
        <f>C36*L28</f>
        <v>87.5753150121522</v>
      </c>
      <c r="D37" s="2"/>
      <c r="E37" s="2"/>
      <c r="F37" s="2"/>
      <c r="G37" s="2"/>
      <c r="H37" s="2"/>
      <c r="I37" s="2"/>
      <c r="J37" s="2"/>
      <c r="K37" s="2"/>
      <c r="L37" s="2"/>
    </row>
    <row r="38" ht="15" customHeight="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ht="15" customHeight="1">
      <c r="B39" s="2" t="s">
        <v>95</v>
      </c>
      <c r="C39" s="2"/>
      <c r="D39" s="2"/>
      <c r="E39" s="2"/>
      <c r="F39" s="2"/>
      <c r="G39" s="2"/>
      <c r="H39" s="2"/>
      <c r="I39" s="2"/>
      <c r="J39" s="2"/>
      <c r="K39" s="2"/>
      <c r="L39" s="2"/>
    </row>
    <row r="40" ht="15" customHeight="1">
      <c r="B40" s="2" t="s">
        <v>96</v>
      </c>
      <c r="C40" s="29">
        <f>L11+L17</f>
        <v>46.5457616418509</v>
      </c>
      <c r="D40" s="2"/>
      <c r="E40" s="2"/>
      <c r="F40" s="2"/>
      <c r="G40" s="2"/>
      <c r="H40" s="2"/>
      <c r="I40" s="2"/>
      <c r="J40" s="2"/>
      <c r="K40" s="2"/>
      <c r="L40" s="2"/>
    </row>
    <row r="41" ht="15" customHeight="1">
      <c r="B41" s="2" t="s">
        <v>97</v>
      </c>
      <c r="C41" s="37" cm="1">
        <f t="array" ref="C41">Assumptions!C53</f>
        <v>15</v>
      </c>
      <c r="D41" s="2"/>
      <c r="E41" s="2"/>
      <c r="F41" s="2"/>
      <c r="G41" s="2"/>
      <c r="H41" s="2"/>
      <c r="I41" s="2"/>
      <c r="J41" s="2"/>
      <c r="K41" s="2"/>
      <c r="L41" s="2"/>
    </row>
    <row r="42" ht="15" customHeight="1">
      <c r="B42" s="2" t="s">
        <v>98</v>
      </c>
      <c r="C42" s="29">
        <f>C40*C41</f>
        <v>698.186424627763</v>
      </c>
      <c r="D42" s="2"/>
      <c r="E42" s="2"/>
      <c r="F42" s="2"/>
      <c r="G42" s="2"/>
      <c r="H42" s="2"/>
      <c r="I42" s="2"/>
      <c r="J42" s="2"/>
      <c r="K42" s="2"/>
      <c r="L42" s="2"/>
    </row>
    <row r="43" ht="15" customHeight="1">
      <c r="B43" s="2" t="s">
        <v>94</v>
      </c>
      <c r="C43" s="29">
        <f>C42*L28</f>
        <v>219.610611174398</v>
      </c>
      <c r="D43" s="2"/>
      <c r="E43" s="2"/>
      <c r="F43" s="2"/>
      <c r="G43" s="2"/>
      <c r="H43" s="2"/>
      <c r="I43" s="2"/>
      <c r="J43" s="2"/>
      <c r="K43" s="2"/>
      <c r="L43" s="2"/>
    </row>
    <row r="44" ht="15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ht="16.5" customHeight="1">
      <c r="B45" s="4" t="s">
        <v>99</v>
      </c>
      <c r="C45" s="4"/>
      <c r="D45" s="4"/>
      <c r="E45" s="4"/>
      <c r="F45" s="4"/>
      <c r="G45" s="4"/>
      <c r="H45" s="4"/>
      <c r="I45" s="4"/>
      <c r="J45" s="4"/>
      <c r="K45" s="4"/>
      <c r="L45" s="4"/>
    </row>
    <row r="46" ht="15" customHeight="1">
      <c r="B46" s="2"/>
      <c r="C46" s="20" t="s">
        <v>100</v>
      </c>
      <c r="D46" s="20" t="s">
        <v>101</v>
      </c>
      <c r="E46" s="2"/>
      <c r="F46" s="2"/>
      <c r="G46" s="2"/>
      <c r="H46" s="2"/>
      <c r="I46" s="2"/>
      <c r="J46" s="2"/>
      <c r="K46" s="2"/>
      <c r="L46" s="2"/>
    </row>
    <row r="47" ht="15" customHeight="1">
      <c r="B47" s="2" t="s">
        <v>102</v>
      </c>
      <c r="C47" s="29" cm="1">
        <f t="array" ref="C47">C30</f>
        <v>44.7426717405555</v>
      </c>
      <c r="D47" s="29" cm="1">
        <f t="array" ref="D47">C30</f>
        <v>44.7426717405555</v>
      </c>
      <c r="E47" s="2"/>
      <c r="F47" s="2"/>
      <c r="G47" s="2"/>
      <c r="H47" s="2"/>
      <c r="I47" s="2"/>
      <c r="J47" s="2"/>
      <c r="K47" s="2"/>
      <c r="L47" s="2"/>
    </row>
    <row r="48" ht="15" customHeight="1">
      <c r="B48" s="2" t="s">
        <v>103</v>
      </c>
      <c r="C48" s="29" cm="1">
        <f t="array" ref="C48">C37</f>
        <v>87.5753150121522</v>
      </c>
      <c r="D48" s="29" cm="1">
        <f t="array" ref="D48">C43</f>
        <v>219.610611174398</v>
      </c>
      <c r="E48" s="2"/>
      <c r="F48" s="2"/>
      <c r="G48" s="2"/>
      <c r="H48" s="2"/>
      <c r="I48" s="2"/>
      <c r="J48" s="2"/>
      <c r="K48" s="2"/>
      <c r="L48" s="2"/>
    </row>
    <row r="49" ht="15" customHeight="1">
      <c r="B49" s="31" t="s">
        <v>104</v>
      </c>
      <c r="C49" s="32">
        <f t="shared" si="6" ref="C49:D49">C47+C48</f>
        <v>132.317986752708</v>
      </c>
      <c r="D49" s="32">
        <f t="shared" si="6"/>
        <v>264.353282914954</v>
      </c>
      <c r="E49" s="2"/>
      <c r="F49" s="2"/>
      <c r="G49" s="2"/>
      <c r="H49" s="2"/>
      <c r="I49" s="2"/>
      <c r="J49" s="2"/>
      <c r="K49" s="2"/>
      <c r="L49" s="2"/>
    </row>
    <row r="50" ht="15" customHeight="1">
      <c r="B50" s="2" t="s">
        <v>105</v>
      </c>
      <c r="C50" s="22" cm="1">
        <f t="array" ref="C50">Assumptions!C22</f>
        <v>44</v>
      </c>
      <c r="D50" s="22" cm="1">
        <f t="array" ref="D50">Assumptions!C22</f>
        <v>44</v>
      </c>
      <c r="E50" s="2"/>
      <c r="F50" s="2"/>
      <c r="G50" s="2"/>
      <c r="H50" s="2"/>
      <c r="I50" s="2"/>
      <c r="J50" s="2"/>
      <c r="K50" s="2"/>
      <c r="L50" s="2"/>
    </row>
    <row r="51" ht="15" customHeight="1">
      <c r="B51" s="2" t="s">
        <v>106</v>
      </c>
      <c r="C51" s="33">
        <f>-Assumptions!C23</f>
        <v>-14.7</v>
      </c>
      <c r="D51" s="33">
        <f>-Assumptions!C23</f>
        <v>-14.7</v>
      </c>
      <c r="E51" s="2"/>
      <c r="F51" s="2"/>
      <c r="G51" s="2"/>
      <c r="H51" s="2"/>
      <c r="I51" s="2"/>
      <c r="J51" s="2"/>
      <c r="K51" s="2"/>
      <c r="L51" s="2"/>
    </row>
    <row r="52" ht="15" customHeight="1">
      <c r="B52" s="31" t="s">
        <v>107</v>
      </c>
      <c r="C52" s="32">
        <f t="shared" si="7" ref="C52:D52">C49+C50+C51</f>
        <v>161.617986752708</v>
      </c>
      <c r="D52" s="32">
        <f t="shared" si="7"/>
        <v>293.653282914954</v>
      </c>
      <c r="E52" s="2"/>
      <c r="F52" s="2"/>
      <c r="G52" s="2"/>
      <c r="H52" s="2"/>
      <c r="I52" s="2"/>
      <c r="J52" s="2"/>
      <c r="K52" s="2"/>
      <c r="L52" s="2"/>
    </row>
    <row r="53" ht="15" customHeight="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ht="15" customHeight="1">
      <c r="B54" s="2" t="s">
        <v>108</v>
      </c>
      <c r="C54" s="38" cm="1">
        <f t="array" ref="C54">Assumptions!C7</f>
        <v>3.53</v>
      </c>
      <c r="D54" s="38" cm="1">
        <f t="array" ref="D54">Assumptions!C7</f>
        <v>3.53</v>
      </c>
      <c r="E54" s="2"/>
      <c r="F54" s="2"/>
      <c r="G54" s="2"/>
      <c r="H54" s="2"/>
      <c r="I54" s="2"/>
      <c r="J54" s="2"/>
      <c r="K54" s="2"/>
      <c r="L54" s="2"/>
    </row>
    <row r="55" ht="15" customHeight="1">
      <c r="B55" s="24" t="s">
        <v>109</v>
      </c>
      <c r="C55" s="39">
        <f t="shared" si="8" ref="C55:D55">C52/C54</f>
        <v>45.7841322245632</v>
      </c>
      <c r="D55" s="39">
        <f t="shared" si="8"/>
        <v>83.1878988427632</v>
      </c>
      <c r="E55" s="2"/>
      <c r="F55" s="2"/>
      <c r="G55" s="2"/>
      <c r="H55" s="2"/>
      <c r="I55" s="2"/>
      <c r="J55" s="2"/>
      <c r="K55" s="2"/>
      <c r="L55" s="2"/>
    </row>
    <row r="56" ht="15" customHeigh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ht="15" customHeight="1">
      <c r="B57" s="2" t="s">
        <v>4</v>
      </c>
      <c r="C57" s="40" cm="1">
        <f t="array" ref="C57">Assumptions!C6</f>
        <v>410</v>
      </c>
      <c r="D57" s="2"/>
      <c r="E57" s="2"/>
      <c r="F57" s="2"/>
      <c r="G57" s="2"/>
      <c r="H57" s="2"/>
      <c r="I57" s="2"/>
      <c r="J57" s="2"/>
      <c r="K57" s="2"/>
      <c r="L57" s="2"/>
    </row>
    <row r="58" ht="15" customHeight="1">
      <c r="B58" s="2" t="s">
        <v>110</v>
      </c>
      <c r="C58" s="41">
        <f>C55/C57-1</f>
        <v>-0.888331384818139</v>
      </c>
      <c r="D58" s="41">
        <f>D55/C57-1</f>
        <v>-0.797102685749358</v>
      </c>
      <c r="E58" s="2"/>
      <c r="F58" s="2"/>
      <c r="G58" s="2"/>
      <c r="H58" s="2"/>
      <c r="I58" s="2"/>
      <c r="J58" s="2"/>
      <c r="K58" s="2"/>
      <c r="L58" s="2"/>
    </row>
  </sheetData>
  <printOptions/>
  <pageMargins left="0.7" right="0.7" top="0.75" bottom="0.75" header="0.3" footer="0.3"/>
  <pageSetup paperSize="1" pageOrder="downThenOver" orientation="portrait"/>
  <headerFooter>
    <oddHeader>&amp;L&amp;C&amp;R</oddHeader>
    <oddFooter>&amp;L&amp;C&amp;R</oddFooter>
  </headerFooter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158D218-89BB-9B28-5508-4EFF8B696668}" mc:Ignorable="x14ac xr xr2 xr3">
  <dimension ref="A1:CV10000"/>
  <sheetViews>
    <sheetView showGridLines="0" topLeftCell="A1" zoomScale="90" workbookViewId="0">
      <pane ySplit="3" topLeftCell="A15" activePane="bottomLeft" state="frozen"/>
      <selection pane="bottomLeft" activeCell="A1" sqref="A1"/>
    </sheetView>
  </sheetViews>
  <sheetFormatPr defaultRowHeight="15" defaultColWidth="7.75390625" customHeight="1"/>
  <cols>
    <col min="1" max="1" width="1.875" customWidth="1"/>
    <col min="2" max="2" width="25.00390625" customWidth="1"/>
    <col min="3" max="9" width="11.25390625" customWidth="1"/>
  </cols>
  <sheetData>
    <row r="2" ht="18.75" customHeight="1">
      <c r="B2" s="18" t="s">
        <v>111</v>
      </c>
      <c r="C2" s="2"/>
      <c r="D2" s="2"/>
      <c r="E2" s="2"/>
      <c r="F2" s="2"/>
      <c r="G2" s="2"/>
      <c r="H2" s="2"/>
      <c r="I2" s="2"/>
    </row>
    <row r="3" ht="15" customHeight="1">
      <c r="B3" s="2"/>
      <c r="C3" s="2"/>
      <c r="D3" s="2"/>
      <c r="E3" s="2"/>
      <c r="F3" s="2"/>
      <c r="G3" s="2"/>
      <c r="H3" s="2"/>
      <c r="I3" s="2"/>
    </row>
    <row r="4" ht="15.75" customHeight="1">
      <c r="B4" s="4" t="s">
        <v>112</v>
      </c>
      <c r="C4" s="4"/>
      <c r="D4" s="4"/>
      <c r="E4" s="4"/>
      <c r="F4" s="4"/>
      <c r="G4" s="4"/>
      <c r="H4" s="4"/>
      <c r="I4" s="4"/>
    </row>
    <row r="5" ht="15.75" customHeight="1">
      <c r="B5" s="9" t="s">
        <v>113</v>
      </c>
      <c r="C5" s="42">
        <v>0.02</v>
      </c>
      <c r="D5" s="42">
        <v>0.025</v>
      </c>
      <c r="E5" s="42">
        <v>0.03</v>
      </c>
      <c r="F5" s="42">
        <v>0.035</v>
      </c>
      <c r="G5" s="42">
        <v>0.04</v>
      </c>
      <c r="H5" s="42">
        <v>0.045</v>
      </c>
      <c r="I5" s="42">
        <v>0.05</v>
      </c>
    </row>
    <row r="6" ht="15.75" customHeight="1">
      <c r="B6" s="43">
        <v>0.1</v>
      </c>
      <c r="C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C$5)/($B6-C$5))/(1+$B6)^10+Assumptions!C24)/Assumptions!C7</f>
        <v>55.7632057455446</v>
      </c>
      <c r="D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D$5)/($B6-D$5))/(1+$B6)^10+Assumptions!C24)/Assumptions!C7</f>
        <v>58.1229241370794</v>
      </c>
      <c r="E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E$5)/($B6-E$5))/(1+$B6)^10+Assumptions!C24)/Assumptions!C7</f>
        <v>60.8197451559763</v>
      </c>
      <c r="F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F$5)/($B6-F$5))/(1+$B6)^10+Assumptions!C24)/Assumptions!C7</f>
        <v>63.931461716242</v>
      </c>
      <c r="G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G$5)/($B6-G$5))/(1+$B6)^10+Assumptions!C24)/Assumptions!C7</f>
        <v>67.5617977032186</v>
      </c>
      <c r="H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H$5)/($B6-H$5))/(1+$B6)^10+Assumptions!C24)/Assumptions!C7</f>
        <v>71.8521947787364</v>
      </c>
      <c r="I6" s="44">
        <f>(DCF_Model!C21/(1+$B6)^1+DCF_Model!D21/(1+$B6)^2+DCF_Model!E21/(1+$B6)^3+DCF_Model!F21/(1+$B6)^4+DCF_Model!G21/(1+$B6)^5+DCF_Model!H21/(1+$B6)^6+DCF_Model!I21/(1+$B6)^7+DCF_Model!J21/(1+$B6)^8+DCF_Model!K21/(1+$B6)^9+DCF_Model!L21/(1+$B6)^10+(DCF_Model!L21*(1+I$5)/($B6-I$5))/(1+$B6)^10+Assumptions!C24)/Assumptions!C7</f>
        <v>77.0006712693578</v>
      </c>
    </row>
    <row r="7" ht="15.75" customHeight="1">
      <c r="B7" s="43">
        <v>0.105</v>
      </c>
      <c r="C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C$5)/($B7-C$5))/(1+$B7)^10+Assumptions!C24)/Assumptions!C7</f>
        <v>51.9971872146309</v>
      </c>
      <c r="D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D$5)/($B7-D$5))/(1+$B7)^10+Assumptions!C24)/Assumptions!C7</f>
        <v>53.9960186887158</v>
      </c>
      <c r="E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E$5)/($B7-E$5))/(1+$B7)^10+Assumptions!C24)/Assumptions!C7</f>
        <v>56.261361026012</v>
      </c>
      <c r="F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F$5)/($B7-F$5))/(1+$B7)^10+Assumptions!C24)/Assumptions!C7</f>
        <v>58.8503236972076</v>
      </c>
      <c r="G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G$5)/($B7-G$5))/(1+$B7)^10+Assumptions!C24)/Assumptions!C7</f>
        <v>61.837588317818</v>
      </c>
      <c r="H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H$5)/($B7-H$5))/(1+$B7)^10+Assumptions!C24)/Assumptions!C7</f>
        <v>65.3227303751968</v>
      </c>
      <c r="I7" s="44">
        <f>(DCF_Model!C21/(1+$B7)^1+DCF_Model!D21/(1+$B7)^2+DCF_Model!E21/(1+$B7)^3+DCF_Model!F21/(1+$B7)^4+DCF_Model!G21/(1+$B7)^5+DCF_Model!H21/(1+$B7)^6+DCF_Model!I21/(1+$B7)^7+DCF_Model!J21/(1+$B7)^8+DCF_Model!K21/(1+$B7)^9+DCF_Model!L21/(1+$B7)^10+(DCF_Model!L21*(1+I$5)/($B7-I$5))/(1+$B7)^10+Assumptions!C24)/Assumptions!C7</f>
        <v>69.4415346248263</v>
      </c>
    </row>
    <row r="8" ht="15.75" customHeight="1">
      <c r="B8" s="43">
        <v>0.11</v>
      </c>
      <c r="C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C$5)/($B8-C$5))/(1+$B8)^10+Assumptions!C24)/Assumptions!C7</f>
        <v>48.6789476187842</v>
      </c>
      <c r="D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D$5)/($B8-D$5))/(1+$B8)^10+Assumptions!C24)/Assumptions!C7</f>
        <v>50.3849410318245</v>
      </c>
      <c r="E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E$5)/($B8-E$5))/(1+$B8)^10+Assumptions!C24)/Assumptions!C7</f>
        <v>52.304183621495</v>
      </c>
      <c r="F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F$5)/($B8-F$5))/(1+$B8)^10+Assumptions!C24)/Assumptions!C7</f>
        <v>54.4793252231214</v>
      </c>
      <c r="G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G$5)/($B8-G$5))/(1+$B8)^10+Assumptions!C24)/Assumptions!C7</f>
        <v>56.965201339266</v>
      </c>
      <c r="H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H$5)/($B8-H$5))/(1+$B8)^10+Assumptions!C24)/Assumptions!C7</f>
        <v>59.8335199348174</v>
      </c>
      <c r="I8" s="44">
        <f>(DCF_Model!C21/(1+$B8)^1+DCF_Model!D21/(1+$B8)^2+DCF_Model!E21/(1+$B8)^3+DCF_Model!F21/(1+$B8)^4+DCF_Model!G21/(1+$B8)^5+DCF_Model!H21/(1+$B8)^6+DCF_Model!I21/(1+$B8)^7+DCF_Model!J21/(1+$B8)^8+DCF_Model!K21/(1+$B8)^9+DCF_Model!L21/(1+$B8)^10+(DCF_Model!L21*(1+I$5)/($B8-I$5))/(1+$B8)^10+Assumptions!C24)/Assumptions!C7</f>
        <v>63.1798916296273</v>
      </c>
    </row>
    <row r="9" ht="15.75" customHeight="1">
      <c r="B9" s="43">
        <v>0.115</v>
      </c>
      <c r="C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C$5)/($B9-C$5))/(1+$B9)^10+Assumptions!C24)/Assumptions!C7</f>
        <v>45.7367036516743</v>
      </c>
      <c r="D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D$5)/($B9-D$5))/(1+$B9)^10+Assumptions!C24)/Assumptions!C7</f>
        <v>47.2026081348322</v>
      </c>
      <c r="E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E$5)/($B9-E$5))/(1+$B9)^10+Assumptions!C24)/Assumptions!C7</f>
        <v>48.8409719689498</v>
      </c>
      <c r="F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F$5)/($B9-F$5))/(1+$B9)^10+Assumptions!C24)/Assumptions!C7</f>
        <v>50.6841312823321</v>
      </c>
      <c r="G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G$5)/($B9-G$5))/(1+$B9)^10+Assumptions!C24)/Assumptions!C7</f>
        <v>52.7730451708321</v>
      </c>
      <c r="H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H$5)/($B9-H$5))/(1+$B9)^10+Assumptions!C24)/Assumptions!C7</f>
        <v>55.1603753291178</v>
      </c>
      <c r="I9" s="44">
        <f>(DCF_Model!C21/(1+$B9)^1+DCF_Model!D21/(1+$B9)^2+DCF_Model!E21/(1+$B9)^3+DCF_Model!F21/(1+$B9)^4+DCF_Model!G21/(1+$B9)^5+DCF_Model!H21/(1+$B9)^6+DCF_Model!I21/(1+$B9)^7+DCF_Model!J21/(1+$B9)^8+DCF_Model!K21/(1+$B9)^9+DCF_Model!L21/(1+$B9)^10+(DCF_Model!L21*(1+I$5)/($B9-I$5))/(1+$B9)^10+Assumptions!C24)/Assumptions!C7</f>
        <v>57.9149870502166</v>
      </c>
    </row>
    <row r="10" ht="15.75" customHeight="1">
      <c r="B10" s="43">
        <v>0.1226</v>
      </c>
      <c r="C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C$5)/($B10-C$5))/(1+$B10)^10+Assumptions!C24)/Assumptions!C7</f>
        <v>41.8589359757786</v>
      </c>
      <c r="D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D$5)/($B10-D$5))/(1+$B10)^10+Assumptions!C24)/Assumptions!C7</f>
        <v>43.0363333822571</v>
      </c>
      <c r="E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E$5)/($B10-E$5))/(1+$B10)^10+Assumptions!C24)/Assumptions!C7</f>
        <v>44.3408795367355</v>
      </c>
      <c r="F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F$5)/($B10-F$5))/(1+$B10)^10+Assumptions!C24)/Assumptions!C7</f>
        <v>45.7943464851042</v>
      </c>
      <c r="G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G$5)/($B10-G$5))/(1+$B10)^10+Assumptions!C24)/Assumptions!C7</f>
        <v>47.4237779550671</v>
      </c>
      <c r="H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H$5)/($B10-H$5))/(1+$B10)^10+Assumptions!C24)/Assumptions!C7</f>
        <v>49.2631877072417</v>
      </c>
      <c r="I10" s="44">
        <f>(DCF_Model!C21/(1+$B10)^1+DCF_Model!D21/(1+$B10)^2+DCF_Model!E21/(1+$B10)^3+DCF_Model!F21/(1+$B10)^4+DCF_Model!G21/(1+$B10)^5+DCF_Model!H21/(1+$B10)^6+DCF_Model!I21/(1+$B10)^7+DCF_Model!J21/(1+$B10)^8+DCF_Model!K21/(1+$B10)^9+DCF_Model!L21/(1+$B10)^10+(DCF_Model!L21*(1+I$5)/($B10-I$5))/(1+$B10)^10+Assumptions!C24)/Assumptions!C7</f>
        <v>51.3559596842337</v>
      </c>
    </row>
    <row r="11" ht="15.75" customHeight="1">
      <c r="B11" s="43">
        <v>0.13</v>
      </c>
      <c r="C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C$5)/($B11-C$5))/(1+$B11)^10+Assumptions!C24)/Assumptions!C7</f>
        <v>38.6445009338819</v>
      </c>
      <c r="D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D$5)/($B11-D$5))/(1+$B11)^10+Assumptions!C24)/Assumptions!C7</f>
        <v>39.6066837991716</v>
      </c>
      <c r="E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E$5)/($B11-E$5))/(1+$B11)^10+Assumptions!C24)/Assumptions!C7</f>
        <v>40.6650849509902</v>
      </c>
      <c r="F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F$5)/($B11-F$5))/(1+$B11)^10+Assumptions!C24)/Assumptions!C7</f>
        <v>41.8348967503688</v>
      </c>
      <c r="G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G$5)/($B11-G$5))/(1+$B11)^10+Assumptions!C24)/Assumptions!C7</f>
        <v>43.1346876385671</v>
      </c>
      <c r="H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H$5)/($B11-H$5))/(1+$B11)^10+Assumptions!C24)/Assumptions!C7</f>
        <v>44.5873951018477</v>
      </c>
      <c r="I11" s="44">
        <f>(DCF_Model!C21/(1+$B11)^1+DCF_Model!D21/(1+$B11)^2+DCF_Model!E21/(1+$B11)^3+DCF_Model!F21/(1+$B11)^4+DCF_Model!G21/(1+$B11)^5+DCF_Model!H21/(1+$B11)^6+DCF_Model!I21/(1+$B11)^7+DCF_Model!J21/(1+$B11)^8+DCF_Model!K21/(1+$B11)^9+DCF_Model!L21/(1+$B11)^10+(DCF_Model!L21*(1+I$5)/($B11-I$5))/(1+$B11)^10+Assumptions!C24)/Assumptions!C7</f>
        <v>46.2216909980383</v>
      </c>
    </row>
    <row r="12" ht="15.75" customHeight="1">
      <c r="B12" s="43">
        <v>0.135</v>
      </c>
      <c r="C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C$5)/($B12-C$5))/(1+$B12)^10+Assumptions!C24)/Assumptions!C7</f>
        <v>36.7303206805459</v>
      </c>
      <c r="D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D$5)/($B12-D$5))/(1+$B12)^10+Assumptions!C24)/Assumptions!C7</f>
        <v>37.5746119821872</v>
      </c>
      <c r="E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E$5)/($B12-E$5))/(1+$B12)^10+Assumptions!C24)/Assumptions!C7</f>
        <v>38.4993119792228</v>
      </c>
      <c r="F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F$5)/($B12-F$5))/(1+$B12)^10+Assumptions!C24)/Assumptions!C7</f>
        <v>39.516481975962</v>
      </c>
      <c r="G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G$5)/($B12-G$5))/(1+$B12)^10+Assumptions!C24)/Assumptions!C7</f>
        <v>40.6407224986737</v>
      </c>
      <c r="H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H$5)/($B12-H$5))/(1+$B12)^10+Assumptions!C24)/Assumptions!C7</f>
        <v>41.8898786350201</v>
      </c>
      <c r="I12" s="44">
        <f>(DCF_Model!C21/(1+$B12)^1+DCF_Model!D21/(1+$B12)^2+DCF_Model!E21/(1+$B12)^3+DCF_Model!F21/(1+$B12)^4+DCF_Model!G21/(1+$B12)^5+DCF_Model!H21/(1+$B12)^6+DCF_Model!I21/(1+$B12)^7+DCF_Model!J21/(1+$B12)^8+DCF_Model!K21/(1+$B12)^9+DCF_Model!L21/(1+$B12)^10+(DCF_Model!L21*(1+I$5)/($B12-I$5))/(1+$B12)^10+Assumptions!C24)/Assumptions!C7</f>
        <v>43.285994316819</v>
      </c>
    </row>
    <row r="13" ht="15.75" customHeight="1">
      <c r="B13" s="43">
        <v>0.14</v>
      </c>
      <c r="C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C$5)/($B13-C$5))/(1+$B13)^10+Assumptions!C24)/Assumptions!C7</f>
        <v>34.9930572353982</v>
      </c>
      <c r="D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D$5)/($B13-D$5))/(1+$B13)^10+Assumptions!C24)/Assumptions!C7</f>
        <v>35.7369714304309</v>
      </c>
      <c r="E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E$5)/($B13-E$5))/(1+$B13)^10+Assumptions!C24)/Assumptions!C7</f>
        <v>36.5485141886485</v>
      </c>
      <c r="F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F$5)/($B13-F$5))/(1+$B13)^10+Assumptions!C24)/Assumptions!C7</f>
        <v>37.437346733363</v>
      </c>
      <c r="G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G$5)/($B13-G$5))/(1+$B13)^10+Assumptions!C24)/Assumptions!C7</f>
        <v>38.4150625325489</v>
      </c>
      <c r="H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H$5)/($B13-H$5))/(1+$B13)^10+Assumptions!C24)/Assumptions!C7</f>
        <v>39.4956957842807</v>
      </c>
      <c r="I13" s="44">
        <f>(DCF_Model!C21/(1+$B13)^1+DCF_Model!D21/(1+$B13)^2+DCF_Model!E21/(1+$B13)^3+DCF_Model!F21/(1+$B13)^4+DCF_Model!G21/(1+$B13)^5+DCF_Model!H21/(1+$B13)^6+DCF_Model!I21/(1+$B13)^7+DCF_Model!J21/(1+$B13)^8+DCF_Model!K21/(1+$B13)^9+DCF_Model!L21/(1+$B13)^10+(DCF_Model!L21*(1+I$5)/($B13-I$5))/(1+$B13)^10+Assumptions!C24)/Assumptions!C7</f>
        <v>40.696399397316</v>
      </c>
    </row>
    <row r="14" ht="15.75" customHeight="1">
      <c r="B14" s="43">
        <v>0.145</v>
      </c>
      <c r="C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C$5)/($B14-C$5))/(1+$B14)^10+Assumptions!C24)/Assumptions!C7</f>
        <v>33.4108541054162</v>
      </c>
      <c r="D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D$5)/($B14-D$5))/(1+$B14)^10+Assumptions!C24)/Assumptions!C7</f>
        <v>34.0688223821997</v>
      </c>
      <c r="E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E$5)/($B14-E$5))/(1+$B14)^10+Assumptions!C24)/Assumptions!C7</f>
        <v>34.784005291747</v>
      </c>
      <c r="F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F$5)/($B14-F$5))/(1+$B14)^10+Assumptions!C24)/Assumptions!C7</f>
        <v>35.5642048294349</v>
      </c>
      <c r="G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G$5)/($B14-G$5))/(1+$B14)^10+Assumptions!C24)/Assumptions!C7</f>
        <v>36.4187090849979</v>
      </c>
      <c r="H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H$5)/($B14-H$5))/(1+$B14)^10+Assumptions!C24)/Assumptions!C7</f>
        <v>37.3586637661172</v>
      </c>
      <c r="I14" s="44">
        <f>(DCF_Model!C21/(1+$B14)^1+DCF_Model!D21/(1+$B14)^2+DCF_Model!E21/(1+$B14)^3+DCF_Model!F21/(1+$B14)^4+DCF_Model!G21/(1+$B14)^5+DCF_Model!H21/(1+$B14)^6+DCF_Model!I21/(1+$B14)^7+DCF_Model!J21/(1+$B14)^8+DCF_Model!K21/(1+$B14)^9+DCF_Model!L21/(1+$B14)^10+(DCF_Model!L21*(1+I$5)/($B14-I$5))/(1+$B14)^10+Assumptions!C24)/Assumptions!C7</f>
        <v>38.3975610452491</v>
      </c>
    </row>
    <row r="15" ht="15" customHeight="1">
      <c r="B15" s="2"/>
      <c r="C15" s="2"/>
      <c r="D15" s="2"/>
      <c r="E15" s="2"/>
      <c r="F15" s="2"/>
      <c r="G15" s="2"/>
      <c r="H15" s="2"/>
      <c r="I15" s="2"/>
    </row>
    <row r="16" ht="15" customHeight="1">
      <c r="B16" s="2"/>
      <c r="C16" s="2"/>
      <c r="D16" s="2"/>
      <c r="E16" s="2"/>
      <c r="F16" s="2"/>
      <c r="G16" s="2"/>
      <c r="H16" s="2"/>
      <c r="I16" s="2"/>
    </row>
    <row r="17" ht="15.75" customHeight="1">
      <c r="B17" s="4" t="s">
        <v>114</v>
      </c>
      <c r="C17" s="4"/>
      <c r="D17" s="4"/>
      <c r="E17" s="4"/>
      <c r="F17" s="4"/>
      <c r="G17" s="4"/>
      <c r="H17" s="4"/>
      <c r="I17" s="4"/>
    </row>
    <row r="18" ht="15.75" customHeight="1">
      <c r="B18" s="9" t="s">
        <v>115</v>
      </c>
      <c r="C18" s="45">
        <v>10</v>
      </c>
      <c r="D18" s="45">
        <v>12</v>
      </c>
      <c r="E18" s="45">
        <v>14</v>
      </c>
      <c r="F18" s="45">
        <v>15</v>
      </c>
      <c r="G18" s="45">
        <v>16</v>
      </c>
      <c r="H18" s="45">
        <v>18</v>
      </c>
      <c r="I18" s="45">
        <v>20</v>
      </c>
    </row>
    <row r="19" ht="15.75" customHeight="1">
      <c r="B19" s="43">
        <v>0.1</v>
      </c>
      <c r="C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C$18)/(1+$B19)^10+Assumptions!C24)/Assumptions!C7</f>
        <v>73.7785124589157</v>
      </c>
      <c r="D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D$18)/(1+$B19)^10+Assumptions!C24)/Assumptions!C7</f>
        <v>83.9458813271322</v>
      </c>
      <c r="E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E$18)/(1+$B19)^10+Assumptions!C24)/Assumptions!C7</f>
        <v>94.1132501953487</v>
      </c>
      <c r="F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F$18)/(1+$B19)^10+Assumptions!C24)/Assumptions!C7</f>
        <v>99.1969346294569</v>
      </c>
      <c r="G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G$18)/(1+$B19)^10+Assumptions!C24)/Assumptions!C7</f>
        <v>104.280619063565</v>
      </c>
      <c r="H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H$18)/(1+$B19)^10+Assumptions!C24)/Assumptions!C7</f>
        <v>114.447987931782</v>
      </c>
      <c r="I19" s="44">
        <f>(DCF_Model!C21/(1+$B19)^1+DCF_Model!D21/(1+$B19)^2+DCF_Model!E21/(1+$B19)^3+DCF_Model!F21/(1+$B19)^4+DCF_Model!G21/(1+$B19)^5+DCF_Model!H21/(1+$B19)^6+DCF_Model!I21/(1+$B19)^7+DCF_Model!J21/(1+$B19)^8+DCF_Model!K21/(1+$B19)^9+DCF_Model!L21/(1+$B19)^10+(DCF_Model!C40*I$18)/(1+$B19)^10+Assumptions!C24)/Assumptions!C7</f>
        <v>124.615356799998</v>
      </c>
    </row>
    <row r="20" ht="15.75" customHeight="1">
      <c r="B20" s="43">
        <v>0.105</v>
      </c>
      <c r="C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C$18)/(1+$B20)^10+Assumptions!C24)/Assumptions!C7</f>
        <v>71.0587967088008</v>
      </c>
      <c r="D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D$18)/(1+$B20)^10+Assumptions!C24)/Assumptions!C7</f>
        <v>80.7753592695471</v>
      </c>
      <c r="E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E$18)/(1+$B20)^10+Assumptions!C24)/Assumptions!C7</f>
        <v>90.4919218302933</v>
      </c>
      <c r="F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F$18)/(1+$B20)^10+Assumptions!C24)/Assumptions!C7</f>
        <v>95.3502031106665</v>
      </c>
      <c r="G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G$18)/(1+$B20)^10+Assumptions!C24)/Assumptions!C7</f>
        <v>100.20848439104</v>
      </c>
      <c r="H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H$18)/(1+$B20)^10+Assumptions!C24)/Assumptions!C7</f>
        <v>109.925046951786</v>
      </c>
      <c r="I20" s="44">
        <f>(DCF_Model!C21/(1+$B20)^1+DCF_Model!D21/(1+$B20)^2+DCF_Model!E21/(1+$B20)^3+DCF_Model!F21/(1+$B20)^4+DCF_Model!G21/(1+$B20)^5+DCF_Model!H21/(1+$B20)^6+DCF_Model!I21/(1+$B20)^7+DCF_Model!J21/(1+$B20)^8+DCF_Model!K21/(1+$B20)^9+DCF_Model!L21/(1+$B20)^10+(DCF_Model!C40*I$18)/(1+$B20)^10+Assumptions!C24)/Assumptions!C7</f>
        <v>119.641609512532</v>
      </c>
    </row>
    <row r="21" ht="15.75" customHeight="1">
      <c r="B21" s="43">
        <v>0.11</v>
      </c>
      <c r="C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C$18)/(1+$B21)^10+Assumptions!C24)/Assumptions!C7</f>
        <v>68.4667929349595</v>
      </c>
      <c r="D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D$18)/(1+$B21)^10+Assumptions!C24)/Assumptions!C7</f>
        <v>77.7544387156937</v>
      </c>
      <c r="E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E$18)/(1+$B21)^10+Assumptions!C24)/Assumptions!C7</f>
        <v>87.0420844964279</v>
      </c>
      <c r="F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F$18)/(1+$B21)^10+Assumptions!C24)/Assumptions!C7</f>
        <v>91.685907386795</v>
      </c>
      <c r="G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G$18)/(1+$B21)^10+Assumptions!C24)/Assumptions!C7</f>
        <v>96.3297302771621</v>
      </c>
      <c r="H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H$18)/(1+$B21)^10+Assumptions!C24)/Assumptions!C7</f>
        <v>105.617376057896</v>
      </c>
      <c r="I21" s="44">
        <f>(DCF_Model!C21/(1+$B21)^1+DCF_Model!D21/(1+$B21)^2+DCF_Model!E21/(1+$B21)^3+DCF_Model!F21/(1+$B21)^4+DCF_Model!G21/(1+$B21)^5+DCF_Model!H21/(1+$B21)^6+DCF_Model!I21/(1+$B21)^7+DCF_Model!J21/(1+$B21)^8+DCF_Model!K21/(1+$B21)^9+DCF_Model!L21/(1+$B21)^10+(DCF_Model!C40*I$18)/(1+$B21)^10+Assumptions!C24)/Assumptions!C7</f>
        <v>114.90502183863</v>
      </c>
    </row>
    <row r="22" ht="15.75" customHeight="1">
      <c r="B22" s="43">
        <v>0.115</v>
      </c>
      <c r="C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C$18)/(1+$B22)^10+Assumptions!C24)/Assumptions!C7</f>
        <v>65.9959020953601</v>
      </c>
      <c r="D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D$18)/(1+$B22)^10+Assumptions!C24)/Assumptions!C7</f>
        <v>74.8753662344611</v>
      </c>
      <c r="E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E$18)/(1+$B22)^10+Assumptions!C24)/Assumptions!C7</f>
        <v>83.7548303735621</v>
      </c>
      <c r="F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F$18)/(1+$B22)^10+Assumptions!C24)/Assumptions!C7</f>
        <v>88.1945624431126</v>
      </c>
      <c r="G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G$18)/(1+$B22)^10+Assumptions!C24)/Assumptions!C7</f>
        <v>92.6342945126631</v>
      </c>
      <c r="H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H$18)/(1+$B22)^10+Assumptions!C24)/Assumptions!C7</f>
        <v>101.513758651764</v>
      </c>
      <c r="I22" s="44">
        <f>(DCF_Model!C21/(1+$B22)^1+DCF_Model!D21/(1+$B22)^2+DCF_Model!E21/(1+$B22)^3+DCF_Model!F21/(1+$B22)^4+DCF_Model!G21/(1+$B22)^5+DCF_Model!H21/(1+$B22)^6+DCF_Model!I21/(1+$B22)^7+DCF_Model!J21/(1+$B22)^8+DCF_Model!K21/(1+$B22)^9+DCF_Model!L21/(1+$B22)^10+(DCF_Model!C40*I$18)/(1+$B22)^10+Assumptions!C24)/Assumptions!C7</f>
        <v>110.393222790865</v>
      </c>
    </row>
    <row r="23" ht="15.75" customHeight="1">
      <c r="B23" s="43">
        <v>0.1226</v>
      </c>
      <c r="C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C$18)/(1+$B23)^10+Assumptions!C24)/Assumptions!C7</f>
        <v>62.4582085597588</v>
      </c>
      <c r="D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D$18)/(1+$B23)^10+Assumptions!C24)/Assumptions!C7</f>
        <v>70.7545201087926</v>
      </c>
      <c r="E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E$18)/(1+$B23)^10+Assumptions!C24)/Assumptions!C7</f>
        <v>79.0508316578264</v>
      </c>
      <c r="F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F$18)/(1+$B23)^10+Assumptions!C24)/Assumptions!C7</f>
        <v>83.1989874323433</v>
      </c>
      <c r="G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G$18)/(1+$B23)^10+Assumptions!C24)/Assumptions!C7</f>
        <v>87.3471432068603</v>
      </c>
      <c r="H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H$18)/(1+$B23)^10+Assumptions!C24)/Assumptions!C7</f>
        <v>95.6434547558941</v>
      </c>
      <c r="I23" s="44">
        <f>(DCF_Model!C21/(1+$B23)^1+DCF_Model!D21/(1+$B23)^2+DCF_Model!E21/(1+$B23)^3+DCF_Model!F21/(1+$B23)^4+DCF_Model!G21/(1+$B23)^5+DCF_Model!H21/(1+$B23)^6+DCF_Model!I21/(1+$B23)^7+DCF_Model!J21/(1+$B23)^8+DCF_Model!K21/(1+$B23)^9+DCF_Model!L21/(1+$B23)^10+(DCF_Model!C40*I$18)/(1+$B23)^10+Assumptions!C24)/Assumptions!C7</f>
        <v>103.939766304928</v>
      </c>
    </row>
    <row r="24" ht="15.75" customHeight="1">
      <c r="B24" s="43">
        <v>0.13</v>
      </c>
      <c r="C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C$18)/(1+$B24)^10+Assumptions!C24)/Assumptions!C7</f>
        <v>59.2493375976482</v>
      </c>
      <c r="D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D$18)/(1+$B24)^10+Assumptions!C24)/Assumptions!C7</f>
        <v>67.0180849258891</v>
      </c>
      <c r="E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E$18)/(1+$B24)^10+Assumptions!C24)/Assumptions!C7</f>
        <v>74.78683225413</v>
      </c>
      <c r="F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F$18)/(1+$B24)^10+Assumptions!C24)/Assumptions!C7</f>
        <v>78.6712059182505</v>
      </c>
      <c r="G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G$18)/(1+$B24)^10+Assumptions!C24)/Assumptions!C7</f>
        <v>82.555579582371</v>
      </c>
      <c r="H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H$18)/(1+$B24)^10+Assumptions!C24)/Assumptions!C7</f>
        <v>90.3243269106119</v>
      </c>
      <c r="I24" s="44">
        <f>(DCF_Model!C21/(1+$B24)^1+DCF_Model!D21/(1+$B24)^2+DCF_Model!E21/(1+$B24)^3+DCF_Model!F21/(1+$B24)^4+DCF_Model!G21/(1+$B24)^5+DCF_Model!H21/(1+$B24)^6+DCF_Model!I21/(1+$B24)^7+DCF_Model!J21/(1+$B24)^8+DCF_Model!K21/(1+$B24)^9+DCF_Model!L21/(1+$B24)^10+(DCF_Model!C40*I$18)/(1+$B24)^10+Assumptions!C24)/Assumptions!C7</f>
        <v>98.0930742388528</v>
      </c>
    </row>
    <row r="25" ht="15.75" customHeight="1">
      <c r="B25" s="43">
        <v>0.135</v>
      </c>
      <c r="C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C$18)/(1+$B25)^10+Assumptions!C24)/Assumptions!C7</f>
        <v>57.2039859869214</v>
      </c>
      <c r="D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D$18)/(1+$B25)^10+Assumptions!C24)/Assumptions!C7</f>
        <v>64.6372030673734</v>
      </c>
      <c r="E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E$18)/(1+$B25)^10+Assumptions!C24)/Assumptions!C7</f>
        <v>72.0704201478254</v>
      </c>
      <c r="F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F$18)/(1+$B25)^10+Assumptions!C24)/Assumptions!C7</f>
        <v>75.7870286880514</v>
      </c>
      <c r="G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G$18)/(1+$B25)^10+Assumptions!C24)/Assumptions!C7</f>
        <v>79.5036372282774</v>
      </c>
      <c r="H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H$18)/(1+$B25)^10+Assumptions!C24)/Assumptions!C7</f>
        <v>86.9368543087295</v>
      </c>
      <c r="I25" s="44">
        <f>(DCF_Model!C21/(1+$B25)^1+DCF_Model!D21/(1+$B25)^2+DCF_Model!E21/(1+$B25)^3+DCF_Model!F21/(1+$B25)^4+DCF_Model!G21/(1+$B25)^5+DCF_Model!H21/(1+$B25)^6+DCF_Model!I21/(1+$B25)^7+DCF_Model!J21/(1+$B25)^8+DCF_Model!K21/(1+$B25)^9+DCF_Model!L21/(1+$B25)^10+(DCF_Model!C40*I$18)/(1+$B25)^10+Assumptions!C24)/Assumptions!C7</f>
        <v>94.3700713891815</v>
      </c>
    </row>
    <row r="26" ht="15.75" customHeight="1">
      <c r="B26" s="43">
        <v>0.14</v>
      </c>
      <c r="C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C$18)/(1+$B26)^10+Assumptions!C24)/Assumptions!C7</f>
        <v>55.2518795466239</v>
      </c>
      <c r="D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D$18)/(1+$B26)^10+Assumptions!C24)/Assumptions!C7</f>
        <v>62.3654382221092</v>
      </c>
      <c r="E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E$18)/(1+$B26)^10+Assumptions!C24)/Assumptions!C7</f>
        <v>69.4789968975944</v>
      </c>
      <c r="F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F$18)/(1+$B26)^10+Assumptions!C24)/Assumptions!C7</f>
        <v>73.0357762353371</v>
      </c>
      <c r="G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G$18)/(1+$B26)^10+Assumptions!C24)/Assumptions!C7</f>
        <v>76.5925555730797</v>
      </c>
      <c r="H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H$18)/(1+$B26)^10+Assumptions!C24)/Assumptions!C7</f>
        <v>83.7061142485649</v>
      </c>
      <c r="I26" s="44">
        <f>(DCF_Model!C21/(1+$B26)^1+DCF_Model!D21/(1+$B26)^2+DCF_Model!E21/(1+$B26)^3+DCF_Model!F21/(1+$B26)^4+DCF_Model!G21/(1+$B26)^5+DCF_Model!H21/(1+$B26)^6+DCF_Model!I21/(1+$B26)^7+DCF_Model!J21/(1+$B26)^8+DCF_Model!K21/(1+$B26)^9+DCF_Model!L21/(1+$B26)^10+(DCF_Model!C40*I$18)/(1+$B26)^10+Assumptions!C24)/Assumptions!C7</f>
        <v>90.8196729240502</v>
      </c>
    </row>
    <row r="27" ht="15.75" customHeight="1">
      <c r="B27" s="43">
        <v>0.145</v>
      </c>
      <c r="C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C$18)/(1+$B27)^10+Assumptions!C24)/Assumptions!C7</f>
        <v>53.3883327095358</v>
      </c>
      <c r="D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D$18)/(1+$B27)^10+Assumptions!C24)/Assumptions!C7</f>
        <v>60.1972892889903</v>
      </c>
      <c r="E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E$18)/(1+$B27)^10+Assumptions!C24)/Assumptions!C7</f>
        <v>67.0062458684448</v>
      </c>
      <c r="F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F$18)/(1+$B27)^10+Assumptions!C24)/Assumptions!C7</f>
        <v>70.4107241581721</v>
      </c>
      <c r="G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G$18)/(1+$B27)^10+Assumptions!C24)/Assumptions!C7</f>
        <v>73.8152024478993</v>
      </c>
      <c r="H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H$18)/(1+$B27)^10+Assumptions!C24)/Assumptions!C7</f>
        <v>80.6241590273539</v>
      </c>
      <c r="I27" s="44">
        <f>(DCF_Model!C21/(1+$B27)^1+DCF_Model!D21/(1+$B27)^2+DCF_Model!E21/(1+$B27)^3+DCF_Model!F21/(1+$B27)^4+DCF_Model!G21/(1+$B27)^5+DCF_Model!H21/(1+$B27)^6+DCF_Model!I21/(1+$B27)^7+DCF_Model!J21/(1+$B27)^8+DCF_Model!K21/(1+$B27)^9+DCF_Model!L21/(1+$B27)^10+(DCF_Model!C40*I$18)/(1+$B27)^10+Assumptions!C24)/Assumptions!C7</f>
        <v>87.4331156068084</v>
      </c>
    </row>
  </sheetData>
  <printOptions/>
  <pageMargins left="0.7" right="0.7" top="0.75" bottom="0.75" header="0.3" footer="0.3"/>
  <pageSetup paperSize="1" pageOrder="downThenOver" orientation="portrait"/>
  <headerFooter>
    <oddHeader>&amp;L&amp;C&amp;R</oddHeader>
    <oddFooter>&amp;L&amp;C&amp;R</oddFooter>
  </headerFooter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Shortcut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Shortcut</dc:creator>
  <cp:lastModifiedBy>Shortcut</cp:lastModifiedBy>
  <dcterms:created xsi:type="dcterms:W3CDTF">2025-05-22T23:41:35Z</dcterms:created>
  <dcterms:modified xsi:type="dcterms:W3CDTF">2025-05-22T23:45:09Z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ortcut_file_id">
    <vt:lpwstr>2b4825d5-59e6-4d76-8d81-b17ce240102a</vt:lpwstr>
  </property>
</Properties>
</file>