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328"/>
  <workbookPr/>
  <mc:AlternateContent xmlns:mc="http://schemas.openxmlformats.org/markup-compatibility/2006">
    <mc:Choice Requires="x15">
      <x15ac:absPath xmlns:x15ac="http://schemas.microsoft.com/office/spreadsheetml/2010/11/ac" url="https://ibhero-my.sharepoint.com/personal/oliver_sealey_fe_training/Documents/Documents/prepped numbered resources/7092 additional complex LBO components - div recap/Rework/"/>
    </mc:Choice>
  </mc:AlternateContent>
  <xr:revisionPtr revIDLastSave="58" documentId="8_{ADFDC9E1-48BA-4A92-AB27-BBF9A9C35C90}" xr6:coauthVersionLast="47" xr6:coauthVersionMax="47" xr10:uidLastSave="{675D2C6D-EC99-4B01-ACFF-1DF3692F611A}"/>
  <bookViews>
    <workbookView xWindow="4830" yWindow="21480" windowWidth="21840" windowHeight="13920" tabRatio="838" activeTab="2" xr2:uid="{00000000-000D-0000-FFFF-FFFF00000000}"/>
  </bookViews>
  <sheets>
    <sheet name="Welcome" sheetId="2" r:id="rId1"/>
    <sheet name="Info" sheetId="3" r:id="rId2"/>
    <sheet name="Base Case" sheetId="28" r:id="rId3"/>
    <sheet name="Add-on" sheetId="25" r:id="rId4"/>
    <sheet name="Add-on case" sheetId="20" r:id="rId5"/>
    <sheet name="Recap" sheetId="27" r:id="rId6"/>
    <sheet name="Recap case" sheetId="29" r:id="rId7"/>
    <sheet name="Factset codes" sheetId="22" state="hidden" r:id="rId8"/>
  </sheets>
  <definedNames>
    <definedName name="AddonSwitch">'Add-on case'!$C$6</definedName>
    <definedName name="AddonYear">'Add-on'!$F$7</definedName>
    <definedName name="CIQWBGuid" hidden="1">"571ab0c3-d74c-43bc-a7ba-442a57d4d174"</definedName>
    <definedName name="CircSwitch">Info!$N$10</definedName>
    <definedName name="COMP_CALENDARIZE_PERCENTAGES" localSheetId="7">'Factset codes'!$R$64:$V$64</definedName>
    <definedName name="COMP_EQ_VALUE" localSheetId="7">'Factset codes'!$R$10</definedName>
    <definedName name="COMP_EV" localSheetId="7">'Factset codes'!$L$10</definedName>
    <definedName name="Comp_MTR" localSheetId="7">'Factset codes'!$D$19</definedName>
    <definedName name="COMP_SHAREPRICE" localSheetId="7">'Factset codes'!$D$13</definedName>
    <definedName name="EBIT_LTM" localSheetId="7">'Factset codes'!$J$14</definedName>
    <definedName name="EBITDA_LTM" localSheetId="7">'Factset codes'!$J$13</definedName>
    <definedName name="EV_EBIT_CY1" localSheetId="7">'Factset codes'!$L$21</definedName>
    <definedName name="EV_EBIT_CY2" localSheetId="7">'Factset codes'!$N$21</definedName>
    <definedName name="EV_EBIT_CY3" localSheetId="7">'Factset codes'!$P$21</definedName>
    <definedName name="EV_EBIT_CY4" localSheetId="7">'Factset codes'!$R$21</definedName>
    <definedName name="EV_EBIT_LTM" localSheetId="7">'Factset codes'!$J$21</definedName>
    <definedName name="EV_EBITDA_CY1" localSheetId="7">'Factset codes'!$L$20</definedName>
    <definedName name="EV_EBITDA_CY2" localSheetId="7">'Factset codes'!$N$20</definedName>
    <definedName name="EV_EBITDA_CY3" localSheetId="7">'Factset codes'!$P$20</definedName>
    <definedName name="EV_EBITDA_CY4" localSheetId="7">'Factset codes'!$R$20</definedName>
    <definedName name="EV_EBITDA_LMT" localSheetId="7">'Factset codes'!$J$20</definedName>
    <definedName name="EV_REVENUE_CY1" localSheetId="7">'Factset codes'!$L$19</definedName>
    <definedName name="EV_REVENUE_CY2" localSheetId="7">'Factset codes'!$N$19</definedName>
    <definedName name="EV_REVENUE_CY3" localSheetId="7">'Factset codes'!$P$19</definedName>
    <definedName name="EV_REVENUE_CY4" localSheetId="7">'Factset codes'!$R$19</definedName>
    <definedName name="EV_REVENUE_LTM" localSheetId="7">'Factset codes'!$J$19</definedName>
    <definedName name="FCF_LTM" localSheetId="7">'Factset codes'!$J$15</definedName>
    <definedName name="GROSS_DEBT_LTM_EBITDA" localSheetId="7">#REF!</definedName>
    <definedName name="IQ_DNTM" hidden="1">700000</definedName>
    <definedName name="IQ_FWD_CY" hidden="1">10001</definedName>
    <definedName name="IQ_FWD_CY1" hidden="1">10002</definedName>
    <definedName name="IQ_FWD_CY2" hidden="1">10003</definedName>
    <definedName name="IQ_FWD_FY" hidden="1">1001</definedName>
    <definedName name="IQ_FWD_FY1" hidden="1">1002</definedName>
    <definedName name="IQ_FWD_FY2" hidden="1">1003</definedName>
    <definedName name="IQ_FWD_Q" hidden="1">501</definedName>
    <definedName name="IQ_FWD_Q1" hidden="1">502</definedName>
    <definedName name="IQ_FWD_Q2" hidden="1">503</definedName>
    <definedName name="IQ_LATESTK" hidden="1">1000</definedName>
    <definedName name="IQ_LATESTQ" hidden="1">500</definedName>
    <definedName name="IQ_LTMMONTH" hidden="1">120000</definedName>
    <definedName name="IQ_MTD" hidden="1">800000</definedName>
    <definedName name="IQ_NAMES_REVISION_DATE_" hidden="1">"01/29/2016 15:32:18"</definedName>
    <definedName name="IQ_QTD" hidden="1">750000</definedName>
    <definedName name="IQ_TODAY" hidden="1">0</definedName>
    <definedName name="IQ_YTDMONTH" hidden="1">130000</definedName>
    <definedName name="IQRBWSM104" localSheetId="3" hidden="1">#REF!</definedName>
    <definedName name="IQRBWSM104" hidden="1">#REF!</definedName>
    <definedName name="IQRDECKM104" localSheetId="3" hidden="1">#REF!</definedName>
    <definedName name="IQRDECKM104" hidden="1">#REF!</definedName>
    <definedName name="IQRDSWM104" localSheetId="3" hidden="1">#REF!</definedName>
    <definedName name="IQRDSWM104" hidden="1">#REF!</definedName>
    <definedName name="IQRFINLM104" localSheetId="3" hidden="1">#REF!</definedName>
    <definedName name="IQRFINLM104" hidden="1">#REF!</definedName>
    <definedName name="IQRGCOM104" localSheetId="3" hidden="1">#REF!</definedName>
    <definedName name="IQRGCOM104" hidden="1">#REF!</definedName>
    <definedName name="IQRSHOOM104" localSheetId="3" hidden="1">#REF!</definedName>
    <definedName name="IQRSHOOM104" hidden="1">#REF!</definedName>
    <definedName name="IQRSKXM104" localSheetId="3" hidden="1">#REF!</definedName>
    <definedName name="IQRSKXM104" hidden="1">#REF!</definedName>
    <definedName name="IQRTargetM104" localSheetId="3" hidden="1">#REF!</definedName>
    <definedName name="IQRTargetM104" hidden="1">#REF!</definedName>
    <definedName name="IQRTODM104" localSheetId="3" hidden="1">#REF!</definedName>
    <definedName name="IQRTODM104" hidden="1">#REF!</definedName>
    <definedName name="IQRWWWM104" localSheetId="3" hidden="1">#REF!</definedName>
    <definedName name="IQRWWWM104" hidden="1">#REF!</definedName>
    <definedName name="P_BV" localSheetId="7">#REF!</definedName>
    <definedName name="PE_CY1" localSheetId="7">'Factset codes'!$L$22</definedName>
    <definedName name="PE_CY2" localSheetId="7">'Factset codes'!$N$22</definedName>
    <definedName name="PE_CY3" localSheetId="7">'Factset codes'!$P$22</definedName>
    <definedName name="PE_CY4" localSheetId="7">'Factset codes'!$R$22</definedName>
    <definedName name="RecapSwitch">'Recap case'!$C$6</definedName>
    <definedName name="RecapYear">Recap!$C$7</definedName>
    <definedName name="SALES_LTM" localSheetId="7">'Factset codes'!$J$12</definedName>
  </definedNames>
  <calcPr calcId="191029" calcMode="autoNoTable" iterate="1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C52" i="27" l="1"/>
  <c r="C53" i="27" s="1"/>
  <c r="C54" i="27" s="1"/>
  <c r="C55" i="27" s="1"/>
  <c r="C56" i="27" s="1"/>
  <c r="C57" i="27" s="1"/>
  <c r="C58" i="27" s="1"/>
  <c r="C59" i="27" s="1"/>
  <c r="C60" i="27" s="1"/>
  <c r="C61" i="27" s="1"/>
  <c r="C62" i="27" s="1"/>
  <c r="K16" i="29"/>
  <c r="K15" i="29"/>
  <c r="G87" i="29"/>
  <c r="G71" i="29"/>
  <c r="D14" i="27" l="1"/>
  <c r="J16" i="29" s="1"/>
  <c r="D13" i="27"/>
  <c r="J15" i="29" s="1"/>
  <c r="E50" i="27"/>
  <c r="F50" i="27" s="1"/>
  <c r="C52" i="25"/>
  <c r="C53" i="25" s="1"/>
  <c r="C54" i="25" s="1"/>
  <c r="C55" i="25" s="1"/>
  <c r="C56" i="25" s="1"/>
  <c r="C57" i="25" s="1"/>
  <c r="C58" i="25" s="1"/>
  <c r="C59" i="25" s="1"/>
  <c r="C60" i="25" s="1"/>
  <c r="C61" i="25" s="1"/>
  <c r="C62" i="25" s="1"/>
  <c r="C63" i="25" s="1"/>
  <c r="C64" i="25" s="1"/>
  <c r="C65" i="25" s="1"/>
  <c r="C66" i="25" s="1"/>
  <c r="C67" i="25" s="1"/>
  <c r="C68" i="25" s="1"/>
  <c r="E50" i="25"/>
  <c r="F50" i="25" s="1"/>
  <c r="A1" i="29"/>
  <c r="F3" i="29"/>
  <c r="E3" i="29" s="1"/>
  <c r="D3" i="29" s="1"/>
  <c r="A4" i="29"/>
  <c r="F9" i="29"/>
  <c r="N9" i="29"/>
  <c r="F10" i="29"/>
  <c r="F11" i="29"/>
  <c r="F12" i="29"/>
  <c r="F14" i="29"/>
  <c r="F15" i="29"/>
  <c r="F17" i="29"/>
  <c r="H17" i="29"/>
  <c r="J17" i="29"/>
  <c r="F18" i="29"/>
  <c r="F19" i="29"/>
  <c r="F20" i="29"/>
  <c r="G22" i="29"/>
  <c r="H22" i="29" s="1"/>
  <c r="I22" i="29" s="1"/>
  <c r="J22" i="29" s="1"/>
  <c r="K22" i="29" s="1"/>
  <c r="L22" i="29" s="1"/>
  <c r="M22" i="29" s="1"/>
  <c r="N22" i="29" s="1"/>
  <c r="O22" i="29" s="1"/>
  <c r="E25" i="29"/>
  <c r="F25" i="29"/>
  <c r="G25" i="29"/>
  <c r="G36" i="29" s="1"/>
  <c r="H25" i="29"/>
  <c r="I25" i="29"/>
  <c r="J25" i="29"/>
  <c r="K25" i="29"/>
  <c r="L25" i="29"/>
  <c r="M25" i="29"/>
  <c r="N25" i="29"/>
  <c r="O25" i="29"/>
  <c r="E26" i="29"/>
  <c r="F26" i="29"/>
  <c r="G26" i="29"/>
  <c r="H26" i="29"/>
  <c r="I26" i="29"/>
  <c r="J26" i="29"/>
  <c r="K26" i="29"/>
  <c r="L26" i="29"/>
  <c r="M26" i="29"/>
  <c r="N26" i="29"/>
  <c r="O26" i="29"/>
  <c r="G27" i="29"/>
  <c r="H27" i="29"/>
  <c r="I27" i="29"/>
  <c r="J27" i="29"/>
  <c r="K27" i="29"/>
  <c r="L27" i="29"/>
  <c r="M27" i="29"/>
  <c r="N27" i="29"/>
  <c r="O27" i="29"/>
  <c r="D28" i="29"/>
  <c r="E28" i="29"/>
  <c r="F28" i="29"/>
  <c r="G28" i="29"/>
  <c r="H28" i="29"/>
  <c r="I28" i="29"/>
  <c r="J28" i="29"/>
  <c r="K28" i="29"/>
  <c r="L28" i="29"/>
  <c r="M28" i="29"/>
  <c r="N28" i="29"/>
  <c r="O28" i="29"/>
  <c r="D29" i="29"/>
  <c r="E29" i="29"/>
  <c r="F29" i="29"/>
  <c r="G29" i="29"/>
  <c r="H29" i="29"/>
  <c r="I29" i="29"/>
  <c r="J29" i="29"/>
  <c r="K29" i="29"/>
  <c r="L29" i="29"/>
  <c r="M29" i="29"/>
  <c r="N29" i="29"/>
  <c r="O29" i="29"/>
  <c r="G30" i="29"/>
  <c r="H30" i="29"/>
  <c r="I30" i="29"/>
  <c r="J30" i="29"/>
  <c r="K30" i="29"/>
  <c r="L30" i="29"/>
  <c r="M30" i="29"/>
  <c r="N30" i="29"/>
  <c r="O30" i="29"/>
  <c r="G31" i="29"/>
  <c r="H31" i="29"/>
  <c r="I31" i="29"/>
  <c r="J31" i="29"/>
  <c r="K31" i="29"/>
  <c r="L31" i="29"/>
  <c r="M31" i="29"/>
  <c r="N31" i="29"/>
  <c r="O31" i="29"/>
  <c r="O9" i="29" l="1"/>
  <c r="J9" i="29"/>
  <c r="J10" i="29" s="1"/>
  <c r="J12" i="29" s="1"/>
  <c r="F16" i="29"/>
  <c r="G40" i="29"/>
  <c r="H36" i="29"/>
  <c r="H40" i="29" s="1"/>
  <c r="G32" i="29"/>
  <c r="G52" i="29" s="1"/>
  <c r="G37" i="29"/>
  <c r="G3" i="29"/>
  <c r="H3" i="29" s="1"/>
  <c r="I3" i="29" s="1"/>
  <c r="J3" i="29" s="1"/>
  <c r="K3" i="29" s="1"/>
  <c r="L3" i="29" s="1"/>
  <c r="M3" i="29" s="1"/>
  <c r="N3" i="29" s="1"/>
  <c r="O3" i="29" s="1"/>
  <c r="N10" i="29"/>
  <c r="O10" i="29" s="1"/>
  <c r="G53" i="29"/>
  <c r="G38" i="29" s="1"/>
  <c r="G59" i="29"/>
  <c r="H32" i="29" l="1"/>
  <c r="H52" i="29" s="1"/>
  <c r="H53" i="29"/>
  <c r="H38" i="29" s="1"/>
  <c r="H51" i="29" s="1"/>
  <c r="G39" i="29"/>
  <c r="O11" i="29"/>
  <c r="O12" i="29" s="1"/>
  <c r="G33" i="29"/>
  <c r="G41" i="29"/>
  <c r="G51" i="29"/>
  <c r="I36" i="29"/>
  <c r="H37" i="29"/>
  <c r="H33" i="29" s="1"/>
  <c r="H39" i="29" l="1"/>
  <c r="H41" i="29" s="1"/>
  <c r="I32" i="29"/>
  <c r="I52" i="29" s="1"/>
  <c r="I40" i="29"/>
  <c r="I37" i="29"/>
  <c r="I53" i="29"/>
  <c r="I38" i="29" s="1"/>
  <c r="I51" i="29" s="1"/>
  <c r="J36" i="29"/>
  <c r="F66" i="29"/>
  <c r="G63" i="29" l="1"/>
  <c r="J53" i="29"/>
  <c r="J38" i="29" s="1"/>
  <c r="J51" i="29" s="1"/>
  <c r="J37" i="29"/>
  <c r="J40" i="29"/>
  <c r="J32" i="29"/>
  <c r="J52" i="29" s="1"/>
  <c r="K36" i="29"/>
  <c r="I33" i="29"/>
  <c r="I39" i="29"/>
  <c r="I41" i="29" s="1"/>
  <c r="J39" i="29" l="1"/>
  <c r="J41" i="29" s="1"/>
  <c r="J33" i="29"/>
  <c r="K40" i="29"/>
  <c r="K32" i="29"/>
  <c r="L36" i="29"/>
  <c r="K53" i="29"/>
  <c r="K38" i="29" s="1"/>
  <c r="K51" i="29" s="1"/>
  <c r="K37" i="29"/>
  <c r="F82" i="29"/>
  <c r="F96" i="29" s="1"/>
  <c r="G79" i="29" l="1"/>
  <c r="L37" i="29"/>
  <c r="L53" i="29"/>
  <c r="L38" i="29" s="1"/>
  <c r="L51" i="29" s="1"/>
  <c r="M36" i="29"/>
  <c r="L40" i="29"/>
  <c r="L32" i="29"/>
  <c r="K39" i="29"/>
  <c r="K41" i="29" s="1"/>
  <c r="K100" i="29" s="1"/>
  <c r="K101" i="29" s="1"/>
  <c r="K33" i="29"/>
  <c r="K52" i="29"/>
  <c r="G100" i="29"/>
  <c r="G101" i="29" s="1"/>
  <c r="H100" i="29"/>
  <c r="H101" i="29" s="1"/>
  <c r="I100" i="29"/>
  <c r="I101" i="29" s="1"/>
  <c r="J100" i="29"/>
  <c r="J101" i="29" s="1"/>
  <c r="F106" i="29"/>
  <c r="H17" i="20"/>
  <c r="I17" i="20"/>
  <c r="J17" i="20"/>
  <c r="K17" i="20"/>
  <c r="L17" i="20"/>
  <c r="M17" i="20"/>
  <c r="N17" i="20"/>
  <c r="O17" i="20"/>
  <c r="G17" i="20"/>
  <c r="F10" i="20"/>
  <c r="F9" i="20"/>
  <c r="F16" i="20"/>
  <c r="A1" i="20"/>
  <c r="M37" i="29" l="1"/>
  <c r="M53" i="29"/>
  <c r="M38" i="29" s="1"/>
  <c r="M51" i="29" s="1"/>
  <c r="M32" i="29"/>
  <c r="M52" i="29" s="1"/>
  <c r="M40" i="29"/>
  <c r="N36" i="29"/>
  <c r="L52" i="29"/>
  <c r="L39" i="29"/>
  <c r="L41" i="29" s="1"/>
  <c r="L100" i="29" s="1"/>
  <c r="L101" i="29" s="1"/>
  <c r="L33" i="29"/>
  <c r="A1" i="28"/>
  <c r="F3" i="27"/>
  <c r="G3" i="27" s="1"/>
  <c r="F3" i="20"/>
  <c r="E3" i="20" s="1"/>
  <c r="D3" i="20" s="1"/>
  <c r="F3" i="25"/>
  <c r="G3" i="25" s="1"/>
  <c r="F3" i="28"/>
  <c r="G3" i="28" s="1"/>
  <c r="G3" i="20" l="1"/>
  <c r="O36" i="29"/>
  <c r="N32" i="29"/>
  <c r="N52" i="29" s="1"/>
  <c r="N37" i="29"/>
  <c r="N53" i="29"/>
  <c r="N38" i="29" s="1"/>
  <c r="N51" i="29" s="1"/>
  <c r="N40" i="29"/>
  <c r="M33" i="29"/>
  <c r="M39" i="29"/>
  <c r="M41" i="29" s="1"/>
  <c r="M100" i="29" s="1"/>
  <c r="M101" i="29" s="1"/>
  <c r="E3" i="27"/>
  <c r="D3" i="27" s="1"/>
  <c r="E3" i="25"/>
  <c r="D3" i="25" s="1"/>
  <c r="E3" i="28"/>
  <c r="D3" i="28" s="1"/>
  <c r="N33" i="29" l="1"/>
  <c r="N39" i="29"/>
  <c r="N41" i="29" s="1"/>
  <c r="N100" i="29" s="1"/>
  <c r="N101" i="29" s="1"/>
  <c r="O53" i="29"/>
  <c r="O38" i="29" s="1"/>
  <c r="O51" i="29" s="1"/>
  <c r="O37" i="29"/>
  <c r="O32" i="29"/>
  <c r="O52" i="29" s="1"/>
  <c r="O40" i="29"/>
  <c r="F12" i="20"/>
  <c r="E27" i="28"/>
  <c r="F27" i="28"/>
  <c r="D27" i="28"/>
  <c r="F24" i="28"/>
  <c r="E24" i="28"/>
  <c r="F23" i="28"/>
  <c r="E23" i="28"/>
  <c r="E26" i="28"/>
  <c r="F26" i="28"/>
  <c r="D26" i="28"/>
  <c r="G34" i="28"/>
  <c r="G38" i="28" s="1"/>
  <c r="H3" i="20"/>
  <c r="I3" i="20" s="1"/>
  <c r="J3" i="20" s="1"/>
  <c r="K3" i="20" s="1"/>
  <c r="L3" i="20" s="1"/>
  <c r="M3" i="20" s="1"/>
  <c r="N3" i="20" s="1"/>
  <c r="O3" i="20" s="1"/>
  <c r="H3" i="25"/>
  <c r="I3" i="25" s="1"/>
  <c r="J3" i="25" s="1"/>
  <c r="K3" i="25" s="1"/>
  <c r="L3" i="25" s="1"/>
  <c r="M3" i="25" s="1"/>
  <c r="N3" i="25" s="1"/>
  <c r="O3" i="25" s="1"/>
  <c r="F14" i="20"/>
  <c r="F15" i="20"/>
  <c r="F13" i="20"/>
  <c r="O33" i="29" l="1"/>
  <c r="O39" i="29"/>
  <c r="O41" i="29" s="1"/>
  <c r="O100" i="29" s="1"/>
  <c r="O101" i="29" s="1"/>
  <c r="G35" i="28"/>
  <c r="G31" i="28" s="1"/>
  <c r="G30" i="28"/>
  <c r="G50" i="28"/>
  <c r="G36" i="28" s="1"/>
  <c r="G48" i="28" s="1"/>
  <c r="G37" i="28" l="1"/>
  <c r="F69" i="20" l="1"/>
  <c r="G26" i="20"/>
  <c r="G22" i="20"/>
  <c r="G72" i="20" l="1"/>
  <c r="G17" i="27"/>
  <c r="G72" i="28" l="1"/>
  <c r="G14" i="25" l="1"/>
  <c r="A4" i="25"/>
  <c r="A1" i="27"/>
  <c r="C95" i="28"/>
  <c r="C96" i="28" s="1"/>
  <c r="C97" i="28" s="1"/>
  <c r="C98" i="28" s="1"/>
  <c r="C99" i="28" s="1"/>
  <c r="C100" i="28" s="1"/>
  <c r="C101" i="28" s="1"/>
  <c r="C102" i="28" s="1"/>
  <c r="C103" i="28" s="1"/>
  <c r="C104" i="28" s="1"/>
  <c r="C105" i="28" s="1"/>
  <c r="C106" i="28" s="1"/>
  <c r="C107" i="28" s="1"/>
  <c r="C108" i="28" s="1"/>
  <c r="C109" i="28" s="1"/>
  <c r="C110" i="28" s="1"/>
  <c r="C111" i="28" s="1"/>
  <c r="G20" i="28"/>
  <c r="H20" i="28" s="1"/>
  <c r="I20" i="28" s="1"/>
  <c r="I87" i="28" s="1"/>
  <c r="G53" i="28"/>
  <c r="H24" i="28"/>
  <c r="I24" i="28" s="1"/>
  <c r="J24" i="28" s="1"/>
  <c r="K24" i="28" s="1"/>
  <c r="L24" i="28" s="1"/>
  <c r="M24" i="28" s="1"/>
  <c r="N24" i="28" s="1"/>
  <c r="O24" i="28" s="1"/>
  <c r="H23" i="28"/>
  <c r="G37" i="20"/>
  <c r="F14" i="28"/>
  <c r="F11" i="20" s="1"/>
  <c r="N8" i="28"/>
  <c r="F7" i="28"/>
  <c r="J7" i="28" s="1"/>
  <c r="J8" i="28" s="1"/>
  <c r="A4" i="28"/>
  <c r="H3" i="28"/>
  <c r="I3" i="28" s="1"/>
  <c r="J3" i="28" s="1"/>
  <c r="K3" i="28" s="1"/>
  <c r="L3" i="28" s="1"/>
  <c r="M3" i="28" s="1"/>
  <c r="N3" i="28" s="1"/>
  <c r="O3" i="28" s="1"/>
  <c r="H34" i="28" l="1"/>
  <c r="H35" i="28" s="1"/>
  <c r="I23" i="28"/>
  <c r="J23" i="28" s="1"/>
  <c r="K23" i="28" s="1"/>
  <c r="L23" i="28" s="1"/>
  <c r="M23" i="28" s="1"/>
  <c r="N23" i="28" s="1"/>
  <c r="O23" i="28" s="1"/>
  <c r="H14" i="25"/>
  <c r="H17" i="27"/>
  <c r="H87" i="28"/>
  <c r="G87" i="28"/>
  <c r="O8" i="28"/>
  <c r="F66" i="28" s="1"/>
  <c r="F66" i="20" s="1"/>
  <c r="O7" i="28"/>
  <c r="F59" i="28" s="1"/>
  <c r="F51" i="20" s="1"/>
  <c r="G49" i="28"/>
  <c r="G39" i="20" s="1"/>
  <c r="J20" i="28"/>
  <c r="J87" i="28" s="1"/>
  <c r="G41" i="20"/>
  <c r="J10" i="28"/>
  <c r="L78" i="20" l="1"/>
  <c r="M78" i="20"/>
  <c r="N78" i="20"/>
  <c r="O78" i="20"/>
  <c r="H78" i="20"/>
  <c r="G78" i="20"/>
  <c r="J78" i="20"/>
  <c r="I78" i="20"/>
  <c r="K78" i="20"/>
  <c r="I17" i="27"/>
  <c r="H30" i="28"/>
  <c r="I34" i="28"/>
  <c r="I35" i="28" s="1"/>
  <c r="H50" i="28"/>
  <c r="H38" i="28"/>
  <c r="H26" i="20" s="1"/>
  <c r="H22" i="20"/>
  <c r="I14" i="25"/>
  <c r="F77" i="28"/>
  <c r="G64" i="28"/>
  <c r="O9" i="28"/>
  <c r="F94" i="20" s="1"/>
  <c r="G57" i="28"/>
  <c r="K20" i="28"/>
  <c r="I42" i="25" l="1"/>
  <c r="J17" i="27"/>
  <c r="H31" i="28"/>
  <c r="H36" i="28"/>
  <c r="H48" i="28" s="1"/>
  <c r="H37" i="20" s="1"/>
  <c r="J34" i="28"/>
  <c r="J35" i="28" s="1"/>
  <c r="I50" i="28"/>
  <c r="I38" i="28"/>
  <c r="I26" i="20" s="1"/>
  <c r="I30" i="28"/>
  <c r="I49" i="28" s="1"/>
  <c r="I39" i="20" s="1"/>
  <c r="H49" i="28"/>
  <c r="H39" i="20" s="1"/>
  <c r="G39" i="28"/>
  <c r="G82" i="28" s="1"/>
  <c r="G83" i="28" s="1"/>
  <c r="G25" i="20"/>
  <c r="I22" i="20"/>
  <c r="F87" i="28"/>
  <c r="J14" i="25"/>
  <c r="H41" i="20"/>
  <c r="O10" i="28"/>
  <c r="L20" i="28"/>
  <c r="L87" i="28" s="1"/>
  <c r="J42" i="25" l="1"/>
  <c r="K17" i="27"/>
  <c r="I31" i="28"/>
  <c r="H37" i="28"/>
  <c r="H39" i="28" s="1"/>
  <c r="I36" i="28"/>
  <c r="I48" i="28" s="1"/>
  <c r="I37" i="20" s="1"/>
  <c r="I41" i="20"/>
  <c r="J30" i="28"/>
  <c r="J49" i="28" s="1"/>
  <c r="J39" i="20" s="1"/>
  <c r="J38" i="28"/>
  <c r="J31" i="28" s="1"/>
  <c r="J50" i="28"/>
  <c r="J36" i="28" s="1"/>
  <c r="J48" i="28" s="1"/>
  <c r="K34" i="28"/>
  <c r="K35" i="28" s="1"/>
  <c r="J22" i="20"/>
  <c r="K14" i="25"/>
  <c r="M20" i="28"/>
  <c r="M87" i="28" s="1"/>
  <c r="K42" i="25" l="1"/>
  <c r="L17" i="27"/>
  <c r="H25" i="20"/>
  <c r="J37" i="28"/>
  <c r="I37" i="28"/>
  <c r="I39" i="28" s="1"/>
  <c r="J41" i="20"/>
  <c r="J39" i="28"/>
  <c r="L34" i="28"/>
  <c r="L35" i="28" s="1"/>
  <c r="K38" i="28"/>
  <c r="K26" i="20" s="1"/>
  <c r="K50" i="28"/>
  <c r="K36" i="28" s="1"/>
  <c r="K48" i="28" s="1"/>
  <c r="K30" i="28"/>
  <c r="J26" i="20"/>
  <c r="H82" i="28"/>
  <c r="H83" i="28" s="1"/>
  <c r="I25" i="20"/>
  <c r="K22" i="20"/>
  <c r="L14" i="25"/>
  <c r="I82" i="28"/>
  <c r="I83" i="28" s="1"/>
  <c r="N20" i="28"/>
  <c r="N87" i="28" s="1"/>
  <c r="L42" i="25" l="1"/>
  <c r="M17" i="27"/>
  <c r="K31" i="28"/>
  <c r="K37" i="28"/>
  <c r="K25" i="20" s="1"/>
  <c r="M34" i="28"/>
  <c r="M35" i="28" s="1"/>
  <c r="L50" i="28"/>
  <c r="L36" i="28" s="1"/>
  <c r="L48" i="28" s="1"/>
  <c r="L30" i="28"/>
  <c r="L49" i="28" s="1"/>
  <c r="L39" i="20" s="1"/>
  <c r="L38" i="28"/>
  <c r="L26" i="20" s="1"/>
  <c r="K49" i="28"/>
  <c r="K39" i="20" s="1"/>
  <c r="L22" i="20"/>
  <c r="J37" i="20"/>
  <c r="M14" i="25"/>
  <c r="K41" i="20"/>
  <c r="K37" i="20"/>
  <c r="O20" i="28"/>
  <c r="O87" i="28" s="1"/>
  <c r="M42" i="25" l="1"/>
  <c r="N17" i="27"/>
  <c r="L31" i="28"/>
  <c r="L37" i="28"/>
  <c r="K39" i="28"/>
  <c r="L41" i="20"/>
  <c r="L39" i="28"/>
  <c r="M38" i="28"/>
  <c r="M31" i="28" s="1"/>
  <c r="M30" i="28"/>
  <c r="M49" i="28" s="1"/>
  <c r="M39" i="20" s="1"/>
  <c r="N34" i="28"/>
  <c r="N35" i="28" s="1"/>
  <c r="M50" i="28"/>
  <c r="J25" i="20"/>
  <c r="M22" i="20"/>
  <c r="N14" i="25"/>
  <c r="K82" i="28"/>
  <c r="K83" i="28" s="1"/>
  <c r="J82" i="28"/>
  <c r="J83" i="28" s="1"/>
  <c r="L37" i="20"/>
  <c r="N42" i="25" l="1"/>
  <c r="O17" i="27"/>
  <c r="M36" i="28"/>
  <c r="M48" i="28" s="1"/>
  <c r="M37" i="20" s="1"/>
  <c r="O34" i="28"/>
  <c r="O35" i="28" s="1"/>
  <c r="N30" i="28"/>
  <c r="N49" i="28" s="1"/>
  <c r="N39" i="20" s="1"/>
  <c r="N38" i="28"/>
  <c r="N31" i="28" s="1"/>
  <c r="N50" i="28"/>
  <c r="M41" i="20"/>
  <c r="M26" i="20"/>
  <c r="N22" i="20"/>
  <c r="O14" i="25"/>
  <c r="O42" i="25" s="1"/>
  <c r="M37" i="28" l="1"/>
  <c r="M39" i="28" s="1"/>
  <c r="N36" i="28"/>
  <c r="N48" i="28" s="1"/>
  <c r="N37" i="20" s="1"/>
  <c r="N41" i="20"/>
  <c r="O30" i="28"/>
  <c r="O49" i="28" s="1"/>
  <c r="O39" i="20" s="1"/>
  <c r="O38" i="28"/>
  <c r="O31" i="28" s="1"/>
  <c r="O50" i="28"/>
  <c r="M25" i="20"/>
  <c r="L25" i="20"/>
  <c r="N26" i="20"/>
  <c r="O22" i="20"/>
  <c r="L82" i="28"/>
  <c r="L83" i="28" s="1"/>
  <c r="O36" i="28" l="1"/>
  <c r="O48" i="28" s="1"/>
  <c r="O37" i="20" s="1"/>
  <c r="N37" i="28"/>
  <c r="N39" i="28" s="1"/>
  <c r="O41" i="20"/>
  <c r="M82" i="28"/>
  <c r="M83" i="28" s="1"/>
  <c r="O26" i="20"/>
  <c r="N25" i="20" l="1"/>
  <c r="O37" i="28"/>
  <c r="O39" i="28" s="1"/>
  <c r="N82" i="28"/>
  <c r="N83" i="28" s="1"/>
  <c r="O25" i="20"/>
  <c r="O82" i="28"/>
  <c r="O83" i="28" s="1"/>
  <c r="G19" i="20" l="1"/>
  <c r="B33" i="27"/>
  <c r="B32" i="27"/>
  <c r="H19" i="20" l="1"/>
  <c r="A4" i="27"/>
  <c r="A4" i="20"/>
  <c r="H3" i="27"/>
  <c r="G80" i="20" l="1"/>
  <c r="I19" i="20"/>
  <c r="I3" i="27"/>
  <c r="J3" i="27" s="1"/>
  <c r="K3" i="27" s="1"/>
  <c r="L3" i="27" s="1"/>
  <c r="M3" i="27" s="1"/>
  <c r="N3" i="27" s="1"/>
  <c r="O3" i="27" s="1"/>
  <c r="J19" i="20" l="1"/>
  <c r="K19" i="20" l="1"/>
  <c r="L19" i="20" l="1"/>
  <c r="M19" i="20" l="1"/>
  <c r="N19" i="20" l="1"/>
  <c r="O19" i="20" l="1"/>
  <c r="F35" i="25"/>
  <c r="E35" i="25"/>
  <c r="E19" i="25" s="1"/>
  <c r="G29" i="25"/>
  <c r="F21" i="25"/>
  <c r="E21" i="25"/>
  <c r="F20" i="25"/>
  <c r="E20" i="25"/>
  <c r="F18" i="25"/>
  <c r="E18" i="25"/>
  <c r="D18" i="25"/>
  <c r="F17" i="25"/>
  <c r="E17" i="25"/>
  <c r="G32" i="25" l="1"/>
  <c r="F19" i="25"/>
  <c r="G35" i="25"/>
  <c r="H29" i="25"/>
  <c r="G44" i="25"/>
  <c r="G30" i="25"/>
  <c r="H32" i="25" l="1"/>
  <c r="G45" i="25"/>
  <c r="G39" i="25"/>
  <c r="G31" i="25"/>
  <c r="G42" i="25" s="1"/>
  <c r="H35" i="25"/>
  <c r="I29" i="25"/>
  <c r="H44" i="25"/>
  <c r="H30" i="25"/>
  <c r="H39" i="25" s="1"/>
  <c r="I32" i="25" l="1"/>
  <c r="H24" i="20"/>
  <c r="H45" i="25"/>
  <c r="G41" i="25"/>
  <c r="O7" i="25"/>
  <c r="H41" i="25"/>
  <c r="H31" i="25"/>
  <c r="H42" i="25" s="1"/>
  <c r="J29" i="25"/>
  <c r="I30" i="25"/>
  <c r="I35" i="25"/>
  <c r="H43" i="25" l="1"/>
  <c r="G43" i="25"/>
  <c r="J32" i="25"/>
  <c r="N80" i="20"/>
  <c r="M80" i="20"/>
  <c r="I80" i="20"/>
  <c r="J80" i="20"/>
  <c r="H80" i="20"/>
  <c r="L80" i="20"/>
  <c r="K80" i="20"/>
  <c r="I24" i="20"/>
  <c r="I45" i="25"/>
  <c r="I39" i="25"/>
  <c r="I41" i="25" s="1"/>
  <c r="I43" i="25" s="1"/>
  <c r="I44" i="25"/>
  <c r="I31" i="25"/>
  <c r="K29" i="25"/>
  <c r="J35" i="25"/>
  <c r="J30" i="25"/>
  <c r="J7" i="25"/>
  <c r="O80" i="20" l="1"/>
  <c r="K32" i="25"/>
  <c r="J24" i="20"/>
  <c r="H28" i="20"/>
  <c r="J45" i="25"/>
  <c r="J39" i="25"/>
  <c r="J41" i="25" s="1"/>
  <c r="J43" i="25" s="1"/>
  <c r="J44" i="25"/>
  <c r="J8" i="25"/>
  <c r="J9" i="25" s="1"/>
  <c r="O8" i="25" s="1"/>
  <c r="L29" i="25"/>
  <c r="K30" i="25"/>
  <c r="K35" i="25"/>
  <c r="J31" i="25"/>
  <c r="K24" i="20" l="1"/>
  <c r="L32" i="25"/>
  <c r="J28" i="20"/>
  <c r="H84" i="20"/>
  <c r="K45" i="25"/>
  <c r="I28" i="20"/>
  <c r="K39" i="25"/>
  <c r="K41" i="25" s="1"/>
  <c r="K43" i="25" s="1"/>
  <c r="K44" i="25"/>
  <c r="O9" i="25"/>
  <c r="K31" i="25"/>
  <c r="L30" i="25"/>
  <c r="M29" i="25"/>
  <c r="L35" i="25"/>
  <c r="M32" i="25" l="1"/>
  <c r="L24" i="20"/>
  <c r="I84" i="20"/>
  <c r="L45" i="25"/>
  <c r="L39" i="25"/>
  <c r="L41" i="25" s="1"/>
  <c r="L43" i="25" s="1"/>
  <c r="L44" i="25"/>
  <c r="L31" i="25"/>
  <c r="M30" i="25"/>
  <c r="M35" i="25"/>
  <c r="N29" i="25"/>
  <c r="N32" i="25" l="1"/>
  <c r="M24" i="20"/>
  <c r="J84" i="20"/>
  <c r="K28" i="20"/>
  <c r="M45" i="25"/>
  <c r="M39" i="25"/>
  <c r="M41" i="25" s="1"/>
  <c r="M43" i="25" s="1"/>
  <c r="M44" i="25"/>
  <c r="O29" i="25"/>
  <c r="O32" i="25" s="1"/>
  <c r="N35" i="25"/>
  <c r="N30" i="25"/>
  <c r="M31" i="25"/>
  <c r="N24" i="20" l="1"/>
  <c r="K84" i="20"/>
  <c r="L28" i="20"/>
  <c r="N45" i="25"/>
  <c r="N44" i="25"/>
  <c r="N39" i="25"/>
  <c r="N41" i="25" s="1"/>
  <c r="N43" i="25" s="1"/>
  <c r="O30" i="25"/>
  <c r="O35" i="25"/>
  <c r="O45" i="25" s="1"/>
  <c r="N31" i="25"/>
  <c r="L84" i="20" l="1"/>
  <c r="M28" i="20"/>
  <c r="O44" i="25"/>
  <c r="O39" i="25"/>
  <c r="O41" i="25" s="1"/>
  <c r="O43" i="25" s="1"/>
  <c r="O31" i="25"/>
  <c r="O28" i="20" l="1"/>
  <c r="O24" i="20"/>
  <c r="M84" i="20"/>
  <c r="N28" i="20"/>
  <c r="G45" i="20"/>
  <c r="N84" i="20" l="1"/>
  <c r="G24" i="20"/>
  <c r="O84" i="20" l="1"/>
  <c r="G49" i="20"/>
  <c r="G28" i="20" l="1"/>
  <c r="G84" i="20" l="1"/>
  <c r="G64" i="20"/>
  <c r="H44" i="22" l="1"/>
  <c r="F44" i="22"/>
  <c r="D44" i="22"/>
  <c r="R43" i="22"/>
  <c r="P43" i="22"/>
  <c r="N43" i="22"/>
  <c r="L43" i="22"/>
  <c r="L40" i="22"/>
  <c r="N40" i="22" s="1"/>
  <c r="P40" i="22" s="1"/>
  <c r="R40" i="22" s="1"/>
  <c r="F40" i="22"/>
  <c r="D40" i="22"/>
  <c r="B13" i="22"/>
  <c r="A1" i="3"/>
  <c r="A7" i="2"/>
  <c r="G82" i="29" l="1"/>
  <c r="H79" i="29" s="1"/>
  <c r="H82" i="29" s="1"/>
  <c r="G83" i="29" l="1"/>
  <c r="H83" i="29"/>
  <c r="I79" i="29"/>
  <c r="G29" i="20"/>
  <c r="H29" i="20"/>
  <c r="I29" i="20"/>
  <c r="J29" i="20"/>
  <c r="K29" i="20"/>
  <c r="K31" i="20" s="1"/>
  <c r="L29" i="20"/>
  <c r="M29" i="20"/>
  <c r="N29" i="20"/>
  <c r="O29" i="20"/>
  <c r="G30" i="20"/>
  <c r="H30" i="20"/>
  <c r="I30" i="20"/>
  <c r="J30" i="20"/>
  <c r="K30" i="20"/>
  <c r="L30" i="20"/>
  <c r="M30" i="20"/>
  <c r="M31" i="20" s="1"/>
  <c r="M32" i="20" s="1"/>
  <c r="M33" i="20" s="1"/>
  <c r="M36" i="20" s="1"/>
  <c r="M43" i="20" s="1"/>
  <c r="N30" i="20"/>
  <c r="O30" i="20"/>
  <c r="L31" i="20"/>
  <c r="L32" i="20" s="1"/>
  <c r="L33" i="20" s="1"/>
  <c r="L36" i="20" s="1"/>
  <c r="L43" i="20" s="1"/>
  <c r="N31" i="20" l="1"/>
  <c r="H31" i="20"/>
  <c r="H32" i="20" s="1"/>
  <c r="J31" i="20"/>
  <c r="J32" i="20" s="1"/>
  <c r="J33" i="20" s="1"/>
  <c r="J36" i="20" s="1"/>
  <c r="J43" i="20" s="1"/>
  <c r="G31" i="20"/>
  <c r="G32" i="20" s="1"/>
  <c r="O31" i="20"/>
  <c r="O32" i="20" s="1"/>
  <c r="O33" i="20" s="1"/>
  <c r="O36" i="20" s="1"/>
  <c r="O43" i="20" s="1"/>
  <c r="N32" i="20"/>
  <c r="N33" i="20" s="1"/>
  <c r="N36" i="20" s="1"/>
  <c r="N43" i="20" s="1"/>
  <c r="K32" i="20"/>
  <c r="K33" i="20" s="1"/>
  <c r="K36" i="20" s="1"/>
  <c r="K43" i="20" s="1"/>
  <c r="G33" i="20"/>
  <c r="G36" i="20" s="1"/>
  <c r="G43" i="20" s="1"/>
  <c r="G46" i="20" s="1"/>
  <c r="G50" i="20" s="1"/>
  <c r="G51" i="20" s="1"/>
  <c r="I31" i="20"/>
  <c r="I32" i="20" s="1"/>
  <c r="H33" i="20"/>
  <c r="H36" i="20" s="1"/>
  <c r="H43" i="20" s="1"/>
  <c r="I33" i="20" l="1"/>
  <c r="I36" i="20" s="1"/>
  <c r="I43" i="20" s="1"/>
  <c r="H49" i="20"/>
  <c r="G52" i="20"/>
  <c r="G60" i="20" l="1"/>
  <c r="G62" i="20"/>
  <c r="G65" i="20" s="1"/>
  <c r="G73" i="20"/>
  <c r="G66" i="20" l="1"/>
  <c r="G69" i="20"/>
  <c r="H64" i="20"/>
  <c r="G67" i="20"/>
  <c r="G75" i="20"/>
  <c r="G76" i="20"/>
  <c r="H72" i="20" s="1"/>
  <c r="G83" i="20"/>
  <c r="H45" i="20" l="1"/>
  <c r="H46" i="20" s="1"/>
  <c r="H50" i="20" s="1"/>
  <c r="G70" i="20"/>
  <c r="G85" i="20"/>
  <c r="G81" i="20"/>
  <c r="H51" i="20"/>
  <c r="H73" i="20"/>
  <c r="H62" i="20" l="1"/>
  <c r="H65" i="20" s="1"/>
  <c r="I49" i="20"/>
  <c r="H52" i="20"/>
  <c r="G40" i="28"/>
  <c r="H40" i="28"/>
  <c r="I40" i="28"/>
  <c r="J40" i="28"/>
  <c r="K40" i="28"/>
  <c r="L40" i="28"/>
  <c r="L42" i="28" s="1"/>
  <c r="M40" i="28"/>
  <c r="M42" i="28" s="1"/>
  <c r="N40" i="28"/>
  <c r="O40" i="28"/>
  <c r="G41" i="28"/>
  <c r="H41" i="28"/>
  <c r="I41" i="28"/>
  <c r="J41" i="28"/>
  <c r="K41" i="28"/>
  <c r="K42" i="28" s="1"/>
  <c r="L41" i="28"/>
  <c r="M41" i="28"/>
  <c r="N41" i="28"/>
  <c r="O41" i="28"/>
  <c r="G42" i="28"/>
  <c r="H42" i="28"/>
  <c r="I42" i="28"/>
  <c r="J42" i="28"/>
  <c r="N42" i="28"/>
  <c r="O42" i="28"/>
  <c r="G43" i="28"/>
  <c r="H43" i="28"/>
  <c r="I43" i="28"/>
  <c r="I44" i="28" s="1"/>
  <c r="I47" i="28" s="1"/>
  <c r="I51" i="28" s="1"/>
  <c r="N43" i="28"/>
  <c r="O43" i="28"/>
  <c r="G44" i="28"/>
  <c r="H44" i="28"/>
  <c r="H47" i="28" s="1"/>
  <c r="H51" i="28" s="1"/>
  <c r="N44" i="28"/>
  <c r="O44" i="28"/>
  <c r="G47" i="28"/>
  <c r="G51" i="28" s="1"/>
  <c r="G54" i="28" s="1"/>
  <c r="N47" i="28"/>
  <c r="O47" i="28"/>
  <c r="O51" i="28" s="1"/>
  <c r="N51" i="28"/>
  <c r="L43" i="28" l="1"/>
  <c r="L44" i="28"/>
  <c r="L47" i="28" s="1"/>
  <c r="L51" i="28" s="1"/>
  <c r="G58" i="28"/>
  <c r="M43" i="28"/>
  <c r="M44" i="28"/>
  <c r="M47" i="28" s="1"/>
  <c r="M51" i="28" s="1"/>
  <c r="K43" i="28"/>
  <c r="K44" i="28"/>
  <c r="K47" i="28" s="1"/>
  <c r="K51" i="28" s="1"/>
  <c r="J43" i="28"/>
  <c r="J44" i="28" s="1"/>
  <c r="J47" i="28" s="1"/>
  <c r="J51" i="28" s="1"/>
  <c r="H66" i="20"/>
  <c r="H75" i="20"/>
  <c r="H76" i="20"/>
  <c r="H69" i="20"/>
  <c r="G59" i="28" l="1"/>
  <c r="G73" i="28"/>
  <c r="G69" i="28"/>
  <c r="I72" i="20"/>
  <c r="H81" i="20"/>
  <c r="H60" i="20"/>
  <c r="H83" i="20"/>
  <c r="I45" i="20"/>
  <c r="I46" i="20" s="1"/>
  <c r="H70" i="20"/>
  <c r="I64" i="20"/>
  <c r="H67" i="20"/>
  <c r="G62" i="28"/>
  <c r="G65" i="28" s="1"/>
  <c r="H53" i="28" l="1"/>
  <c r="H54" i="28" s="1"/>
  <c r="G70" i="28"/>
  <c r="I50" i="20"/>
  <c r="G75" i="28"/>
  <c r="H57" i="28"/>
  <c r="G60" i="28"/>
  <c r="G74" i="28"/>
  <c r="G66" i="28"/>
  <c r="H85" i="20"/>
  <c r="H72" i="28" l="1"/>
  <c r="G78" i="28"/>
  <c r="I73" i="20"/>
  <c r="I51" i="20"/>
  <c r="H64" i="28"/>
  <c r="G67" i="28"/>
  <c r="I62" i="20"/>
  <c r="I65" i="20" s="1"/>
  <c r="G84" i="28"/>
  <c r="G85" i="28" s="1"/>
  <c r="G77" i="28"/>
  <c r="G79" i="28" s="1"/>
  <c r="H58" i="28"/>
  <c r="H73" i="28" s="1"/>
  <c r="J49" i="20" l="1"/>
  <c r="I52" i="20"/>
  <c r="I75" i="20"/>
  <c r="I66" i="20"/>
  <c r="I76" i="20"/>
  <c r="I69" i="20"/>
  <c r="H59" i="28"/>
  <c r="H62" i="28"/>
  <c r="H65" i="28" s="1"/>
  <c r="H74" i="28" s="1"/>
  <c r="H75" i="28" s="1"/>
  <c r="I83" i="20" l="1"/>
  <c r="I85" i="20" s="1"/>
  <c r="I72" i="28"/>
  <c r="H78" i="28"/>
  <c r="J72" i="20"/>
  <c r="I81" i="20"/>
  <c r="I57" i="28"/>
  <c r="H60" i="28"/>
  <c r="I60" i="20"/>
  <c r="J64" i="20"/>
  <c r="I67" i="20"/>
  <c r="J45" i="20"/>
  <c r="J46" i="20" s="1"/>
  <c r="I70" i="20"/>
  <c r="H66" i="28"/>
  <c r="H69" i="28"/>
  <c r="G42" i="29"/>
  <c r="H42" i="29"/>
  <c r="H45" i="29" s="1"/>
  <c r="I42" i="29"/>
  <c r="J42" i="29"/>
  <c r="K42" i="29"/>
  <c r="K45" i="29" s="1"/>
  <c r="L42" i="29"/>
  <c r="M42" i="29"/>
  <c r="N42" i="29"/>
  <c r="O42" i="29"/>
  <c r="G44" i="29"/>
  <c r="H44" i="29"/>
  <c r="I44" i="29"/>
  <c r="J44" i="29"/>
  <c r="J45" i="29" s="1"/>
  <c r="J46" i="29" s="1"/>
  <c r="J47" i="29" s="1"/>
  <c r="J50" i="29" s="1"/>
  <c r="J57" i="29" s="1"/>
  <c r="K44" i="29"/>
  <c r="L44" i="29"/>
  <c r="M44" i="29"/>
  <c r="N44" i="29"/>
  <c r="O44" i="29"/>
  <c r="L45" i="29" l="1"/>
  <c r="O45" i="29"/>
  <c r="H46" i="29"/>
  <c r="H47" i="29" s="1"/>
  <c r="H50" i="29" s="1"/>
  <c r="H57" i="29" s="1"/>
  <c r="G45" i="29"/>
  <c r="G46" i="29" s="1"/>
  <c r="G47" i="29" s="1"/>
  <c r="G50" i="29" s="1"/>
  <c r="G57" i="29" s="1"/>
  <c r="G60" i="29" s="1"/>
  <c r="G93" i="29" s="1"/>
  <c r="G102" i="29" s="1"/>
  <c r="N45" i="29"/>
  <c r="N46" i="29" s="1"/>
  <c r="M45" i="29"/>
  <c r="M46" i="29" s="1"/>
  <c r="L46" i="29"/>
  <c r="L47" i="29" s="1"/>
  <c r="L50" i="29" s="1"/>
  <c r="L57" i="29" s="1"/>
  <c r="O46" i="29"/>
  <c r="O47" i="29" s="1"/>
  <c r="O50" i="29" s="1"/>
  <c r="O57" i="29" s="1"/>
  <c r="K46" i="29"/>
  <c r="K47" i="29" s="1"/>
  <c r="K50" i="29" s="1"/>
  <c r="K57" i="29" s="1"/>
  <c r="I53" i="28"/>
  <c r="I54" i="28" s="1"/>
  <c r="H84" i="28"/>
  <c r="H85" i="28" s="1"/>
  <c r="H70" i="28"/>
  <c r="I64" i="28"/>
  <c r="H67" i="28"/>
  <c r="J50" i="20"/>
  <c r="H77" i="28"/>
  <c r="H79" i="28" s="1"/>
  <c r="N47" i="29" l="1"/>
  <c r="N50" i="29" s="1"/>
  <c r="N57" i="29" s="1"/>
  <c r="M47" i="29"/>
  <c r="M50" i="29" s="1"/>
  <c r="M57" i="29" s="1"/>
  <c r="G66" i="29"/>
  <c r="I58" i="28"/>
  <c r="I62" i="28"/>
  <c r="I65" i="28" s="1"/>
  <c r="I74" i="28" s="1"/>
  <c r="J73" i="20"/>
  <c r="J51" i="20"/>
  <c r="I66" i="28" l="1"/>
  <c r="I73" i="28"/>
  <c r="I75" i="28" s="1"/>
  <c r="I59" i="28"/>
  <c r="I69" i="28"/>
  <c r="J62" i="20"/>
  <c r="J65" i="20" s="1"/>
  <c r="K49" i="20"/>
  <c r="J52" i="20"/>
  <c r="H63" i="29"/>
  <c r="G77" i="29" l="1"/>
  <c r="J69" i="20"/>
  <c r="J75" i="20"/>
  <c r="J66" i="20"/>
  <c r="J53" i="28"/>
  <c r="J54" i="28" s="1"/>
  <c r="I84" i="28"/>
  <c r="I85" i="28" s="1"/>
  <c r="I70" i="28"/>
  <c r="J57" i="28"/>
  <c r="I77" i="28"/>
  <c r="I79" i="28" s="1"/>
  <c r="I60" i="28"/>
  <c r="I78" i="28"/>
  <c r="J72" i="28"/>
  <c r="J64" i="28"/>
  <c r="I67" i="28"/>
  <c r="G85" i="29" l="1"/>
  <c r="G90" i="29" s="1"/>
  <c r="G74" i="29"/>
  <c r="J58" i="28"/>
  <c r="J73" i="28" s="1"/>
  <c r="K64" i="20"/>
  <c r="J67" i="20"/>
  <c r="K45" i="20"/>
  <c r="K46" i="20" s="1"/>
  <c r="J70" i="20"/>
  <c r="J60" i="20"/>
  <c r="J83" i="20"/>
  <c r="J76" i="20"/>
  <c r="J59" i="28"/>
  <c r="H87" i="29" l="1"/>
  <c r="G91" i="29"/>
  <c r="G103" i="29"/>
  <c r="H71" i="29"/>
  <c r="G96" i="29"/>
  <c r="J85" i="20"/>
  <c r="J62" i="28"/>
  <c r="J65" i="28" s="1"/>
  <c r="K57" i="28"/>
  <c r="J60" i="28"/>
  <c r="K50" i="20"/>
  <c r="K72" i="20"/>
  <c r="J81" i="20"/>
  <c r="I45" i="29"/>
  <c r="J69" i="28"/>
  <c r="G94" i="29" l="1"/>
  <c r="H59" i="29"/>
  <c r="H60" i="29" s="1"/>
  <c r="H93" i="29" s="1"/>
  <c r="K53" i="28"/>
  <c r="K54" i="28" s="1"/>
  <c r="J70" i="28"/>
  <c r="K73" i="20"/>
  <c r="K51" i="20"/>
  <c r="I46" i="29"/>
  <c r="I47" i="29" s="1"/>
  <c r="I50" i="29" s="1"/>
  <c r="I82" i="29"/>
  <c r="J74" i="28"/>
  <c r="J75" i="28" s="1"/>
  <c r="J66" i="28"/>
  <c r="H66" i="29" l="1"/>
  <c r="I57" i="29"/>
  <c r="L49" i="20"/>
  <c r="K52" i="20"/>
  <c r="K64" i="28"/>
  <c r="J67" i="28"/>
  <c r="J77" i="28"/>
  <c r="J79" i="28" s="1"/>
  <c r="J78" i="28"/>
  <c r="K72" i="28"/>
  <c r="J84" i="28"/>
  <c r="J85" i="28" s="1"/>
  <c r="K62" i="20"/>
  <c r="K65" i="20" s="1"/>
  <c r="J79" i="29"/>
  <c r="I83" i="29"/>
  <c r="K58" i="28"/>
  <c r="I63" i="29" l="1"/>
  <c r="K75" i="20"/>
  <c r="K66" i="20"/>
  <c r="J82" i="29"/>
  <c r="K73" i="28"/>
  <c r="K59" i="28"/>
  <c r="K76" i="20"/>
  <c r="K69" i="20"/>
  <c r="K62" i="28"/>
  <c r="K65" i="28" s="1"/>
  <c r="K74" i="28" s="1"/>
  <c r="K75" i="28" s="1"/>
  <c r="H77" i="29" l="1"/>
  <c r="H85" i="29" s="1"/>
  <c r="H74" i="29"/>
  <c r="K78" i="28"/>
  <c r="L72" i="28"/>
  <c r="K79" i="29"/>
  <c r="J83" i="29"/>
  <c r="L72" i="20"/>
  <c r="K81" i="20"/>
  <c r="K69" i="28"/>
  <c r="K66" i="28"/>
  <c r="K77" i="28"/>
  <c r="K79" i="28" s="1"/>
  <c r="L57" i="28"/>
  <c r="K60" i="28"/>
  <c r="L64" i="20"/>
  <c r="K67" i="20"/>
  <c r="L45" i="20"/>
  <c r="L46" i="20" s="1"/>
  <c r="K70" i="20"/>
  <c r="K60" i="20"/>
  <c r="K83" i="20"/>
  <c r="I71" i="29" l="1"/>
  <c r="H90" i="29"/>
  <c r="L53" i="28"/>
  <c r="L54" i="28" s="1"/>
  <c r="K84" i="28"/>
  <c r="K85" i="28" s="1"/>
  <c r="K87" i="28" s="1"/>
  <c r="F88" i="28" s="1"/>
  <c r="C93" i="28" s="1"/>
  <c r="K70" i="28"/>
  <c r="L50" i="20"/>
  <c r="C50" i="25"/>
  <c r="K85" i="20"/>
  <c r="K82" i="29"/>
  <c r="L64" i="28"/>
  <c r="K67" i="28"/>
  <c r="H102" i="29" l="1"/>
  <c r="H103" i="29" s="1"/>
  <c r="I87" i="29"/>
  <c r="H91" i="29"/>
  <c r="H96" i="29"/>
  <c r="H94" i="29"/>
  <c r="I59" i="29"/>
  <c r="I60" i="29" s="1"/>
  <c r="L73" i="20"/>
  <c r="L51" i="20"/>
  <c r="L79" i="29"/>
  <c r="K83" i="29"/>
  <c r="L58" i="28"/>
  <c r="I66" i="29" l="1"/>
  <c r="I93" i="29"/>
  <c r="J63" i="29"/>
  <c r="L73" i="28"/>
  <c r="L59" i="28"/>
  <c r="L82" i="29"/>
  <c r="L62" i="28"/>
  <c r="L65" i="28" s="1"/>
  <c r="M49" i="20"/>
  <c r="L52" i="20"/>
  <c r="L62" i="20"/>
  <c r="L65" i="20" s="1"/>
  <c r="M79" i="29" l="1"/>
  <c r="L83" i="29"/>
  <c r="I74" i="29"/>
  <c r="L74" i="28"/>
  <c r="L66" i="28"/>
  <c r="I77" i="29"/>
  <c r="L75" i="20"/>
  <c r="L76" i="20" s="1"/>
  <c r="L66" i="20"/>
  <c r="M57" i="28"/>
  <c r="L60" i="28"/>
  <c r="L69" i="28"/>
  <c r="L69" i="20"/>
  <c r="L60" i="20"/>
  <c r="L75" i="28"/>
  <c r="M72" i="20" l="1"/>
  <c r="L81" i="20"/>
  <c r="M64" i="28"/>
  <c r="L67" i="28"/>
  <c r="L77" i="28"/>
  <c r="L79" i="28" s="1"/>
  <c r="M64" i="20"/>
  <c r="L67" i="20"/>
  <c r="L83" i="20"/>
  <c r="M53" i="28"/>
  <c r="M54" i="28" s="1"/>
  <c r="L84" i="28"/>
  <c r="L85" i="28" s="1"/>
  <c r="L70" i="28"/>
  <c r="M82" i="29"/>
  <c r="L78" i="28"/>
  <c r="M72" i="28"/>
  <c r="J71" i="29"/>
  <c r="M45" i="20"/>
  <c r="M46" i="20" s="1"/>
  <c r="L70" i="20"/>
  <c r="I85" i="29"/>
  <c r="I90" i="29" l="1"/>
  <c r="L85" i="20"/>
  <c r="M50" i="20"/>
  <c r="M58" i="28"/>
  <c r="N79" i="29"/>
  <c r="M83" i="29"/>
  <c r="I102" i="29" l="1"/>
  <c r="I103" i="29" s="1"/>
  <c r="M62" i="20"/>
  <c r="M65" i="20" s="1"/>
  <c r="N82" i="29"/>
  <c r="M73" i="28"/>
  <c r="M59" i="28"/>
  <c r="J59" i="29"/>
  <c r="J60" i="29" s="1"/>
  <c r="J93" i="29" s="1"/>
  <c r="I94" i="29"/>
  <c r="M73" i="20"/>
  <c r="M51" i="20"/>
  <c r="M62" i="28"/>
  <c r="M65" i="28" s="1"/>
  <c r="J87" i="29"/>
  <c r="I91" i="29"/>
  <c r="I96" i="29"/>
  <c r="M75" i="20" l="1"/>
  <c r="M66" i="20"/>
  <c r="M74" i="28"/>
  <c r="M66" i="28"/>
  <c r="M77" i="28"/>
  <c r="M79" i="28" s="1"/>
  <c r="N57" i="28"/>
  <c r="M60" i="28"/>
  <c r="N49" i="20"/>
  <c r="M52" i="20"/>
  <c r="O79" i="29"/>
  <c r="N83" i="29"/>
  <c r="J66" i="29"/>
  <c r="M75" i="28"/>
  <c r="M76" i="20"/>
  <c r="M69" i="20"/>
  <c r="M69" i="28"/>
  <c r="N72" i="20" l="1"/>
  <c r="M81" i="20"/>
  <c r="N45" i="20"/>
  <c r="N46" i="20" s="1"/>
  <c r="M70" i="20"/>
  <c r="M60" i="20"/>
  <c r="N72" i="28"/>
  <c r="M78" i="28"/>
  <c r="N64" i="28"/>
  <c r="M67" i="28"/>
  <c r="O82" i="29"/>
  <c r="O83" i="29" s="1"/>
  <c r="M83" i="20"/>
  <c r="N64" i="20"/>
  <c r="M67" i="20"/>
  <c r="K63" i="29"/>
  <c r="N53" i="28"/>
  <c r="N54" i="28" s="1"/>
  <c r="M84" i="28"/>
  <c r="M85" i="28" s="1"/>
  <c r="M70" i="28"/>
  <c r="N58" i="28" l="1"/>
  <c r="N62" i="28"/>
  <c r="N65" i="28" s="1"/>
  <c r="N74" i="28" s="1"/>
  <c r="N69" i="28"/>
  <c r="N50" i="20"/>
  <c r="M85" i="20"/>
  <c r="N66" i="28"/>
  <c r="J74" i="29" l="1"/>
  <c r="J77" i="29"/>
  <c r="N73" i="28"/>
  <c r="N75" i="28" s="1"/>
  <c r="N59" i="28"/>
  <c r="O64" i="28"/>
  <c r="N67" i="28"/>
  <c r="O53" i="28"/>
  <c r="O54" i="28" s="1"/>
  <c r="N70" i="28"/>
  <c r="N73" i="20"/>
  <c r="N51" i="20"/>
  <c r="N62" i="20"/>
  <c r="N65" i="20" s="1"/>
  <c r="O49" i="20" l="1"/>
  <c r="N52" i="20"/>
  <c r="O58" i="28"/>
  <c r="O73" i="28" s="1"/>
  <c r="O57" i="28"/>
  <c r="N77" i="28"/>
  <c r="N79" i="28" s="1"/>
  <c r="N60" i="28"/>
  <c r="O72" i="28"/>
  <c r="N78" i="28"/>
  <c r="K71" i="29"/>
  <c r="N75" i="20"/>
  <c r="N76" i="20" s="1"/>
  <c r="N66" i="20"/>
  <c r="N84" i="28"/>
  <c r="N85" i="28" s="1"/>
  <c r="J85" i="29"/>
  <c r="N69" i="20"/>
  <c r="J90" i="29" l="1"/>
  <c r="O64" i="20"/>
  <c r="N67" i="20"/>
  <c r="N60" i="20"/>
  <c r="O45" i="20"/>
  <c r="O46" i="20" s="1"/>
  <c r="N70" i="20"/>
  <c r="N83" i="20"/>
  <c r="O72" i="20"/>
  <c r="N81" i="20"/>
  <c r="O62" i="28"/>
  <c r="O65" i="28" s="1"/>
  <c r="O69" i="28"/>
  <c r="O59" i="28"/>
  <c r="J102" i="29" l="1"/>
  <c r="J103" i="29" s="1"/>
  <c r="N85" i="20"/>
  <c r="K59" i="29"/>
  <c r="K60" i="29" s="1"/>
  <c r="K93" i="29" s="1"/>
  <c r="J94" i="29"/>
  <c r="O77" i="28"/>
  <c r="O79" i="28" s="1"/>
  <c r="O60" i="28"/>
  <c r="O50" i="20"/>
  <c r="O70" i="28"/>
  <c r="O74" i="28"/>
  <c r="O75" i="28" s="1"/>
  <c r="O78" i="28" s="1"/>
  <c r="O66" i="28"/>
  <c r="K87" i="29"/>
  <c r="J91" i="29"/>
  <c r="J96" i="29"/>
  <c r="O73" i="20" l="1"/>
  <c r="O51" i="20"/>
  <c r="K66" i="29"/>
  <c r="O67" i="28"/>
  <c r="O84" i="28"/>
  <c r="O85" i="28" s="1"/>
  <c r="L63" i="29" l="1"/>
  <c r="O52" i="20"/>
  <c r="K77" i="29" l="1"/>
  <c r="O62" i="20"/>
  <c r="O65" i="20" s="1"/>
  <c r="O69" i="20" s="1"/>
  <c r="O70" i="20" s="1"/>
  <c r="K85" i="29" l="1"/>
  <c r="O60" i="20"/>
  <c r="O75" i="20"/>
  <c r="O76" i="20" s="1"/>
  <c r="O81" i="20" s="1"/>
  <c r="O66" i="20"/>
  <c r="O67" i="20" s="1"/>
  <c r="K74" i="29"/>
  <c r="K90" i="29" l="1"/>
  <c r="L71" i="29"/>
  <c r="K96" i="29"/>
  <c r="O83" i="20"/>
  <c r="K102" i="29" l="1"/>
  <c r="K103" i="29" s="1"/>
  <c r="O85" i="20"/>
  <c r="L59" i="29"/>
  <c r="L60" i="29" s="1"/>
  <c r="L93" i="29" s="1"/>
  <c r="F107" i="29"/>
  <c r="C50" i="27" s="1"/>
  <c r="K94" i="29"/>
  <c r="L87" i="29"/>
  <c r="K91" i="29"/>
  <c r="L66" i="29" l="1"/>
  <c r="M63" i="29" l="1"/>
  <c r="L77" i="29" l="1"/>
  <c r="L85" i="29" l="1"/>
  <c r="L74" i="29"/>
  <c r="L90" i="29" l="1"/>
  <c r="M71" i="29"/>
  <c r="L96" i="29"/>
  <c r="L102" i="29" l="1"/>
  <c r="L103" i="29" s="1"/>
  <c r="M59" i="29"/>
  <c r="M60" i="29" s="1"/>
  <c r="M93" i="29" s="1"/>
  <c r="L94" i="29"/>
  <c r="M87" i="29"/>
  <c r="L91" i="29"/>
  <c r="M66" i="29" l="1"/>
  <c r="N63" i="29" l="1"/>
  <c r="M77" i="29" l="1"/>
  <c r="M85" i="29" l="1"/>
  <c r="M74" i="29"/>
  <c r="M90" i="29" l="1"/>
  <c r="M96" i="29" s="1"/>
  <c r="N71" i="29"/>
  <c r="M102" i="29" l="1"/>
  <c r="M103" i="29" s="1"/>
  <c r="N59" i="29"/>
  <c r="N60" i="29" s="1"/>
  <c r="N93" i="29" s="1"/>
  <c r="M94" i="29"/>
  <c r="N87" i="29"/>
  <c r="M91" i="29"/>
  <c r="N66" i="29" l="1"/>
  <c r="O63" i="29" l="1"/>
  <c r="N77" i="29" l="1"/>
  <c r="N85" i="29" l="1"/>
  <c r="N74" i="29"/>
  <c r="N90" i="29" l="1"/>
  <c r="O71" i="29"/>
  <c r="N96" i="29"/>
  <c r="N102" i="29" l="1"/>
  <c r="N103" i="29" s="1"/>
  <c r="O59" i="29"/>
  <c r="O60" i="29" s="1"/>
  <c r="O93" i="29" s="1"/>
  <c r="N94" i="29"/>
  <c r="O87" i="29"/>
  <c r="N91" i="29"/>
  <c r="O66" i="29" l="1"/>
  <c r="O77" i="29" l="1"/>
  <c r="O74" i="29" l="1"/>
  <c r="O85" i="29" l="1"/>
  <c r="O90" i="29" l="1"/>
  <c r="O102" i="29" l="1"/>
  <c r="O103" i="29" s="1"/>
  <c r="O94" i="29"/>
  <c r="O91" i="29"/>
  <c r="O96" i="29"/>
</calcChain>
</file>

<file path=xl/sharedStrings.xml><?xml version="1.0" encoding="utf-8"?>
<sst xmlns="http://schemas.openxmlformats.org/spreadsheetml/2006/main" count="506" uniqueCount="283">
  <si>
    <t>This document is for training purposes only. Financial Edge accepts no responsibility or liability for any other purpose or usage.</t>
  </si>
  <si>
    <t>www.fe.training</t>
  </si>
  <si>
    <t>Workout Information</t>
  </si>
  <si>
    <t>Features</t>
  </si>
  <si>
    <t>Model Details</t>
  </si>
  <si>
    <t>◦</t>
  </si>
  <si>
    <t>Company name</t>
  </si>
  <si>
    <t>Date</t>
  </si>
  <si>
    <t>Currency</t>
  </si>
  <si>
    <t>USD</t>
  </si>
  <si>
    <t>Units</t>
  </si>
  <si>
    <t>Millions</t>
  </si>
  <si>
    <t>Analyst Name</t>
  </si>
  <si>
    <t>Firstname Lastname</t>
  </si>
  <si>
    <t>Circular Switch</t>
  </si>
  <si>
    <t>Tab Structure</t>
  </si>
  <si>
    <t>Formatting</t>
  </si>
  <si>
    <t>Input</t>
  </si>
  <si>
    <t>Hard coded</t>
  </si>
  <si>
    <t>Formulas</t>
  </si>
  <si>
    <t>Income statement</t>
  </si>
  <si>
    <t>Revenues</t>
  </si>
  <si>
    <t>EBIT</t>
  </si>
  <si>
    <t>Depreciation and amortization</t>
  </si>
  <si>
    <t>EBITDA</t>
  </si>
  <si>
    <t>Interest expense</t>
  </si>
  <si>
    <t>Profit before tax</t>
  </si>
  <si>
    <t>Tax expense</t>
  </si>
  <si>
    <t>Operating current assets</t>
  </si>
  <si>
    <t>Operating current liabilities</t>
  </si>
  <si>
    <t>Net debt</t>
  </si>
  <si>
    <t>EBITDA margin</t>
  </si>
  <si>
    <t>End</t>
  </si>
  <si>
    <t>Key data</t>
  </si>
  <si>
    <t>Ticker</t>
  </si>
  <si>
    <t>Country</t>
  </si>
  <si>
    <t>United States</t>
  </si>
  <si>
    <t>Analysis date</t>
  </si>
  <si>
    <t>Calendarize to</t>
  </si>
  <si>
    <t>Marginal tax rate</t>
  </si>
  <si>
    <t>Historical year end</t>
  </si>
  <si>
    <t>Home currency</t>
  </si>
  <si>
    <t>Sales</t>
  </si>
  <si>
    <t>52 week low</t>
  </si>
  <si>
    <t>52 week high</t>
  </si>
  <si>
    <t>Credit rating</t>
  </si>
  <si>
    <t>5 year EPS forward growth</t>
  </si>
  <si>
    <t>Tranche</t>
  </si>
  <si>
    <t>Number</t>
  </si>
  <si>
    <t>Basic shares outstanding</t>
  </si>
  <si>
    <t>Preferred equity</t>
  </si>
  <si>
    <t>Shareholders' equity</t>
  </si>
  <si>
    <t>Total</t>
  </si>
  <si>
    <t>Old 10-Q/Interim</t>
  </si>
  <si>
    <t>New 10-Q/interim</t>
  </si>
  <si>
    <t>FY +1</t>
  </si>
  <si>
    <t>FY +2</t>
  </si>
  <si>
    <t>FY +3</t>
  </si>
  <si>
    <t>FY +4</t>
  </si>
  <si>
    <t>NA</t>
  </si>
  <si>
    <t>LTM EBITDA</t>
  </si>
  <si>
    <t>Sales growth</t>
  </si>
  <si>
    <t>Interest rate on cash</t>
  </si>
  <si>
    <t>Depreciation</t>
  </si>
  <si>
    <t>Equity</t>
  </si>
  <si>
    <t>Net income</t>
  </si>
  <si>
    <t>Interest income</t>
  </si>
  <si>
    <t>(Increase) decrease in operating working capital</t>
  </si>
  <si>
    <t>(Capital expenditure)</t>
  </si>
  <si>
    <t>Ending cash</t>
  </si>
  <si>
    <t>Issuance (repayment)</t>
  </si>
  <si>
    <t>Long-term effective tax rate</t>
  </si>
  <si>
    <t>Enterprise value</t>
  </si>
  <si>
    <t>Risk free rate</t>
  </si>
  <si>
    <t>Synergies</t>
  </si>
  <si>
    <t>-</t>
  </si>
  <si>
    <t>Implied enterprise value</t>
  </si>
  <si>
    <t>Sources and uses of funds</t>
  </si>
  <si>
    <t>Fees</t>
  </si>
  <si>
    <t>Total uses of funds</t>
  </si>
  <si>
    <t>Total sources of funds</t>
  </si>
  <si>
    <t>Senior debt</t>
  </si>
  <si>
    <t>Unsecured notes</t>
  </si>
  <si>
    <t>Max entry EV / LTM EBITDA multiple</t>
  </si>
  <si>
    <t>Cost of debt financing - spread</t>
  </si>
  <si>
    <t>Cost of senior debt</t>
  </si>
  <si>
    <t>Cost of unsecured notes</t>
  </si>
  <si>
    <t>Fees % of enterprise value</t>
  </si>
  <si>
    <t>Exit year</t>
  </si>
  <si>
    <t>Cost savings</t>
  </si>
  <si>
    <t>Adjusted EBITDA</t>
  </si>
  <si>
    <t>EBIT pre cost savings</t>
  </si>
  <si>
    <t>Cash flows to service debt</t>
  </si>
  <si>
    <t>Cash flow available for debt repayment</t>
  </si>
  <si>
    <t>Debt servicing</t>
  </si>
  <si>
    <t>Beginning senior debt balance</t>
  </si>
  <si>
    <t>Ending senior debt balance</t>
  </si>
  <si>
    <t>Beginning unsecured notes</t>
  </si>
  <si>
    <t>Ending unsecured notes</t>
  </si>
  <si>
    <t>Returns to equity holders</t>
  </si>
  <si>
    <t>Year count</t>
  </si>
  <si>
    <t>Equity value</t>
  </si>
  <si>
    <t>Cash flows to equity holders</t>
  </si>
  <si>
    <t>IRR</t>
  </si>
  <si>
    <t>Sensitivity analysis</t>
  </si>
  <si>
    <t>IRR assuming changes in entry multiple and exit year</t>
  </si>
  <si>
    <t>Entry multiple</t>
  </si>
  <si>
    <t>Factset codes</t>
  </si>
  <si>
    <t>Summary sheet code name</t>
  </si>
  <si>
    <t>Delete sheet on new target ticker</t>
  </si>
  <si>
    <t>TUMI-US</t>
  </si>
  <si>
    <t>31/12/2015</t>
  </si>
  <si>
    <t>Last filing date</t>
  </si>
  <si>
    <t>01-Jun-16</t>
  </si>
  <si>
    <t>Trading information</t>
  </si>
  <si>
    <t>Free float (MM)</t>
  </si>
  <si>
    <t>LTM dividend yield</t>
  </si>
  <si>
    <t>Historical 5 year beta</t>
  </si>
  <si>
    <t/>
  </si>
  <si>
    <t>Balance sheet data</t>
  </si>
  <si>
    <t>NCI book value</t>
  </si>
  <si>
    <t xml:space="preserve">Historical income statement NCI </t>
  </si>
  <si>
    <t>Balance sheet ST debt</t>
  </si>
  <si>
    <t>Balance sheet LT debt</t>
  </si>
  <si>
    <t>Financial derivative liabilities</t>
  </si>
  <si>
    <t>Balance sheet cash and equivalents</t>
  </si>
  <si>
    <t>ST financial investments</t>
  </si>
  <si>
    <t>LT financial investments</t>
  </si>
  <si>
    <t>Non-core assets</t>
  </si>
  <si>
    <t>Earnings and estimates</t>
  </si>
  <si>
    <t>Latest annual</t>
  </si>
  <si>
    <t>Gross interest expense</t>
  </si>
  <si>
    <t>Free cash flow</t>
  </si>
  <si>
    <t>Share options and restricted stock units</t>
  </si>
  <si>
    <t>WA strike price</t>
  </si>
  <si>
    <t>CapIQ - total options year end</t>
  </si>
  <si>
    <t>CapIQ - total options quarter end</t>
  </si>
  <si>
    <t>CapIQ options used</t>
  </si>
  <si>
    <t>Manual tranche 1</t>
  </si>
  <si>
    <t>Manual tranche 2</t>
  </si>
  <si>
    <t>Manual tranche 3</t>
  </si>
  <si>
    <t>Manual tranche 4</t>
  </si>
  <si>
    <t>Manual tranche 5</t>
  </si>
  <si>
    <t>Projected benefit obligation</t>
  </si>
  <si>
    <t>Fair value of plan assets</t>
  </si>
  <si>
    <t>Total pension and OPEB expense</t>
  </si>
  <si>
    <t>Pension service cost</t>
  </si>
  <si>
    <t>Return on plan assets</t>
  </si>
  <si>
    <t>LTM rent expense</t>
  </si>
  <si>
    <t>Cost savings % sales</t>
  </si>
  <si>
    <t>Max exit EV / LTM EBITDA multiple</t>
  </si>
  <si>
    <t>Beginning cash and equivalents</t>
  </si>
  <si>
    <t>Working capital as % of sales</t>
  </si>
  <si>
    <t>LBO &amp; Add On Acquisition</t>
  </si>
  <si>
    <t>Proj.</t>
  </si>
  <si>
    <t>Hist.</t>
  </si>
  <si>
    <t>EBITDA multiple</t>
  </si>
  <si>
    <t>Rate</t>
  </si>
  <si>
    <t>Total sources</t>
  </si>
  <si>
    <t>OWC</t>
  </si>
  <si>
    <t>Change in OWC</t>
  </si>
  <si>
    <t>Sales - add on</t>
  </si>
  <si>
    <t>Total sales</t>
  </si>
  <si>
    <t>EBIT - add on</t>
  </si>
  <si>
    <t>Total EBIT</t>
  </si>
  <si>
    <t>(Increase) decrease in operating working capital - add on</t>
  </si>
  <si>
    <t>Depreciation - add on</t>
  </si>
  <si>
    <t>(Capital expenditure) - add on</t>
  </si>
  <si>
    <t>Ending add-on senior debt balance</t>
  </si>
  <si>
    <t>Cash available for unsecured notes</t>
  </si>
  <si>
    <t>Add-on acquisition switch</t>
  </si>
  <si>
    <t>Arrangement fees</t>
  </si>
  <si>
    <t>Deal assumptions</t>
  </si>
  <si>
    <t>Existing debt facilities pre recapitalization</t>
  </si>
  <si>
    <t>Total debt</t>
  </si>
  <si>
    <t>Prepayment fees</t>
  </si>
  <si>
    <t>Recapitalization amounts</t>
  </si>
  <si>
    <t>Total refinancing</t>
  </si>
  <si>
    <t>Use of recapitalization proceeds</t>
  </si>
  <si>
    <t>Arrangement fees on new debt</t>
  </si>
  <si>
    <t>Excess net proceeds</t>
  </si>
  <si>
    <t>% of proceeds available for dividend distribution</t>
  </si>
  <si>
    <t>Recap funds available for dividend distribution</t>
  </si>
  <si>
    <t>Cash available for debt repayment</t>
  </si>
  <si>
    <t>LBO &amp; Recapitalization</t>
  </si>
  <si>
    <t>EBIT post cost savings</t>
  </si>
  <si>
    <t>Recapitalization year</t>
  </si>
  <si>
    <t>x LTM EBITDA</t>
  </si>
  <si>
    <t>x EBITDA</t>
  </si>
  <si>
    <t>Total uses</t>
  </si>
  <si>
    <t>Max debt / LTM EBITDA multiple</t>
  </si>
  <si>
    <t>Basic LBO model</t>
  </si>
  <si>
    <t>Leverage mutiples pre recapitalization</t>
  </si>
  <si>
    <t>Refinancing terms</t>
  </si>
  <si>
    <t>Percentage of debt repaid</t>
  </si>
  <si>
    <t>Beginning debt repaid</t>
  </si>
  <si>
    <t>Senior debt repayment</t>
  </si>
  <si>
    <t>Unsecured notes repayment</t>
  </si>
  <si>
    <t>Ending debt repaid</t>
  </si>
  <si>
    <t>Debt / EBITDA</t>
  </si>
  <si>
    <t>Senior add-on debt</t>
  </si>
  <si>
    <t>Operating working capital</t>
  </si>
  <si>
    <t>Operating working capital as % of sales</t>
  </si>
  <si>
    <t>Synergies %, starting from first full year of ownership</t>
  </si>
  <si>
    <t>Synergy assumptions</t>
  </si>
  <si>
    <t>Synergies % of prior year sales</t>
  </si>
  <si>
    <t>Issuance</t>
  </si>
  <si>
    <t>(Repayment)</t>
  </si>
  <si>
    <t>Cash available for add-on senior debt</t>
  </si>
  <si>
    <t>Depreciation as % of capital expenditure</t>
  </si>
  <si>
    <t>Capital expenditure % sales</t>
  </si>
  <si>
    <t>Capital expenditure</t>
  </si>
  <si>
    <t>Capital expenditure % of sales</t>
  </si>
  <si>
    <t>Depreciation / capital expenditure</t>
  </si>
  <si>
    <t>Add-on debt drawn down</t>
  </si>
  <si>
    <t>Total debt drawn down</t>
  </si>
  <si>
    <t>Total debt, end of period</t>
  </si>
  <si>
    <t>Total EBITDA</t>
  </si>
  <si>
    <t>(Net debt)</t>
  </si>
  <si>
    <t>Equity investment for add-on</t>
  </si>
  <si>
    <t>LBO Assumptions</t>
  </si>
  <si>
    <t>Acquisition year (end of period)</t>
  </si>
  <si>
    <t>Add-on assumptions</t>
  </si>
  <si>
    <t>Sales growth rate</t>
  </si>
  <si>
    <t>Add-on model assumptions</t>
  </si>
  <si>
    <t>Add-on financials</t>
  </si>
  <si>
    <t>Add-on financials for acquirer LBO model</t>
  </si>
  <si>
    <t>Cost of add-on senior debt</t>
  </si>
  <si>
    <t>$</t>
  </si>
  <si>
    <t>Base case LBO assumptions</t>
  </si>
  <si>
    <t>Base case model assumptions</t>
  </si>
  <si>
    <t>Add On Acquisition</t>
  </si>
  <si>
    <t>Sales - base case</t>
  </si>
  <si>
    <t>EBIT pre cost savings - base case</t>
  </si>
  <si>
    <t>Cost savings - base case</t>
  </si>
  <si>
    <t>Depreciation - base case</t>
  </si>
  <si>
    <t>(Increase) decrease in operating working capital - base case</t>
  </si>
  <si>
    <t>(Capital expenditure) - base case</t>
  </si>
  <si>
    <t>Base case beginning senior debt balance</t>
  </si>
  <si>
    <t>Add on beginning senior debt balance</t>
  </si>
  <si>
    <t>Base case debt drawn down</t>
  </si>
  <si>
    <t>LBO Complex Additional Components</t>
  </si>
  <si>
    <t>Full year of add-on ownership flag</t>
  </si>
  <si>
    <t>Dividend recapitalisation switch</t>
  </si>
  <si>
    <t>Borrowing from recap</t>
  </si>
  <si>
    <t>Repayment from recap</t>
  </si>
  <si>
    <t>Repayment from sweep</t>
  </si>
  <si>
    <t>Total year end debt</t>
  </si>
  <si>
    <t>Dividend</t>
  </si>
  <si>
    <t>Add on acquisition year</t>
  </si>
  <si>
    <t>Add on entry multiple</t>
  </si>
  <si>
    <t>Sensitivity analysis (can't be done until after the add-on case)</t>
  </si>
  <si>
    <t>IRR assuming changes in entry year end multiple for add-on</t>
  </si>
  <si>
    <t>Sensitivity analysis (can't be done until after the recap case)</t>
  </si>
  <si>
    <t>IRR assuming changes in recap year and rate</t>
  </si>
  <si>
    <t>Recap year</t>
  </si>
  <si>
    <t>Recap rate as a % move from model original</t>
  </si>
  <si>
    <t>Interest rate movement for data table</t>
  </si>
  <si>
    <t>Fees from recap</t>
  </si>
  <si>
    <t>Beginning senior debt 1 balance</t>
  </si>
  <si>
    <t>Senior debt 2</t>
  </si>
  <si>
    <t>Unsecured notes 2</t>
  </si>
  <si>
    <t>Senior debt 1 repayment</t>
  </si>
  <si>
    <t>Unsecured notes 1 repayment</t>
  </si>
  <si>
    <t>Prepayment fees - senior debt 1</t>
  </si>
  <si>
    <t>Prepayment fees - unsecured notes 1</t>
  </si>
  <si>
    <t>Senior debt 1</t>
  </si>
  <si>
    <t>Unsecured notes 1</t>
  </si>
  <si>
    <t>Beginning senior debt 2 balance</t>
  </si>
  <si>
    <t>Ending Senior debt 2 balance</t>
  </si>
  <si>
    <t>Ending senior debt 1 balance</t>
  </si>
  <si>
    <t>Cash available for senior debt 2</t>
  </si>
  <si>
    <t>Beginning unsecured notes 1</t>
  </si>
  <si>
    <t>Ending unsecured notes 1</t>
  </si>
  <si>
    <t>Cash available for unsecured notes 2</t>
  </si>
  <si>
    <t>Beginning unsecured notes 2</t>
  </si>
  <si>
    <t>Ending unsecured notes 2</t>
  </si>
  <si>
    <t>Cash available for unsecured notes 1</t>
  </si>
  <si>
    <t>Cash flow from repaying old debt</t>
  </si>
  <si>
    <t>Cash flow from new debt</t>
  </si>
  <si>
    <t>Recap key facts</t>
  </si>
  <si>
    <t>Debt/Ebitda</t>
  </si>
  <si>
    <t>Original sources and uses of funds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</si>
</sst>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1">
    <numFmt numFmtId="164" formatCode="#,##0.0_);\(#,##0.0\);0.0_);@_)"/>
    <numFmt numFmtId="165" formatCode="#,##0.0_);\(#,##0.0\)\,0.0_);@_)"/>
    <numFmt numFmtId="166" formatCode="[$-409]d\-mmm\-yy"/>
    <numFmt numFmtId="167" formatCode="0.0%_);\(0.0%\)"/>
    <numFmt numFmtId="168" formatCode="#,##0.0\ \x_);\(#,##0.0\ \x\)"/>
    <numFmt numFmtId="169" formatCode="dd\-mmm\-yy_)"/>
    <numFmt numFmtId="170" formatCode="0.0%_);\(0.0%\);0.0%_);@_)"/>
    <numFmt numFmtId="171" formatCode="0.00%_);\(0.00%\)"/>
    <numFmt numFmtId="172" formatCode="[$-409]d\-mmm\-yy;@"/>
    <numFmt numFmtId="173" formatCode="#,##0.0\ \x_);\(#,##0.0\ \x\);"/>
    <numFmt numFmtId="174" formatCode="#,##0.000000_);\(#,##0.000000\);0.000000_);@_)"/>
  </numFmts>
  <fonts count="46" x14ac:knownFonts="1">
    <font>
      <sz val="11"/>
      <name val="Calibri"/>
      <family val="2"/>
      <scheme val="minor"/>
    </font>
    <font>
      <sz val="20"/>
      <color theme="1"/>
      <name val="Calibri"/>
      <family val="2"/>
      <scheme val="minor"/>
    </font>
    <font>
      <sz val="20"/>
      <color theme="1"/>
      <name val="Calibri"/>
      <family val="2"/>
      <scheme val="minor"/>
    </font>
    <font>
      <sz val="11"/>
      <color theme="1"/>
      <name val="Calibri"/>
      <family val="2"/>
    </font>
    <font>
      <sz val="22"/>
      <color theme="0"/>
      <name val="Calibri"/>
      <family val="2"/>
    </font>
    <font>
      <sz val="11"/>
      <name val="Arial"/>
      <family val="2"/>
    </font>
    <font>
      <sz val="18"/>
      <color theme="0"/>
      <name val="Calibri"/>
      <family val="2"/>
    </font>
    <font>
      <sz val="11"/>
      <color rgb="FF6E6E6E"/>
      <name val="Calibri"/>
      <family val="2"/>
    </font>
    <font>
      <b/>
      <sz val="12"/>
      <color rgb="FF163260"/>
      <name val="Calibri"/>
      <family val="2"/>
    </font>
    <font>
      <sz val="10"/>
      <color rgb="FF085393"/>
      <name val="Calibri"/>
      <family val="2"/>
    </font>
    <font>
      <sz val="11"/>
      <color rgb="FF085393"/>
      <name val="Calibri"/>
      <family val="2"/>
    </font>
    <font>
      <sz val="11"/>
      <color theme="1"/>
      <name val="Calibri"/>
      <family val="2"/>
    </font>
    <font>
      <u/>
      <sz val="11"/>
      <color theme="10"/>
      <name val="Arial"/>
      <family val="2"/>
    </font>
    <font>
      <sz val="14"/>
      <color theme="0"/>
      <name val="Calibri"/>
      <family val="2"/>
    </font>
    <font>
      <u/>
      <sz val="14"/>
      <color rgb="FF085393"/>
      <name val="Calibri"/>
      <family val="2"/>
    </font>
    <font>
      <sz val="11"/>
      <color rgb="FF0000FF"/>
      <name val="Calibri"/>
      <family val="2"/>
    </font>
    <font>
      <sz val="11"/>
      <color theme="0"/>
      <name val="Calibri"/>
      <family val="2"/>
    </font>
    <font>
      <b/>
      <sz val="11"/>
      <color theme="1"/>
      <name val="Calibri"/>
      <family val="2"/>
    </font>
    <font>
      <sz val="11"/>
      <color rgb="FF0000FF"/>
      <name val="Calibri"/>
      <family val="2"/>
      <scheme val="minor"/>
    </font>
    <font>
      <sz val="11"/>
      <color theme="1"/>
      <name val="Calibri"/>
      <family val="2"/>
      <scheme val="minor"/>
    </font>
    <font>
      <sz val="20"/>
      <color rgb="FF006100"/>
      <name val="Calibri"/>
      <family val="2"/>
      <scheme val="minor"/>
    </font>
    <font>
      <sz val="20"/>
      <color rgb="FF9C0006"/>
      <name val="Calibri"/>
      <family val="2"/>
      <scheme val="minor"/>
    </font>
    <font>
      <sz val="20"/>
      <color rgb="FF9C5700"/>
      <name val="Calibri"/>
      <family val="2"/>
      <scheme val="minor"/>
    </font>
    <font>
      <b/>
      <sz val="20"/>
      <color rgb="FF3F3F3F"/>
      <name val="Calibri"/>
      <family val="2"/>
      <scheme val="minor"/>
    </font>
    <font>
      <b/>
      <sz val="20"/>
      <color rgb="FFFA7D00"/>
      <name val="Calibri"/>
      <family val="2"/>
      <scheme val="minor"/>
    </font>
    <font>
      <sz val="20"/>
      <color rgb="FFFA7D00"/>
      <name val="Calibri"/>
      <family val="2"/>
      <scheme val="minor"/>
    </font>
    <font>
      <b/>
      <sz val="20"/>
      <color theme="0"/>
      <name val="Calibri"/>
      <family val="2"/>
      <scheme val="minor"/>
    </font>
    <font>
      <sz val="20"/>
      <color rgb="FFFF0000"/>
      <name val="Calibri"/>
      <family val="2"/>
      <scheme val="minor"/>
    </font>
    <font>
      <i/>
      <sz val="20"/>
      <color rgb="FF7F7F7F"/>
      <name val="Calibri"/>
      <family val="2"/>
      <scheme val="minor"/>
    </font>
    <font>
      <sz val="11"/>
      <color theme="1" tint="0.249977111117893"/>
      <name val="Calibri"/>
      <family val="2"/>
      <scheme val="minor"/>
    </font>
    <font>
      <sz val="11"/>
      <color theme="0"/>
      <name val="Calibri"/>
      <family val="2"/>
      <scheme val="minor"/>
    </font>
    <font>
      <sz val="11"/>
      <name val="Calibri"/>
      <family val="2"/>
      <scheme val="minor"/>
    </font>
    <font>
      <sz val="9"/>
      <color theme="0"/>
      <name val="Calibri"/>
      <family val="2"/>
      <scheme val="minor"/>
    </font>
    <font>
      <u/>
      <sz val="11"/>
      <color theme="11"/>
      <name val="Calibri"/>
      <family val="2"/>
      <scheme val="minor"/>
    </font>
    <font>
      <u/>
      <sz val="11"/>
      <color theme="10"/>
      <name val="Calibri"/>
      <family val="2"/>
      <scheme val="minor"/>
    </font>
    <font>
      <sz val="22"/>
      <color theme="0"/>
      <name val="Calibri"/>
      <family val="2"/>
      <scheme val="major"/>
    </font>
    <font>
      <sz val="14"/>
      <color theme="0"/>
      <name val="Calibri"/>
      <family val="2"/>
      <scheme val="major"/>
    </font>
    <font>
      <b/>
      <sz val="12"/>
      <color rgb="FF163260"/>
      <name val="Calibri"/>
      <family val="2"/>
      <scheme val="minor"/>
    </font>
    <font>
      <sz val="18"/>
      <color theme="3"/>
      <name val="Calibri"/>
      <family val="2"/>
      <scheme val="major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b/>
      <sz val="20"/>
      <color theme="1"/>
      <name val="Calibri"/>
      <family val="2"/>
      <scheme val="minor"/>
    </font>
    <font>
      <sz val="20"/>
      <color theme="0"/>
      <name val="Calibri"/>
      <family val="2"/>
      <scheme val="minor"/>
    </font>
    <font>
      <sz val="11"/>
      <name val="Calibri"/>
      <family val="2"/>
    </font>
    <font>
      <sz val="14"/>
      <color theme="0"/>
      <name val="Calibri"/>
      <family val="2"/>
      <scheme val="minor"/>
    </font>
  </fonts>
  <fills count="44">
    <fill>
      <patternFill patternType="none"/>
    </fill>
    <fill>
      <patternFill patternType="gray125"/>
    </fill>
    <fill>
      <patternFill patternType="solid">
        <fgColor rgb="FF163260"/>
        <bgColor rgb="FF163260"/>
      </patternFill>
    </fill>
    <fill>
      <patternFill patternType="solid">
        <fgColor rgb="FF085393"/>
        <bgColor rgb="FF085393"/>
      </patternFill>
    </fill>
    <fill>
      <patternFill patternType="solid">
        <fgColor rgb="FFF2F2F2"/>
        <bgColor rgb="FFF2F2F2"/>
      </patternFill>
    </fill>
    <fill>
      <patternFill patternType="solid">
        <fgColor theme="0"/>
        <bgColor theme="0"/>
      </patternFill>
    </fill>
    <fill>
      <patternFill patternType="solid">
        <fgColor rgb="FFDBEEFD"/>
        <bgColor rgb="FFDBEEFD"/>
      </patternFill>
    </fill>
    <fill>
      <patternFill patternType="solid">
        <fgColor rgb="FFF0F8FE"/>
        <bgColor rgb="FFF0F8FE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rgb="FF163260"/>
        <bgColor indexed="64"/>
      </patternFill>
    </fill>
    <fill>
      <patternFill patternType="solid">
        <fgColor rgb="FF085393"/>
        <bgColor indexed="64"/>
      </patternFill>
    </fill>
    <fill>
      <patternFill patternType="solid">
        <fgColor rgb="FFDBEEFD"/>
        <bgColor indexed="64"/>
      </patternFill>
    </fill>
    <fill>
      <patternFill patternType="solid">
        <fgColor theme="4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rgb="FFFFFFCC"/>
      </patternFill>
    </fill>
    <fill>
      <patternFill patternType="solid">
        <fgColor rgb="FFFFFF99"/>
        <bgColor indexed="64"/>
      </patternFill>
    </fill>
    <fill>
      <patternFill patternType="solid">
        <fgColor rgb="FFC0C0C0"/>
        <bgColor indexed="64"/>
      </patternFill>
    </fill>
  </fills>
  <borders count="22"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 style="medium">
        <color rgb="FFD8D8D8"/>
      </bottom>
      <diagonal/>
    </border>
    <border>
      <left style="thin">
        <color rgb="FFBBDEFB"/>
      </left>
      <right style="thin">
        <color rgb="FFBBDEFB"/>
      </right>
      <top style="thin">
        <color rgb="FFBBDEFB"/>
      </top>
      <bottom style="thin">
        <color rgb="FFBBDEFB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</borders>
  <cellStyleXfs count="56">
    <xf numFmtId="164" fontId="0" fillId="0" borderId="10"/>
    <xf numFmtId="164" fontId="34" fillId="0" borderId="10" applyNumberFormat="0" applyFill="0" applyBorder="0" applyAlignment="0" applyProtection="0"/>
    <xf numFmtId="164" fontId="33" fillId="0" borderId="10" applyNumberFormat="0" applyFill="0" applyBorder="0" applyAlignment="0" applyProtection="0"/>
    <xf numFmtId="167" fontId="31" fillId="19" borderId="10" applyFont="0" applyFill="0" applyBorder="0" applyAlignment="0" applyProtection="0"/>
    <xf numFmtId="0" fontId="20" fillId="8" borderId="0" applyNumberFormat="0" applyBorder="0" applyAlignment="0" applyProtection="0"/>
    <xf numFmtId="0" fontId="21" fillId="9" borderId="0" applyNumberFormat="0" applyBorder="0" applyAlignment="0" applyProtection="0"/>
    <xf numFmtId="0" fontId="22" fillId="10" borderId="0" applyNumberFormat="0" applyBorder="0" applyAlignment="0" applyProtection="0"/>
    <xf numFmtId="173" fontId="18" fillId="21" borderId="12" applyNumberFormat="0">
      <protection locked="0"/>
    </xf>
    <xf numFmtId="0" fontId="23" fillId="11" borderId="14" applyNumberFormat="0" applyAlignment="0" applyProtection="0"/>
    <xf numFmtId="0" fontId="24" fillId="11" borderId="13" applyNumberFormat="0" applyAlignment="0" applyProtection="0"/>
    <xf numFmtId="0" fontId="25" fillId="0" borderId="15" applyNumberFormat="0" applyFill="0" applyAlignment="0" applyProtection="0"/>
    <xf numFmtId="0" fontId="26" fillId="12" borderId="16" applyNumberFormat="0" applyAlignment="0" applyProtection="0"/>
    <xf numFmtId="0" fontId="27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" fillId="13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9" fillId="18" borderId="10" applyNumberFormat="0" applyFont="0" applyAlignment="0" applyProtection="0">
      <alignment vertical="top"/>
    </xf>
    <xf numFmtId="165" fontId="30" fillId="19" borderId="10" applyNumberFormat="0" applyBorder="0" applyProtection="0">
      <alignment horizontal="center"/>
    </xf>
    <xf numFmtId="169" fontId="31" fillId="0" borderId="10" applyFont="0" applyFill="0" applyBorder="0" applyAlignment="0" applyProtection="0"/>
    <xf numFmtId="172" fontId="32" fillId="20" borderId="10">
      <alignment horizontal="center"/>
    </xf>
    <xf numFmtId="165" fontId="18" fillId="19" borderId="10" applyNumberFormat="0" applyFill="0" applyBorder="0" applyAlignment="0" applyProtection="0"/>
    <xf numFmtId="165" fontId="30" fillId="20" borderId="10">
      <alignment horizontal="center"/>
    </xf>
    <xf numFmtId="168" fontId="19" fillId="0" borderId="10" applyFont="0" applyFill="0" applyBorder="0" applyAlignment="0" applyProtection="0"/>
    <xf numFmtId="0" fontId="35" fillId="19" borderId="10" applyNumberFormat="0">
      <alignment horizontal="left"/>
    </xf>
    <xf numFmtId="0" fontId="36" fillId="20" borderId="10" applyNumberFormat="0" applyAlignment="0">
      <alignment horizontal="left"/>
    </xf>
    <xf numFmtId="0" fontId="37" fillId="0" borderId="10" applyNumberFormat="0" applyFill="0" applyBorder="0">
      <alignment horizontal="left" vertical="center"/>
    </xf>
    <xf numFmtId="0" fontId="38" fillId="0" borderId="0" applyNumberFormat="0" applyFill="0" applyBorder="0" applyAlignment="0" applyProtection="0"/>
    <xf numFmtId="0" fontId="39" fillId="0" borderId="17" applyNumberFormat="0" applyFill="0" applyAlignment="0" applyProtection="0"/>
    <xf numFmtId="0" fontId="40" fillId="0" borderId="18" applyNumberFormat="0" applyFill="0" applyAlignment="0" applyProtection="0"/>
    <xf numFmtId="0" fontId="41" fillId="0" borderId="19" applyNumberFormat="0" applyFill="0" applyAlignment="0" applyProtection="0"/>
    <xf numFmtId="0" fontId="41" fillId="0" borderId="0" applyNumberFormat="0" applyFill="0" applyBorder="0" applyAlignment="0" applyProtection="0"/>
    <xf numFmtId="0" fontId="42" fillId="0" borderId="20" applyNumberFormat="0" applyFill="0" applyAlignment="0" applyProtection="0"/>
    <xf numFmtId="0" fontId="43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4" borderId="0" applyNumberFormat="0" applyBorder="0" applyAlignment="0" applyProtection="0"/>
    <xf numFmtId="0" fontId="43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43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43" fillId="31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43" fillId="34" borderId="0" applyNumberFormat="0" applyBorder="0" applyAlignment="0" applyProtection="0"/>
    <xf numFmtId="0" fontId="1" fillId="35" borderId="0" applyNumberFormat="0" applyBorder="0" applyAlignment="0" applyProtection="0"/>
    <xf numFmtId="0" fontId="1" fillId="36" borderId="0" applyNumberFormat="0" applyBorder="0" applyAlignment="0" applyProtection="0"/>
    <xf numFmtId="0" fontId="43" fillId="37" borderId="0" applyNumberFormat="0" applyBorder="0" applyAlignment="0" applyProtection="0"/>
    <xf numFmtId="0" fontId="1" fillId="38" borderId="0" applyNumberFormat="0" applyBorder="0" applyAlignment="0" applyProtection="0"/>
    <xf numFmtId="0" fontId="1" fillId="39" borderId="0" applyNumberFormat="0" applyBorder="0" applyAlignment="0" applyProtection="0"/>
    <xf numFmtId="0" fontId="1" fillId="40" borderId="0" applyNumberFormat="0" applyBorder="0" applyAlignment="0" applyProtection="0"/>
    <xf numFmtId="165" fontId="30" fillId="19" borderId="10">
      <alignment horizontal="center"/>
    </xf>
    <xf numFmtId="0" fontId="31" fillId="41" borderId="21" applyNumberFormat="0" applyFont="0" applyAlignment="0" applyProtection="0"/>
  </cellStyleXfs>
  <cellXfs count="128">
    <xf numFmtId="164" fontId="0" fillId="0" borderId="10" xfId="0"/>
    <xf numFmtId="172" fontId="32" fillId="20" borderId="10" xfId="22">
      <alignment horizontal="center"/>
    </xf>
    <xf numFmtId="0" fontId="3" fillId="0" borderId="10" xfId="0" applyNumberFormat="1" applyFont="1"/>
    <xf numFmtId="164" fontId="6" fillId="0" borderId="10" xfId="0" applyFont="1"/>
    <xf numFmtId="164" fontId="7" fillId="0" borderId="10" xfId="0" applyFont="1" applyAlignment="1">
      <alignment vertical="top"/>
    </xf>
    <xf numFmtId="164" fontId="7" fillId="0" borderId="10" xfId="0" applyFont="1"/>
    <xf numFmtId="164" fontId="8" fillId="0" borderId="10" xfId="0" applyFont="1" applyAlignment="1">
      <alignment vertical="center"/>
    </xf>
    <xf numFmtId="164" fontId="9" fillId="0" borderId="10" xfId="0" applyFont="1" applyAlignment="1">
      <alignment vertical="center" wrapText="1"/>
    </xf>
    <xf numFmtId="165" fontId="7" fillId="4" borderId="4" xfId="0" applyNumberFormat="1" applyFont="1" applyFill="1" applyBorder="1" applyAlignment="1">
      <alignment horizontal="left" vertical="top"/>
    </xf>
    <xf numFmtId="165" fontId="10" fillId="4" borderId="4" xfId="0" applyNumberFormat="1" applyFont="1" applyFill="1" applyBorder="1" applyAlignment="1">
      <alignment horizontal="center" vertical="top"/>
    </xf>
    <xf numFmtId="165" fontId="7" fillId="4" borderId="4" xfId="0" applyNumberFormat="1" applyFont="1" applyFill="1" applyBorder="1"/>
    <xf numFmtId="165" fontId="9" fillId="4" borderId="4" xfId="0" applyNumberFormat="1" applyFont="1" applyFill="1" applyBorder="1" applyAlignment="1">
      <alignment vertical="center" wrapText="1"/>
    </xf>
    <xf numFmtId="164" fontId="7" fillId="4" borderId="11" xfId="0" applyFont="1" applyFill="1" applyBorder="1" applyAlignment="1">
      <alignment vertical="top"/>
    </xf>
    <xf numFmtId="164" fontId="10" fillId="4" borderId="11" xfId="0" applyFont="1" applyFill="1" applyBorder="1" applyAlignment="1">
      <alignment horizontal="center" vertical="top"/>
    </xf>
    <xf numFmtId="164" fontId="7" fillId="4" borderId="11" xfId="0" applyFont="1" applyFill="1" applyBorder="1"/>
    <xf numFmtId="164" fontId="9" fillId="4" borderId="11" xfId="0" applyFont="1" applyFill="1" applyBorder="1" applyAlignment="1">
      <alignment vertical="center" wrapText="1"/>
    </xf>
    <xf numFmtId="164" fontId="11" fillId="0" borderId="10" xfId="0" applyFont="1"/>
    <xf numFmtId="165" fontId="4" fillId="2" borderId="4" xfId="0" applyNumberFormat="1" applyFont="1" applyFill="1" applyBorder="1"/>
    <xf numFmtId="164" fontId="6" fillId="2" borderId="4" xfId="0" applyFont="1" applyFill="1" applyBorder="1"/>
    <xf numFmtId="165" fontId="13" fillId="3" borderId="4" xfId="0" applyNumberFormat="1" applyFont="1" applyFill="1" applyBorder="1"/>
    <xf numFmtId="164" fontId="13" fillId="3" borderId="4" xfId="0" applyFont="1" applyFill="1" applyBorder="1"/>
    <xf numFmtId="164" fontId="7" fillId="5" borderId="4" xfId="0" applyFont="1" applyFill="1" applyBorder="1"/>
    <xf numFmtId="164" fontId="7" fillId="4" borderId="4" xfId="0" applyFont="1" applyFill="1" applyBorder="1"/>
    <xf numFmtId="164" fontId="7" fillId="4" borderId="4" xfId="0" applyFont="1" applyFill="1" applyBorder="1" applyAlignment="1">
      <alignment horizontal="left" vertical="top"/>
    </xf>
    <xf numFmtId="164" fontId="10" fillId="4" borderId="4" xfId="0" applyFont="1" applyFill="1" applyBorder="1" applyAlignment="1">
      <alignment horizontal="center" vertical="top"/>
    </xf>
    <xf numFmtId="164" fontId="11" fillId="4" borderId="4" xfId="0" applyFont="1" applyFill="1" applyBorder="1"/>
    <xf numFmtId="164" fontId="7" fillId="4" borderId="4" xfId="0" applyFont="1" applyFill="1" applyBorder="1" applyAlignment="1">
      <alignment vertical="top"/>
    </xf>
    <xf numFmtId="164" fontId="10" fillId="4" borderId="4" xfId="0" applyFont="1" applyFill="1" applyBorder="1" applyAlignment="1">
      <alignment vertical="top"/>
    </xf>
    <xf numFmtId="164" fontId="7" fillId="4" borderId="4" xfId="0" applyFont="1" applyFill="1" applyBorder="1" applyAlignment="1">
      <alignment vertical="top" wrapText="1"/>
    </xf>
    <xf numFmtId="165" fontId="7" fillId="4" borderId="4" xfId="0" applyNumberFormat="1" applyFont="1" applyFill="1" applyBorder="1" applyAlignment="1">
      <alignment vertical="top"/>
    </xf>
    <xf numFmtId="165" fontId="14" fillId="4" borderId="4" xfId="0" applyNumberFormat="1" applyFont="1" applyFill="1" applyBorder="1" applyAlignment="1">
      <alignment vertical="center" wrapText="1"/>
    </xf>
    <xf numFmtId="164" fontId="8" fillId="4" borderId="4" xfId="0" applyFont="1" applyFill="1" applyBorder="1" applyAlignment="1">
      <alignment vertical="center"/>
    </xf>
    <xf numFmtId="164" fontId="10" fillId="0" borderId="10" xfId="0" applyFont="1" applyAlignment="1">
      <alignment horizontal="center" vertical="top"/>
    </xf>
    <xf numFmtId="165" fontId="15" fillId="6" borderId="12" xfId="0" applyNumberFormat="1" applyFont="1" applyFill="1" applyBorder="1"/>
    <xf numFmtId="165" fontId="15" fillId="0" borderId="10" xfId="0" applyNumberFormat="1" applyFont="1" applyAlignment="1">
      <alignment vertical="top"/>
    </xf>
    <xf numFmtId="165" fontId="7" fillId="0" borderId="10" xfId="0" applyNumberFormat="1" applyFont="1"/>
    <xf numFmtId="165" fontId="8" fillId="0" borderId="10" xfId="0" applyNumberFormat="1" applyFont="1" applyAlignment="1">
      <alignment horizontal="left" vertical="center"/>
    </xf>
    <xf numFmtId="164" fontId="8" fillId="0" borderId="10" xfId="0" applyFont="1" applyAlignment="1">
      <alignment horizontal="left" vertical="center"/>
    </xf>
    <xf numFmtId="164" fontId="11" fillId="0" borderId="10" xfId="0" applyFont="1" applyAlignment="1">
      <alignment horizontal="right"/>
    </xf>
    <xf numFmtId="167" fontId="11" fillId="0" borderId="10" xfId="0" applyNumberFormat="1" applyFont="1"/>
    <xf numFmtId="168" fontId="11" fillId="0" borderId="10" xfId="0" applyNumberFormat="1" applyFont="1"/>
    <xf numFmtId="164" fontId="4" fillId="2" borderId="4" xfId="0" applyFont="1" applyFill="1" applyBorder="1" applyAlignment="1">
      <alignment horizontal="left"/>
    </xf>
    <xf numFmtId="164" fontId="6" fillId="0" borderId="10" xfId="0" applyFont="1" applyAlignment="1">
      <alignment vertical="center"/>
    </xf>
    <xf numFmtId="164" fontId="13" fillId="0" borderId="10" xfId="0" applyFont="1"/>
    <xf numFmtId="169" fontId="11" fillId="0" borderId="10" xfId="0" applyNumberFormat="1" applyFont="1"/>
    <xf numFmtId="166" fontId="11" fillId="0" borderId="10" xfId="0" applyNumberFormat="1" applyFont="1"/>
    <xf numFmtId="164" fontId="15" fillId="6" borderId="4" xfId="0" applyFont="1" applyFill="1" applyBorder="1"/>
    <xf numFmtId="165" fontId="16" fillId="3" borderId="4" xfId="0" applyNumberFormat="1" applyFont="1" applyFill="1" applyBorder="1" applyAlignment="1">
      <alignment horizontal="center"/>
    </xf>
    <xf numFmtId="167" fontId="11" fillId="0" borderId="10" xfId="0" applyNumberFormat="1" applyFont="1" applyAlignment="1">
      <alignment horizontal="right"/>
    </xf>
    <xf numFmtId="164" fontId="3" fillId="0" borderId="10" xfId="0" applyFont="1"/>
    <xf numFmtId="169" fontId="16" fillId="3" borderId="4" xfId="0" applyNumberFormat="1" applyFont="1" applyFill="1" applyBorder="1" applyAlignment="1">
      <alignment horizontal="center"/>
    </xf>
    <xf numFmtId="167" fontId="15" fillId="6" borderId="12" xfId="0" applyNumberFormat="1" applyFont="1" applyFill="1" applyBorder="1"/>
    <xf numFmtId="170" fontId="11" fillId="0" borderId="10" xfId="0" applyNumberFormat="1" applyFont="1"/>
    <xf numFmtId="168" fontId="15" fillId="6" borderId="12" xfId="0" applyNumberFormat="1" applyFont="1" applyFill="1" applyBorder="1"/>
    <xf numFmtId="168" fontId="16" fillId="3" borderId="4" xfId="0" applyNumberFormat="1" applyFont="1" applyFill="1" applyBorder="1" applyAlignment="1">
      <alignment horizontal="center"/>
    </xf>
    <xf numFmtId="165" fontId="16" fillId="3" borderId="4" xfId="0" applyNumberFormat="1" applyFont="1" applyFill="1" applyBorder="1" applyAlignment="1">
      <alignment horizontal="right"/>
    </xf>
    <xf numFmtId="171" fontId="15" fillId="6" borderId="12" xfId="0" applyNumberFormat="1" applyFont="1" applyFill="1" applyBorder="1"/>
    <xf numFmtId="165" fontId="13" fillId="3" borderId="4" xfId="0" applyNumberFormat="1" applyFont="1" applyFill="1" applyBorder="1" applyAlignment="1">
      <alignment horizontal="left" vertical="center"/>
    </xf>
    <xf numFmtId="166" fontId="15" fillId="6" borderId="4" xfId="0" applyNumberFormat="1" applyFont="1" applyFill="1" applyBorder="1"/>
    <xf numFmtId="164" fontId="11" fillId="7" borderId="4" xfId="0" applyFont="1" applyFill="1" applyBorder="1"/>
    <xf numFmtId="164" fontId="15" fillId="7" borderId="4" xfId="0" applyFont="1" applyFill="1" applyBorder="1"/>
    <xf numFmtId="164" fontId="11" fillId="6" borderId="4" xfId="0" applyFont="1" applyFill="1" applyBorder="1"/>
    <xf numFmtId="165" fontId="11" fillId="0" borderId="10" xfId="0" applyNumberFormat="1" applyFont="1" applyAlignment="1">
      <alignment horizontal="right"/>
    </xf>
    <xf numFmtId="164" fontId="11" fillId="0" borderId="10" xfId="0" applyFont="1" applyAlignment="1">
      <alignment horizontal="right" vertical="top" wrapText="1"/>
    </xf>
    <xf numFmtId="169" fontId="15" fillId="7" borderId="4" xfId="0" applyNumberFormat="1" applyFont="1" applyFill="1" applyBorder="1"/>
    <xf numFmtId="164" fontId="18" fillId="0" borderId="10" xfId="23" applyNumberFormat="1" applyFill="1"/>
    <xf numFmtId="168" fontId="18" fillId="21" borderId="12" xfId="7" applyNumberFormat="1">
      <protection locked="0"/>
    </xf>
    <xf numFmtId="164" fontId="3" fillId="0" borderId="10" xfId="0" applyFont="1" applyAlignment="1">
      <alignment horizontal="right"/>
    </xf>
    <xf numFmtId="167" fontId="0" fillId="0" borderId="10" xfId="3" applyFont="1" applyFill="1"/>
    <xf numFmtId="167" fontId="18" fillId="21" borderId="12" xfId="7" applyNumberFormat="1">
      <protection locked="0"/>
    </xf>
    <xf numFmtId="0" fontId="44" fillId="0" borderId="10" xfId="0" applyNumberFormat="1" applyFont="1"/>
    <xf numFmtId="164" fontId="44" fillId="0" borderId="10" xfId="0" applyFont="1"/>
    <xf numFmtId="170" fontId="44" fillId="0" borderId="10" xfId="0" applyNumberFormat="1" applyFont="1"/>
    <xf numFmtId="164" fontId="17" fillId="0" borderId="10" xfId="0" applyFont="1"/>
    <xf numFmtId="165" fontId="18" fillId="0" borderId="10" xfId="23" applyFill="1" applyAlignment="1">
      <alignment vertical="top"/>
    </xf>
    <xf numFmtId="170" fontId="31" fillId="0" borderId="10" xfId="23" applyNumberFormat="1" applyFont="1" applyFill="1" applyAlignment="1">
      <alignment vertical="top"/>
    </xf>
    <xf numFmtId="167" fontId="44" fillId="0" borderId="10" xfId="3" applyFont="1" applyFill="1"/>
    <xf numFmtId="168" fontId="44" fillId="0" borderId="10" xfId="25" applyFont="1"/>
    <xf numFmtId="167" fontId="44" fillId="0" borderId="10" xfId="0" applyNumberFormat="1" applyFont="1" applyAlignment="1">
      <alignment horizontal="center"/>
    </xf>
    <xf numFmtId="165" fontId="35" fillId="19" borderId="10" xfId="26" applyNumberFormat="1">
      <alignment horizontal="left"/>
    </xf>
    <xf numFmtId="164" fontId="45" fillId="20" borderId="10" xfId="0" applyFont="1" applyFill="1"/>
    <xf numFmtId="164" fontId="0" fillId="0" borderId="10" xfId="0" applyAlignment="1">
      <alignment horizontal="center"/>
    </xf>
    <xf numFmtId="170" fontId="0" fillId="0" borderId="10" xfId="0" applyNumberFormat="1"/>
    <xf numFmtId="167" fontId="3" fillId="0" borderId="10" xfId="0" applyNumberFormat="1" applyFont="1"/>
    <xf numFmtId="164" fontId="3" fillId="4" borderId="4" xfId="0" applyFont="1" applyFill="1" applyBorder="1"/>
    <xf numFmtId="164" fontId="35" fillId="19" borderId="10" xfId="26" applyNumberFormat="1">
      <alignment horizontal="left"/>
    </xf>
    <xf numFmtId="164" fontId="37" fillId="0" borderId="10" xfId="28" applyNumberFormat="1">
      <alignment horizontal="left" vertical="center"/>
    </xf>
    <xf numFmtId="164" fontId="18" fillId="21" borderId="12" xfId="7" applyNumberFormat="1">
      <protection locked="0"/>
    </xf>
    <xf numFmtId="168" fontId="0" fillId="0" borderId="10" xfId="25" applyFont="1"/>
    <xf numFmtId="174" fontId="0" fillId="0" borderId="10" xfId="0" applyNumberFormat="1"/>
    <xf numFmtId="164" fontId="44" fillId="0" borderId="10" xfId="0" applyFont="1" applyAlignment="1">
      <alignment horizontal="centerContinuous"/>
    </xf>
    <xf numFmtId="164" fontId="11" fillId="0" borderId="10" xfId="0" applyFont="1" applyAlignment="1">
      <alignment horizontal="centerContinuous"/>
    </xf>
    <xf numFmtId="173" fontId="18" fillId="21" borderId="12" xfId="7">
      <protection locked="0"/>
    </xf>
    <xf numFmtId="165" fontId="37" fillId="0" borderId="10" xfId="28" applyNumberFormat="1">
      <alignment horizontal="left" vertical="center"/>
    </xf>
    <xf numFmtId="164" fontId="3" fillId="0" borderId="10" xfId="0" quotePrefix="1" applyFont="1"/>
    <xf numFmtId="164" fontId="37" fillId="0" borderId="10" xfId="28" applyNumberFormat="1" applyFill="1">
      <alignment horizontal="left" vertical="center"/>
    </xf>
    <xf numFmtId="167" fontId="44" fillId="0" borderId="10" xfId="0" applyNumberFormat="1" applyFont="1"/>
    <xf numFmtId="169" fontId="16" fillId="3" borderId="10" xfId="0" applyNumberFormat="1" applyFont="1" applyFill="1" applyAlignment="1">
      <alignment horizontal="center"/>
    </xf>
    <xf numFmtId="164" fontId="0" fillId="42" borderId="10" xfId="0" applyFill="1"/>
    <xf numFmtId="164" fontId="44" fillId="42" borderId="10" xfId="0" applyFont="1" applyFill="1"/>
    <xf numFmtId="167" fontId="44" fillId="42" borderId="10" xfId="3" applyFont="1" applyFill="1"/>
    <xf numFmtId="167" fontId="31" fillId="42" borderId="10" xfId="3" applyFill="1"/>
    <xf numFmtId="168" fontId="0" fillId="42" borderId="10" xfId="25" applyFont="1" applyFill="1"/>
    <xf numFmtId="168" fontId="44" fillId="42" borderId="10" xfId="25" applyFont="1" applyFill="1"/>
    <xf numFmtId="167" fontId="11" fillId="42" borderId="10" xfId="0" applyNumberFormat="1" applyFont="1" applyFill="1"/>
    <xf numFmtId="167" fontId="3" fillId="42" borderId="10" xfId="0" applyNumberFormat="1" applyFont="1" applyFill="1"/>
    <xf numFmtId="164" fontId="0" fillId="43" borderId="10" xfId="0" applyFill="1"/>
    <xf numFmtId="171" fontId="0" fillId="0" borderId="10" xfId="3" applyNumberFormat="1" applyFont="1" applyFill="1"/>
    <xf numFmtId="168" fontId="11" fillId="0" borderId="10" xfId="25" applyFont="1"/>
    <xf numFmtId="167" fontId="16" fillId="3" borderId="10" xfId="3" applyFont="1" applyFill="1" applyBorder="1" applyAlignment="1">
      <alignment horizontal="center"/>
    </xf>
    <xf numFmtId="165" fontId="12" fillId="4" borderId="1" xfId="0" applyNumberFormat="1" applyFont="1" applyFill="1" applyBorder="1" applyAlignment="1">
      <alignment horizontal="center" vertical="center" wrapText="1"/>
    </xf>
    <xf numFmtId="0" fontId="5" fillId="0" borderId="2" xfId="0" applyNumberFormat="1" applyFont="1" applyBorder="1"/>
    <xf numFmtId="0" fontId="5" fillId="0" borderId="3" xfId="0" applyNumberFormat="1" applyFont="1" applyBorder="1"/>
    <xf numFmtId="165" fontId="4" fillId="2" borderId="1" xfId="0" applyNumberFormat="1" applyFont="1" applyFill="1" applyBorder="1" applyAlignment="1">
      <alignment horizontal="center"/>
    </xf>
    <xf numFmtId="165" fontId="4" fillId="3" borderId="1" xfId="0" applyNumberFormat="1" applyFont="1" applyFill="1" applyBorder="1" applyAlignment="1">
      <alignment horizontal="center" vertical="center"/>
    </xf>
    <xf numFmtId="165" fontId="7" fillId="4" borderId="1" xfId="0" applyNumberFormat="1" applyFont="1" applyFill="1" applyBorder="1" applyAlignment="1">
      <alignment horizontal="left" vertical="top"/>
    </xf>
    <xf numFmtId="165" fontId="11" fillId="4" borderId="5" xfId="0" applyNumberFormat="1" applyFont="1" applyFill="1" applyBorder="1" applyAlignment="1">
      <alignment horizontal="center" vertical="center" wrapText="1"/>
    </xf>
    <xf numFmtId="0" fontId="5" fillId="0" borderId="6" xfId="0" applyNumberFormat="1" applyFont="1" applyBorder="1"/>
    <xf numFmtId="0" fontId="5" fillId="0" borderId="7" xfId="0" applyNumberFormat="1" applyFont="1" applyBorder="1"/>
    <xf numFmtId="0" fontId="5" fillId="0" borderId="8" xfId="0" applyNumberFormat="1" applyFont="1" applyBorder="1"/>
    <xf numFmtId="0" fontId="5" fillId="0" borderId="9" xfId="0" applyNumberFormat="1" applyFont="1" applyBorder="1"/>
    <xf numFmtId="0" fontId="5" fillId="0" borderId="10" xfId="0" applyNumberFormat="1" applyFont="1"/>
    <xf numFmtId="165" fontId="11" fillId="4" borderId="1" xfId="0" applyNumberFormat="1" applyFont="1" applyFill="1" applyBorder="1" applyAlignment="1">
      <alignment horizontal="center" vertical="center" wrapText="1"/>
    </xf>
    <xf numFmtId="164" fontId="8" fillId="4" borderId="1" xfId="0" applyFont="1" applyFill="1" applyBorder="1" applyAlignment="1">
      <alignment horizontal="left" vertical="center"/>
    </xf>
    <xf numFmtId="164" fontId="11" fillId="4" borderId="1" xfId="0" applyFont="1" applyFill="1" applyBorder="1"/>
    <xf numFmtId="166" fontId="11" fillId="4" borderId="1" xfId="0" applyNumberFormat="1" applyFont="1" applyFill="1" applyBorder="1" applyAlignment="1">
      <alignment horizontal="left"/>
    </xf>
    <xf numFmtId="164" fontId="3" fillId="4" borderId="10" xfId="0" applyFont="1" applyFill="1"/>
    <xf numFmtId="164" fontId="11" fillId="4" borderId="1" xfId="0" applyFont="1" applyFill="1" applyBorder="1" applyAlignment="1">
      <alignment horizontal="left"/>
    </xf>
  </cellXfs>
  <cellStyles count="56">
    <cellStyle name="20% - Accent1" xfId="14" builtinId="30" hidden="1"/>
    <cellStyle name="20% - Accent2" xfId="15" builtinId="34" hidden="1"/>
    <cellStyle name="20% - Accent3" xfId="16" builtinId="38" hidden="1"/>
    <cellStyle name="20% - Accent4" xfId="17" builtinId="42" hidden="1"/>
    <cellStyle name="20% - Accent5" xfId="18" builtinId="46" hidden="1"/>
    <cellStyle name="20% - Accent6" xfId="51" builtinId="50" hidden="1"/>
    <cellStyle name="40% - Accent1" xfId="36" builtinId="31" hidden="1"/>
    <cellStyle name="40% - Accent2" xfId="39" builtinId="35" hidden="1"/>
    <cellStyle name="40% - Accent3" xfId="42" builtinId="39" hidden="1"/>
    <cellStyle name="40% - Accent4" xfId="45" builtinId="43" hidden="1"/>
    <cellStyle name="40% - Accent5" xfId="48" builtinId="47" hidden="1"/>
    <cellStyle name="40% - Accent6" xfId="52" builtinId="51" hidden="1"/>
    <cellStyle name="60% - Accent1" xfId="37" builtinId="32" hidden="1"/>
    <cellStyle name="60% - Accent2" xfId="40" builtinId="36" hidden="1"/>
    <cellStyle name="60% - Accent3" xfId="43" builtinId="40" hidden="1"/>
    <cellStyle name="60% - Accent4" xfId="46" builtinId="44" hidden="1"/>
    <cellStyle name="60% - Accent5" xfId="49" builtinId="48" hidden="1"/>
    <cellStyle name="60% - Accent6" xfId="53" builtinId="52" hidden="1"/>
    <cellStyle name="Accent1" xfId="35" builtinId="29" hidden="1"/>
    <cellStyle name="Accent2" xfId="38" builtinId="33" hidden="1"/>
    <cellStyle name="Accent3" xfId="41" builtinId="37" hidden="1"/>
    <cellStyle name="Accent4" xfId="44" builtinId="41" hidden="1"/>
    <cellStyle name="Accent5" xfId="47" builtinId="45" hidden="1"/>
    <cellStyle name="Accent6" xfId="50" builtinId="49" hidden="1"/>
    <cellStyle name="Background Fill" xfId="19" xr:uid="{D191FE50-09C8-424C-B523-D5D33B56345E}"/>
    <cellStyle name="Bad" xfId="5" builtinId="27" hidden="1"/>
    <cellStyle name="Calculation" xfId="9" builtinId="22" hidden="1"/>
    <cellStyle name="Check Cell" xfId="11" builtinId="23" hidden="1"/>
    <cellStyle name="Column Heading" xfId="20" xr:uid="{8CE03F7A-D579-4116-BD76-5386275F696F}"/>
    <cellStyle name="Date" xfId="21" xr:uid="{FA95EFB7-623E-4156-84B8-31B8752CCC36}"/>
    <cellStyle name="Date Heading" xfId="22" xr:uid="{44984087-7F5A-4DE4-9F41-09BCF05F1D03}"/>
    <cellStyle name="Explanatory Text" xfId="13" builtinId="53" hidden="1"/>
    <cellStyle name="Followed Hyperlink" xfId="2" builtinId="9" hidden="1" customBuiltin="1"/>
    <cellStyle name="Good" xfId="4" builtinId="26" hidden="1"/>
    <cellStyle name="Hard Coded Number" xfId="23" xr:uid="{82755E70-246C-4CB7-9303-88EF5B451766}"/>
    <cellStyle name="Heading" xfId="24" xr:uid="{C8A98528-CED2-4D7C-97E6-776B729BE0F9}"/>
    <cellStyle name="Heading 1" xfId="30" builtinId="16" hidden="1"/>
    <cellStyle name="Heading 2" xfId="31" builtinId="17" hidden="1"/>
    <cellStyle name="Heading 3" xfId="32" builtinId="18" hidden="1"/>
    <cellStyle name="Heading 4" xfId="33" builtinId="19" hidden="1"/>
    <cellStyle name="Hist Proj Title" xfId="54" xr:uid="{E9FC07E9-BE70-4B3D-B295-D2B3B8962153}"/>
    <cellStyle name="Hyperlink" xfId="1" builtinId="8" hidden="1" customBuiltin="1"/>
    <cellStyle name="Input" xfId="7" builtinId="20" customBuiltin="1"/>
    <cellStyle name="Linked Cell" xfId="10" builtinId="24" hidden="1"/>
    <cellStyle name="Multiple" xfId="25" xr:uid="{7924ABA2-E6A2-45F9-B328-713CA1055226}"/>
    <cellStyle name="Neutral" xfId="6" builtinId="28" hidden="1"/>
    <cellStyle name="Normal" xfId="0" builtinId="0" customBuiltin="1"/>
    <cellStyle name="Note" xfId="55" builtinId="10" hidden="1"/>
    <cellStyle name="Output" xfId="8" builtinId="21" hidden="1"/>
    <cellStyle name="Percent" xfId="3" builtinId="5" customBuiltin="1"/>
    <cellStyle name="Primary Title" xfId="26" xr:uid="{6B18F1F5-1555-429C-AD8E-4077B9A3BD34}"/>
    <cellStyle name="Secondary Title" xfId="27" xr:uid="{85E7E940-8AA6-49D5-9D0B-C04186ADEBA4}"/>
    <cellStyle name="Tertiary Title" xfId="28" xr:uid="{E083078C-9C44-412C-A3EE-BC4704FC53AB}"/>
    <cellStyle name="Title" xfId="29" builtinId="15" hidden="1"/>
    <cellStyle name="Total" xfId="34" builtinId="25" hidden="1"/>
    <cellStyle name="Warning Text" xfId="12" builtinId="11" hidden="1"/>
  </cellStyles>
  <dxfs count="0"/>
  <tableStyles count="0" defaultTableStyle="TableStyleMedium2" defaultPivotStyle="PivotStyleLight16"/>
  <colors>
    <mruColors>
      <color rgb="FFCCFFFF"/>
      <color rgb="FFFFC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customXml" Target="../customXml/item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haredStrings" Target="sharedStrings.xml"/><Relationship Id="rId5" Type="http://schemas.openxmlformats.org/officeDocument/2006/relationships/worksheet" Target="worksheets/sheet5.xml"/><Relationship Id="rId15" Type="http://schemas.openxmlformats.org/officeDocument/2006/relationships/customXml" Target="../customXml/item3.xml"/><Relationship Id="rId10" Type="http://schemas.openxmlformats.org/officeDocument/2006/relationships/styles" Target="styles.xml"/><Relationship Id="rId4" Type="http://schemas.openxmlformats.org/officeDocument/2006/relationships/worksheet" Target="worksheets/sheet4.xml"/><Relationship Id="rId9" Type="http://schemas.openxmlformats.org/officeDocument/2006/relationships/theme" Target="theme/theme1.xml"/><Relationship Id="rId14" Type="http://schemas.openxmlformats.org/officeDocument/2006/relationships/customXml" Target="../customXml/item2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4</xdr:col>
      <xdr:colOff>19050</xdr:colOff>
      <xdr:row>0</xdr:row>
      <xdr:rowOff>1019175</xdr:rowOff>
    </xdr:from>
    <xdr:ext cx="3590925" cy="523875"/>
    <xdr:pic>
      <xdr:nvPicPr>
        <xdr:cNvPr id="2" name="image1.png">
          <a:extLst>
            <a:ext uri="{FF2B5EF4-FFF2-40B4-BE49-F238E27FC236}">
              <a16:creationId xmlns:a16="http://schemas.microsoft.com/office/drawing/2014/main" id="{00000000-0008-0000-0100-00000200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</xdr:wsDr>
</file>

<file path=xl/drawings/drawing2.xml><?xml version="1.0" encoding="utf-8"?>
<xdr:wsDr xmlns:xdr="http://schemas.openxmlformats.org/drawingml/2006/spreadsheetDrawing" xmlns:a="http://schemas.openxmlformats.org/drawingml/2006/main">
  <xdr:oneCellAnchor>
    <xdr:from>
      <xdr:col>15</xdr:col>
      <xdr:colOff>1914514</xdr:colOff>
      <xdr:row>0</xdr:row>
      <xdr:rowOff>114300</xdr:rowOff>
    </xdr:from>
    <xdr:ext cx="352425" cy="342900"/>
    <xdr:pic>
      <xdr:nvPicPr>
        <xdr:cNvPr id="2" name="image2.png">
          <a:extLst>
            <a:ext uri="{FF2B5EF4-FFF2-40B4-BE49-F238E27FC236}">
              <a16:creationId xmlns:a16="http://schemas.microsoft.com/office/drawing/2014/main" id="{00000000-0008-0000-0200-00000200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7843827" y="114300"/>
          <a:ext cx="352425" cy="342900"/>
        </a:xfrm>
        <a:prstGeom prst="rect">
          <a:avLst/>
        </a:prstGeom>
        <a:noFill/>
      </xdr:spPr>
    </xdr:pic>
    <xdr:clientData fLocksWithSheet="0"/>
  </xdr:oneCellAnchor>
</xdr:wsDr>
</file>

<file path=xl/theme/theme1.xml><?xml version="1.0" encoding="utf-8"?>
<a:theme xmlns:a="http://schemas.openxmlformats.org/drawingml/2006/main" name="Sheets">
  <a:themeElements>
    <a:clrScheme name="Sheets">
      <a:dk1>
        <a:srgbClr val="3F3F3F"/>
      </a:dk1>
      <a:lt1>
        <a:srgbClr val="FFFFFF"/>
      </a:lt1>
      <a:dk2>
        <a:srgbClr val="3F3F3F"/>
      </a:dk2>
      <a:lt2>
        <a:srgbClr val="FFFFFF"/>
      </a:lt2>
      <a:accent1>
        <a:srgbClr val="085393"/>
      </a:accent1>
      <a:accent2>
        <a:srgbClr val="8064A2"/>
      </a:accent2>
      <a:accent3>
        <a:srgbClr val="C0504D"/>
      </a:accent3>
      <a:accent4>
        <a:srgbClr val="ED7D31"/>
      </a:accent4>
      <a:accent5>
        <a:srgbClr val="FFC000"/>
      </a:accent5>
      <a:accent6>
        <a:srgbClr val="70AD47"/>
      </a:accent6>
      <a:hlink>
        <a:srgbClr val="085393"/>
      </a:hlink>
      <a:folHlink>
        <a:srgbClr val="085393"/>
      </a:folHlink>
    </a:clrScheme>
    <a:fontScheme name="Sheets">
      <a:majorFont>
        <a:latin typeface="Calibri"/>
        <a:ea typeface="Calibri"/>
        <a:cs typeface="Calibri"/>
      </a:majorFont>
      <a:minorFont>
        <a:latin typeface="Calibri"/>
        <a:ea typeface="Calibri"/>
        <a:cs typeface="Calibri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1.xml"/><Relationship Id="rId2" Type="http://schemas.openxmlformats.org/officeDocument/2006/relationships/printerSettings" Target="../printerSettings/printerSettings1.bin"/><Relationship Id="rId1" Type="http://schemas.openxmlformats.org/officeDocument/2006/relationships/hyperlink" Target="http://www.fe.training/" TargetMode="External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Z9"/>
  <sheetViews>
    <sheetView showGridLines="0" zoomScaleNormal="100" workbookViewId="0">
      <selection sqref="A1:N1"/>
    </sheetView>
  </sheetViews>
  <sheetFormatPr defaultColWidth="12.5703125" defaultRowHeight="15" customHeight="1" x14ac:dyDescent="0.25"/>
  <cols>
    <col min="1" max="1" width="8.5703125" customWidth="1"/>
    <col min="2" max="13" width="8" customWidth="1"/>
    <col min="14" max="14" width="8.5703125" customWidth="1"/>
    <col min="15" max="26" width="8" customWidth="1"/>
  </cols>
  <sheetData>
    <row r="1" spans="1:26" ht="189.75" customHeight="1" x14ac:dyDescent="0.45">
      <c r="A1" s="113"/>
      <c r="B1" s="111"/>
      <c r="C1" s="111"/>
      <c r="D1" s="111"/>
      <c r="E1" s="111"/>
      <c r="F1" s="111"/>
      <c r="G1" s="111"/>
      <c r="H1" s="111"/>
      <c r="I1" s="111"/>
      <c r="J1" s="111"/>
      <c r="K1" s="111"/>
      <c r="L1" s="111"/>
      <c r="M1" s="111"/>
      <c r="N1" s="112"/>
      <c r="V1" s="3"/>
      <c r="W1" s="3"/>
      <c r="X1" s="3"/>
      <c r="Y1" s="3"/>
      <c r="Z1" s="3"/>
    </row>
    <row r="2" spans="1:26" ht="75" customHeight="1" x14ac:dyDescent="0.25">
      <c r="A2" s="114" t="s">
        <v>241</v>
      </c>
      <c r="B2" s="111"/>
      <c r="C2" s="111"/>
      <c r="D2" s="111"/>
      <c r="E2" s="111"/>
      <c r="F2" s="111"/>
      <c r="G2" s="111"/>
      <c r="H2" s="111"/>
      <c r="I2" s="111"/>
      <c r="J2" s="111"/>
      <c r="K2" s="111"/>
      <c r="L2" s="111"/>
      <c r="M2" s="111"/>
      <c r="N2" s="112"/>
      <c r="V2" s="4"/>
      <c r="W2" s="4"/>
      <c r="X2" s="4"/>
      <c r="Y2" s="4"/>
      <c r="Z2" s="4"/>
    </row>
    <row r="3" spans="1:26" ht="7.5" customHeight="1" x14ac:dyDescent="0.25">
      <c r="A3" s="5"/>
      <c r="B3" s="6"/>
      <c r="C3" s="6"/>
      <c r="D3" s="5"/>
      <c r="E3" s="5"/>
      <c r="F3" s="7"/>
      <c r="G3" s="7"/>
      <c r="H3" s="7"/>
      <c r="I3" s="7"/>
      <c r="J3" s="7"/>
      <c r="K3" s="7"/>
      <c r="L3" s="5"/>
      <c r="M3" s="5"/>
      <c r="N3" s="5"/>
      <c r="V3" s="5"/>
      <c r="W3" s="5"/>
      <c r="X3" s="5"/>
      <c r="Y3" s="5"/>
      <c r="Z3" s="5"/>
    </row>
    <row r="4" spans="1:26" ht="15" customHeight="1" x14ac:dyDescent="0.25">
      <c r="A4" s="8"/>
      <c r="B4" s="9"/>
      <c r="C4" s="115"/>
      <c r="D4" s="112"/>
      <c r="E4" s="10"/>
      <c r="F4" s="11"/>
      <c r="G4" s="11"/>
      <c r="H4" s="11"/>
      <c r="I4" s="11"/>
      <c r="J4" s="11"/>
      <c r="K4" s="11"/>
      <c r="L4" s="10"/>
      <c r="M4" s="10"/>
      <c r="N4" s="10"/>
      <c r="V4" s="5"/>
      <c r="W4" s="5"/>
      <c r="X4" s="5"/>
      <c r="Y4" s="5"/>
      <c r="Z4" s="5"/>
    </row>
    <row r="5" spans="1:26" ht="15" customHeight="1" x14ac:dyDescent="0.25">
      <c r="A5" s="116" t="s">
        <v>0</v>
      </c>
      <c r="B5" s="117"/>
      <c r="C5" s="117"/>
      <c r="D5" s="117"/>
      <c r="E5" s="117"/>
      <c r="F5" s="117"/>
      <c r="G5" s="117"/>
      <c r="H5" s="117"/>
      <c r="I5" s="117"/>
      <c r="J5" s="117"/>
      <c r="K5" s="117"/>
      <c r="L5" s="117"/>
      <c r="M5" s="117"/>
      <c r="N5" s="118"/>
      <c r="V5" s="5"/>
      <c r="W5" s="5"/>
      <c r="X5" s="5"/>
      <c r="Y5" s="5"/>
      <c r="Z5" s="5"/>
    </row>
    <row r="6" spans="1:26" ht="15" customHeight="1" x14ac:dyDescent="0.25">
      <c r="A6" s="119"/>
      <c r="B6" s="120"/>
      <c r="C6" s="120"/>
      <c r="D6" s="120"/>
      <c r="E6" s="120"/>
      <c r="F6" s="120"/>
      <c r="G6" s="120"/>
      <c r="H6" s="120"/>
      <c r="I6" s="120"/>
      <c r="J6" s="120"/>
      <c r="K6" s="120"/>
      <c r="L6" s="120"/>
      <c r="M6" s="120"/>
      <c r="N6" s="121"/>
      <c r="V6" s="5"/>
      <c r="W6" s="5"/>
      <c r="X6" s="5"/>
      <c r="Y6" s="5"/>
      <c r="Z6" s="5"/>
    </row>
    <row r="7" spans="1:26" ht="15" customHeight="1" x14ac:dyDescent="0.25">
      <c r="A7" s="122" t="str">
        <f ca="1">"© "&amp;YEAR(TODAY())&amp;" Financial Edge Training"</f>
        <v>© 2025 Financial Edge Training</v>
      </c>
      <c r="B7" s="111"/>
      <c r="C7" s="111"/>
      <c r="D7" s="111"/>
      <c r="E7" s="111"/>
      <c r="F7" s="111"/>
      <c r="G7" s="111"/>
      <c r="H7" s="111"/>
      <c r="I7" s="111"/>
      <c r="J7" s="111"/>
      <c r="K7" s="111"/>
      <c r="L7" s="111"/>
      <c r="M7" s="111"/>
      <c r="N7" s="112"/>
      <c r="V7" s="5"/>
      <c r="W7" s="5"/>
      <c r="X7" s="5"/>
      <c r="Y7" s="5"/>
      <c r="Z7" s="5"/>
    </row>
    <row r="8" spans="1:26" ht="15" customHeight="1" x14ac:dyDescent="0.25">
      <c r="A8" s="110" t="s">
        <v>1</v>
      </c>
      <c r="B8" s="111"/>
      <c r="C8" s="111"/>
      <c r="D8" s="111"/>
      <c r="E8" s="111"/>
      <c r="F8" s="111"/>
      <c r="G8" s="111"/>
      <c r="H8" s="111"/>
      <c r="I8" s="111"/>
      <c r="J8" s="111"/>
      <c r="K8" s="111"/>
      <c r="L8" s="111"/>
      <c r="M8" s="111"/>
      <c r="N8" s="112"/>
      <c r="V8" s="5"/>
      <c r="W8" s="5"/>
      <c r="X8" s="5"/>
      <c r="Y8" s="5"/>
      <c r="Z8" s="5"/>
    </row>
    <row r="9" spans="1:26" ht="15" customHeight="1" x14ac:dyDescent="0.25">
      <c r="A9" s="12"/>
      <c r="B9" s="13"/>
      <c r="C9" s="12"/>
      <c r="D9" s="12"/>
      <c r="E9" s="14"/>
      <c r="F9" s="15"/>
      <c r="G9" s="15"/>
      <c r="H9" s="15"/>
      <c r="I9" s="15"/>
      <c r="J9" s="15"/>
      <c r="K9" s="15"/>
      <c r="L9" s="14"/>
      <c r="M9" s="14"/>
      <c r="N9" s="14"/>
      <c r="V9" s="5"/>
      <c r="W9" s="5"/>
      <c r="X9" s="5"/>
      <c r="Y9" s="5"/>
      <c r="Z9" s="5"/>
    </row>
  </sheetData>
  <mergeCells count="6">
    <mergeCell ref="A8:N8"/>
    <mergeCell ref="A1:N1"/>
    <mergeCell ref="A2:N2"/>
    <mergeCell ref="C4:D4"/>
    <mergeCell ref="A5:N6"/>
    <mergeCell ref="A7:N7"/>
  </mergeCells>
  <hyperlinks>
    <hyperlink ref="A8" r:id="rId1" xr:uid="{00000000-0004-0000-0100-000000000000}"/>
  </hyperlinks>
  <pageMargins left="0.7" right="0.7" top="0.75" bottom="0.75" header="0" footer="0"/>
  <pageSetup paperSize="9" scale="98" orientation="landscape" r:id="rId2"/>
  <headerFooter>
    <oddHeader>&amp;R&amp;F  &amp;A</oddHeader>
    <oddFooter>&amp;L© 2019&amp;CPage &amp;P of</oddFooter>
  </headerFooter>
  <drawing r:id="rId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AJ1000"/>
  <sheetViews>
    <sheetView showGridLines="0" zoomScaleNormal="100" workbookViewId="0">
      <selection activeCell="N10" sqref="N10:Q10"/>
    </sheetView>
  </sheetViews>
  <sheetFormatPr defaultColWidth="12.5703125" defaultRowHeight="15" customHeight="1" x14ac:dyDescent="0.25"/>
  <cols>
    <col min="1" max="1" width="1.140625" customWidth="1"/>
    <col min="2" max="2" width="2.5703125" customWidth="1"/>
    <col min="3" max="3" width="11.5703125" customWidth="1"/>
    <col min="4" max="4" width="2.5703125" customWidth="1"/>
    <col min="5" max="7" width="1.140625" customWidth="1"/>
    <col min="8" max="8" width="2.5703125" customWidth="1"/>
    <col min="9" max="9" width="37.5703125" customWidth="1"/>
    <col min="10" max="11" width="1.140625" customWidth="1"/>
    <col min="12" max="12" width="13.5703125" customWidth="1"/>
    <col min="13" max="14" width="1.140625" customWidth="1"/>
    <col min="15" max="15" width="2.5703125" customWidth="1"/>
    <col min="16" max="16" width="28.5703125" customWidth="1"/>
    <col min="17" max="17" width="2.5703125" customWidth="1"/>
    <col min="18" max="18" width="1.140625" customWidth="1"/>
    <col min="19" max="36" width="8" customWidth="1"/>
  </cols>
  <sheetData>
    <row r="1" spans="1:36" ht="45" customHeight="1" x14ac:dyDescent="0.45">
      <c r="A1" s="17" t="str">
        <f>Welcome!A2</f>
        <v>LBO Complex Additional Components</v>
      </c>
      <c r="B1" s="17"/>
      <c r="C1" s="17"/>
      <c r="D1" s="17"/>
      <c r="E1" s="17"/>
      <c r="F1" s="17"/>
      <c r="G1" s="17"/>
      <c r="H1" s="17"/>
      <c r="I1" s="17"/>
      <c r="J1" s="18"/>
      <c r="K1" s="18"/>
      <c r="L1" s="18"/>
      <c r="M1" s="18"/>
      <c r="N1" s="18"/>
      <c r="O1" s="18"/>
      <c r="P1" s="18"/>
      <c r="Q1" s="18"/>
      <c r="R1" s="18"/>
    </row>
    <row r="2" spans="1:36" ht="30" customHeight="1" x14ac:dyDescent="0.3">
      <c r="A2" s="19" t="s">
        <v>2</v>
      </c>
      <c r="B2" s="19"/>
      <c r="C2" s="19"/>
      <c r="D2" s="19"/>
      <c r="E2" s="19"/>
      <c r="F2" s="19"/>
      <c r="G2" s="19"/>
      <c r="H2" s="19"/>
      <c r="I2" s="19"/>
      <c r="J2" s="20"/>
      <c r="K2" s="20"/>
      <c r="L2" s="20"/>
      <c r="M2" s="20"/>
      <c r="N2" s="20"/>
      <c r="O2" s="20"/>
      <c r="P2" s="20"/>
      <c r="Q2" s="20"/>
      <c r="R2" s="20"/>
    </row>
    <row r="3" spans="1:36" ht="7.5" customHeight="1" x14ac:dyDescent="0.25">
      <c r="A3" s="21"/>
      <c r="B3" s="21"/>
      <c r="C3" s="21"/>
      <c r="D3" s="21"/>
      <c r="E3" s="21"/>
      <c r="F3" s="21"/>
      <c r="G3" s="21"/>
      <c r="H3" s="21"/>
      <c r="I3" s="21"/>
      <c r="J3" s="21"/>
      <c r="K3" s="21"/>
      <c r="L3" s="21"/>
      <c r="M3" s="21"/>
      <c r="N3" s="21"/>
      <c r="O3" s="21"/>
      <c r="P3" s="21"/>
      <c r="Q3" s="21"/>
      <c r="R3" s="21"/>
      <c r="Y3" s="21"/>
      <c r="Z3" s="21"/>
      <c r="AA3" s="21"/>
      <c r="AB3" s="21"/>
      <c r="AC3" s="21"/>
      <c r="AD3" s="21"/>
      <c r="AE3" s="21"/>
      <c r="AF3" s="21"/>
      <c r="AG3" s="21"/>
      <c r="AH3" s="21"/>
      <c r="AI3" s="21"/>
      <c r="AJ3" s="21"/>
    </row>
    <row r="4" spans="1:36" ht="22.5" customHeight="1" x14ac:dyDescent="0.25">
      <c r="A4" s="22"/>
      <c r="B4" s="123" t="s">
        <v>3</v>
      </c>
      <c r="C4" s="111"/>
      <c r="D4" s="111"/>
      <c r="E4" s="111"/>
      <c r="F4" s="111"/>
      <c r="G4" s="111"/>
      <c r="H4" s="111"/>
      <c r="I4" s="112"/>
      <c r="J4" s="21"/>
      <c r="K4" s="22"/>
      <c r="L4" s="123" t="s">
        <v>4</v>
      </c>
      <c r="M4" s="111"/>
      <c r="N4" s="111"/>
      <c r="O4" s="111"/>
      <c r="P4" s="112"/>
      <c r="Q4" s="11"/>
      <c r="R4" s="11"/>
      <c r="Y4" s="21"/>
      <c r="Z4" s="21"/>
      <c r="AA4" s="21"/>
      <c r="AB4" s="21"/>
      <c r="AC4" s="21"/>
      <c r="AD4" s="21"/>
      <c r="AE4" s="21"/>
      <c r="AF4" s="21"/>
      <c r="AG4" s="21"/>
      <c r="AH4" s="21"/>
      <c r="AI4" s="21"/>
      <c r="AJ4" s="21"/>
    </row>
    <row r="5" spans="1:36" ht="15" customHeight="1" x14ac:dyDescent="0.25">
      <c r="A5" s="23"/>
      <c r="B5" s="24" t="s">
        <v>5</v>
      </c>
      <c r="C5" s="84" t="s">
        <v>191</v>
      </c>
      <c r="D5" s="26"/>
      <c r="E5" s="26"/>
      <c r="F5" s="26"/>
      <c r="G5" s="26"/>
      <c r="H5" s="26"/>
      <c r="I5" s="26"/>
      <c r="J5" s="21"/>
      <c r="K5" s="22"/>
      <c r="L5" s="27" t="s">
        <v>6</v>
      </c>
      <c r="M5" s="27"/>
      <c r="N5" s="124"/>
      <c r="O5" s="111"/>
      <c r="P5" s="111"/>
      <c r="Q5" s="112"/>
      <c r="R5" s="11"/>
      <c r="Y5" s="21"/>
      <c r="Z5" s="21"/>
      <c r="AA5" s="21"/>
      <c r="AB5" s="21"/>
      <c r="AC5" s="21"/>
      <c r="AD5" s="21"/>
      <c r="AE5" s="21"/>
      <c r="AF5" s="21"/>
      <c r="AG5" s="21"/>
      <c r="AH5" s="21"/>
      <c r="AI5" s="21"/>
      <c r="AJ5" s="21"/>
    </row>
    <row r="6" spans="1:36" ht="15" customHeight="1" x14ac:dyDescent="0.25">
      <c r="A6" s="28"/>
      <c r="B6" s="24" t="s">
        <v>5</v>
      </c>
      <c r="C6" s="25" t="s">
        <v>153</v>
      </c>
      <c r="D6" s="26"/>
      <c r="E6" s="26"/>
      <c r="F6" s="26"/>
      <c r="G6" s="26"/>
      <c r="H6" s="26"/>
      <c r="I6" s="26"/>
      <c r="J6" s="21"/>
      <c r="K6" s="23"/>
      <c r="L6" s="27" t="s">
        <v>7</v>
      </c>
      <c r="M6" s="27"/>
      <c r="N6" s="125">
        <v>56249</v>
      </c>
      <c r="O6" s="111"/>
      <c r="P6" s="111"/>
      <c r="Q6" s="112"/>
      <c r="R6" s="11"/>
      <c r="Y6" s="21"/>
      <c r="Z6" s="21"/>
      <c r="AA6" s="21"/>
      <c r="AB6" s="21"/>
      <c r="AC6" s="21"/>
      <c r="AD6" s="21"/>
      <c r="AE6" s="21"/>
      <c r="AF6" s="21"/>
      <c r="AG6" s="21"/>
      <c r="AH6" s="21"/>
      <c r="AI6" s="21"/>
      <c r="AJ6" s="21"/>
    </row>
    <row r="7" spans="1:36" ht="15" customHeight="1" x14ac:dyDescent="0.25">
      <c r="A7" s="26"/>
      <c r="B7" s="24" t="s">
        <v>5</v>
      </c>
      <c r="C7" s="84" t="s">
        <v>184</v>
      </c>
      <c r="D7" s="26"/>
      <c r="E7" s="26"/>
      <c r="F7" s="26"/>
      <c r="G7" s="26"/>
      <c r="H7" s="26"/>
      <c r="I7" s="26"/>
      <c r="J7" s="21"/>
      <c r="K7" s="28"/>
      <c r="L7" s="27" t="s">
        <v>8</v>
      </c>
      <c r="M7" s="27"/>
      <c r="N7" s="126" t="s">
        <v>228</v>
      </c>
      <c r="O7" s="121"/>
      <c r="P7" s="121"/>
      <c r="Q7" s="121"/>
      <c r="R7" s="11"/>
      <c r="Y7" s="21"/>
      <c r="Z7" s="21"/>
      <c r="AA7" s="21"/>
      <c r="AB7" s="21"/>
      <c r="AC7" s="21"/>
      <c r="AD7" s="21"/>
      <c r="AE7" s="21"/>
      <c r="AF7" s="21"/>
      <c r="AG7" s="21"/>
      <c r="AH7" s="21"/>
      <c r="AI7" s="21"/>
      <c r="AJ7" s="21"/>
    </row>
    <row r="8" spans="1:36" ht="15" customHeight="1" x14ac:dyDescent="0.25">
      <c r="A8" s="26"/>
      <c r="B8" s="24"/>
      <c r="C8" s="25"/>
      <c r="D8" s="26"/>
      <c r="E8" s="26"/>
      <c r="F8" s="26"/>
      <c r="G8" s="26"/>
      <c r="H8" s="26"/>
      <c r="I8" s="26"/>
      <c r="J8" s="21"/>
      <c r="K8" s="26"/>
      <c r="L8" s="27" t="s">
        <v>10</v>
      </c>
      <c r="M8" s="27"/>
      <c r="N8" s="124" t="s">
        <v>11</v>
      </c>
      <c r="O8" s="111"/>
      <c r="P8" s="111"/>
      <c r="Q8" s="112"/>
      <c r="R8" s="11"/>
      <c r="Y8" s="21"/>
      <c r="Z8" s="21"/>
      <c r="AA8" s="21"/>
      <c r="AB8" s="21"/>
      <c r="AC8" s="21"/>
      <c r="AD8" s="21"/>
      <c r="AE8" s="21"/>
      <c r="AF8" s="21"/>
      <c r="AG8" s="21"/>
      <c r="AH8" s="21"/>
      <c r="AI8" s="21"/>
      <c r="AJ8" s="21"/>
    </row>
    <row r="9" spans="1:36" ht="15" customHeight="1" x14ac:dyDescent="0.25">
      <c r="A9" s="29"/>
      <c r="B9" s="24"/>
      <c r="C9" s="25"/>
      <c r="D9" s="29"/>
      <c r="E9" s="29"/>
      <c r="F9" s="29"/>
      <c r="G9" s="29"/>
      <c r="H9" s="29"/>
      <c r="I9" s="29"/>
      <c r="J9" s="21"/>
      <c r="K9" s="26"/>
      <c r="L9" s="27" t="s">
        <v>12</v>
      </c>
      <c r="M9" s="27"/>
      <c r="N9" s="124" t="s">
        <v>13</v>
      </c>
      <c r="O9" s="111"/>
      <c r="P9" s="111"/>
      <c r="Q9" s="112"/>
      <c r="R9" s="11"/>
      <c r="Y9" s="21"/>
      <c r="Z9" s="21"/>
      <c r="AA9" s="21"/>
      <c r="AB9" s="21"/>
      <c r="AC9" s="21"/>
      <c r="AD9" s="21"/>
      <c r="AE9" s="21"/>
      <c r="AF9" s="21"/>
      <c r="AG9" s="21"/>
      <c r="AH9" s="21"/>
      <c r="AI9" s="21"/>
      <c r="AJ9" s="21"/>
    </row>
    <row r="10" spans="1:36" ht="15" customHeight="1" x14ac:dyDescent="0.25">
      <c r="A10" s="10"/>
      <c r="B10" s="10"/>
      <c r="C10" s="10"/>
      <c r="D10" s="10"/>
      <c r="E10" s="10"/>
      <c r="F10" s="10"/>
      <c r="G10" s="10"/>
      <c r="H10" s="10"/>
      <c r="I10" s="10"/>
      <c r="J10" s="21"/>
      <c r="K10" s="26"/>
      <c r="L10" s="27" t="s">
        <v>14</v>
      </c>
      <c r="M10" s="27"/>
      <c r="N10" s="127">
        <v>0</v>
      </c>
      <c r="O10" s="111"/>
      <c r="P10" s="111"/>
      <c r="Q10" s="112"/>
      <c r="R10" s="30"/>
      <c r="Y10" s="21"/>
      <c r="Z10" s="21"/>
      <c r="AA10" s="21"/>
      <c r="AB10" s="21"/>
      <c r="AC10" s="21"/>
      <c r="AD10" s="21"/>
      <c r="AE10" s="21"/>
      <c r="AF10" s="21"/>
      <c r="AG10" s="21"/>
      <c r="AH10" s="21"/>
      <c r="AI10" s="21"/>
      <c r="AJ10" s="21"/>
    </row>
    <row r="11" spans="1:36" ht="15" customHeight="1" x14ac:dyDescent="0.25">
      <c r="A11" s="12"/>
      <c r="B11" s="12"/>
      <c r="C11" s="12"/>
      <c r="D11" s="12"/>
      <c r="E11" s="12"/>
      <c r="F11" s="12"/>
      <c r="G11" s="12"/>
      <c r="H11" s="12"/>
      <c r="I11" s="12"/>
      <c r="J11" s="21"/>
      <c r="K11" s="12"/>
      <c r="L11" s="12"/>
      <c r="M11" s="12"/>
      <c r="N11" s="12"/>
      <c r="O11" s="12"/>
      <c r="P11" s="12"/>
      <c r="Q11" s="12"/>
      <c r="R11" s="12"/>
      <c r="Y11" s="21"/>
      <c r="Z11" s="21"/>
      <c r="AA11" s="21"/>
      <c r="AB11" s="21"/>
      <c r="AC11" s="21"/>
      <c r="AD11" s="21"/>
      <c r="AE11" s="21"/>
      <c r="AF11" s="21"/>
      <c r="AG11" s="21"/>
      <c r="AH11" s="21"/>
      <c r="AI11" s="21"/>
      <c r="AJ11" s="21"/>
    </row>
    <row r="12" spans="1:36" ht="7.5" customHeight="1" x14ac:dyDescent="0.25">
      <c r="A12" s="21"/>
      <c r="B12" s="21"/>
      <c r="C12" s="21"/>
      <c r="D12" s="21"/>
      <c r="E12" s="21"/>
      <c r="F12" s="21"/>
      <c r="G12" s="21"/>
      <c r="H12" s="21"/>
      <c r="I12" s="21"/>
      <c r="J12" s="21"/>
      <c r="K12" s="7"/>
      <c r="L12" s="7"/>
      <c r="M12" s="7"/>
      <c r="N12" s="7"/>
      <c r="O12" s="7"/>
      <c r="P12" s="7"/>
      <c r="Q12" s="7"/>
      <c r="R12" s="7"/>
      <c r="Y12" s="21"/>
      <c r="Z12" s="21"/>
      <c r="AA12" s="21"/>
      <c r="AB12" s="21"/>
      <c r="AC12" s="21"/>
      <c r="AD12" s="21"/>
      <c r="AE12" s="21"/>
      <c r="AF12" s="21"/>
      <c r="AG12" s="21"/>
      <c r="AH12" s="21"/>
      <c r="AI12" s="21"/>
      <c r="AJ12" s="21"/>
    </row>
    <row r="13" spans="1:36" ht="22.5" customHeight="1" x14ac:dyDescent="0.25">
      <c r="A13" s="25"/>
      <c r="B13" s="123" t="s">
        <v>15</v>
      </c>
      <c r="C13" s="111"/>
      <c r="D13" s="111"/>
      <c r="E13" s="111"/>
      <c r="F13" s="111"/>
      <c r="G13" s="111"/>
      <c r="H13" s="111"/>
      <c r="I13" s="111"/>
      <c r="J13" s="111"/>
      <c r="K13" s="111"/>
      <c r="L13" s="112"/>
      <c r="M13" s="21"/>
      <c r="N13" s="22"/>
      <c r="O13" s="123" t="s">
        <v>16</v>
      </c>
      <c r="P13" s="111"/>
      <c r="Q13" s="112"/>
      <c r="R13" s="31"/>
      <c r="Y13" s="21"/>
      <c r="Z13" s="21"/>
      <c r="AA13" s="21"/>
      <c r="AB13" s="21"/>
      <c r="AC13" s="21"/>
      <c r="AD13" s="21"/>
      <c r="AE13" s="21"/>
      <c r="AF13" s="21"/>
      <c r="AG13" s="21"/>
      <c r="AH13" s="21"/>
      <c r="AI13" s="21"/>
      <c r="AJ13" s="21"/>
    </row>
    <row r="14" spans="1:36" ht="15" customHeight="1" x14ac:dyDescent="0.25">
      <c r="A14" s="26"/>
      <c r="B14" s="127"/>
      <c r="C14" s="112"/>
      <c r="D14" s="127"/>
      <c r="E14" s="111"/>
      <c r="F14" s="111"/>
      <c r="G14" s="111"/>
      <c r="H14" s="111"/>
      <c r="I14" s="111"/>
      <c r="J14" s="111"/>
      <c r="K14" s="111"/>
      <c r="L14" s="112"/>
      <c r="M14" s="21"/>
      <c r="N14" s="23"/>
      <c r="O14" s="32"/>
      <c r="P14" s="4"/>
      <c r="Q14" s="4"/>
      <c r="R14" s="26"/>
      <c r="Y14" s="21"/>
      <c r="Z14" s="21"/>
      <c r="AA14" s="21"/>
      <c r="AB14" s="21"/>
      <c r="AC14" s="21"/>
      <c r="AD14" s="21"/>
      <c r="AE14" s="21"/>
      <c r="AF14" s="21"/>
      <c r="AG14" s="21"/>
      <c r="AH14" s="21"/>
      <c r="AI14" s="21"/>
      <c r="AJ14" s="21"/>
    </row>
    <row r="15" spans="1:36" ht="15" customHeight="1" x14ac:dyDescent="0.25">
      <c r="A15" s="26"/>
      <c r="B15" s="127"/>
      <c r="C15" s="112"/>
      <c r="D15" s="127"/>
      <c r="E15" s="111"/>
      <c r="F15" s="111"/>
      <c r="G15" s="111"/>
      <c r="H15" s="111"/>
      <c r="I15" s="111"/>
      <c r="J15" s="111"/>
      <c r="K15" s="111"/>
      <c r="L15" s="112"/>
      <c r="M15" s="21"/>
      <c r="N15" s="28"/>
      <c r="O15" s="32"/>
      <c r="P15" s="33" t="s">
        <v>17</v>
      </c>
      <c r="Q15" s="4"/>
      <c r="R15" s="26"/>
      <c r="Y15" s="21"/>
      <c r="Z15" s="21"/>
      <c r="AA15" s="21"/>
      <c r="AB15" s="21"/>
      <c r="AC15" s="21"/>
      <c r="AD15" s="21"/>
      <c r="AE15" s="21"/>
      <c r="AF15" s="21"/>
      <c r="AG15" s="21"/>
      <c r="AH15" s="21"/>
      <c r="AI15" s="21"/>
      <c r="AJ15" s="21"/>
    </row>
    <row r="16" spans="1:36" ht="15" customHeight="1" x14ac:dyDescent="0.25">
      <c r="A16" s="26"/>
      <c r="B16" s="127"/>
      <c r="C16" s="112"/>
      <c r="D16" s="127"/>
      <c r="E16" s="111"/>
      <c r="F16" s="111"/>
      <c r="G16" s="111"/>
      <c r="H16" s="111"/>
      <c r="I16" s="111"/>
      <c r="J16" s="111"/>
      <c r="K16" s="111"/>
      <c r="L16" s="112"/>
      <c r="M16" s="21"/>
      <c r="N16" s="26"/>
      <c r="O16" s="32"/>
      <c r="P16" s="34" t="s">
        <v>18</v>
      </c>
      <c r="Q16" s="4"/>
      <c r="R16" s="26"/>
      <c r="Y16" s="21"/>
      <c r="Z16" s="21"/>
      <c r="AA16" s="21"/>
      <c r="AB16" s="21"/>
      <c r="AC16" s="21"/>
      <c r="AD16" s="21"/>
      <c r="AE16" s="21"/>
      <c r="AF16" s="21"/>
      <c r="AG16" s="21"/>
      <c r="AH16" s="21"/>
      <c r="AI16" s="21"/>
      <c r="AJ16" s="21"/>
    </row>
    <row r="17" spans="1:36" ht="15" customHeight="1" x14ac:dyDescent="0.25">
      <c r="A17" s="26"/>
      <c r="B17" s="127"/>
      <c r="C17" s="112"/>
      <c r="D17" s="127"/>
      <c r="E17" s="111"/>
      <c r="F17" s="111"/>
      <c r="G17" s="111"/>
      <c r="H17" s="111"/>
      <c r="I17" s="111"/>
      <c r="J17" s="111"/>
      <c r="K17" s="111"/>
      <c r="L17" s="112"/>
      <c r="M17" s="21"/>
      <c r="N17" s="26"/>
      <c r="O17" s="32"/>
      <c r="P17" s="2" t="s">
        <v>19</v>
      </c>
      <c r="Q17" s="4"/>
      <c r="R17" s="26"/>
      <c r="Y17" s="21"/>
      <c r="Z17" s="21"/>
      <c r="AA17" s="21"/>
      <c r="AB17" s="21"/>
      <c r="AC17" s="21"/>
      <c r="AD17" s="21"/>
      <c r="AE17" s="21"/>
      <c r="AF17" s="21"/>
      <c r="AG17" s="21"/>
      <c r="AH17" s="21"/>
      <c r="AI17" s="21"/>
      <c r="AJ17" s="21"/>
    </row>
    <row r="18" spans="1:36" ht="15" customHeight="1" x14ac:dyDescent="0.25">
      <c r="A18" s="10"/>
      <c r="B18" s="127"/>
      <c r="C18" s="112"/>
      <c r="D18" s="127"/>
      <c r="E18" s="111"/>
      <c r="F18" s="111"/>
      <c r="G18" s="111"/>
      <c r="H18" s="111"/>
      <c r="I18" s="111"/>
      <c r="J18" s="111"/>
      <c r="K18" s="111"/>
      <c r="L18" s="112"/>
      <c r="M18" s="21"/>
      <c r="N18" s="10"/>
      <c r="O18" s="35"/>
      <c r="P18" s="35"/>
      <c r="Q18" s="35"/>
      <c r="R18" s="10"/>
      <c r="Y18" s="21"/>
      <c r="Z18" s="21"/>
      <c r="AA18" s="21"/>
      <c r="AB18" s="21"/>
      <c r="AC18" s="21"/>
      <c r="AD18" s="21"/>
      <c r="AE18" s="21"/>
      <c r="AF18" s="21"/>
      <c r="AG18" s="21"/>
      <c r="AH18" s="21"/>
      <c r="AI18" s="21"/>
      <c r="AJ18" s="21"/>
    </row>
    <row r="19" spans="1:36" ht="14.25" customHeight="1" x14ac:dyDescent="0.25">
      <c r="A19" s="12"/>
      <c r="B19" s="12"/>
      <c r="C19" s="12"/>
      <c r="D19" s="12"/>
      <c r="E19" s="12"/>
      <c r="F19" s="12"/>
      <c r="G19" s="12"/>
      <c r="H19" s="12"/>
      <c r="I19" s="12"/>
      <c r="J19" s="12"/>
      <c r="K19" s="12"/>
      <c r="L19" s="12"/>
      <c r="N19" s="12"/>
      <c r="O19" s="12"/>
      <c r="P19" s="12"/>
      <c r="Q19" s="12"/>
      <c r="R19" s="12"/>
    </row>
    <row r="20" spans="1:36" ht="14.25" customHeight="1" x14ac:dyDescent="0.25">
      <c r="Q20" s="5"/>
    </row>
    <row r="21" spans="1:36" ht="14.25" customHeight="1" x14ac:dyDescent="0.25"/>
    <row r="22" spans="1:36" ht="14.25" customHeight="1" x14ac:dyDescent="0.25"/>
    <row r="23" spans="1:36" ht="14.25" customHeight="1" x14ac:dyDescent="0.25"/>
    <row r="24" spans="1:36" ht="14.25" customHeight="1" x14ac:dyDescent="0.25"/>
    <row r="25" spans="1:36" ht="14.25" customHeight="1" x14ac:dyDescent="0.25"/>
    <row r="26" spans="1:36" ht="14.25" customHeight="1" x14ac:dyDescent="0.25"/>
    <row r="27" spans="1:36" ht="14.25" customHeight="1" x14ac:dyDescent="0.25"/>
    <row r="28" spans="1:36" ht="14.25" customHeight="1" x14ac:dyDescent="0.25"/>
    <row r="29" spans="1:36" ht="14.25" customHeight="1" x14ac:dyDescent="0.25"/>
    <row r="30" spans="1:36" ht="14.25" customHeight="1" x14ac:dyDescent="0.25"/>
    <row r="31" spans="1:36" ht="14.25" customHeight="1" x14ac:dyDescent="0.25"/>
    <row r="32" spans="1:36" ht="14.25" customHeight="1" x14ac:dyDescent="0.25"/>
    <row r="33" ht="14.25" customHeight="1" x14ac:dyDescent="0.25"/>
    <row r="34" ht="14.25" customHeight="1" x14ac:dyDescent="0.25"/>
    <row r="35" ht="14.25" customHeight="1" x14ac:dyDescent="0.25"/>
    <row r="36" ht="14.25" customHeight="1" x14ac:dyDescent="0.25"/>
    <row r="37" ht="14.25" customHeight="1" x14ac:dyDescent="0.25"/>
    <row r="38" ht="14.25" customHeight="1" x14ac:dyDescent="0.25"/>
    <row r="39" ht="14.25" customHeight="1" x14ac:dyDescent="0.25"/>
    <row r="40" ht="14.25" customHeight="1" x14ac:dyDescent="0.25"/>
    <row r="41" ht="14.25" customHeight="1" x14ac:dyDescent="0.25"/>
    <row r="42" ht="14.25" customHeight="1" x14ac:dyDescent="0.25"/>
    <row r="43" ht="14.25" customHeight="1" x14ac:dyDescent="0.25"/>
    <row r="44" ht="14.25" customHeight="1" x14ac:dyDescent="0.25"/>
    <row r="45" ht="14.25" customHeight="1" x14ac:dyDescent="0.25"/>
    <row r="46" ht="14.25" customHeight="1" x14ac:dyDescent="0.25"/>
    <row r="47" ht="14.25" customHeight="1" x14ac:dyDescent="0.25"/>
    <row r="48" ht="14.25" customHeight="1" x14ac:dyDescent="0.25"/>
    <row r="49" ht="14.25" customHeight="1" x14ac:dyDescent="0.25"/>
    <row r="50" ht="14.25" customHeight="1" x14ac:dyDescent="0.25"/>
    <row r="51" ht="14.25" customHeight="1" x14ac:dyDescent="0.25"/>
    <row r="52" ht="14.25" customHeight="1" x14ac:dyDescent="0.25"/>
    <row r="53" ht="14.25" customHeight="1" x14ac:dyDescent="0.25"/>
    <row r="54" ht="14.25" customHeight="1" x14ac:dyDescent="0.25"/>
    <row r="55" ht="14.25" customHeight="1" x14ac:dyDescent="0.25"/>
    <row r="56" ht="14.25" customHeight="1" x14ac:dyDescent="0.25"/>
    <row r="57" ht="14.25" customHeight="1" x14ac:dyDescent="0.25"/>
    <row r="58" ht="14.25" customHeight="1" x14ac:dyDescent="0.25"/>
    <row r="59" ht="14.25" customHeight="1" x14ac:dyDescent="0.25"/>
    <row r="60" ht="14.25" customHeight="1" x14ac:dyDescent="0.25"/>
    <row r="61" ht="14.25" customHeight="1" x14ac:dyDescent="0.25"/>
    <row r="62" ht="14.25" customHeight="1" x14ac:dyDescent="0.25"/>
    <row r="63" ht="14.25" customHeight="1" x14ac:dyDescent="0.25"/>
    <row r="64" ht="14.25" customHeight="1" x14ac:dyDescent="0.25"/>
    <row r="65" ht="14.25" customHeight="1" x14ac:dyDescent="0.25"/>
    <row r="66" ht="14.25" customHeight="1" x14ac:dyDescent="0.25"/>
    <row r="67" ht="14.25" customHeight="1" x14ac:dyDescent="0.25"/>
    <row r="68" ht="14.25" customHeight="1" x14ac:dyDescent="0.25"/>
    <row r="69" ht="14.25" customHeight="1" x14ac:dyDescent="0.25"/>
    <row r="70" ht="14.25" customHeight="1" x14ac:dyDescent="0.25"/>
    <row r="71" ht="14.25" customHeight="1" x14ac:dyDescent="0.25"/>
    <row r="72" ht="14.25" customHeight="1" x14ac:dyDescent="0.25"/>
    <row r="73" ht="14.25" customHeight="1" x14ac:dyDescent="0.25"/>
    <row r="74" ht="14.25" customHeight="1" x14ac:dyDescent="0.25"/>
    <row r="75" ht="14.25" customHeight="1" x14ac:dyDescent="0.25"/>
    <row r="76" ht="14.25" customHeight="1" x14ac:dyDescent="0.25"/>
    <row r="77" ht="14.25" customHeight="1" x14ac:dyDescent="0.25"/>
    <row r="78" ht="14.25" customHeight="1" x14ac:dyDescent="0.25"/>
    <row r="79" ht="14.25" customHeight="1" x14ac:dyDescent="0.25"/>
    <row r="80" ht="14.25" customHeight="1" x14ac:dyDescent="0.25"/>
    <row r="81" ht="14.25" customHeight="1" x14ac:dyDescent="0.25"/>
    <row r="82" ht="14.25" customHeight="1" x14ac:dyDescent="0.25"/>
    <row r="83" ht="14.25" customHeight="1" x14ac:dyDescent="0.25"/>
    <row r="84" ht="14.25" customHeight="1" x14ac:dyDescent="0.25"/>
    <row r="85" ht="14.25" customHeight="1" x14ac:dyDescent="0.25"/>
    <row r="86" ht="14.25" customHeight="1" x14ac:dyDescent="0.25"/>
    <row r="87" ht="14.25" customHeight="1" x14ac:dyDescent="0.25"/>
    <row r="88" ht="14.25" customHeight="1" x14ac:dyDescent="0.25"/>
    <row r="89" ht="14.25" customHeight="1" x14ac:dyDescent="0.25"/>
    <row r="90" ht="14.25" customHeight="1" x14ac:dyDescent="0.25"/>
    <row r="91" ht="14.25" customHeight="1" x14ac:dyDescent="0.25"/>
    <row r="92" ht="14.25" customHeight="1" x14ac:dyDescent="0.25"/>
    <row r="93" ht="14.25" customHeight="1" x14ac:dyDescent="0.25"/>
    <row r="94" ht="14.25" customHeight="1" x14ac:dyDescent="0.25"/>
    <row r="95" ht="14.25" customHeight="1" x14ac:dyDescent="0.25"/>
    <row r="96" ht="14.25" customHeight="1" x14ac:dyDescent="0.25"/>
    <row r="97" ht="14.25" customHeight="1" x14ac:dyDescent="0.25"/>
    <row r="98" ht="14.25" customHeight="1" x14ac:dyDescent="0.25"/>
    <row r="99" ht="14.25" customHeight="1" x14ac:dyDescent="0.25"/>
    <row r="100" ht="14.25" customHeight="1" x14ac:dyDescent="0.25"/>
    <row r="101" ht="14.25" customHeight="1" x14ac:dyDescent="0.25"/>
    <row r="102" ht="14.25" customHeight="1" x14ac:dyDescent="0.25"/>
    <row r="103" ht="14.25" customHeight="1" x14ac:dyDescent="0.25"/>
    <row r="104" ht="14.25" customHeight="1" x14ac:dyDescent="0.25"/>
    <row r="105" ht="14.25" customHeight="1" x14ac:dyDescent="0.25"/>
    <row r="106" ht="14.25" customHeight="1" x14ac:dyDescent="0.25"/>
    <row r="107" ht="14.25" customHeight="1" x14ac:dyDescent="0.25"/>
    <row r="108" ht="14.25" customHeight="1" x14ac:dyDescent="0.25"/>
    <row r="109" ht="14.25" customHeight="1" x14ac:dyDescent="0.25"/>
    <row r="110" ht="14.25" customHeight="1" x14ac:dyDescent="0.25"/>
    <row r="111" ht="14.25" customHeight="1" x14ac:dyDescent="0.25"/>
    <row r="112" ht="14.25" customHeight="1" x14ac:dyDescent="0.25"/>
    <row r="113" ht="14.25" customHeight="1" x14ac:dyDescent="0.25"/>
    <row r="114" ht="14.25" customHeight="1" x14ac:dyDescent="0.25"/>
    <row r="115" ht="14.25" customHeight="1" x14ac:dyDescent="0.25"/>
    <row r="116" ht="14.25" customHeight="1" x14ac:dyDescent="0.25"/>
    <row r="117" ht="14.25" customHeight="1" x14ac:dyDescent="0.25"/>
    <row r="118" ht="14.25" customHeight="1" x14ac:dyDescent="0.25"/>
    <row r="119" ht="14.25" customHeight="1" x14ac:dyDescent="0.25"/>
    <row r="120" ht="14.25" customHeight="1" x14ac:dyDescent="0.25"/>
    <row r="121" ht="14.25" customHeight="1" x14ac:dyDescent="0.25"/>
    <row r="122" ht="14.25" customHeight="1" x14ac:dyDescent="0.25"/>
    <row r="123" ht="14.25" customHeight="1" x14ac:dyDescent="0.25"/>
    <row r="124" ht="14.25" customHeight="1" x14ac:dyDescent="0.25"/>
    <row r="125" ht="14.25" customHeight="1" x14ac:dyDescent="0.25"/>
    <row r="126" ht="14.25" customHeight="1" x14ac:dyDescent="0.25"/>
    <row r="127" ht="14.25" customHeight="1" x14ac:dyDescent="0.25"/>
    <row r="128" ht="14.25" customHeight="1" x14ac:dyDescent="0.25"/>
    <row r="129" ht="14.25" customHeight="1" x14ac:dyDescent="0.25"/>
    <row r="130" ht="14.25" customHeight="1" x14ac:dyDescent="0.25"/>
    <row r="131" ht="14.25" customHeight="1" x14ac:dyDescent="0.25"/>
    <row r="132" ht="14.25" customHeight="1" x14ac:dyDescent="0.25"/>
    <row r="133" ht="14.25" customHeight="1" x14ac:dyDescent="0.25"/>
    <row r="134" ht="14.25" customHeight="1" x14ac:dyDescent="0.25"/>
    <row r="135" ht="14.25" customHeight="1" x14ac:dyDescent="0.25"/>
    <row r="136" ht="14.25" customHeight="1" x14ac:dyDescent="0.25"/>
    <row r="137" ht="14.25" customHeight="1" x14ac:dyDescent="0.25"/>
    <row r="138" ht="14.25" customHeight="1" x14ac:dyDescent="0.25"/>
    <row r="139" ht="14.25" customHeight="1" x14ac:dyDescent="0.25"/>
    <row r="140" ht="14.25" customHeight="1" x14ac:dyDescent="0.25"/>
    <row r="141" ht="14.25" customHeight="1" x14ac:dyDescent="0.25"/>
    <row r="142" ht="14.25" customHeight="1" x14ac:dyDescent="0.25"/>
    <row r="143" ht="14.25" customHeight="1" x14ac:dyDescent="0.25"/>
    <row r="144" ht="14.25" customHeight="1" x14ac:dyDescent="0.25"/>
    <row r="145" ht="14.25" customHeight="1" x14ac:dyDescent="0.25"/>
    <row r="146" ht="14.25" customHeight="1" x14ac:dyDescent="0.25"/>
    <row r="147" ht="14.25" customHeight="1" x14ac:dyDescent="0.25"/>
    <row r="148" ht="14.25" customHeight="1" x14ac:dyDescent="0.25"/>
    <row r="149" ht="14.25" customHeight="1" x14ac:dyDescent="0.25"/>
    <row r="150" ht="14.25" customHeight="1" x14ac:dyDescent="0.25"/>
    <row r="151" ht="14.25" customHeight="1" x14ac:dyDescent="0.25"/>
    <row r="152" ht="14.25" customHeight="1" x14ac:dyDescent="0.25"/>
    <row r="153" ht="14.25" customHeight="1" x14ac:dyDescent="0.25"/>
    <row r="154" ht="14.25" customHeight="1" x14ac:dyDescent="0.25"/>
    <row r="155" ht="14.25" customHeight="1" x14ac:dyDescent="0.25"/>
    <row r="156" ht="14.25" customHeight="1" x14ac:dyDescent="0.25"/>
    <row r="157" ht="14.25" customHeight="1" x14ac:dyDescent="0.25"/>
    <row r="158" ht="14.25" customHeight="1" x14ac:dyDescent="0.25"/>
    <row r="159" ht="14.25" customHeight="1" x14ac:dyDescent="0.25"/>
    <row r="160" ht="14.25" customHeight="1" x14ac:dyDescent="0.25"/>
    <row r="161" ht="14.25" customHeight="1" x14ac:dyDescent="0.25"/>
    <row r="162" ht="14.25" customHeight="1" x14ac:dyDescent="0.25"/>
    <row r="163" ht="14.25" customHeight="1" x14ac:dyDescent="0.25"/>
    <row r="164" ht="14.25" customHeight="1" x14ac:dyDescent="0.25"/>
    <row r="165" ht="14.25" customHeight="1" x14ac:dyDescent="0.25"/>
    <row r="166" ht="14.25" customHeight="1" x14ac:dyDescent="0.25"/>
    <row r="167" ht="14.25" customHeight="1" x14ac:dyDescent="0.25"/>
    <row r="168" ht="14.25" customHeight="1" x14ac:dyDescent="0.25"/>
    <row r="169" ht="14.25" customHeight="1" x14ac:dyDescent="0.25"/>
    <row r="170" ht="14.25" customHeight="1" x14ac:dyDescent="0.25"/>
    <row r="171" ht="14.25" customHeight="1" x14ac:dyDescent="0.25"/>
    <row r="172" ht="14.25" customHeight="1" x14ac:dyDescent="0.25"/>
    <row r="173" ht="14.25" customHeight="1" x14ac:dyDescent="0.25"/>
    <row r="174" ht="14.25" customHeight="1" x14ac:dyDescent="0.25"/>
    <row r="175" ht="14.25" customHeight="1" x14ac:dyDescent="0.25"/>
    <row r="176" ht="14.25" customHeight="1" x14ac:dyDescent="0.25"/>
    <row r="177" ht="14.25" customHeight="1" x14ac:dyDescent="0.25"/>
    <row r="178" ht="14.25" customHeight="1" x14ac:dyDescent="0.25"/>
    <row r="179" ht="14.25" customHeight="1" x14ac:dyDescent="0.25"/>
    <row r="180" ht="14.25" customHeight="1" x14ac:dyDescent="0.25"/>
    <row r="181" ht="14.25" customHeight="1" x14ac:dyDescent="0.25"/>
    <row r="182" ht="14.25" customHeight="1" x14ac:dyDescent="0.25"/>
    <row r="183" ht="14.25" customHeight="1" x14ac:dyDescent="0.25"/>
    <row r="184" ht="14.25" customHeight="1" x14ac:dyDescent="0.25"/>
    <row r="185" ht="14.25" customHeight="1" x14ac:dyDescent="0.25"/>
    <row r="186" ht="14.25" customHeight="1" x14ac:dyDescent="0.25"/>
    <row r="187" ht="14.25" customHeight="1" x14ac:dyDescent="0.25"/>
    <row r="188" ht="14.25" customHeight="1" x14ac:dyDescent="0.25"/>
    <row r="189" ht="14.25" customHeight="1" x14ac:dyDescent="0.25"/>
    <row r="190" ht="14.25" customHeight="1" x14ac:dyDescent="0.25"/>
    <row r="191" ht="14.25" customHeight="1" x14ac:dyDescent="0.25"/>
    <row r="192" ht="14.25" customHeight="1" x14ac:dyDescent="0.25"/>
    <row r="193" ht="14.25" customHeight="1" x14ac:dyDescent="0.25"/>
    <row r="194" ht="14.25" customHeight="1" x14ac:dyDescent="0.25"/>
    <row r="195" ht="14.25" customHeight="1" x14ac:dyDescent="0.25"/>
    <row r="196" ht="14.25" customHeight="1" x14ac:dyDescent="0.25"/>
    <row r="197" ht="14.25" customHeight="1" x14ac:dyDescent="0.25"/>
    <row r="198" ht="14.25" customHeight="1" x14ac:dyDescent="0.25"/>
    <row r="199" ht="14.25" customHeight="1" x14ac:dyDescent="0.25"/>
    <row r="200" ht="14.25" customHeight="1" x14ac:dyDescent="0.25"/>
    <row r="201" ht="14.25" customHeight="1" x14ac:dyDescent="0.25"/>
    <row r="202" ht="14.25" customHeight="1" x14ac:dyDescent="0.25"/>
    <row r="203" ht="14.25" customHeight="1" x14ac:dyDescent="0.25"/>
    <row r="204" ht="14.25" customHeight="1" x14ac:dyDescent="0.25"/>
    <row r="205" ht="14.25" customHeight="1" x14ac:dyDescent="0.25"/>
    <row r="206" ht="14.25" customHeight="1" x14ac:dyDescent="0.25"/>
    <row r="207" ht="14.25" customHeight="1" x14ac:dyDescent="0.25"/>
    <row r="208" ht="14.25" customHeight="1" x14ac:dyDescent="0.25"/>
    <row r="209" ht="14.25" customHeight="1" x14ac:dyDescent="0.25"/>
    <row r="210" ht="14.25" customHeight="1" x14ac:dyDescent="0.25"/>
    <row r="211" ht="14.25" customHeight="1" x14ac:dyDescent="0.25"/>
    <row r="212" ht="14.25" customHeight="1" x14ac:dyDescent="0.25"/>
    <row r="213" ht="14.25" customHeight="1" x14ac:dyDescent="0.25"/>
    <row r="214" ht="14.25" customHeight="1" x14ac:dyDescent="0.25"/>
    <row r="215" ht="14.25" customHeight="1" x14ac:dyDescent="0.25"/>
    <row r="216" ht="14.25" customHeight="1" x14ac:dyDescent="0.25"/>
    <row r="217" ht="14.25" customHeight="1" x14ac:dyDescent="0.25"/>
    <row r="218" ht="14.25" customHeight="1" x14ac:dyDescent="0.25"/>
    <row r="219" ht="14.25" customHeight="1" x14ac:dyDescent="0.25"/>
    <row r="220" ht="14.25" customHeight="1" x14ac:dyDescent="0.25"/>
    <row r="221" ht="14.25" customHeight="1" x14ac:dyDescent="0.25"/>
    <row r="222" ht="14.25" customHeight="1" x14ac:dyDescent="0.25"/>
    <row r="223" ht="14.25" customHeight="1" x14ac:dyDescent="0.25"/>
    <row r="224" ht="14.25" customHeight="1" x14ac:dyDescent="0.25"/>
    <row r="225" ht="14.25" customHeight="1" x14ac:dyDescent="0.25"/>
    <row r="226" ht="14.25" customHeight="1" x14ac:dyDescent="0.25"/>
    <row r="227" ht="14.25" customHeight="1" x14ac:dyDescent="0.25"/>
    <row r="228" ht="14.25" customHeight="1" x14ac:dyDescent="0.25"/>
    <row r="229" ht="14.25" customHeight="1" x14ac:dyDescent="0.25"/>
    <row r="230" ht="14.25" customHeight="1" x14ac:dyDescent="0.25"/>
    <row r="231" ht="14.25" customHeight="1" x14ac:dyDescent="0.25"/>
    <row r="232" ht="14.25" customHeight="1" x14ac:dyDescent="0.25"/>
    <row r="233" ht="14.25" customHeight="1" x14ac:dyDescent="0.25"/>
    <row r="234" ht="14.25" customHeight="1" x14ac:dyDescent="0.25"/>
    <row r="235" ht="14.25" customHeight="1" x14ac:dyDescent="0.25"/>
    <row r="236" ht="14.25" customHeight="1" x14ac:dyDescent="0.25"/>
    <row r="237" ht="14.25" customHeight="1" x14ac:dyDescent="0.25"/>
    <row r="238" ht="14.25" customHeight="1" x14ac:dyDescent="0.25"/>
    <row r="239" ht="14.25" customHeight="1" x14ac:dyDescent="0.25"/>
    <row r="240" ht="14.25" customHeight="1" x14ac:dyDescent="0.25"/>
    <row r="241" ht="14.25" customHeight="1" x14ac:dyDescent="0.25"/>
    <row r="242" ht="14.25" customHeight="1" x14ac:dyDescent="0.25"/>
    <row r="243" ht="14.25" customHeight="1" x14ac:dyDescent="0.25"/>
    <row r="244" ht="14.25" customHeight="1" x14ac:dyDescent="0.25"/>
    <row r="245" ht="14.25" customHeight="1" x14ac:dyDescent="0.25"/>
    <row r="246" ht="14.25" customHeight="1" x14ac:dyDescent="0.25"/>
    <row r="247" ht="14.25" customHeight="1" x14ac:dyDescent="0.25"/>
    <row r="248" ht="14.25" customHeight="1" x14ac:dyDescent="0.25"/>
    <row r="249" ht="14.25" customHeight="1" x14ac:dyDescent="0.25"/>
    <row r="250" ht="14.25" customHeight="1" x14ac:dyDescent="0.25"/>
    <row r="251" ht="14.25" customHeight="1" x14ac:dyDescent="0.25"/>
    <row r="252" ht="14.25" customHeight="1" x14ac:dyDescent="0.25"/>
    <row r="253" ht="14.25" customHeight="1" x14ac:dyDescent="0.25"/>
    <row r="254" ht="14.25" customHeight="1" x14ac:dyDescent="0.25"/>
    <row r="255" ht="14.25" customHeight="1" x14ac:dyDescent="0.25"/>
    <row r="256" ht="14.25" customHeight="1" x14ac:dyDescent="0.25"/>
    <row r="257" ht="14.25" customHeight="1" x14ac:dyDescent="0.25"/>
    <row r="258" ht="14.25" customHeight="1" x14ac:dyDescent="0.25"/>
    <row r="259" ht="14.25" customHeight="1" x14ac:dyDescent="0.25"/>
    <row r="260" ht="14.25" customHeight="1" x14ac:dyDescent="0.25"/>
    <row r="261" ht="14.25" customHeight="1" x14ac:dyDescent="0.25"/>
    <row r="262" ht="14.25" customHeight="1" x14ac:dyDescent="0.25"/>
    <row r="263" ht="14.25" customHeight="1" x14ac:dyDescent="0.25"/>
    <row r="264" ht="14.25" customHeight="1" x14ac:dyDescent="0.25"/>
    <row r="265" ht="14.25" customHeight="1" x14ac:dyDescent="0.25"/>
    <row r="266" ht="14.25" customHeight="1" x14ac:dyDescent="0.25"/>
    <row r="267" ht="14.25" customHeight="1" x14ac:dyDescent="0.25"/>
    <row r="268" ht="14.25" customHeight="1" x14ac:dyDescent="0.25"/>
    <row r="269" ht="14.25" customHeight="1" x14ac:dyDescent="0.25"/>
    <row r="270" ht="14.25" customHeight="1" x14ac:dyDescent="0.25"/>
    <row r="271" ht="14.25" customHeight="1" x14ac:dyDescent="0.25"/>
    <row r="272" ht="14.25" customHeight="1" x14ac:dyDescent="0.25"/>
    <row r="273" ht="14.25" customHeight="1" x14ac:dyDescent="0.25"/>
    <row r="274" ht="14.25" customHeight="1" x14ac:dyDescent="0.25"/>
    <row r="275" ht="14.25" customHeight="1" x14ac:dyDescent="0.25"/>
    <row r="276" ht="14.25" customHeight="1" x14ac:dyDescent="0.25"/>
    <row r="277" ht="14.25" customHeight="1" x14ac:dyDescent="0.25"/>
    <row r="278" ht="14.25" customHeight="1" x14ac:dyDescent="0.25"/>
    <row r="279" ht="14.25" customHeight="1" x14ac:dyDescent="0.25"/>
    <row r="280" ht="14.25" customHeight="1" x14ac:dyDescent="0.25"/>
    <row r="281" ht="14.25" customHeight="1" x14ac:dyDescent="0.25"/>
    <row r="282" ht="14.25" customHeight="1" x14ac:dyDescent="0.25"/>
    <row r="283" ht="14.25" customHeight="1" x14ac:dyDescent="0.25"/>
    <row r="284" ht="14.25" customHeight="1" x14ac:dyDescent="0.25"/>
    <row r="285" ht="14.25" customHeight="1" x14ac:dyDescent="0.25"/>
    <row r="286" ht="14.25" customHeight="1" x14ac:dyDescent="0.25"/>
    <row r="287" ht="14.25" customHeight="1" x14ac:dyDescent="0.25"/>
    <row r="288" ht="14.25" customHeight="1" x14ac:dyDescent="0.25"/>
    <row r="289" ht="14.25" customHeight="1" x14ac:dyDescent="0.25"/>
    <row r="290" ht="14.25" customHeight="1" x14ac:dyDescent="0.25"/>
    <row r="291" ht="14.25" customHeight="1" x14ac:dyDescent="0.25"/>
    <row r="292" ht="14.25" customHeight="1" x14ac:dyDescent="0.25"/>
    <row r="293" ht="14.25" customHeight="1" x14ac:dyDescent="0.25"/>
    <row r="294" ht="14.25" customHeight="1" x14ac:dyDescent="0.25"/>
    <row r="295" ht="14.25" customHeight="1" x14ac:dyDescent="0.25"/>
    <row r="296" ht="14.25" customHeight="1" x14ac:dyDescent="0.25"/>
    <row r="297" ht="14.25" customHeight="1" x14ac:dyDescent="0.25"/>
    <row r="298" ht="14.25" customHeight="1" x14ac:dyDescent="0.25"/>
    <row r="299" ht="14.25" customHeight="1" x14ac:dyDescent="0.25"/>
    <row r="300" ht="14.25" customHeight="1" x14ac:dyDescent="0.25"/>
    <row r="301" ht="14.25" customHeight="1" x14ac:dyDescent="0.25"/>
    <row r="302" ht="14.25" customHeight="1" x14ac:dyDescent="0.25"/>
    <row r="303" ht="14.25" customHeight="1" x14ac:dyDescent="0.25"/>
    <row r="304" ht="14.25" customHeight="1" x14ac:dyDescent="0.25"/>
    <row r="305" ht="14.25" customHeight="1" x14ac:dyDescent="0.25"/>
    <row r="306" ht="14.25" customHeight="1" x14ac:dyDescent="0.25"/>
    <row r="307" ht="14.25" customHeight="1" x14ac:dyDescent="0.25"/>
    <row r="308" ht="14.25" customHeight="1" x14ac:dyDescent="0.25"/>
    <row r="309" ht="14.25" customHeight="1" x14ac:dyDescent="0.25"/>
    <row r="310" ht="14.25" customHeight="1" x14ac:dyDescent="0.25"/>
    <row r="311" ht="14.25" customHeight="1" x14ac:dyDescent="0.25"/>
    <row r="312" ht="14.25" customHeight="1" x14ac:dyDescent="0.25"/>
    <row r="313" ht="14.25" customHeight="1" x14ac:dyDescent="0.25"/>
    <row r="314" ht="14.25" customHeight="1" x14ac:dyDescent="0.25"/>
    <row r="315" ht="14.25" customHeight="1" x14ac:dyDescent="0.25"/>
    <row r="316" ht="14.25" customHeight="1" x14ac:dyDescent="0.25"/>
    <row r="317" ht="14.25" customHeight="1" x14ac:dyDescent="0.25"/>
    <row r="318" ht="14.25" customHeight="1" x14ac:dyDescent="0.25"/>
    <row r="319" ht="14.25" customHeight="1" x14ac:dyDescent="0.25"/>
    <row r="320" ht="14.25" customHeight="1" x14ac:dyDescent="0.25"/>
    <row r="321" ht="14.25" customHeight="1" x14ac:dyDescent="0.25"/>
    <row r="322" ht="14.25" customHeight="1" x14ac:dyDescent="0.25"/>
    <row r="323" ht="14.25" customHeight="1" x14ac:dyDescent="0.25"/>
    <row r="324" ht="14.25" customHeight="1" x14ac:dyDescent="0.25"/>
    <row r="325" ht="14.25" customHeight="1" x14ac:dyDescent="0.25"/>
    <row r="326" ht="14.25" customHeight="1" x14ac:dyDescent="0.25"/>
    <row r="327" ht="14.25" customHeight="1" x14ac:dyDescent="0.25"/>
    <row r="328" ht="14.25" customHeight="1" x14ac:dyDescent="0.25"/>
    <row r="329" ht="14.25" customHeight="1" x14ac:dyDescent="0.25"/>
    <row r="330" ht="14.25" customHeight="1" x14ac:dyDescent="0.25"/>
    <row r="331" ht="14.25" customHeight="1" x14ac:dyDescent="0.25"/>
    <row r="332" ht="14.25" customHeight="1" x14ac:dyDescent="0.25"/>
    <row r="333" ht="14.25" customHeight="1" x14ac:dyDescent="0.25"/>
    <row r="334" ht="14.25" customHeight="1" x14ac:dyDescent="0.25"/>
    <row r="335" ht="14.25" customHeight="1" x14ac:dyDescent="0.25"/>
    <row r="336" ht="14.25" customHeight="1" x14ac:dyDescent="0.25"/>
    <row r="337" ht="14.25" customHeight="1" x14ac:dyDescent="0.25"/>
    <row r="338" ht="14.25" customHeight="1" x14ac:dyDescent="0.25"/>
    <row r="339" ht="14.25" customHeight="1" x14ac:dyDescent="0.25"/>
    <row r="340" ht="14.25" customHeight="1" x14ac:dyDescent="0.25"/>
    <row r="341" ht="14.25" customHeight="1" x14ac:dyDescent="0.25"/>
    <row r="342" ht="14.25" customHeight="1" x14ac:dyDescent="0.25"/>
    <row r="343" ht="14.25" customHeight="1" x14ac:dyDescent="0.25"/>
    <row r="344" ht="14.25" customHeight="1" x14ac:dyDescent="0.25"/>
    <row r="345" ht="14.25" customHeight="1" x14ac:dyDescent="0.25"/>
    <row r="346" ht="14.25" customHeight="1" x14ac:dyDescent="0.25"/>
    <row r="347" ht="14.25" customHeight="1" x14ac:dyDescent="0.25"/>
    <row r="348" ht="14.25" customHeight="1" x14ac:dyDescent="0.25"/>
    <row r="349" ht="14.25" customHeight="1" x14ac:dyDescent="0.25"/>
    <row r="350" ht="14.25" customHeight="1" x14ac:dyDescent="0.25"/>
    <row r="351" ht="14.25" customHeight="1" x14ac:dyDescent="0.25"/>
    <row r="352" ht="14.25" customHeight="1" x14ac:dyDescent="0.25"/>
    <row r="353" ht="14.25" customHeight="1" x14ac:dyDescent="0.25"/>
    <row r="354" ht="14.25" customHeight="1" x14ac:dyDescent="0.25"/>
    <row r="355" ht="14.25" customHeight="1" x14ac:dyDescent="0.25"/>
    <row r="356" ht="14.25" customHeight="1" x14ac:dyDescent="0.25"/>
    <row r="357" ht="14.25" customHeight="1" x14ac:dyDescent="0.25"/>
    <row r="358" ht="14.25" customHeight="1" x14ac:dyDescent="0.25"/>
    <row r="359" ht="14.25" customHeight="1" x14ac:dyDescent="0.25"/>
    <row r="360" ht="14.25" customHeight="1" x14ac:dyDescent="0.25"/>
    <row r="361" ht="14.25" customHeight="1" x14ac:dyDescent="0.25"/>
    <row r="362" ht="14.25" customHeight="1" x14ac:dyDescent="0.25"/>
    <row r="363" ht="14.25" customHeight="1" x14ac:dyDescent="0.25"/>
    <row r="364" ht="14.25" customHeight="1" x14ac:dyDescent="0.25"/>
    <row r="365" ht="14.25" customHeight="1" x14ac:dyDescent="0.25"/>
    <row r="366" ht="14.25" customHeight="1" x14ac:dyDescent="0.25"/>
    <row r="367" ht="14.25" customHeight="1" x14ac:dyDescent="0.25"/>
    <row r="368" ht="14.25" customHeight="1" x14ac:dyDescent="0.25"/>
    <row r="369" ht="14.25" customHeight="1" x14ac:dyDescent="0.25"/>
    <row r="370" ht="14.25" customHeight="1" x14ac:dyDescent="0.25"/>
    <row r="371" ht="14.25" customHeight="1" x14ac:dyDescent="0.25"/>
    <row r="372" ht="14.25" customHeight="1" x14ac:dyDescent="0.25"/>
    <row r="373" ht="14.25" customHeight="1" x14ac:dyDescent="0.25"/>
    <row r="374" ht="14.25" customHeight="1" x14ac:dyDescent="0.25"/>
    <row r="375" ht="14.25" customHeight="1" x14ac:dyDescent="0.25"/>
    <row r="376" ht="14.25" customHeight="1" x14ac:dyDescent="0.25"/>
    <row r="377" ht="14.25" customHeight="1" x14ac:dyDescent="0.25"/>
    <row r="378" ht="14.25" customHeight="1" x14ac:dyDescent="0.25"/>
    <row r="379" ht="14.25" customHeight="1" x14ac:dyDescent="0.25"/>
    <row r="380" ht="14.25" customHeight="1" x14ac:dyDescent="0.25"/>
    <row r="381" ht="14.25" customHeight="1" x14ac:dyDescent="0.25"/>
    <row r="382" ht="14.25" customHeight="1" x14ac:dyDescent="0.25"/>
    <row r="383" ht="14.25" customHeight="1" x14ac:dyDescent="0.25"/>
    <row r="384" ht="14.25" customHeight="1" x14ac:dyDescent="0.25"/>
    <row r="385" ht="14.25" customHeight="1" x14ac:dyDescent="0.25"/>
    <row r="386" ht="14.25" customHeight="1" x14ac:dyDescent="0.25"/>
    <row r="387" ht="14.25" customHeight="1" x14ac:dyDescent="0.25"/>
    <row r="388" ht="14.25" customHeight="1" x14ac:dyDescent="0.25"/>
    <row r="389" ht="14.25" customHeight="1" x14ac:dyDescent="0.25"/>
    <row r="390" ht="14.25" customHeight="1" x14ac:dyDescent="0.25"/>
    <row r="391" ht="14.25" customHeight="1" x14ac:dyDescent="0.25"/>
    <row r="392" ht="14.25" customHeight="1" x14ac:dyDescent="0.25"/>
    <row r="393" ht="14.25" customHeight="1" x14ac:dyDescent="0.25"/>
    <row r="394" ht="14.25" customHeight="1" x14ac:dyDescent="0.25"/>
    <row r="395" ht="14.25" customHeight="1" x14ac:dyDescent="0.25"/>
    <row r="396" ht="14.25" customHeight="1" x14ac:dyDescent="0.25"/>
    <row r="397" ht="14.25" customHeight="1" x14ac:dyDescent="0.25"/>
    <row r="398" ht="14.25" customHeight="1" x14ac:dyDescent="0.25"/>
    <row r="399" ht="14.25" customHeight="1" x14ac:dyDescent="0.25"/>
    <row r="400" ht="14.25" customHeight="1" x14ac:dyDescent="0.25"/>
    <row r="401" ht="14.25" customHeight="1" x14ac:dyDescent="0.25"/>
    <row r="402" ht="14.25" customHeight="1" x14ac:dyDescent="0.25"/>
    <row r="403" ht="14.25" customHeight="1" x14ac:dyDescent="0.25"/>
    <row r="404" ht="14.25" customHeight="1" x14ac:dyDescent="0.25"/>
    <row r="405" ht="14.25" customHeight="1" x14ac:dyDescent="0.25"/>
    <row r="406" ht="14.25" customHeight="1" x14ac:dyDescent="0.25"/>
    <row r="407" ht="14.25" customHeight="1" x14ac:dyDescent="0.25"/>
    <row r="408" ht="14.25" customHeight="1" x14ac:dyDescent="0.25"/>
    <row r="409" ht="14.25" customHeight="1" x14ac:dyDescent="0.25"/>
    <row r="410" ht="14.25" customHeight="1" x14ac:dyDescent="0.25"/>
    <row r="411" ht="14.25" customHeight="1" x14ac:dyDescent="0.25"/>
    <row r="412" ht="14.25" customHeight="1" x14ac:dyDescent="0.25"/>
    <row r="413" ht="14.25" customHeight="1" x14ac:dyDescent="0.25"/>
    <row r="414" ht="14.25" customHeight="1" x14ac:dyDescent="0.25"/>
    <row r="415" ht="14.25" customHeight="1" x14ac:dyDescent="0.25"/>
    <row r="416" ht="14.25" customHeight="1" x14ac:dyDescent="0.25"/>
    <row r="417" ht="14.25" customHeight="1" x14ac:dyDescent="0.25"/>
    <row r="418" ht="14.25" customHeight="1" x14ac:dyDescent="0.25"/>
    <row r="419" ht="14.25" customHeight="1" x14ac:dyDescent="0.25"/>
    <row r="420" ht="14.25" customHeight="1" x14ac:dyDescent="0.25"/>
    <row r="421" ht="14.25" customHeight="1" x14ac:dyDescent="0.25"/>
    <row r="422" ht="14.25" customHeight="1" x14ac:dyDescent="0.25"/>
    <row r="423" ht="14.25" customHeight="1" x14ac:dyDescent="0.25"/>
    <row r="424" ht="14.25" customHeight="1" x14ac:dyDescent="0.25"/>
    <row r="425" ht="14.25" customHeight="1" x14ac:dyDescent="0.25"/>
    <row r="426" ht="14.25" customHeight="1" x14ac:dyDescent="0.25"/>
    <row r="427" ht="14.25" customHeight="1" x14ac:dyDescent="0.25"/>
    <row r="428" ht="14.25" customHeight="1" x14ac:dyDescent="0.25"/>
    <row r="429" ht="14.25" customHeight="1" x14ac:dyDescent="0.25"/>
    <row r="430" ht="14.25" customHeight="1" x14ac:dyDescent="0.25"/>
    <row r="431" ht="14.25" customHeight="1" x14ac:dyDescent="0.25"/>
    <row r="432" ht="14.25" customHeight="1" x14ac:dyDescent="0.25"/>
    <row r="433" ht="14.25" customHeight="1" x14ac:dyDescent="0.25"/>
    <row r="434" ht="14.25" customHeight="1" x14ac:dyDescent="0.25"/>
    <row r="435" ht="14.25" customHeight="1" x14ac:dyDescent="0.25"/>
    <row r="436" ht="14.25" customHeight="1" x14ac:dyDescent="0.25"/>
    <row r="437" ht="14.25" customHeight="1" x14ac:dyDescent="0.25"/>
    <row r="438" ht="14.25" customHeight="1" x14ac:dyDescent="0.25"/>
    <row r="439" ht="14.25" customHeight="1" x14ac:dyDescent="0.25"/>
    <row r="440" ht="14.25" customHeight="1" x14ac:dyDescent="0.25"/>
    <row r="441" ht="14.25" customHeight="1" x14ac:dyDescent="0.25"/>
    <row r="442" ht="14.25" customHeight="1" x14ac:dyDescent="0.25"/>
    <row r="443" ht="14.25" customHeight="1" x14ac:dyDescent="0.25"/>
    <row r="444" ht="14.25" customHeight="1" x14ac:dyDescent="0.25"/>
    <row r="445" ht="14.25" customHeight="1" x14ac:dyDescent="0.25"/>
    <row r="446" ht="14.25" customHeight="1" x14ac:dyDescent="0.25"/>
    <row r="447" ht="14.25" customHeight="1" x14ac:dyDescent="0.25"/>
    <row r="448" ht="14.25" customHeight="1" x14ac:dyDescent="0.25"/>
    <row r="449" ht="14.25" customHeight="1" x14ac:dyDescent="0.25"/>
    <row r="450" ht="14.25" customHeight="1" x14ac:dyDescent="0.25"/>
    <row r="451" ht="14.25" customHeight="1" x14ac:dyDescent="0.25"/>
    <row r="452" ht="14.25" customHeight="1" x14ac:dyDescent="0.25"/>
    <row r="453" ht="14.25" customHeight="1" x14ac:dyDescent="0.25"/>
    <row r="454" ht="14.25" customHeight="1" x14ac:dyDescent="0.25"/>
    <row r="455" ht="14.25" customHeight="1" x14ac:dyDescent="0.25"/>
    <row r="456" ht="14.25" customHeight="1" x14ac:dyDescent="0.25"/>
    <row r="457" ht="14.25" customHeight="1" x14ac:dyDescent="0.25"/>
    <row r="458" ht="14.25" customHeight="1" x14ac:dyDescent="0.25"/>
    <row r="459" ht="14.25" customHeight="1" x14ac:dyDescent="0.25"/>
    <row r="460" ht="14.25" customHeight="1" x14ac:dyDescent="0.25"/>
    <row r="461" ht="14.25" customHeight="1" x14ac:dyDescent="0.25"/>
    <row r="462" ht="14.25" customHeight="1" x14ac:dyDescent="0.25"/>
    <row r="463" ht="14.25" customHeight="1" x14ac:dyDescent="0.25"/>
    <row r="464" ht="14.25" customHeight="1" x14ac:dyDescent="0.25"/>
    <row r="465" ht="14.25" customHeight="1" x14ac:dyDescent="0.25"/>
    <row r="466" ht="14.25" customHeight="1" x14ac:dyDescent="0.25"/>
    <row r="467" ht="14.25" customHeight="1" x14ac:dyDescent="0.25"/>
    <row r="468" ht="14.25" customHeight="1" x14ac:dyDescent="0.25"/>
    <row r="469" ht="14.25" customHeight="1" x14ac:dyDescent="0.25"/>
    <row r="470" ht="14.25" customHeight="1" x14ac:dyDescent="0.25"/>
    <row r="471" ht="14.25" customHeight="1" x14ac:dyDescent="0.25"/>
    <row r="472" ht="14.25" customHeight="1" x14ac:dyDescent="0.25"/>
    <row r="473" ht="14.25" customHeight="1" x14ac:dyDescent="0.25"/>
    <row r="474" ht="14.25" customHeight="1" x14ac:dyDescent="0.25"/>
    <row r="475" ht="14.25" customHeight="1" x14ac:dyDescent="0.25"/>
    <row r="476" ht="14.25" customHeight="1" x14ac:dyDescent="0.25"/>
    <row r="477" ht="14.25" customHeight="1" x14ac:dyDescent="0.25"/>
    <row r="478" ht="14.25" customHeight="1" x14ac:dyDescent="0.25"/>
    <row r="479" ht="14.25" customHeight="1" x14ac:dyDescent="0.25"/>
    <row r="480" ht="14.25" customHeight="1" x14ac:dyDescent="0.25"/>
    <row r="481" ht="14.25" customHeight="1" x14ac:dyDescent="0.25"/>
    <row r="482" ht="14.25" customHeight="1" x14ac:dyDescent="0.25"/>
    <row r="483" ht="14.25" customHeight="1" x14ac:dyDescent="0.25"/>
    <row r="484" ht="14.25" customHeight="1" x14ac:dyDescent="0.25"/>
    <row r="485" ht="14.25" customHeight="1" x14ac:dyDescent="0.25"/>
    <row r="486" ht="14.25" customHeight="1" x14ac:dyDescent="0.25"/>
    <row r="487" ht="14.25" customHeight="1" x14ac:dyDescent="0.25"/>
    <row r="488" ht="14.25" customHeight="1" x14ac:dyDescent="0.25"/>
    <row r="489" ht="14.25" customHeight="1" x14ac:dyDescent="0.25"/>
    <row r="490" ht="14.25" customHeight="1" x14ac:dyDescent="0.25"/>
    <row r="491" ht="14.25" customHeight="1" x14ac:dyDescent="0.25"/>
    <row r="492" ht="14.25" customHeight="1" x14ac:dyDescent="0.25"/>
    <row r="493" ht="14.25" customHeight="1" x14ac:dyDescent="0.25"/>
    <row r="494" ht="14.25" customHeight="1" x14ac:dyDescent="0.25"/>
    <row r="495" ht="14.25" customHeight="1" x14ac:dyDescent="0.25"/>
    <row r="496" ht="14.25" customHeight="1" x14ac:dyDescent="0.25"/>
    <row r="497" ht="14.25" customHeight="1" x14ac:dyDescent="0.25"/>
    <row r="498" ht="14.25" customHeight="1" x14ac:dyDescent="0.25"/>
    <row r="499" ht="14.25" customHeight="1" x14ac:dyDescent="0.25"/>
    <row r="500" ht="14.25" customHeight="1" x14ac:dyDescent="0.25"/>
    <row r="501" ht="14.25" customHeight="1" x14ac:dyDescent="0.25"/>
    <row r="502" ht="14.25" customHeight="1" x14ac:dyDescent="0.25"/>
    <row r="503" ht="14.25" customHeight="1" x14ac:dyDescent="0.25"/>
    <row r="504" ht="14.25" customHeight="1" x14ac:dyDescent="0.25"/>
    <row r="505" ht="14.25" customHeight="1" x14ac:dyDescent="0.25"/>
    <row r="506" ht="14.25" customHeight="1" x14ac:dyDescent="0.25"/>
    <row r="507" ht="14.25" customHeight="1" x14ac:dyDescent="0.25"/>
    <row r="508" ht="14.25" customHeight="1" x14ac:dyDescent="0.25"/>
    <row r="509" ht="14.25" customHeight="1" x14ac:dyDescent="0.25"/>
    <row r="510" ht="14.25" customHeight="1" x14ac:dyDescent="0.25"/>
    <row r="511" ht="14.25" customHeight="1" x14ac:dyDescent="0.25"/>
    <row r="512" ht="14.25" customHeight="1" x14ac:dyDescent="0.25"/>
    <row r="513" ht="14.25" customHeight="1" x14ac:dyDescent="0.25"/>
    <row r="514" ht="14.25" customHeight="1" x14ac:dyDescent="0.25"/>
    <row r="515" ht="14.25" customHeight="1" x14ac:dyDescent="0.25"/>
    <row r="516" ht="14.25" customHeight="1" x14ac:dyDescent="0.25"/>
    <row r="517" ht="14.25" customHeight="1" x14ac:dyDescent="0.25"/>
    <row r="518" ht="14.25" customHeight="1" x14ac:dyDescent="0.25"/>
    <row r="519" ht="14.25" customHeight="1" x14ac:dyDescent="0.25"/>
    <row r="520" ht="14.25" customHeight="1" x14ac:dyDescent="0.25"/>
    <row r="521" ht="14.25" customHeight="1" x14ac:dyDescent="0.25"/>
    <row r="522" ht="14.25" customHeight="1" x14ac:dyDescent="0.25"/>
    <row r="523" ht="14.25" customHeight="1" x14ac:dyDescent="0.25"/>
    <row r="524" ht="14.25" customHeight="1" x14ac:dyDescent="0.25"/>
    <row r="525" ht="14.25" customHeight="1" x14ac:dyDescent="0.25"/>
    <row r="526" ht="14.25" customHeight="1" x14ac:dyDescent="0.25"/>
    <row r="527" ht="14.25" customHeight="1" x14ac:dyDescent="0.25"/>
    <row r="528" ht="14.25" customHeight="1" x14ac:dyDescent="0.25"/>
    <row r="529" ht="14.25" customHeight="1" x14ac:dyDescent="0.25"/>
    <row r="530" ht="14.25" customHeight="1" x14ac:dyDescent="0.25"/>
    <row r="531" ht="14.25" customHeight="1" x14ac:dyDescent="0.25"/>
    <row r="532" ht="14.25" customHeight="1" x14ac:dyDescent="0.25"/>
    <row r="533" ht="14.25" customHeight="1" x14ac:dyDescent="0.25"/>
    <row r="534" ht="14.25" customHeight="1" x14ac:dyDescent="0.25"/>
    <row r="535" ht="14.25" customHeight="1" x14ac:dyDescent="0.25"/>
    <row r="536" ht="14.25" customHeight="1" x14ac:dyDescent="0.25"/>
    <row r="537" ht="14.25" customHeight="1" x14ac:dyDescent="0.25"/>
    <row r="538" ht="14.25" customHeight="1" x14ac:dyDescent="0.25"/>
    <row r="539" ht="14.25" customHeight="1" x14ac:dyDescent="0.25"/>
    <row r="540" ht="14.25" customHeight="1" x14ac:dyDescent="0.25"/>
    <row r="541" ht="14.25" customHeight="1" x14ac:dyDescent="0.25"/>
    <row r="542" ht="14.25" customHeight="1" x14ac:dyDescent="0.25"/>
    <row r="543" ht="14.25" customHeight="1" x14ac:dyDescent="0.25"/>
    <row r="544" ht="14.25" customHeight="1" x14ac:dyDescent="0.25"/>
    <row r="545" ht="14.25" customHeight="1" x14ac:dyDescent="0.25"/>
    <row r="546" ht="14.25" customHeight="1" x14ac:dyDescent="0.25"/>
    <row r="547" ht="14.25" customHeight="1" x14ac:dyDescent="0.25"/>
    <row r="548" ht="14.25" customHeight="1" x14ac:dyDescent="0.25"/>
    <row r="549" ht="14.25" customHeight="1" x14ac:dyDescent="0.25"/>
    <row r="550" ht="14.25" customHeight="1" x14ac:dyDescent="0.25"/>
    <row r="551" ht="14.25" customHeight="1" x14ac:dyDescent="0.25"/>
    <row r="552" ht="14.25" customHeight="1" x14ac:dyDescent="0.25"/>
    <row r="553" ht="14.25" customHeight="1" x14ac:dyDescent="0.25"/>
    <row r="554" ht="14.25" customHeight="1" x14ac:dyDescent="0.25"/>
    <row r="555" ht="14.25" customHeight="1" x14ac:dyDescent="0.25"/>
    <row r="556" ht="14.25" customHeight="1" x14ac:dyDescent="0.25"/>
    <row r="557" ht="14.25" customHeight="1" x14ac:dyDescent="0.25"/>
    <row r="558" ht="14.25" customHeight="1" x14ac:dyDescent="0.25"/>
    <row r="559" ht="14.25" customHeight="1" x14ac:dyDescent="0.25"/>
    <row r="560" ht="14.25" customHeight="1" x14ac:dyDescent="0.25"/>
    <row r="561" ht="14.25" customHeight="1" x14ac:dyDescent="0.25"/>
    <row r="562" ht="14.25" customHeight="1" x14ac:dyDescent="0.25"/>
    <row r="563" ht="14.25" customHeight="1" x14ac:dyDescent="0.25"/>
    <row r="564" ht="14.25" customHeight="1" x14ac:dyDescent="0.25"/>
    <row r="565" ht="14.25" customHeight="1" x14ac:dyDescent="0.25"/>
    <row r="566" ht="14.25" customHeight="1" x14ac:dyDescent="0.25"/>
    <row r="567" ht="14.25" customHeight="1" x14ac:dyDescent="0.25"/>
    <row r="568" ht="14.25" customHeight="1" x14ac:dyDescent="0.25"/>
    <row r="569" ht="14.25" customHeight="1" x14ac:dyDescent="0.25"/>
    <row r="570" ht="14.25" customHeight="1" x14ac:dyDescent="0.25"/>
    <row r="571" ht="14.25" customHeight="1" x14ac:dyDescent="0.25"/>
    <row r="572" ht="14.25" customHeight="1" x14ac:dyDescent="0.25"/>
    <row r="573" ht="14.25" customHeight="1" x14ac:dyDescent="0.25"/>
    <row r="574" ht="14.25" customHeight="1" x14ac:dyDescent="0.25"/>
    <row r="575" ht="14.25" customHeight="1" x14ac:dyDescent="0.25"/>
    <row r="576" ht="14.25" customHeight="1" x14ac:dyDescent="0.25"/>
    <row r="577" ht="14.25" customHeight="1" x14ac:dyDescent="0.25"/>
    <row r="578" ht="14.25" customHeight="1" x14ac:dyDescent="0.25"/>
    <row r="579" ht="14.25" customHeight="1" x14ac:dyDescent="0.25"/>
    <row r="580" ht="14.25" customHeight="1" x14ac:dyDescent="0.25"/>
    <row r="581" ht="14.25" customHeight="1" x14ac:dyDescent="0.25"/>
    <row r="582" ht="14.25" customHeight="1" x14ac:dyDescent="0.25"/>
    <row r="583" ht="14.25" customHeight="1" x14ac:dyDescent="0.25"/>
    <row r="584" ht="14.25" customHeight="1" x14ac:dyDescent="0.25"/>
    <row r="585" ht="14.25" customHeight="1" x14ac:dyDescent="0.25"/>
    <row r="586" ht="14.25" customHeight="1" x14ac:dyDescent="0.25"/>
    <row r="587" ht="14.25" customHeight="1" x14ac:dyDescent="0.25"/>
    <row r="588" ht="14.25" customHeight="1" x14ac:dyDescent="0.25"/>
    <row r="589" ht="14.25" customHeight="1" x14ac:dyDescent="0.25"/>
    <row r="590" ht="14.25" customHeight="1" x14ac:dyDescent="0.25"/>
    <row r="591" ht="14.25" customHeight="1" x14ac:dyDescent="0.25"/>
    <row r="592" ht="14.25" customHeight="1" x14ac:dyDescent="0.25"/>
    <row r="593" ht="14.25" customHeight="1" x14ac:dyDescent="0.25"/>
    <row r="594" ht="14.25" customHeight="1" x14ac:dyDescent="0.25"/>
    <row r="595" ht="14.25" customHeight="1" x14ac:dyDescent="0.25"/>
    <row r="596" ht="14.25" customHeight="1" x14ac:dyDescent="0.25"/>
    <row r="597" ht="14.25" customHeight="1" x14ac:dyDescent="0.25"/>
    <row r="598" ht="14.25" customHeight="1" x14ac:dyDescent="0.25"/>
    <row r="599" ht="14.25" customHeight="1" x14ac:dyDescent="0.25"/>
    <row r="600" ht="14.25" customHeight="1" x14ac:dyDescent="0.25"/>
    <row r="601" ht="14.25" customHeight="1" x14ac:dyDescent="0.25"/>
    <row r="602" ht="14.25" customHeight="1" x14ac:dyDescent="0.25"/>
    <row r="603" ht="14.25" customHeight="1" x14ac:dyDescent="0.25"/>
    <row r="604" ht="14.25" customHeight="1" x14ac:dyDescent="0.25"/>
    <row r="605" ht="14.25" customHeight="1" x14ac:dyDescent="0.25"/>
    <row r="606" ht="14.25" customHeight="1" x14ac:dyDescent="0.25"/>
    <row r="607" ht="14.25" customHeight="1" x14ac:dyDescent="0.25"/>
    <row r="608" ht="14.25" customHeight="1" x14ac:dyDescent="0.25"/>
    <row r="609" ht="14.25" customHeight="1" x14ac:dyDescent="0.25"/>
    <row r="610" ht="14.25" customHeight="1" x14ac:dyDescent="0.25"/>
    <row r="611" ht="14.25" customHeight="1" x14ac:dyDescent="0.25"/>
    <row r="612" ht="14.25" customHeight="1" x14ac:dyDescent="0.25"/>
    <row r="613" ht="14.25" customHeight="1" x14ac:dyDescent="0.25"/>
    <row r="614" ht="14.25" customHeight="1" x14ac:dyDescent="0.25"/>
    <row r="615" ht="14.25" customHeight="1" x14ac:dyDescent="0.25"/>
    <row r="616" ht="14.25" customHeight="1" x14ac:dyDescent="0.25"/>
    <row r="617" ht="14.25" customHeight="1" x14ac:dyDescent="0.25"/>
    <row r="618" ht="14.25" customHeight="1" x14ac:dyDescent="0.25"/>
    <row r="619" ht="14.25" customHeight="1" x14ac:dyDescent="0.25"/>
    <row r="620" ht="14.25" customHeight="1" x14ac:dyDescent="0.25"/>
    <row r="621" ht="14.25" customHeight="1" x14ac:dyDescent="0.25"/>
    <row r="622" ht="14.25" customHeight="1" x14ac:dyDescent="0.25"/>
    <row r="623" ht="14.25" customHeight="1" x14ac:dyDescent="0.25"/>
    <row r="624" ht="14.25" customHeight="1" x14ac:dyDescent="0.25"/>
    <row r="625" ht="14.25" customHeight="1" x14ac:dyDescent="0.25"/>
    <row r="626" ht="14.25" customHeight="1" x14ac:dyDescent="0.25"/>
    <row r="627" ht="14.25" customHeight="1" x14ac:dyDescent="0.25"/>
    <row r="628" ht="14.25" customHeight="1" x14ac:dyDescent="0.25"/>
    <row r="629" ht="14.25" customHeight="1" x14ac:dyDescent="0.25"/>
    <row r="630" ht="14.25" customHeight="1" x14ac:dyDescent="0.25"/>
    <row r="631" ht="14.25" customHeight="1" x14ac:dyDescent="0.25"/>
    <row r="632" ht="14.25" customHeight="1" x14ac:dyDescent="0.25"/>
    <row r="633" ht="14.25" customHeight="1" x14ac:dyDescent="0.25"/>
    <row r="634" ht="14.25" customHeight="1" x14ac:dyDescent="0.25"/>
    <row r="635" ht="14.25" customHeight="1" x14ac:dyDescent="0.25"/>
    <row r="636" ht="14.25" customHeight="1" x14ac:dyDescent="0.25"/>
    <row r="637" ht="14.25" customHeight="1" x14ac:dyDescent="0.25"/>
    <row r="638" ht="14.25" customHeight="1" x14ac:dyDescent="0.25"/>
    <row r="639" ht="14.25" customHeight="1" x14ac:dyDescent="0.25"/>
    <row r="640" ht="14.25" customHeight="1" x14ac:dyDescent="0.25"/>
    <row r="641" ht="14.25" customHeight="1" x14ac:dyDescent="0.25"/>
    <row r="642" ht="14.25" customHeight="1" x14ac:dyDescent="0.25"/>
    <row r="643" ht="14.25" customHeight="1" x14ac:dyDescent="0.25"/>
    <row r="644" ht="14.25" customHeight="1" x14ac:dyDescent="0.25"/>
    <row r="645" ht="14.25" customHeight="1" x14ac:dyDescent="0.25"/>
    <row r="646" ht="14.25" customHeight="1" x14ac:dyDescent="0.25"/>
    <row r="647" ht="14.25" customHeight="1" x14ac:dyDescent="0.25"/>
    <row r="648" ht="14.25" customHeight="1" x14ac:dyDescent="0.25"/>
    <row r="649" ht="14.25" customHeight="1" x14ac:dyDescent="0.25"/>
    <row r="650" ht="14.25" customHeight="1" x14ac:dyDescent="0.25"/>
    <row r="651" ht="14.25" customHeight="1" x14ac:dyDescent="0.25"/>
    <row r="652" ht="14.25" customHeight="1" x14ac:dyDescent="0.25"/>
    <row r="653" ht="14.25" customHeight="1" x14ac:dyDescent="0.25"/>
    <row r="654" ht="14.25" customHeight="1" x14ac:dyDescent="0.25"/>
    <row r="655" ht="14.25" customHeight="1" x14ac:dyDescent="0.25"/>
    <row r="656" ht="14.25" customHeight="1" x14ac:dyDescent="0.25"/>
    <row r="657" ht="14.25" customHeight="1" x14ac:dyDescent="0.25"/>
    <row r="658" ht="14.25" customHeight="1" x14ac:dyDescent="0.25"/>
    <row r="659" ht="14.25" customHeight="1" x14ac:dyDescent="0.25"/>
    <row r="660" ht="14.25" customHeight="1" x14ac:dyDescent="0.25"/>
    <row r="661" ht="14.25" customHeight="1" x14ac:dyDescent="0.25"/>
    <row r="662" ht="14.25" customHeight="1" x14ac:dyDescent="0.25"/>
    <row r="663" ht="14.25" customHeight="1" x14ac:dyDescent="0.25"/>
    <row r="664" ht="14.25" customHeight="1" x14ac:dyDescent="0.25"/>
    <row r="665" ht="14.25" customHeight="1" x14ac:dyDescent="0.25"/>
    <row r="666" ht="14.25" customHeight="1" x14ac:dyDescent="0.25"/>
    <row r="667" ht="14.25" customHeight="1" x14ac:dyDescent="0.25"/>
    <row r="668" ht="14.25" customHeight="1" x14ac:dyDescent="0.25"/>
    <row r="669" ht="14.25" customHeight="1" x14ac:dyDescent="0.25"/>
    <row r="670" ht="14.25" customHeight="1" x14ac:dyDescent="0.25"/>
    <row r="671" ht="14.25" customHeight="1" x14ac:dyDescent="0.25"/>
    <row r="672" ht="14.25" customHeight="1" x14ac:dyDescent="0.25"/>
    <row r="673" ht="14.25" customHeight="1" x14ac:dyDescent="0.25"/>
    <row r="674" ht="14.25" customHeight="1" x14ac:dyDescent="0.25"/>
    <row r="675" ht="14.25" customHeight="1" x14ac:dyDescent="0.25"/>
    <row r="676" ht="14.25" customHeight="1" x14ac:dyDescent="0.25"/>
    <row r="677" ht="14.25" customHeight="1" x14ac:dyDescent="0.25"/>
    <row r="678" ht="14.25" customHeight="1" x14ac:dyDescent="0.25"/>
    <row r="679" ht="14.25" customHeight="1" x14ac:dyDescent="0.25"/>
    <row r="680" ht="14.25" customHeight="1" x14ac:dyDescent="0.25"/>
    <row r="681" ht="14.25" customHeight="1" x14ac:dyDescent="0.25"/>
    <row r="682" ht="14.25" customHeight="1" x14ac:dyDescent="0.25"/>
    <row r="683" ht="14.25" customHeight="1" x14ac:dyDescent="0.25"/>
    <row r="684" ht="14.25" customHeight="1" x14ac:dyDescent="0.25"/>
    <row r="685" ht="14.25" customHeight="1" x14ac:dyDescent="0.25"/>
    <row r="686" ht="14.25" customHeight="1" x14ac:dyDescent="0.25"/>
    <row r="687" ht="14.25" customHeight="1" x14ac:dyDescent="0.25"/>
    <row r="688" ht="14.25" customHeight="1" x14ac:dyDescent="0.25"/>
    <row r="689" ht="14.25" customHeight="1" x14ac:dyDescent="0.25"/>
    <row r="690" ht="14.25" customHeight="1" x14ac:dyDescent="0.25"/>
    <row r="691" ht="14.25" customHeight="1" x14ac:dyDescent="0.25"/>
    <row r="692" ht="14.25" customHeight="1" x14ac:dyDescent="0.25"/>
    <row r="693" ht="14.25" customHeight="1" x14ac:dyDescent="0.25"/>
    <row r="694" ht="14.25" customHeight="1" x14ac:dyDescent="0.25"/>
    <row r="695" ht="14.25" customHeight="1" x14ac:dyDescent="0.25"/>
    <row r="696" ht="14.25" customHeight="1" x14ac:dyDescent="0.25"/>
    <row r="697" ht="14.25" customHeight="1" x14ac:dyDescent="0.25"/>
    <row r="698" ht="14.25" customHeight="1" x14ac:dyDescent="0.25"/>
    <row r="699" ht="14.25" customHeight="1" x14ac:dyDescent="0.25"/>
    <row r="700" ht="14.25" customHeight="1" x14ac:dyDescent="0.25"/>
    <row r="701" ht="14.25" customHeight="1" x14ac:dyDescent="0.25"/>
    <row r="702" ht="14.25" customHeight="1" x14ac:dyDescent="0.25"/>
    <row r="703" ht="14.25" customHeight="1" x14ac:dyDescent="0.25"/>
    <row r="704" ht="14.25" customHeight="1" x14ac:dyDescent="0.25"/>
    <row r="705" ht="14.25" customHeight="1" x14ac:dyDescent="0.25"/>
    <row r="706" ht="14.25" customHeight="1" x14ac:dyDescent="0.25"/>
    <row r="707" ht="14.25" customHeight="1" x14ac:dyDescent="0.25"/>
    <row r="708" ht="14.25" customHeight="1" x14ac:dyDescent="0.25"/>
    <row r="709" ht="14.25" customHeight="1" x14ac:dyDescent="0.25"/>
    <row r="710" ht="14.25" customHeight="1" x14ac:dyDescent="0.25"/>
    <row r="711" ht="14.25" customHeight="1" x14ac:dyDescent="0.25"/>
    <row r="712" ht="14.25" customHeight="1" x14ac:dyDescent="0.25"/>
    <row r="713" ht="14.25" customHeight="1" x14ac:dyDescent="0.25"/>
    <row r="714" ht="14.25" customHeight="1" x14ac:dyDescent="0.25"/>
    <row r="715" ht="14.25" customHeight="1" x14ac:dyDescent="0.25"/>
    <row r="716" ht="14.25" customHeight="1" x14ac:dyDescent="0.25"/>
    <row r="717" ht="14.25" customHeight="1" x14ac:dyDescent="0.25"/>
    <row r="718" ht="14.25" customHeight="1" x14ac:dyDescent="0.25"/>
    <row r="719" ht="14.25" customHeight="1" x14ac:dyDescent="0.25"/>
    <row r="720" ht="14.25" customHeight="1" x14ac:dyDescent="0.25"/>
    <row r="721" ht="14.25" customHeight="1" x14ac:dyDescent="0.25"/>
    <row r="722" ht="14.25" customHeight="1" x14ac:dyDescent="0.25"/>
    <row r="723" ht="14.25" customHeight="1" x14ac:dyDescent="0.25"/>
    <row r="724" ht="14.25" customHeight="1" x14ac:dyDescent="0.25"/>
    <row r="725" ht="14.25" customHeight="1" x14ac:dyDescent="0.25"/>
    <row r="726" ht="14.25" customHeight="1" x14ac:dyDescent="0.25"/>
    <row r="727" ht="14.25" customHeight="1" x14ac:dyDescent="0.25"/>
    <row r="728" ht="14.25" customHeight="1" x14ac:dyDescent="0.25"/>
    <row r="729" ht="14.25" customHeight="1" x14ac:dyDescent="0.25"/>
    <row r="730" ht="14.25" customHeight="1" x14ac:dyDescent="0.25"/>
    <row r="731" ht="14.25" customHeight="1" x14ac:dyDescent="0.25"/>
    <row r="732" ht="14.25" customHeight="1" x14ac:dyDescent="0.25"/>
    <row r="733" ht="14.25" customHeight="1" x14ac:dyDescent="0.25"/>
    <row r="734" ht="14.25" customHeight="1" x14ac:dyDescent="0.25"/>
    <row r="735" ht="14.25" customHeight="1" x14ac:dyDescent="0.25"/>
    <row r="736" ht="14.25" customHeight="1" x14ac:dyDescent="0.25"/>
    <row r="737" ht="14.25" customHeight="1" x14ac:dyDescent="0.25"/>
    <row r="738" ht="14.25" customHeight="1" x14ac:dyDescent="0.25"/>
    <row r="739" ht="14.25" customHeight="1" x14ac:dyDescent="0.25"/>
    <row r="740" ht="14.25" customHeight="1" x14ac:dyDescent="0.25"/>
    <row r="741" ht="14.25" customHeight="1" x14ac:dyDescent="0.25"/>
    <row r="742" ht="14.25" customHeight="1" x14ac:dyDescent="0.25"/>
    <row r="743" ht="14.25" customHeight="1" x14ac:dyDescent="0.25"/>
    <row r="744" ht="14.25" customHeight="1" x14ac:dyDescent="0.25"/>
    <row r="745" ht="14.25" customHeight="1" x14ac:dyDescent="0.25"/>
    <row r="746" ht="14.25" customHeight="1" x14ac:dyDescent="0.25"/>
    <row r="747" ht="14.25" customHeight="1" x14ac:dyDescent="0.25"/>
    <row r="748" ht="14.25" customHeight="1" x14ac:dyDescent="0.25"/>
    <row r="749" ht="14.25" customHeight="1" x14ac:dyDescent="0.25"/>
    <row r="750" ht="14.25" customHeight="1" x14ac:dyDescent="0.25"/>
    <row r="751" ht="14.25" customHeight="1" x14ac:dyDescent="0.25"/>
    <row r="752" ht="14.25" customHeight="1" x14ac:dyDescent="0.25"/>
    <row r="753" ht="14.25" customHeight="1" x14ac:dyDescent="0.25"/>
    <row r="754" ht="14.25" customHeight="1" x14ac:dyDescent="0.25"/>
    <row r="755" ht="14.25" customHeight="1" x14ac:dyDescent="0.25"/>
    <row r="756" ht="14.25" customHeight="1" x14ac:dyDescent="0.25"/>
    <row r="757" ht="14.25" customHeight="1" x14ac:dyDescent="0.25"/>
    <row r="758" ht="14.25" customHeight="1" x14ac:dyDescent="0.25"/>
    <row r="759" ht="14.25" customHeight="1" x14ac:dyDescent="0.25"/>
    <row r="760" ht="14.25" customHeight="1" x14ac:dyDescent="0.25"/>
    <row r="761" ht="14.25" customHeight="1" x14ac:dyDescent="0.25"/>
    <row r="762" ht="14.25" customHeight="1" x14ac:dyDescent="0.25"/>
    <row r="763" ht="14.25" customHeight="1" x14ac:dyDescent="0.25"/>
    <row r="764" ht="14.25" customHeight="1" x14ac:dyDescent="0.25"/>
    <row r="765" ht="14.25" customHeight="1" x14ac:dyDescent="0.25"/>
    <row r="766" ht="14.25" customHeight="1" x14ac:dyDescent="0.25"/>
    <row r="767" ht="14.25" customHeight="1" x14ac:dyDescent="0.25"/>
    <row r="768" ht="14.25" customHeight="1" x14ac:dyDescent="0.25"/>
    <row r="769" ht="14.25" customHeight="1" x14ac:dyDescent="0.25"/>
    <row r="770" ht="14.25" customHeight="1" x14ac:dyDescent="0.25"/>
    <row r="771" ht="14.25" customHeight="1" x14ac:dyDescent="0.25"/>
    <row r="772" ht="14.25" customHeight="1" x14ac:dyDescent="0.25"/>
    <row r="773" ht="14.25" customHeight="1" x14ac:dyDescent="0.25"/>
    <row r="774" ht="14.25" customHeight="1" x14ac:dyDescent="0.25"/>
    <row r="775" ht="14.25" customHeight="1" x14ac:dyDescent="0.25"/>
    <row r="776" ht="14.25" customHeight="1" x14ac:dyDescent="0.25"/>
    <row r="777" ht="14.25" customHeight="1" x14ac:dyDescent="0.25"/>
    <row r="778" ht="14.25" customHeight="1" x14ac:dyDescent="0.25"/>
    <row r="779" ht="14.25" customHeight="1" x14ac:dyDescent="0.25"/>
    <row r="780" ht="14.25" customHeight="1" x14ac:dyDescent="0.25"/>
    <row r="781" ht="14.25" customHeight="1" x14ac:dyDescent="0.25"/>
    <row r="782" ht="14.25" customHeight="1" x14ac:dyDescent="0.25"/>
    <row r="783" ht="14.25" customHeight="1" x14ac:dyDescent="0.25"/>
    <row r="784" ht="14.25" customHeight="1" x14ac:dyDescent="0.25"/>
    <row r="785" ht="14.25" customHeight="1" x14ac:dyDescent="0.25"/>
    <row r="786" ht="14.25" customHeight="1" x14ac:dyDescent="0.25"/>
    <row r="787" ht="14.25" customHeight="1" x14ac:dyDescent="0.25"/>
    <row r="788" ht="14.25" customHeight="1" x14ac:dyDescent="0.25"/>
    <row r="789" ht="14.25" customHeight="1" x14ac:dyDescent="0.25"/>
    <row r="790" ht="14.25" customHeight="1" x14ac:dyDescent="0.25"/>
    <row r="791" ht="14.25" customHeight="1" x14ac:dyDescent="0.25"/>
    <row r="792" ht="14.25" customHeight="1" x14ac:dyDescent="0.25"/>
    <row r="793" ht="14.25" customHeight="1" x14ac:dyDescent="0.25"/>
    <row r="794" ht="14.25" customHeight="1" x14ac:dyDescent="0.25"/>
    <row r="795" ht="14.25" customHeight="1" x14ac:dyDescent="0.25"/>
    <row r="796" ht="14.25" customHeight="1" x14ac:dyDescent="0.25"/>
    <row r="797" ht="14.25" customHeight="1" x14ac:dyDescent="0.25"/>
    <row r="798" ht="14.25" customHeight="1" x14ac:dyDescent="0.25"/>
    <row r="799" ht="14.25" customHeight="1" x14ac:dyDescent="0.25"/>
    <row r="800" ht="14.25" customHeight="1" x14ac:dyDescent="0.25"/>
    <row r="801" ht="14.25" customHeight="1" x14ac:dyDescent="0.25"/>
    <row r="802" ht="14.25" customHeight="1" x14ac:dyDescent="0.25"/>
    <row r="803" ht="14.25" customHeight="1" x14ac:dyDescent="0.25"/>
    <row r="804" ht="14.25" customHeight="1" x14ac:dyDescent="0.25"/>
    <row r="805" ht="14.25" customHeight="1" x14ac:dyDescent="0.25"/>
    <row r="806" ht="14.25" customHeight="1" x14ac:dyDescent="0.25"/>
    <row r="807" ht="14.25" customHeight="1" x14ac:dyDescent="0.25"/>
    <row r="808" ht="14.25" customHeight="1" x14ac:dyDescent="0.25"/>
    <row r="809" ht="14.25" customHeight="1" x14ac:dyDescent="0.25"/>
    <row r="810" ht="14.25" customHeight="1" x14ac:dyDescent="0.25"/>
    <row r="811" ht="14.25" customHeight="1" x14ac:dyDescent="0.25"/>
    <row r="812" ht="14.25" customHeight="1" x14ac:dyDescent="0.25"/>
    <row r="813" ht="14.25" customHeight="1" x14ac:dyDescent="0.25"/>
    <row r="814" ht="14.25" customHeight="1" x14ac:dyDescent="0.25"/>
    <row r="815" ht="14.25" customHeight="1" x14ac:dyDescent="0.25"/>
    <row r="816" ht="14.25" customHeight="1" x14ac:dyDescent="0.25"/>
    <row r="817" ht="14.25" customHeight="1" x14ac:dyDescent="0.25"/>
    <row r="818" ht="14.25" customHeight="1" x14ac:dyDescent="0.25"/>
    <row r="819" ht="14.25" customHeight="1" x14ac:dyDescent="0.25"/>
    <row r="820" ht="14.25" customHeight="1" x14ac:dyDescent="0.25"/>
    <row r="821" ht="14.25" customHeight="1" x14ac:dyDescent="0.25"/>
    <row r="822" ht="14.25" customHeight="1" x14ac:dyDescent="0.25"/>
    <row r="823" ht="14.25" customHeight="1" x14ac:dyDescent="0.25"/>
    <row r="824" ht="14.25" customHeight="1" x14ac:dyDescent="0.25"/>
    <row r="825" ht="14.25" customHeight="1" x14ac:dyDescent="0.25"/>
    <row r="826" ht="14.25" customHeight="1" x14ac:dyDescent="0.25"/>
    <row r="827" ht="14.25" customHeight="1" x14ac:dyDescent="0.25"/>
    <row r="828" ht="14.25" customHeight="1" x14ac:dyDescent="0.25"/>
    <row r="829" ht="14.25" customHeight="1" x14ac:dyDescent="0.25"/>
    <row r="830" ht="14.25" customHeight="1" x14ac:dyDescent="0.25"/>
    <row r="831" ht="14.25" customHeight="1" x14ac:dyDescent="0.25"/>
    <row r="832" ht="14.25" customHeight="1" x14ac:dyDescent="0.25"/>
    <row r="833" ht="14.25" customHeight="1" x14ac:dyDescent="0.25"/>
    <row r="834" ht="14.25" customHeight="1" x14ac:dyDescent="0.25"/>
    <row r="835" ht="14.25" customHeight="1" x14ac:dyDescent="0.25"/>
    <row r="836" ht="14.25" customHeight="1" x14ac:dyDescent="0.25"/>
    <row r="837" ht="14.25" customHeight="1" x14ac:dyDescent="0.25"/>
    <row r="838" ht="14.25" customHeight="1" x14ac:dyDescent="0.25"/>
    <row r="839" ht="14.25" customHeight="1" x14ac:dyDescent="0.25"/>
    <row r="840" ht="14.25" customHeight="1" x14ac:dyDescent="0.25"/>
    <row r="841" ht="14.25" customHeight="1" x14ac:dyDescent="0.25"/>
    <row r="842" ht="14.25" customHeight="1" x14ac:dyDescent="0.25"/>
    <row r="843" ht="14.25" customHeight="1" x14ac:dyDescent="0.25"/>
    <row r="844" ht="14.25" customHeight="1" x14ac:dyDescent="0.25"/>
    <row r="845" ht="14.25" customHeight="1" x14ac:dyDescent="0.25"/>
    <row r="846" ht="14.25" customHeight="1" x14ac:dyDescent="0.25"/>
    <row r="847" ht="14.25" customHeight="1" x14ac:dyDescent="0.25"/>
    <row r="848" ht="14.25" customHeight="1" x14ac:dyDescent="0.25"/>
    <row r="849" ht="14.25" customHeight="1" x14ac:dyDescent="0.25"/>
    <row r="850" ht="14.25" customHeight="1" x14ac:dyDescent="0.25"/>
    <row r="851" ht="14.25" customHeight="1" x14ac:dyDescent="0.25"/>
    <row r="852" ht="14.25" customHeight="1" x14ac:dyDescent="0.25"/>
    <row r="853" ht="14.25" customHeight="1" x14ac:dyDescent="0.25"/>
    <row r="854" ht="14.25" customHeight="1" x14ac:dyDescent="0.25"/>
    <row r="855" ht="14.25" customHeight="1" x14ac:dyDescent="0.25"/>
    <row r="856" ht="14.25" customHeight="1" x14ac:dyDescent="0.25"/>
    <row r="857" ht="14.25" customHeight="1" x14ac:dyDescent="0.25"/>
    <row r="858" ht="14.25" customHeight="1" x14ac:dyDescent="0.25"/>
    <row r="859" ht="14.25" customHeight="1" x14ac:dyDescent="0.25"/>
    <row r="860" ht="14.25" customHeight="1" x14ac:dyDescent="0.25"/>
    <row r="861" ht="14.25" customHeight="1" x14ac:dyDescent="0.25"/>
    <row r="862" ht="14.25" customHeight="1" x14ac:dyDescent="0.25"/>
    <row r="863" ht="14.25" customHeight="1" x14ac:dyDescent="0.25"/>
    <row r="864" ht="14.25" customHeight="1" x14ac:dyDescent="0.25"/>
    <row r="865" ht="14.25" customHeight="1" x14ac:dyDescent="0.25"/>
    <row r="866" ht="14.25" customHeight="1" x14ac:dyDescent="0.25"/>
    <row r="867" ht="14.25" customHeight="1" x14ac:dyDescent="0.25"/>
    <row r="868" ht="14.25" customHeight="1" x14ac:dyDescent="0.25"/>
    <row r="869" ht="14.25" customHeight="1" x14ac:dyDescent="0.25"/>
    <row r="870" ht="14.25" customHeight="1" x14ac:dyDescent="0.25"/>
    <row r="871" ht="14.25" customHeight="1" x14ac:dyDescent="0.25"/>
    <row r="872" ht="14.25" customHeight="1" x14ac:dyDescent="0.25"/>
    <row r="873" ht="14.25" customHeight="1" x14ac:dyDescent="0.25"/>
    <row r="874" ht="14.25" customHeight="1" x14ac:dyDescent="0.25"/>
    <row r="875" ht="14.25" customHeight="1" x14ac:dyDescent="0.25"/>
    <row r="876" ht="14.25" customHeight="1" x14ac:dyDescent="0.25"/>
    <row r="877" ht="14.25" customHeight="1" x14ac:dyDescent="0.25"/>
    <row r="878" ht="14.25" customHeight="1" x14ac:dyDescent="0.25"/>
    <row r="879" ht="14.25" customHeight="1" x14ac:dyDescent="0.25"/>
    <row r="880" ht="14.25" customHeight="1" x14ac:dyDescent="0.25"/>
    <row r="881" ht="14.25" customHeight="1" x14ac:dyDescent="0.25"/>
    <row r="882" ht="14.25" customHeight="1" x14ac:dyDescent="0.25"/>
    <row r="883" ht="14.25" customHeight="1" x14ac:dyDescent="0.25"/>
    <row r="884" ht="14.25" customHeight="1" x14ac:dyDescent="0.25"/>
    <row r="885" ht="14.25" customHeight="1" x14ac:dyDescent="0.25"/>
    <row r="886" ht="14.25" customHeight="1" x14ac:dyDescent="0.25"/>
    <row r="887" ht="14.25" customHeight="1" x14ac:dyDescent="0.25"/>
    <row r="888" ht="14.25" customHeight="1" x14ac:dyDescent="0.25"/>
    <row r="889" ht="14.25" customHeight="1" x14ac:dyDescent="0.25"/>
    <row r="890" ht="14.25" customHeight="1" x14ac:dyDescent="0.25"/>
    <row r="891" ht="14.25" customHeight="1" x14ac:dyDescent="0.25"/>
    <row r="892" ht="14.25" customHeight="1" x14ac:dyDescent="0.25"/>
    <row r="893" ht="14.25" customHeight="1" x14ac:dyDescent="0.25"/>
    <row r="894" ht="14.25" customHeight="1" x14ac:dyDescent="0.25"/>
    <row r="895" ht="14.25" customHeight="1" x14ac:dyDescent="0.25"/>
    <row r="896" ht="14.25" customHeight="1" x14ac:dyDescent="0.25"/>
    <row r="897" ht="14.25" customHeight="1" x14ac:dyDescent="0.25"/>
    <row r="898" ht="14.25" customHeight="1" x14ac:dyDescent="0.25"/>
    <row r="899" ht="14.25" customHeight="1" x14ac:dyDescent="0.25"/>
    <row r="900" ht="14.25" customHeight="1" x14ac:dyDescent="0.25"/>
    <row r="901" ht="14.25" customHeight="1" x14ac:dyDescent="0.25"/>
    <row r="902" ht="14.25" customHeight="1" x14ac:dyDescent="0.25"/>
    <row r="903" ht="14.25" customHeight="1" x14ac:dyDescent="0.25"/>
    <row r="904" ht="14.25" customHeight="1" x14ac:dyDescent="0.25"/>
    <row r="905" ht="14.25" customHeight="1" x14ac:dyDescent="0.25"/>
    <row r="906" ht="14.25" customHeight="1" x14ac:dyDescent="0.25"/>
    <row r="907" ht="14.25" customHeight="1" x14ac:dyDescent="0.25"/>
    <row r="908" ht="14.25" customHeight="1" x14ac:dyDescent="0.25"/>
    <row r="909" ht="14.25" customHeight="1" x14ac:dyDescent="0.25"/>
    <row r="910" ht="14.25" customHeight="1" x14ac:dyDescent="0.25"/>
    <row r="911" ht="14.25" customHeight="1" x14ac:dyDescent="0.25"/>
    <row r="912" ht="14.25" customHeight="1" x14ac:dyDescent="0.25"/>
    <row r="913" ht="14.25" customHeight="1" x14ac:dyDescent="0.25"/>
    <row r="914" ht="14.25" customHeight="1" x14ac:dyDescent="0.25"/>
    <row r="915" ht="14.25" customHeight="1" x14ac:dyDescent="0.25"/>
    <row r="916" ht="14.25" customHeight="1" x14ac:dyDescent="0.25"/>
    <row r="917" ht="14.25" customHeight="1" x14ac:dyDescent="0.25"/>
    <row r="918" ht="14.25" customHeight="1" x14ac:dyDescent="0.25"/>
    <row r="919" ht="14.25" customHeight="1" x14ac:dyDescent="0.25"/>
    <row r="920" ht="14.25" customHeight="1" x14ac:dyDescent="0.25"/>
    <row r="921" ht="14.25" customHeight="1" x14ac:dyDescent="0.25"/>
    <row r="922" ht="14.25" customHeight="1" x14ac:dyDescent="0.25"/>
    <row r="923" ht="14.25" customHeight="1" x14ac:dyDescent="0.25"/>
    <row r="924" ht="14.25" customHeight="1" x14ac:dyDescent="0.25"/>
    <row r="925" ht="14.25" customHeight="1" x14ac:dyDescent="0.25"/>
    <row r="926" ht="14.25" customHeight="1" x14ac:dyDescent="0.25"/>
    <row r="927" ht="14.25" customHeight="1" x14ac:dyDescent="0.25"/>
    <row r="928" ht="14.25" customHeight="1" x14ac:dyDescent="0.25"/>
    <row r="929" ht="14.25" customHeight="1" x14ac:dyDescent="0.25"/>
    <row r="930" ht="14.25" customHeight="1" x14ac:dyDescent="0.25"/>
    <row r="931" ht="14.25" customHeight="1" x14ac:dyDescent="0.25"/>
    <row r="932" ht="14.25" customHeight="1" x14ac:dyDescent="0.25"/>
    <row r="933" ht="14.25" customHeight="1" x14ac:dyDescent="0.25"/>
    <row r="934" ht="14.25" customHeight="1" x14ac:dyDescent="0.25"/>
    <row r="935" ht="14.25" customHeight="1" x14ac:dyDescent="0.25"/>
    <row r="936" ht="14.25" customHeight="1" x14ac:dyDescent="0.25"/>
    <row r="937" ht="14.25" customHeight="1" x14ac:dyDescent="0.25"/>
    <row r="938" ht="14.25" customHeight="1" x14ac:dyDescent="0.25"/>
    <row r="939" ht="14.25" customHeight="1" x14ac:dyDescent="0.25"/>
    <row r="940" ht="14.25" customHeight="1" x14ac:dyDescent="0.25"/>
    <row r="941" ht="14.25" customHeight="1" x14ac:dyDescent="0.25"/>
    <row r="942" ht="14.25" customHeight="1" x14ac:dyDescent="0.25"/>
    <row r="943" ht="14.25" customHeight="1" x14ac:dyDescent="0.25"/>
    <row r="944" ht="14.25" customHeight="1" x14ac:dyDescent="0.25"/>
    <row r="945" ht="14.25" customHeight="1" x14ac:dyDescent="0.25"/>
    <row r="946" ht="14.25" customHeight="1" x14ac:dyDescent="0.25"/>
    <row r="947" ht="14.25" customHeight="1" x14ac:dyDescent="0.25"/>
    <row r="948" ht="14.25" customHeight="1" x14ac:dyDescent="0.25"/>
    <row r="949" ht="14.25" customHeight="1" x14ac:dyDescent="0.25"/>
    <row r="950" ht="14.25" customHeight="1" x14ac:dyDescent="0.25"/>
    <row r="951" ht="14.25" customHeight="1" x14ac:dyDescent="0.25"/>
    <row r="952" ht="14.25" customHeight="1" x14ac:dyDescent="0.25"/>
    <row r="953" ht="14.25" customHeight="1" x14ac:dyDescent="0.25"/>
    <row r="954" ht="14.25" customHeight="1" x14ac:dyDescent="0.25"/>
    <row r="955" ht="14.25" customHeight="1" x14ac:dyDescent="0.25"/>
    <row r="956" ht="14.25" customHeight="1" x14ac:dyDescent="0.25"/>
    <row r="957" ht="14.25" customHeight="1" x14ac:dyDescent="0.25"/>
    <row r="958" ht="14.25" customHeight="1" x14ac:dyDescent="0.25"/>
    <row r="959" ht="14.25" customHeight="1" x14ac:dyDescent="0.25"/>
    <row r="960" ht="14.25" customHeight="1" x14ac:dyDescent="0.25"/>
    <row r="961" ht="14.25" customHeight="1" x14ac:dyDescent="0.25"/>
    <row r="962" ht="14.25" customHeight="1" x14ac:dyDescent="0.25"/>
    <row r="963" ht="14.25" customHeight="1" x14ac:dyDescent="0.25"/>
    <row r="964" ht="14.25" customHeight="1" x14ac:dyDescent="0.25"/>
    <row r="965" ht="14.25" customHeight="1" x14ac:dyDescent="0.25"/>
    <row r="966" ht="14.25" customHeight="1" x14ac:dyDescent="0.25"/>
    <row r="967" ht="14.25" customHeight="1" x14ac:dyDescent="0.25"/>
    <row r="968" ht="14.25" customHeight="1" x14ac:dyDescent="0.25"/>
    <row r="969" ht="14.25" customHeight="1" x14ac:dyDescent="0.25"/>
    <row r="970" ht="14.25" customHeight="1" x14ac:dyDescent="0.25"/>
    <row r="971" ht="14.25" customHeight="1" x14ac:dyDescent="0.25"/>
    <row r="972" ht="14.25" customHeight="1" x14ac:dyDescent="0.25"/>
    <row r="973" ht="14.25" customHeight="1" x14ac:dyDescent="0.25"/>
    <row r="974" ht="14.25" customHeight="1" x14ac:dyDescent="0.25"/>
    <row r="975" ht="14.25" customHeight="1" x14ac:dyDescent="0.25"/>
    <row r="976" ht="14.25" customHeight="1" x14ac:dyDescent="0.25"/>
    <row r="977" ht="14.25" customHeight="1" x14ac:dyDescent="0.25"/>
    <row r="978" ht="14.25" customHeight="1" x14ac:dyDescent="0.25"/>
    <row r="979" ht="14.25" customHeight="1" x14ac:dyDescent="0.25"/>
    <row r="980" ht="14.25" customHeight="1" x14ac:dyDescent="0.25"/>
    <row r="981" ht="14.25" customHeight="1" x14ac:dyDescent="0.25"/>
    <row r="982" ht="14.25" customHeight="1" x14ac:dyDescent="0.25"/>
    <row r="983" ht="14.25" customHeight="1" x14ac:dyDescent="0.25"/>
    <row r="984" ht="14.25" customHeight="1" x14ac:dyDescent="0.25"/>
    <row r="985" ht="14.25" customHeight="1" x14ac:dyDescent="0.25"/>
    <row r="986" ht="14.25" customHeight="1" x14ac:dyDescent="0.25"/>
    <row r="987" ht="14.25" customHeight="1" x14ac:dyDescent="0.25"/>
    <row r="988" ht="14.25" customHeight="1" x14ac:dyDescent="0.25"/>
    <row r="989" ht="14.25" customHeight="1" x14ac:dyDescent="0.25"/>
    <row r="990" ht="14.25" customHeight="1" x14ac:dyDescent="0.25"/>
    <row r="991" ht="14.25" customHeight="1" x14ac:dyDescent="0.25"/>
    <row r="992" ht="14.25" customHeight="1" x14ac:dyDescent="0.25"/>
    <row r="993" ht="14.25" customHeight="1" x14ac:dyDescent="0.25"/>
    <row r="994" ht="14.25" customHeight="1" x14ac:dyDescent="0.25"/>
    <row r="995" ht="14.25" customHeight="1" x14ac:dyDescent="0.25"/>
    <row r="996" ht="14.25" customHeight="1" x14ac:dyDescent="0.25"/>
    <row r="997" ht="14.25" customHeight="1" x14ac:dyDescent="0.25"/>
    <row r="998" ht="14.25" customHeight="1" x14ac:dyDescent="0.25"/>
    <row r="999" ht="14.25" customHeight="1" x14ac:dyDescent="0.25"/>
    <row r="1000" ht="14.25" customHeight="1" x14ac:dyDescent="0.25"/>
  </sheetData>
  <mergeCells count="20">
    <mergeCell ref="B18:C18"/>
    <mergeCell ref="D18:L18"/>
    <mergeCell ref="N10:Q10"/>
    <mergeCell ref="B13:L13"/>
    <mergeCell ref="O13:Q13"/>
    <mergeCell ref="B14:C14"/>
    <mergeCell ref="D14:L14"/>
    <mergeCell ref="B15:C15"/>
    <mergeCell ref="D15:L15"/>
    <mergeCell ref="N8:Q8"/>
    <mergeCell ref="N9:Q9"/>
    <mergeCell ref="B16:C16"/>
    <mergeCell ref="D16:L16"/>
    <mergeCell ref="B17:C17"/>
    <mergeCell ref="D17:L17"/>
    <mergeCell ref="B4:I4"/>
    <mergeCell ref="L4:P4"/>
    <mergeCell ref="N5:Q5"/>
    <mergeCell ref="N6:Q6"/>
    <mergeCell ref="N7:Q7"/>
  </mergeCells>
  <pageMargins left="0.7" right="0.7" top="0.75" bottom="0.75" header="0" footer="0"/>
  <pageSetup paperSize="9" orientation="landscape" r:id="rId1"/>
  <headerFooter>
    <oddHeader>&amp;R&amp;F  &amp;A</oddHeader>
    <oddFooter>&amp;L© 2017&amp;CPage &amp;P of</oddFooter>
  </headerFooter>
  <colBreaks count="1" manualBreakCount="1">
    <brk id="18" man="1"/>
  </colBreaks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66AA13A-F400-4332-BA4D-F4620B08B036}">
  <sheetPr>
    <tabColor theme="4"/>
    <pageSetUpPr fitToPage="1"/>
  </sheetPr>
  <dimension ref="A1:Z113"/>
  <sheetViews>
    <sheetView tabSelected="1" zoomScaleNormal="100" workbookViewId="0">
      <pane xSplit="2" ySplit="3" topLeftCell="C4" activePane="bottomRight" state="frozen"/>
      <selection pane="topRight"/>
      <selection pane="bottomLeft"/>
      <selection pane="bottomRight" activeCell="C4" sqref="C4"/>
    </sheetView>
  </sheetViews>
  <sheetFormatPr defaultColWidth="12.5703125" defaultRowHeight="15" customHeight="1" x14ac:dyDescent="0.25"/>
  <cols>
    <col min="1" max="1" width="1.5703125" customWidth="1"/>
    <col min="2" max="2" width="50.5703125" customWidth="1"/>
    <col min="3" max="15" width="10.28515625" customWidth="1"/>
    <col min="16" max="26" width="8" customWidth="1"/>
  </cols>
  <sheetData>
    <row r="1" spans="1:26" ht="45" customHeight="1" x14ac:dyDescent="0.45">
      <c r="A1" s="85" t="str">
        <f>Info!N5&amp;"LBO Base Case"</f>
        <v>LBO Base Case</v>
      </c>
      <c r="B1" s="41"/>
      <c r="C1" s="41"/>
      <c r="D1" s="41"/>
      <c r="E1" s="41"/>
      <c r="F1" s="41"/>
      <c r="G1" s="41"/>
      <c r="H1" s="41"/>
      <c r="I1" s="41"/>
      <c r="J1" s="41"/>
      <c r="K1" s="41"/>
      <c r="L1" s="41"/>
      <c r="M1" s="41"/>
      <c r="N1" s="41"/>
      <c r="O1" s="41"/>
      <c r="P1" s="42"/>
      <c r="Q1" s="42"/>
      <c r="R1" s="42"/>
      <c r="S1" s="42"/>
      <c r="T1" s="42"/>
      <c r="U1" s="42"/>
      <c r="V1" s="42"/>
      <c r="W1" s="42"/>
      <c r="X1" s="42"/>
      <c r="Y1" s="42"/>
      <c r="Z1" s="42"/>
    </row>
    <row r="2" spans="1:26" ht="15" customHeight="1" x14ac:dyDescent="0.3">
      <c r="A2" s="47"/>
      <c r="B2" s="47"/>
      <c r="C2" s="47"/>
      <c r="D2" s="47" t="s">
        <v>155</v>
      </c>
      <c r="E2" s="47" t="s">
        <v>155</v>
      </c>
      <c r="F2" s="47" t="s">
        <v>155</v>
      </c>
      <c r="G2" s="47" t="s">
        <v>154</v>
      </c>
      <c r="H2" s="47" t="s">
        <v>154</v>
      </c>
      <c r="I2" s="47" t="s">
        <v>154</v>
      </c>
      <c r="J2" s="47" t="s">
        <v>154</v>
      </c>
      <c r="K2" s="47" t="s">
        <v>154</v>
      </c>
      <c r="L2" s="47" t="s">
        <v>154</v>
      </c>
      <c r="M2" s="47" t="s">
        <v>154</v>
      </c>
      <c r="N2" s="47" t="s">
        <v>154</v>
      </c>
      <c r="O2" s="47" t="s">
        <v>154</v>
      </c>
      <c r="P2" s="43"/>
      <c r="Q2" s="43"/>
      <c r="R2" s="43"/>
      <c r="S2" s="43"/>
      <c r="T2" s="43"/>
      <c r="U2" s="43"/>
      <c r="V2" s="43"/>
      <c r="W2" s="43"/>
      <c r="X2" s="43"/>
      <c r="Y2" s="43"/>
      <c r="Z2" s="43"/>
    </row>
    <row r="3" spans="1:26" ht="15" customHeight="1" x14ac:dyDescent="0.25">
      <c r="A3" s="47"/>
      <c r="B3" s="47"/>
      <c r="C3" s="50"/>
      <c r="D3" s="97">
        <f t="shared" ref="D3" si="0">DATE(YEAR(E3)-1,MONTH(E3),DAY(E3))</f>
        <v>55518</v>
      </c>
      <c r="E3" s="97">
        <f>DATE(YEAR(F3)-1,MONTH(F3),DAY(F3))</f>
        <v>55884</v>
      </c>
      <c r="F3" s="97">
        <f>Info!N6</f>
        <v>56249</v>
      </c>
      <c r="G3" s="97">
        <f>DATE(YEAR(F3)+1,MONTH(F3),DAY(F3))</f>
        <v>56614</v>
      </c>
      <c r="H3" s="50">
        <f>DATE(YEAR(G3)+1,MONTH(G3),DAY(G3))</f>
        <v>56979</v>
      </c>
      <c r="I3" s="50">
        <f t="shared" ref="I3:O3" si="1">DATE(YEAR(H3)+1,MONTH(H3),DAY(H3))</f>
        <v>57345</v>
      </c>
      <c r="J3" s="50">
        <f t="shared" si="1"/>
        <v>57710</v>
      </c>
      <c r="K3" s="50">
        <f t="shared" si="1"/>
        <v>58075</v>
      </c>
      <c r="L3" s="50">
        <f t="shared" si="1"/>
        <v>58440</v>
      </c>
      <c r="M3" s="50">
        <f t="shared" si="1"/>
        <v>58806</v>
      </c>
      <c r="N3" s="50">
        <f t="shared" si="1"/>
        <v>59171</v>
      </c>
      <c r="O3" s="50">
        <f t="shared" si="1"/>
        <v>59536</v>
      </c>
    </row>
    <row r="4" spans="1:26" ht="15" customHeight="1" x14ac:dyDescent="0.25">
      <c r="A4" s="70" t="str">
        <f>"All numbers in "&amp;Info!$N$7&amp;LOWER(LEFT(Info!$N$8,1))&amp;" unless otherwise stated"</f>
        <v>All numbers in $m unless otherwise stated</v>
      </c>
      <c r="B4" s="16"/>
      <c r="C4" s="16"/>
      <c r="D4" s="16"/>
      <c r="E4" s="16"/>
      <c r="F4" s="16"/>
      <c r="G4" s="16"/>
      <c r="H4" s="16"/>
      <c r="I4" s="16"/>
      <c r="J4" s="16"/>
      <c r="K4" s="16"/>
      <c r="L4" s="16"/>
      <c r="M4" s="16"/>
      <c r="N4" s="16"/>
      <c r="O4" s="16"/>
      <c r="P4" s="16"/>
    </row>
    <row r="5" spans="1:26" ht="15" customHeight="1" x14ac:dyDescent="0.25">
      <c r="A5" s="70"/>
      <c r="B5" s="16"/>
      <c r="C5" s="16"/>
      <c r="D5" s="16"/>
      <c r="E5" s="16"/>
      <c r="F5" s="16"/>
      <c r="G5" s="16"/>
      <c r="H5" s="16"/>
      <c r="I5" s="16"/>
      <c r="J5" s="16"/>
      <c r="K5" s="16"/>
      <c r="L5" s="16"/>
      <c r="M5" s="16"/>
      <c r="N5" s="16"/>
      <c r="O5" s="16"/>
      <c r="P5" s="16"/>
    </row>
    <row r="6" spans="1:26" ht="15" customHeight="1" x14ac:dyDescent="0.25">
      <c r="A6" s="37" t="s">
        <v>229</v>
      </c>
      <c r="B6" s="16"/>
      <c r="C6" s="16"/>
      <c r="D6" s="16"/>
      <c r="E6" s="16"/>
      <c r="F6" s="16"/>
      <c r="H6" s="37" t="s">
        <v>77</v>
      </c>
      <c r="I6" s="16"/>
      <c r="J6" s="16"/>
      <c r="K6" s="16"/>
      <c r="L6" s="16"/>
      <c r="M6" s="16"/>
      <c r="N6" s="70" t="s">
        <v>187</v>
      </c>
      <c r="O6" s="16"/>
      <c r="P6" s="49"/>
    </row>
    <row r="7" spans="1:26" ht="15" customHeight="1" x14ac:dyDescent="0.25">
      <c r="A7" s="37"/>
      <c r="B7" s="70" t="s">
        <v>60</v>
      </c>
      <c r="C7" s="16"/>
      <c r="D7" s="16"/>
      <c r="E7" s="67"/>
      <c r="F7" s="71">
        <f>+F35</f>
        <v>281.3</v>
      </c>
      <c r="H7" s="70" t="s">
        <v>72</v>
      </c>
      <c r="I7" s="71"/>
      <c r="J7" s="71">
        <f>+F7*F9</f>
        <v>3094.3</v>
      </c>
      <c r="L7" s="70" t="s">
        <v>81</v>
      </c>
      <c r="M7" s="16"/>
      <c r="N7" s="53">
        <v>4</v>
      </c>
      <c r="O7" s="71">
        <f>+N7*$F$7</f>
        <v>1125.2</v>
      </c>
      <c r="P7" s="49"/>
    </row>
    <row r="8" spans="1:26" ht="15" customHeight="1" x14ac:dyDescent="0.25">
      <c r="A8" s="37"/>
      <c r="B8" s="70" t="s">
        <v>190</v>
      </c>
      <c r="C8" s="16"/>
      <c r="D8" s="16"/>
      <c r="E8" s="49"/>
      <c r="F8" s="53">
        <v>6</v>
      </c>
      <c r="H8" s="70" t="s">
        <v>78</v>
      </c>
      <c r="I8" s="71"/>
      <c r="J8" s="71">
        <f>+F17*J7</f>
        <v>30.943000000000001</v>
      </c>
      <c r="L8" s="71" t="s">
        <v>82</v>
      </c>
      <c r="M8" s="16"/>
      <c r="N8" s="77">
        <f>+F8-N7</f>
        <v>2</v>
      </c>
      <c r="O8" s="71">
        <f>+N8*$F$7</f>
        <v>562.6</v>
      </c>
      <c r="P8" s="16"/>
    </row>
    <row r="9" spans="1:26" ht="15" customHeight="1" x14ac:dyDescent="0.25">
      <c r="A9" s="37"/>
      <c r="B9" s="71" t="s">
        <v>83</v>
      </c>
      <c r="C9" s="16"/>
      <c r="D9" s="16"/>
      <c r="E9" s="40"/>
      <c r="F9" s="66">
        <v>11</v>
      </c>
      <c r="L9" s="70" t="s">
        <v>64</v>
      </c>
      <c r="M9" s="16"/>
      <c r="N9" s="16"/>
      <c r="O9" s="71">
        <f>+J10-O8-O7</f>
        <v>1437.4430000000004</v>
      </c>
      <c r="P9" s="16"/>
    </row>
    <row r="10" spans="1:26" ht="15" customHeight="1" x14ac:dyDescent="0.25">
      <c r="A10" s="37"/>
      <c r="B10" s="71" t="s">
        <v>150</v>
      </c>
      <c r="F10" s="66">
        <v>11</v>
      </c>
      <c r="H10" s="70" t="s">
        <v>79</v>
      </c>
      <c r="I10" s="71"/>
      <c r="J10" s="71">
        <f>SUM(J7:J8)</f>
        <v>3125.2430000000004</v>
      </c>
      <c r="L10" s="70" t="s">
        <v>80</v>
      </c>
      <c r="M10" s="16"/>
      <c r="N10" s="16"/>
      <c r="O10" s="71">
        <f>SUM(O7:O9)</f>
        <v>3125.2430000000004</v>
      </c>
      <c r="P10" s="16"/>
    </row>
    <row r="11" spans="1:26" ht="15" customHeight="1" x14ac:dyDescent="0.25">
      <c r="A11" s="37"/>
      <c r="B11" s="71"/>
      <c r="C11" s="16"/>
      <c r="D11" s="16"/>
      <c r="E11" s="16"/>
      <c r="F11" s="16"/>
      <c r="G11" s="16"/>
      <c r="H11" s="16"/>
      <c r="I11" s="16"/>
      <c r="J11" s="16"/>
      <c r="K11" s="16"/>
      <c r="L11" s="16"/>
      <c r="M11" s="16"/>
      <c r="N11" s="16"/>
      <c r="O11" s="16"/>
      <c r="P11" s="16"/>
    </row>
    <row r="12" spans="1:26" ht="15" customHeight="1" x14ac:dyDescent="0.25">
      <c r="A12" s="37"/>
      <c r="B12" s="70" t="s">
        <v>84</v>
      </c>
      <c r="C12" s="16"/>
      <c r="D12" s="16"/>
      <c r="F12" s="51">
        <v>2.4E-2</v>
      </c>
      <c r="G12" s="16"/>
      <c r="H12" s="16"/>
      <c r="I12" s="16"/>
      <c r="J12" s="16"/>
      <c r="K12" s="16"/>
      <c r="L12" s="16"/>
      <c r="M12" s="16"/>
      <c r="N12" s="16"/>
      <c r="O12" s="16"/>
      <c r="P12" s="16"/>
    </row>
    <row r="13" spans="1:26" ht="15" customHeight="1" x14ac:dyDescent="0.25">
      <c r="A13" s="37"/>
      <c r="B13" s="70" t="s">
        <v>73</v>
      </c>
      <c r="C13" s="16"/>
      <c r="D13" s="16"/>
      <c r="F13" s="51">
        <v>2.5000000000000001E-2</v>
      </c>
      <c r="G13" s="16"/>
      <c r="H13" s="16"/>
      <c r="I13" s="16"/>
      <c r="J13" s="16"/>
      <c r="K13" s="16"/>
      <c r="L13" s="16"/>
      <c r="M13" s="16"/>
      <c r="N13" s="16"/>
      <c r="O13" s="16"/>
      <c r="P13" s="16"/>
    </row>
    <row r="14" spans="1:26" ht="15" customHeight="1" x14ac:dyDescent="0.25">
      <c r="A14" s="37"/>
      <c r="B14" s="70" t="s">
        <v>85</v>
      </c>
      <c r="C14" s="16"/>
      <c r="D14" s="16"/>
      <c r="F14" s="96">
        <f>SUM(F12:F13)</f>
        <v>4.9000000000000002E-2</v>
      </c>
      <c r="G14" s="16"/>
      <c r="H14" s="16"/>
      <c r="I14" s="16"/>
      <c r="J14" s="16"/>
      <c r="K14" s="16"/>
      <c r="L14" s="16"/>
      <c r="M14" s="16"/>
      <c r="N14" s="16"/>
      <c r="O14" s="16"/>
      <c r="P14" s="16"/>
    </row>
    <row r="15" spans="1:26" ht="15" customHeight="1" x14ac:dyDescent="0.25">
      <c r="A15" s="37"/>
      <c r="B15" s="71" t="s">
        <v>86</v>
      </c>
      <c r="C15" s="16"/>
      <c r="D15" s="16"/>
      <c r="F15" s="51">
        <v>7.0000000000000007E-2</v>
      </c>
      <c r="G15" s="16"/>
      <c r="H15" s="16"/>
      <c r="I15" s="16"/>
      <c r="J15" s="16"/>
      <c r="K15" s="16"/>
      <c r="L15" s="16"/>
      <c r="M15" s="16"/>
      <c r="N15" s="16"/>
      <c r="O15" s="16"/>
      <c r="P15" s="16"/>
      <c r="Q15" s="16"/>
      <c r="R15" s="16"/>
      <c r="S15" s="16"/>
      <c r="T15" s="16"/>
      <c r="U15" s="16"/>
      <c r="V15" s="16"/>
      <c r="W15" s="16"/>
      <c r="X15" s="16"/>
      <c r="Y15" s="16"/>
      <c r="Z15" s="16"/>
    </row>
    <row r="16" spans="1:26" ht="15" customHeight="1" x14ac:dyDescent="0.25">
      <c r="A16" s="37"/>
      <c r="B16" s="71" t="s">
        <v>62</v>
      </c>
      <c r="C16" s="16"/>
      <c r="D16" s="16"/>
      <c r="F16" s="51">
        <v>3.0000000000000001E-3</v>
      </c>
      <c r="G16" s="16"/>
      <c r="H16" s="16"/>
      <c r="I16" s="16"/>
      <c r="J16" s="16"/>
      <c r="K16" s="16"/>
      <c r="L16" s="16"/>
      <c r="M16" s="16"/>
      <c r="N16" s="16"/>
      <c r="O16" s="16"/>
      <c r="P16" s="16"/>
      <c r="Q16" s="16"/>
      <c r="R16" s="16"/>
      <c r="S16" s="16"/>
      <c r="T16" s="16"/>
      <c r="U16" s="16"/>
      <c r="V16" s="16"/>
      <c r="W16" s="16"/>
      <c r="X16" s="16"/>
      <c r="Y16" s="16"/>
      <c r="Z16" s="16"/>
    </row>
    <row r="17" spans="1:26" ht="15" customHeight="1" x14ac:dyDescent="0.25">
      <c r="A17" s="37"/>
      <c r="B17" s="70" t="s">
        <v>87</v>
      </c>
      <c r="C17" s="16"/>
      <c r="D17" s="16"/>
      <c r="F17" s="51">
        <v>0.01</v>
      </c>
      <c r="G17" s="16"/>
      <c r="H17" s="16"/>
      <c r="I17" s="16"/>
      <c r="J17" s="16"/>
      <c r="K17" s="16"/>
      <c r="L17" s="16"/>
      <c r="M17" s="16"/>
      <c r="N17" s="16"/>
      <c r="O17" s="16"/>
      <c r="P17" s="16"/>
    </row>
    <row r="18" spans="1:26" ht="15" customHeight="1" x14ac:dyDescent="0.25">
      <c r="A18" s="37"/>
      <c r="B18" s="70" t="s">
        <v>88</v>
      </c>
      <c r="C18" s="16"/>
      <c r="D18" s="16"/>
      <c r="F18" s="87">
        <v>5</v>
      </c>
      <c r="G18" s="16"/>
      <c r="H18" s="16"/>
      <c r="I18" s="16"/>
      <c r="J18" s="16"/>
      <c r="K18" s="16"/>
      <c r="L18" s="16"/>
      <c r="M18" s="16"/>
      <c r="N18" s="16"/>
      <c r="O18" s="16"/>
      <c r="P18" s="16"/>
    </row>
    <row r="19" spans="1:26" ht="15" customHeight="1" x14ac:dyDescent="0.25">
      <c r="A19" s="37"/>
      <c r="B19" s="16"/>
      <c r="C19" s="16"/>
      <c r="D19" s="16"/>
      <c r="E19" s="16"/>
      <c r="F19" s="16"/>
      <c r="G19" s="16"/>
      <c r="H19" s="16"/>
      <c r="I19" s="16"/>
      <c r="J19" s="16"/>
      <c r="K19" s="16"/>
      <c r="L19" s="16"/>
      <c r="M19" s="16"/>
      <c r="N19" s="16"/>
      <c r="O19" s="16"/>
      <c r="P19" s="16"/>
    </row>
    <row r="20" spans="1:26" ht="15" customHeight="1" x14ac:dyDescent="0.25">
      <c r="A20" s="37"/>
      <c r="B20" s="70" t="s">
        <v>100</v>
      </c>
      <c r="C20" s="71"/>
      <c r="D20" s="71"/>
      <c r="E20" s="71"/>
      <c r="F20" s="65">
        <v>0</v>
      </c>
      <c r="G20" s="71">
        <f>F20+1</f>
        <v>1</v>
      </c>
      <c r="H20" s="71">
        <f t="shared" ref="H20:O20" si="2">G20+1</f>
        <v>2</v>
      </c>
      <c r="I20" s="71">
        <f t="shared" si="2"/>
        <v>3</v>
      </c>
      <c r="J20" s="71">
        <f t="shared" si="2"/>
        <v>4</v>
      </c>
      <c r="K20" s="71">
        <f t="shared" si="2"/>
        <v>5</v>
      </c>
      <c r="L20" s="71">
        <f t="shared" si="2"/>
        <v>6</v>
      </c>
      <c r="M20" s="71">
        <f t="shared" si="2"/>
        <v>7</v>
      </c>
      <c r="N20" s="71">
        <f t="shared" si="2"/>
        <v>8</v>
      </c>
      <c r="O20" s="71">
        <f t="shared" si="2"/>
        <v>9</v>
      </c>
      <c r="P20" s="16"/>
    </row>
    <row r="21" spans="1:26" ht="15" customHeight="1" x14ac:dyDescent="0.25">
      <c r="A21" s="37"/>
      <c r="B21" s="16"/>
      <c r="C21" s="16"/>
      <c r="D21" s="16"/>
      <c r="E21" s="16"/>
      <c r="F21" s="16"/>
      <c r="G21" s="16"/>
      <c r="H21" s="16"/>
      <c r="I21" s="16"/>
      <c r="J21" s="16"/>
      <c r="K21" s="16"/>
      <c r="L21" s="16"/>
      <c r="M21" s="16"/>
      <c r="N21" s="16"/>
      <c r="O21" s="16"/>
      <c r="P21" s="16"/>
    </row>
    <row r="22" spans="1:26" ht="15" customHeight="1" x14ac:dyDescent="0.25">
      <c r="A22" s="37" t="s">
        <v>230</v>
      </c>
      <c r="B22" s="16"/>
      <c r="C22" s="16"/>
      <c r="D22" s="16"/>
      <c r="E22" s="16"/>
      <c r="F22" s="16"/>
      <c r="G22" s="16"/>
      <c r="H22" s="16"/>
      <c r="I22" s="16"/>
      <c r="J22" s="16"/>
      <c r="K22" s="16"/>
      <c r="L22" s="16"/>
      <c r="M22" s="16"/>
      <c r="N22" s="16"/>
      <c r="O22" s="16"/>
      <c r="P22" s="16"/>
    </row>
    <row r="23" spans="1:26" ht="15" customHeight="1" x14ac:dyDescent="0.25">
      <c r="A23" s="37"/>
      <c r="B23" s="71" t="s">
        <v>223</v>
      </c>
      <c r="C23" s="16"/>
      <c r="D23" s="74"/>
      <c r="E23" s="75">
        <f>E34/D34-1</f>
        <v>0.1278372746759997</v>
      </c>
      <c r="F23" s="75">
        <f>F34/E34-1</f>
        <v>0.11468453738092621</v>
      </c>
      <c r="G23" s="69">
        <v>0.1</v>
      </c>
      <c r="H23" s="69">
        <f>G23-1%</f>
        <v>9.0000000000000011E-2</v>
      </c>
      <c r="I23" s="69">
        <f t="shared" ref="I23:O23" si="3">H23-1%</f>
        <v>8.0000000000000016E-2</v>
      </c>
      <c r="J23" s="69">
        <f t="shared" si="3"/>
        <v>7.0000000000000021E-2</v>
      </c>
      <c r="K23" s="69">
        <f t="shared" si="3"/>
        <v>6.0000000000000019E-2</v>
      </c>
      <c r="L23" s="69">
        <f t="shared" si="3"/>
        <v>5.0000000000000017E-2</v>
      </c>
      <c r="M23" s="69">
        <f t="shared" si="3"/>
        <v>4.0000000000000015E-2</v>
      </c>
      <c r="N23" s="69">
        <f t="shared" si="3"/>
        <v>3.0000000000000013E-2</v>
      </c>
      <c r="O23" s="69">
        <f t="shared" si="3"/>
        <v>2.0000000000000011E-2</v>
      </c>
      <c r="P23" s="16"/>
    </row>
    <row r="24" spans="1:26" ht="15" customHeight="1" x14ac:dyDescent="0.25">
      <c r="A24" s="37"/>
      <c r="B24" s="71" t="s">
        <v>31</v>
      </c>
      <c r="C24" s="16"/>
      <c r="D24" s="16"/>
      <c r="E24" s="72">
        <f>E35/E34</f>
        <v>0.21135103965523122</v>
      </c>
      <c r="F24" s="72">
        <f>F35/F34</f>
        <v>0.19147288800401596</v>
      </c>
      <c r="G24" s="51">
        <v>0.21</v>
      </c>
      <c r="H24" s="51">
        <f t="shared" ref="H24:O24" si="4">+G24</f>
        <v>0.21</v>
      </c>
      <c r="I24" s="51">
        <f t="shared" si="4"/>
        <v>0.21</v>
      </c>
      <c r="J24" s="51">
        <f t="shared" si="4"/>
        <v>0.21</v>
      </c>
      <c r="K24" s="51">
        <f t="shared" si="4"/>
        <v>0.21</v>
      </c>
      <c r="L24" s="51">
        <f t="shared" si="4"/>
        <v>0.21</v>
      </c>
      <c r="M24" s="51">
        <f t="shared" si="4"/>
        <v>0.21</v>
      </c>
      <c r="N24" s="51">
        <f t="shared" si="4"/>
        <v>0.21</v>
      </c>
      <c r="O24" s="51">
        <f t="shared" si="4"/>
        <v>0.21</v>
      </c>
      <c r="P24" s="16"/>
      <c r="Q24" s="16"/>
      <c r="R24" s="16"/>
      <c r="S24" s="16"/>
      <c r="T24" s="16"/>
      <c r="U24" s="16"/>
      <c r="V24" s="16"/>
      <c r="W24" s="16"/>
      <c r="X24" s="16"/>
      <c r="Y24" s="16"/>
      <c r="Z24" s="16"/>
    </row>
    <row r="25" spans="1:26" ht="15" customHeight="1" x14ac:dyDescent="0.25">
      <c r="A25" s="37"/>
      <c r="B25" s="71" t="s">
        <v>149</v>
      </c>
      <c r="C25" s="16"/>
      <c r="D25" s="16"/>
      <c r="E25" s="52"/>
      <c r="F25" s="52"/>
      <c r="G25" s="51">
        <v>0.02</v>
      </c>
      <c r="H25" s="51">
        <v>0.02</v>
      </c>
      <c r="I25" s="51">
        <v>0.02</v>
      </c>
      <c r="J25" s="51">
        <v>0.02</v>
      </c>
      <c r="K25" s="51">
        <v>0.02</v>
      </c>
      <c r="L25" s="51">
        <v>0.02</v>
      </c>
      <c r="M25" s="51">
        <v>0.02</v>
      </c>
      <c r="N25" s="51">
        <v>0.02</v>
      </c>
      <c r="O25" s="51">
        <v>0.02</v>
      </c>
      <c r="P25" s="16"/>
      <c r="Q25" s="16"/>
      <c r="R25" s="16"/>
      <c r="S25" s="16"/>
      <c r="T25" s="16"/>
      <c r="U25" s="16"/>
      <c r="V25" s="16"/>
      <c r="W25" s="16"/>
      <c r="X25" s="16"/>
      <c r="Y25" s="16"/>
      <c r="Z25" s="16"/>
    </row>
    <row r="26" spans="1:26" ht="15" customHeight="1" x14ac:dyDescent="0.25">
      <c r="A26" s="36"/>
      <c r="B26" s="71" t="s">
        <v>212</v>
      </c>
      <c r="C26" s="16"/>
      <c r="D26" s="72">
        <f>-D50/D34</f>
        <v>5.4424330071581685E-2</v>
      </c>
      <c r="E26" s="72">
        <f>-E50/E34</f>
        <v>6.9378634809956111E-2</v>
      </c>
      <c r="F26" s="72">
        <f>-F50/F34</f>
        <v>5.2435527648024775E-2</v>
      </c>
      <c r="G26" s="69">
        <v>6.3E-2</v>
      </c>
      <c r="H26" s="69">
        <v>6.3E-2</v>
      </c>
      <c r="I26" s="69">
        <v>6.3E-2</v>
      </c>
      <c r="J26" s="69">
        <v>6.3E-2</v>
      </c>
      <c r="K26" s="69">
        <v>6.3E-2</v>
      </c>
      <c r="L26" s="69">
        <v>6.3E-2</v>
      </c>
      <c r="M26" s="69">
        <v>6.3E-2</v>
      </c>
      <c r="N26" s="69">
        <v>6.3E-2</v>
      </c>
      <c r="O26" s="69">
        <v>6.3E-2</v>
      </c>
      <c r="P26" s="16"/>
    </row>
    <row r="27" spans="1:26" ht="15" customHeight="1" x14ac:dyDescent="0.25">
      <c r="A27" s="36"/>
      <c r="B27" s="71" t="s">
        <v>213</v>
      </c>
      <c r="C27" s="16"/>
      <c r="D27" s="72">
        <f>D36/D50</f>
        <v>0.54693396226415092</v>
      </c>
      <c r="E27" s="72">
        <f>E36/E50</f>
        <v>0.48930993000874884</v>
      </c>
      <c r="F27" s="72">
        <f>F36/F50</f>
        <v>0.69708574024793934</v>
      </c>
      <c r="G27" s="69">
        <v>0.7</v>
      </c>
      <c r="H27" s="69">
        <v>0.7</v>
      </c>
      <c r="I27" s="69">
        <v>0.7</v>
      </c>
      <c r="J27" s="69">
        <v>0.75</v>
      </c>
      <c r="K27" s="69">
        <v>0.8</v>
      </c>
      <c r="L27" s="69">
        <v>0.85</v>
      </c>
      <c r="M27" s="69">
        <v>0.9</v>
      </c>
      <c r="N27" s="69">
        <v>0.95</v>
      </c>
      <c r="O27" s="69">
        <v>0.95</v>
      </c>
      <c r="P27" s="16"/>
    </row>
    <row r="28" spans="1:26" ht="15" customHeight="1" x14ac:dyDescent="0.25">
      <c r="A28" s="36"/>
      <c r="B28" t="s">
        <v>202</v>
      </c>
      <c r="C28" s="16"/>
      <c r="D28" s="52"/>
      <c r="E28" s="72"/>
      <c r="F28" s="72"/>
      <c r="G28" s="69">
        <v>0.13500000000000001</v>
      </c>
      <c r="H28" s="69">
        <v>0.13500000000000001</v>
      </c>
      <c r="I28" s="69">
        <v>0.13500000000000001</v>
      </c>
      <c r="J28" s="69">
        <v>0.13500000000000001</v>
      </c>
      <c r="K28" s="69">
        <v>0.13500000000000001</v>
      </c>
      <c r="L28" s="69">
        <v>0.13500000000000001</v>
      </c>
      <c r="M28" s="69">
        <v>0.13500000000000001</v>
      </c>
      <c r="N28" s="69">
        <v>0.13500000000000001</v>
      </c>
      <c r="O28" s="69">
        <v>0.13500000000000001</v>
      </c>
      <c r="P28" s="16"/>
    </row>
    <row r="29" spans="1:26" ht="15" customHeight="1" x14ac:dyDescent="0.25">
      <c r="A29" s="37"/>
      <c r="B29" s="70" t="s">
        <v>71</v>
      </c>
      <c r="C29" s="16"/>
      <c r="D29" s="16"/>
      <c r="E29" s="16"/>
      <c r="F29" s="39"/>
      <c r="G29" s="69">
        <v>0.2</v>
      </c>
      <c r="H29" s="69">
        <v>0.2</v>
      </c>
      <c r="I29" s="69">
        <v>0.2</v>
      </c>
      <c r="J29" s="69">
        <v>0.2</v>
      </c>
      <c r="K29" s="69">
        <v>0.2</v>
      </c>
      <c r="L29" s="69">
        <v>0.2</v>
      </c>
      <c r="M29" s="69">
        <v>0.2</v>
      </c>
      <c r="N29" s="69">
        <v>0.2</v>
      </c>
      <c r="O29" s="69">
        <v>0.2</v>
      </c>
      <c r="P29" s="16"/>
    </row>
    <row r="30" spans="1:26" ht="15" customHeight="1" x14ac:dyDescent="0.25">
      <c r="A30" s="36"/>
      <c r="B30" s="71" t="s">
        <v>201</v>
      </c>
      <c r="C30" s="16"/>
      <c r="D30" s="52"/>
      <c r="E30" s="74">
        <v>159.38750000000002</v>
      </c>
      <c r="F30" s="74">
        <v>184.45750000000004</v>
      </c>
      <c r="G30">
        <f t="shared" ref="G30:O30" si="5">+G28*G34</f>
        <v>218.16691875000004</v>
      </c>
      <c r="H30">
        <f t="shared" si="5"/>
        <v>237.80194143750006</v>
      </c>
      <c r="I30">
        <f t="shared" si="5"/>
        <v>256.82609675250006</v>
      </c>
      <c r="J30">
        <f t="shared" si="5"/>
        <v>274.80392352517509</v>
      </c>
      <c r="K30">
        <f t="shared" si="5"/>
        <v>291.29215893668561</v>
      </c>
      <c r="L30">
        <f t="shared" si="5"/>
        <v>305.85676688351987</v>
      </c>
      <c r="M30">
        <f t="shared" si="5"/>
        <v>318.09103755886071</v>
      </c>
      <c r="N30">
        <f t="shared" si="5"/>
        <v>327.63376868562653</v>
      </c>
      <c r="O30">
        <f t="shared" si="5"/>
        <v>334.18644405933907</v>
      </c>
      <c r="P30" s="16"/>
    </row>
    <row r="31" spans="1:26" ht="15" customHeight="1" x14ac:dyDescent="0.25">
      <c r="A31" s="37"/>
      <c r="B31" s="70" t="s">
        <v>90</v>
      </c>
      <c r="C31" s="16"/>
      <c r="D31" s="16"/>
      <c r="E31" s="16"/>
      <c r="F31" s="16"/>
      <c r="G31" s="71">
        <f t="shared" ref="G31:O31" si="6">G35+G38</f>
        <v>371.69178750000003</v>
      </c>
      <c r="H31" s="71">
        <f t="shared" si="6"/>
        <v>405.14404837500007</v>
      </c>
      <c r="I31" s="71">
        <f t="shared" si="6"/>
        <v>437.55557224500006</v>
      </c>
      <c r="J31" s="71">
        <f t="shared" si="6"/>
        <v>468.18446230215011</v>
      </c>
      <c r="K31" s="71">
        <f t="shared" si="6"/>
        <v>496.27553004027914</v>
      </c>
      <c r="L31" s="71">
        <f t="shared" si="6"/>
        <v>521.08930654229312</v>
      </c>
      <c r="M31" s="71">
        <f t="shared" si="6"/>
        <v>541.93287880398486</v>
      </c>
      <c r="N31" s="71">
        <f t="shared" si="6"/>
        <v>558.19086516810432</v>
      </c>
      <c r="O31" s="71">
        <f t="shared" si="6"/>
        <v>569.35468247146639</v>
      </c>
      <c r="P31" s="16"/>
    </row>
    <row r="32" spans="1:26" ht="15" customHeight="1" x14ac:dyDescent="0.25">
      <c r="A32" s="36"/>
      <c r="B32" s="71"/>
      <c r="C32" s="16"/>
      <c r="D32" s="52"/>
      <c r="E32" s="74"/>
      <c r="F32" s="74"/>
      <c r="P32" s="16"/>
    </row>
    <row r="33" spans="1:26" ht="15" customHeight="1" x14ac:dyDescent="0.25">
      <c r="A33" s="37" t="s">
        <v>20</v>
      </c>
      <c r="B33" s="16"/>
      <c r="C33" s="16"/>
      <c r="D33" s="16"/>
      <c r="E33" s="16"/>
      <c r="F33" s="16"/>
      <c r="G33" s="16"/>
      <c r="H33" s="16"/>
      <c r="I33" s="16"/>
      <c r="J33" s="16"/>
      <c r="K33" s="16"/>
      <c r="L33" s="16"/>
      <c r="M33" s="16"/>
      <c r="N33" s="16"/>
      <c r="O33" s="16"/>
      <c r="P33" s="16"/>
    </row>
    <row r="34" spans="1:26" ht="15" customHeight="1" x14ac:dyDescent="0.25">
      <c r="A34" s="37"/>
      <c r="B34" s="70" t="s">
        <v>42</v>
      </c>
      <c r="C34" s="16"/>
      <c r="D34" s="74">
        <v>1168.595</v>
      </c>
      <c r="E34" s="74">
        <v>1317.9849999999999</v>
      </c>
      <c r="F34" s="74">
        <v>1469.1375</v>
      </c>
      <c r="G34" s="71">
        <f t="shared" ref="G34:O34" si="7">+F34*(1+G23)</f>
        <v>1616.0512500000002</v>
      </c>
      <c r="H34" s="71">
        <f t="shared" si="7"/>
        <v>1761.4958625000004</v>
      </c>
      <c r="I34" s="71">
        <f t="shared" si="7"/>
        <v>1902.4155315000005</v>
      </c>
      <c r="J34" s="71">
        <f t="shared" si="7"/>
        <v>2035.5846187050006</v>
      </c>
      <c r="K34" s="71">
        <f t="shared" si="7"/>
        <v>2157.7196958273007</v>
      </c>
      <c r="L34" s="71">
        <f t="shared" si="7"/>
        <v>2265.6056806186657</v>
      </c>
      <c r="M34" s="71">
        <f t="shared" si="7"/>
        <v>2356.2299078434125</v>
      </c>
      <c r="N34" s="71">
        <f t="shared" si="7"/>
        <v>2426.9168050787148</v>
      </c>
      <c r="O34" s="71">
        <f t="shared" si="7"/>
        <v>2475.455141180289</v>
      </c>
      <c r="P34" s="16"/>
    </row>
    <row r="35" spans="1:26" ht="15" customHeight="1" x14ac:dyDescent="0.25">
      <c r="A35" s="37"/>
      <c r="B35" s="71" t="s">
        <v>24</v>
      </c>
      <c r="C35" s="16"/>
      <c r="D35" s="74">
        <v>250.96750000000009</v>
      </c>
      <c r="E35" s="74">
        <v>278.55749999999989</v>
      </c>
      <c r="F35" s="74">
        <v>281.3</v>
      </c>
      <c r="G35">
        <f t="shared" ref="G35:O35" si="8">G34*G24</f>
        <v>339.37076250000001</v>
      </c>
      <c r="H35">
        <f t="shared" si="8"/>
        <v>369.91413112500004</v>
      </c>
      <c r="I35">
        <f t="shared" si="8"/>
        <v>399.50726161500006</v>
      </c>
      <c r="J35">
        <f t="shared" si="8"/>
        <v>427.47276992805013</v>
      </c>
      <c r="K35">
        <f t="shared" si="8"/>
        <v>453.12113612373315</v>
      </c>
      <c r="L35">
        <f t="shared" si="8"/>
        <v>475.77719292991981</v>
      </c>
      <c r="M35">
        <f t="shared" si="8"/>
        <v>494.80828064711659</v>
      </c>
      <c r="N35">
        <f t="shared" si="8"/>
        <v>509.65252906653006</v>
      </c>
      <c r="O35">
        <f t="shared" si="8"/>
        <v>519.84557964786063</v>
      </c>
      <c r="P35" s="16"/>
      <c r="Q35" s="16"/>
      <c r="R35" s="16"/>
      <c r="S35" s="16"/>
      <c r="T35" s="16"/>
      <c r="U35" s="16"/>
      <c r="V35" s="16"/>
      <c r="W35" s="16"/>
      <c r="X35" s="16"/>
      <c r="Y35" s="16"/>
      <c r="Z35" s="16"/>
    </row>
    <row r="36" spans="1:26" ht="15" customHeight="1" x14ac:dyDescent="0.25">
      <c r="A36" s="36"/>
      <c r="B36" s="71" t="s">
        <v>63</v>
      </c>
      <c r="C36" s="16"/>
      <c r="D36" s="65">
        <v>-34.784999999999997</v>
      </c>
      <c r="E36" s="65">
        <v>-44.742499999999993</v>
      </c>
      <c r="F36" s="65">
        <v>-53.7</v>
      </c>
      <c r="G36">
        <f t="shared" ref="G36:O36" si="9">G27*G50</f>
        <v>-71.267860124999999</v>
      </c>
      <c r="H36">
        <f t="shared" si="9"/>
        <v>-77.681967536250013</v>
      </c>
      <c r="I36">
        <f t="shared" si="9"/>
        <v>-83.896524939150012</v>
      </c>
      <c r="J36">
        <f t="shared" si="9"/>
        <v>-96.181373233811286</v>
      </c>
      <c r="K36">
        <f t="shared" si="9"/>
        <v>-108.74907266969598</v>
      </c>
      <c r="L36">
        <f t="shared" si="9"/>
        <v>-121.32318419712954</v>
      </c>
      <c r="M36">
        <f t="shared" si="9"/>
        <v>-133.5982357747215</v>
      </c>
      <c r="N36">
        <f t="shared" si="9"/>
        <v>-145.25097078396107</v>
      </c>
      <c r="O36">
        <f t="shared" si="9"/>
        <v>-148.15599019964031</v>
      </c>
      <c r="P36" s="16"/>
    </row>
    <row r="37" spans="1:26" ht="15" customHeight="1" x14ac:dyDescent="0.25">
      <c r="A37" s="37"/>
      <c r="B37" s="70" t="s">
        <v>91</v>
      </c>
      <c r="C37" s="16"/>
      <c r="D37" s="16"/>
      <c r="E37" s="16"/>
      <c r="F37" s="2"/>
      <c r="G37" s="71">
        <f>SUM(G35:G36)</f>
        <v>268.10290237499999</v>
      </c>
      <c r="H37" s="71">
        <f t="shared" ref="H37:O37" si="10">SUM(H35:H36)</f>
        <v>292.23216358875004</v>
      </c>
      <c r="I37" s="71">
        <f t="shared" si="10"/>
        <v>315.61073667585003</v>
      </c>
      <c r="J37" s="71">
        <f t="shared" si="10"/>
        <v>331.29139669423887</v>
      </c>
      <c r="K37" s="71">
        <f t="shared" si="10"/>
        <v>344.37206345403717</v>
      </c>
      <c r="L37" s="71">
        <f t="shared" si="10"/>
        <v>354.45400873279027</v>
      </c>
      <c r="M37" s="71">
        <f t="shared" si="10"/>
        <v>361.21004487239509</v>
      </c>
      <c r="N37" s="71">
        <f t="shared" si="10"/>
        <v>364.401558282569</v>
      </c>
      <c r="O37" s="71">
        <f t="shared" si="10"/>
        <v>371.68958944822032</v>
      </c>
      <c r="P37" s="16"/>
    </row>
    <row r="38" spans="1:26" ht="15" customHeight="1" x14ac:dyDescent="0.25">
      <c r="A38" s="37"/>
      <c r="B38" s="71" t="s">
        <v>89</v>
      </c>
      <c r="C38" s="16"/>
      <c r="D38" s="16"/>
      <c r="E38" s="16"/>
      <c r="F38" s="16"/>
      <c r="G38" s="71">
        <f t="shared" ref="G38:O38" si="11">+G25*G34</f>
        <v>32.321025000000006</v>
      </c>
      <c r="H38" s="71">
        <f t="shared" si="11"/>
        <v>35.229917250000007</v>
      </c>
      <c r="I38" s="71">
        <f t="shared" si="11"/>
        <v>38.04831063000001</v>
      </c>
      <c r="J38" s="71">
        <f t="shared" si="11"/>
        <v>40.711692374100011</v>
      </c>
      <c r="K38" s="71">
        <f t="shared" si="11"/>
        <v>43.154393916546013</v>
      </c>
      <c r="L38" s="71">
        <f t="shared" si="11"/>
        <v>45.312113612373317</v>
      </c>
      <c r="M38" s="71">
        <f t="shared" si="11"/>
        <v>47.124598156868252</v>
      </c>
      <c r="N38" s="71">
        <f t="shared" si="11"/>
        <v>48.538336101574295</v>
      </c>
      <c r="O38" s="71">
        <f t="shared" si="11"/>
        <v>49.50910282360578</v>
      </c>
      <c r="P38" s="16"/>
      <c r="Q38" s="16"/>
      <c r="R38" s="16"/>
      <c r="S38" s="16"/>
      <c r="T38" s="16"/>
      <c r="U38" s="16"/>
      <c r="V38" s="16"/>
      <c r="W38" s="16"/>
      <c r="X38" s="16"/>
      <c r="Y38" s="16"/>
      <c r="Z38" s="16"/>
    </row>
    <row r="39" spans="1:26" ht="15" customHeight="1" x14ac:dyDescent="0.25">
      <c r="A39" s="37"/>
      <c r="B39" s="71" t="s">
        <v>185</v>
      </c>
      <c r="C39" s="16"/>
      <c r="D39" s="16"/>
      <c r="E39" s="16"/>
      <c r="F39" s="16"/>
      <c r="G39" s="71">
        <f t="shared" ref="G39" si="12">SUM(G37:G38)</f>
        <v>300.42392737500001</v>
      </c>
      <c r="H39" s="71">
        <f t="shared" ref="H39:O39" si="13">SUM(H37:H38)</f>
        <v>327.46208083875007</v>
      </c>
      <c r="I39" s="71">
        <f t="shared" si="13"/>
        <v>353.65904730585004</v>
      </c>
      <c r="J39" s="71">
        <f t="shared" si="13"/>
        <v>372.00308906833891</v>
      </c>
      <c r="K39" s="71">
        <f t="shared" si="13"/>
        <v>387.52645737058322</v>
      </c>
      <c r="L39" s="71">
        <f t="shared" si="13"/>
        <v>399.76612234516358</v>
      </c>
      <c r="M39" s="71">
        <f t="shared" si="13"/>
        <v>408.33464302926336</v>
      </c>
      <c r="N39" s="71">
        <f t="shared" si="13"/>
        <v>412.93989438414332</v>
      </c>
      <c r="O39" s="71">
        <f t="shared" si="13"/>
        <v>421.19869227182608</v>
      </c>
      <c r="P39" s="16"/>
      <c r="Q39" s="16"/>
      <c r="R39" s="16"/>
      <c r="S39" s="16"/>
      <c r="T39" s="16"/>
      <c r="U39" s="16"/>
      <c r="V39" s="16"/>
      <c r="W39" s="16"/>
      <c r="X39" s="16"/>
      <c r="Y39" s="16"/>
      <c r="Z39" s="16"/>
    </row>
    <row r="40" spans="1:26" ht="15" customHeight="1" x14ac:dyDescent="0.25">
      <c r="A40" s="37"/>
      <c r="B40" s="70" t="s">
        <v>25</v>
      </c>
      <c r="C40" s="16"/>
      <c r="D40" s="16"/>
      <c r="E40" s="16"/>
      <c r="F40" s="16"/>
      <c r="G40">
        <f t="shared" ref="G40" si="14">IF(CircSwitch=1,G60+G67,0)*-1</f>
        <v>0</v>
      </c>
      <c r="H40">
        <f t="shared" ref="H40:O40" si="15">IF(CircSwitch=1,H60+H67,0)*-1</f>
        <v>0</v>
      </c>
      <c r="I40">
        <f t="shared" si="15"/>
        <v>0</v>
      </c>
      <c r="J40">
        <f t="shared" si="15"/>
        <v>0</v>
      </c>
      <c r="K40">
        <f t="shared" si="15"/>
        <v>0</v>
      </c>
      <c r="L40">
        <f t="shared" si="15"/>
        <v>0</v>
      </c>
      <c r="M40">
        <f t="shared" si="15"/>
        <v>0</v>
      </c>
      <c r="N40">
        <f t="shared" si="15"/>
        <v>0</v>
      </c>
      <c r="O40">
        <f t="shared" si="15"/>
        <v>0</v>
      </c>
      <c r="P40" s="16"/>
    </row>
    <row r="41" spans="1:26" ht="15" customHeight="1" x14ac:dyDescent="0.25">
      <c r="A41" s="37"/>
      <c r="B41" s="70" t="s">
        <v>66</v>
      </c>
      <c r="C41" s="16"/>
      <c r="D41" s="16"/>
      <c r="E41" s="16"/>
      <c r="F41" s="16"/>
      <c r="G41">
        <f t="shared" ref="G41:O41" si="16">+IF(CircSwitch=1,G70,0)</f>
        <v>0</v>
      </c>
      <c r="H41">
        <f t="shared" si="16"/>
        <v>0</v>
      </c>
      <c r="I41">
        <f t="shared" si="16"/>
        <v>0</v>
      </c>
      <c r="J41">
        <f t="shared" si="16"/>
        <v>0</v>
      </c>
      <c r="K41">
        <f t="shared" si="16"/>
        <v>0</v>
      </c>
      <c r="L41">
        <f t="shared" si="16"/>
        <v>0</v>
      </c>
      <c r="M41">
        <f t="shared" si="16"/>
        <v>0</v>
      </c>
      <c r="N41">
        <f t="shared" si="16"/>
        <v>0</v>
      </c>
      <c r="O41">
        <f t="shared" si="16"/>
        <v>0</v>
      </c>
      <c r="P41" s="16"/>
    </row>
    <row r="42" spans="1:26" ht="15" customHeight="1" x14ac:dyDescent="0.25">
      <c r="A42" s="37"/>
      <c r="B42" s="70" t="s">
        <v>26</v>
      </c>
      <c r="C42" s="16"/>
      <c r="D42" s="16"/>
      <c r="E42" s="16"/>
      <c r="F42" s="2"/>
      <c r="G42" s="71">
        <f t="shared" ref="G42" si="17">SUM(G39:G41)</f>
        <v>300.42392737500001</v>
      </c>
      <c r="H42" s="71">
        <f t="shared" ref="H42:O42" si="18">SUM(H39:H41)</f>
        <v>327.46208083875007</v>
      </c>
      <c r="I42" s="71">
        <f t="shared" si="18"/>
        <v>353.65904730585004</v>
      </c>
      <c r="J42" s="71">
        <f t="shared" si="18"/>
        <v>372.00308906833891</v>
      </c>
      <c r="K42" s="71">
        <f t="shared" si="18"/>
        <v>387.52645737058322</v>
      </c>
      <c r="L42" s="71">
        <f t="shared" si="18"/>
        <v>399.76612234516358</v>
      </c>
      <c r="M42" s="71">
        <f t="shared" si="18"/>
        <v>408.33464302926336</v>
      </c>
      <c r="N42" s="71">
        <f t="shared" si="18"/>
        <v>412.93989438414332</v>
      </c>
      <c r="O42" s="71">
        <f t="shared" si="18"/>
        <v>421.19869227182608</v>
      </c>
      <c r="P42" s="16"/>
    </row>
    <row r="43" spans="1:26" ht="15" customHeight="1" x14ac:dyDescent="0.25">
      <c r="A43" s="37"/>
      <c r="B43" s="70" t="s">
        <v>27</v>
      </c>
      <c r="C43" s="16"/>
      <c r="D43" s="16"/>
      <c r="E43" s="16"/>
      <c r="F43" s="2"/>
      <c r="G43" s="71">
        <f t="shared" ref="G43:O43" si="19">-G29*G42</f>
        <v>-60.084785475000004</v>
      </c>
      <c r="H43" s="71">
        <f t="shared" si="19"/>
        <v>-65.492416167750022</v>
      </c>
      <c r="I43" s="71">
        <f t="shared" si="19"/>
        <v>-70.731809461170016</v>
      </c>
      <c r="J43" s="71">
        <f t="shared" si="19"/>
        <v>-74.400617813667779</v>
      </c>
      <c r="K43" s="71">
        <f t="shared" si="19"/>
        <v>-77.505291474116646</v>
      </c>
      <c r="L43" s="71">
        <f t="shared" si="19"/>
        <v>-79.953224469032719</v>
      </c>
      <c r="M43" s="71">
        <f t="shared" si="19"/>
        <v>-81.666928605852675</v>
      </c>
      <c r="N43" s="71">
        <f t="shared" si="19"/>
        <v>-82.587978876828672</v>
      </c>
      <c r="O43" s="71">
        <f t="shared" si="19"/>
        <v>-84.239738454365224</v>
      </c>
      <c r="P43" s="16"/>
    </row>
    <row r="44" spans="1:26" ht="15" customHeight="1" x14ac:dyDescent="0.25">
      <c r="A44" s="37"/>
      <c r="B44" s="70" t="s">
        <v>65</v>
      </c>
      <c r="C44" s="16"/>
      <c r="D44" s="16"/>
      <c r="E44" s="16"/>
      <c r="F44" s="2"/>
      <c r="G44" s="71">
        <f>SUM(G42:G43)</f>
        <v>240.33914190000002</v>
      </c>
      <c r="H44" s="71">
        <f t="shared" ref="H44:O44" si="20">SUM(H42:H43)</f>
        <v>261.96966467100003</v>
      </c>
      <c r="I44" s="71">
        <f t="shared" si="20"/>
        <v>282.92723784468001</v>
      </c>
      <c r="J44" s="71">
        <f t="shared" si="20"/>
        <v>297.60247125467112</v>
      </c>
      <c r="K44" s="71">
        <f t="shared" si="20"/>
        <v>310.02116589646658</v>
      </c>
      <c r="L44" s="71">
        <f t="shared" si="20"/>
        <v>319.81289787613088</v>
      </c>
      <c r="M44" s="71">
        <f t="shared" si="20"/>
        <v>326.6677144234107</v>
      </c>
      <c r="N44" s="71">
        <f t="shared" si="20"/>
        <v>330.35191550731463</v>
      </c>
      <c r="O44" s="71">
        <f t="shared" si="20"/>
        <v>336.95895381746084</v>
      </c>
      <c r="P44" s="16"/>
    </row>
    <row r="45" spans="1:26" ht="15" customHeight="1" x14ac:dyDescent="0.25">
      <c r="A45" s="37"/>
      <c r="B45" s="70"/>
      <c r="C45" s="16"/>
      <c r="D45" s="16"/>
      <c r="E45" s="16"/>
      <c r="F45" s="2"/>
      <c r="G45" s="71"/>
      <c r="H45" s="71"/>
      <c r="I45" s="71"/>
      <c r="J45" s="71"/>
      <c r="K45" s="71"/>
      <c r="L45" s="71"/>
      <c r="M45" s="71"/>
      <c r="N45" s="71"/>
      <c r="O45" s="71"/>
      <c r="P45" s="16"/>
    </row>
    <row r="46" spans="1:26" ht="15" customHeight="1" x14ac:dyDescent="0.25">
      <c r="A46" s="37" t="s">
        <v>92</v>
      </c>
      <c r="B46" s="16"/>
      <c r="C46" s="16"/>
      <c r="D46" s="16"/>
      <c r="E46" s="16"/>
      <c r="F46" s="16"/>
      <c r="G46" s="16"/>
      <c r="H46" s="16"/>
      <c r="I46" s="16"/>
      <c r="J46" s="16"/>
      <c r="K46" s="16"/>
      <c r="L46" s="16"/>
      <c r="M46" s="16"/>
      <c r="N46" s="16"/>
      <c r="O46" s="16"/>
      <c r="P46" s="16"/>
    </row>
    <row r="47" spans="1:26" ht="15" customHeight="1" x14ac:dyDescent="0.25">
      <c r="A47" s="37"/>
      <c r="B47" s="70" t="s">
        <v>65</v>
      </c>
      <c r="C47" s="16"/>
      <c r="D47" s="16"/>
      <c r="E47" s="16"/>
      <c r="F47" s="2"/>
      <c r="G47" s="71">
        <f>+G44</f>
        <v>240.33914190000002</v>
      </c>
      <c r="H47" s="71">
        <f t="shared" ref="H47:O47" si="21">+H44</f>
        <v>261.96966467100003</v>
      </c>
      <c r="I47" s="71">
        <f t="shared" si="21"/>
        <v>282.92723784468001</v>
      </c>
      <c r="J47" s="71">
        <f t="shared" si="21"/>
        <v>297.60247125467112</v>
      </c>
      <c r="K47" s="71">
        <f t="shared" si="21"/>
        <v>310.02116589646658</v>
      </c>
      <c r="L47" s="71">
        <f t="shared" si="21"/>
        <v>319.81289787613088</v>
      </c>
      <c r="M47" s="71">
        <f t="shared" si="21"/>
        <v>326.6677144234107</v>
      </c>
      <c r="N47" s="71">
        <f t="shared" si="21"/>
        <v>330.35191550731463</v>
      </c>
      <c r="O47" s="71">
        <f t="shared" si="21"/>
        <v>336.95895381746084</v>
      </c>
      <c r="P47" s="16"/>
    </row>
    <row r="48" spans="1:26" ht="15" customHeight="1" x14ac:dyDescent="0.25">
      <c r="A48" s="37"/>
      <c r="B48" s="70" t="s">
        <v>63</v>
      </c>
      <c r="C48" s="16"/>
      <c r="D48" s="16"/>
      <c r="E48" s="16"/>
      <c r="F48" s="2"/>
      <c r="G48" s="71">
        <f>-G36</f>
        <v>71.267860124999999</v>
      </c>
      <c r="H48" s="71">
        <f t="shared" ref="H48:O48" si="22">-H36</f>
        <v>77.681967536250013</v>
      </c>
      <c r="I48" s="71">
        <f t="shared" si="22"/>
        <v>83.896524939150012</v>
      </c>
      <c r="J48" s="71">
        <f t="shared" si="22"/>
        <v>96.181373233811286</v>
      </c>
      <c r="K48" s="71">
        <f t="shared" si="22"/>
        <v>108.74907266969598</v>
      </c>
      <c r="L48" s="71">
        <f t="shared" si="22"/>
        <v>121.32318419712954</v>
      </c>
      <c r="M48" s="71">
        <f t="shared" si="22"/>
        <v>133.5982357747215</v>
      </c>
      <c r="N48" s="71">
        <f t="shared" si="22"/>
        <v>145.25097078396107</v>
      </c>
      <c r="O48" s="71">
        <f t="shared" si="22"/>
        <v>148.15599019964031</v>
      </c>
      <c r="P48" s="16"/>
    </row>
    <row r="49" spans="1:26" ht="15" customHeight="1" x14ac:dyDescent="0.25">
      <c r="A49" s="37"/>
      <c r="B49" s="70" t="s">
        <v>67</v>
      </c>
      <c r="C49" s="16"/>
      <c r="D49" s="16"/>
      <c r="E49" s="16"/>
      <c r="F49" s="49"/>
      <c r="G49" s="71">
        <f t="shared" ref="G49:O49" si="23">+F30-G30</f>
        <v>-33.709418749999998</v>
      </c>
      <c r="H49" s="71">
        <f t="shared" si="23"/>
        <v>-19.635022687500026</v>
      </c>
      <c r="I49" s="71">
        <f t="shared" si="23"/>
        <v>-19.024155315000002</v>
      </c>
      <c r="J49" s="71">
        <f t="shared" si="23"/>
        <v>-17.97782677267503</v>
      </c>
      <c r="K49" s="71">
        <f t="shared" si="23"/>
        <v>-16.488235411510516</v>
      </c>
      <c r="L49" s="71">
        <f t="shared" si="23"/>
        <v>-14.564607946834258</v>
      </c>
      <c r="M49" s="71">
        <f t="shared" si="23"/>
        <v>-12.234270675340838</v>
      </c>
      <c r="N49" s="71">
        <f t="shared" si="23"/>
        <v>-9.5427311267658297</v>
      </c>
      <c r="O49" s="71">
        <f t="shared" si="23"/>
        <v>-6.5526753737125318</v>
      </c>
      <c r="P49" s="16"/>
    </row>
    <row r="50" spans="1:26" ht="15" customHeight="1" x14ac:dyDescent="0.25">
      <c r="A50" s="37"/>
      <c r="B50" s="70" t="s">
        <v>68</v>
      </c>
      <c r="C50" s="16"/>
      <c r="D50" s="65">
        <v>-63.6</v>
      </c>
      <c r="E50" s="65">
        <v>-91.44</v>
      </c>
      <c r="F50" s="65">
        <v>-77.034999999999997</v>
      </c>
      <c r="G50" s="71">
        <f t="shared" ref="G50:O50" si="24">-G26*G34</f>
        <v>-101.81122875000001</v>
      </c>
      <c r="H50" s="71">
        <f t="shared" si="24"/>
        <v>-110.97423933750002</v>
      </c>
      <c r="I50" s="71">
        <f t="shared" si="24"/>
        <v>-119.85217848450003</v>
      </c>
      <c r="J50" s="71">
        <f t="shared" si="24"/>
        <v>-128.24183097841504</v>
      </c>
      <c r="K50" s="71">
        <f t="shared" si="24"/>
        <v>-135.93634083711996</v>
      </c>
      <c r="L50" s="71">
        <f t="shared" si="24"/>
        <v>-142.73315787897593</v>
      </c>
      <c r="M50" s="71">
        <f t="shared" si="24"/>
        <v>-148.44248419413501</v>
      </c>
      <c r="N50" s="71">
        <f t="shared" si="24"/>
        <v>-152.89575871995902</v>
      </c>
      <c r="O50" s="71">
        <f t="shared" si="24"/>
        <v>-155.95367389435822</v>
      </c>
      <c r="P50" s="16"/>
    </row>
    <row r="51" spans="1:26" ht="15" customHeight="1" x14ac:dyDescent="0.25">
      <c r="A51" s="37"/>
      <c r="B51" s="73" t="s">
        <v>93</v>
      </c>
      <c r="C51" s="16"/>
      <c r="D51" s="16"/>
      <c r="E51" s="16"/>
      <c r="F51" s="2"/>
      <c r="G51" s="71">
        <f t="shared" ref="G51:O51" si="25">SUM(G47:G50)</f>
        <v>176.08635452500005</v>
      </c>
      <c r="H51" s="71">
        <f t="shared" si="25"/>
        <v>209.04237018224995</v>
      </c>
      <c r="I51" s="71">
        <f t="shared" si="25"/>
        <v>227.94742898432997</v>
      </c>
      <c r="J51" s="71">
        <f t="shared" si="25"/>
        <v>247.5641867373923</v>
      </c>
      <c r="K51" s="71">
        <f t="shared" si="25"/>
        <v>266.34566231753206</v>
      </c>
      <c r="L51" s="71">
        <f t="shared" si="25"/>
        <v>283.83831624745022</v>
      </c>
      <c r="M51" s="71">
        <f t="shared" si="25"/>
        <v>299.58919532865639</v>
      </c>
      <c r="N51" s="71">
        <f t="shared" si="25"/>
        <v>313.16439644455085</v>
      </c>
      <c r="O51" s="71">
        <f t="shared" si="25"/>
        <v>322.60859474903043</v>
      </c>
      <c r="P51" s="16"/>
    </row>
    <row r="52" spans="1:26" ht="15" customHeight="1" x14ac:dyDescent="0.25">
      <c r="A52" s="37"/>
      <c r="B52" s="16"/>
      <c r="C52" s="16"/>
      <c r="D52" s="16"/>
      <c r="E52" s="16"/>
      <c r="F52" s="2"/>
      <c r="G52" s="71"/>
      <c r="H52" s="71"/>
      <c r="I52" s="71"/>
      <c r="J52" s="71"/>
      <c r="K52" s="71"/>
      <c r="L52" s="71"/>
      <c r="M52" s="71"/>
      <c r="N52" s="71"/>
      <c r="O52" s="71"/>
      <c r="P52" s="16"/>
    </row>
    <row r="53" spans="1:26" ht="15" customHeight="1" x14ac:dyDescent="0.25">
      <c r="A53" s="37"/>
      <c r="B53" s="71" t="s">
        <v>151</v>
      </c>
      <c r="C53" s="16"/>
      <c r="D53" s="16"/>
      <c r="E53" s="16"/>
      <c r="G53" s="71">
        <f>+F69</f>
        <v>0</v>
      </c>
      <c r="H53" s="71">
        <f t="shared" ref="H53:O53" si="26">+G69</f>
        <v>0</v>
      </c>
      <c r="I53" s="71">
        <f t="shared" si="26"/>
        <v>0</v>
      </c>
      <c r="J53" s="71">
        <f t="shared" si="26"/>
        <v>0</v>
      </c>
      <c r="K53" s="71">
        <f t="shared" si="26"/>
        <v>0</v>
      </c>
      <c r="L53" s="71">
        <f t="shared" si="26"/>
        <v>0</v>
      </c>
      <c r="M53" s="71">
        <f t="shared" si="26"/>
        <v>0</v>
      </c>
      <c r="N53" s="71">
        <f t="shared" si="26"/>
        <v>22.613514322610911</v>
      </c>
      <c r="O53" s="71">
        <f t="shared" si="26"/>
        <v>335.77791076716176</v>
      </c>
      <c r="P53" s="16"/>
    </row>
    <row r="54" spans="1:26" ht="15" customHeight="1" x14ac:dyDescent="0.25">
      <c r="A54" s="37"/>
      <c r="B54" s="73" t="s">
        <v>183</v>
      </c>
      <c r="C54" s="16"/>
      <c r="D54" s="16"/>
      <c r="E54" s="16"/>
      <c r="F54" s="16"/>
      <c r="G54" s="71">
        <f t="shared" ref="G54:O54" si="27">+G51+G53</f>
        <v>176.08635452500005</v>
      </c>
      <c r="H54" s="71">
        <f t="shared" si="27"/>
        <v>209.04237018224995</v>
      </c>
      <c r="I54" s="71">
        <f t="shared" si="27"/>
        <v>227.94742898432997</v>
      </c>
      <c r="J54" s="71">
        <f t="shared" si="27"/>
        <v>247.5641867373923</v>
      </c>
      <c r="K54" s="71">
        <f t="shared" si="27"/>
        <v>266.34566231753206</v>
      </c>
      <c r="L54" s="71">
        <f t="shared" si="27"/>
        <v>283.83831624745022</v>
      </c>
      <c r="M54" s="71">
        <f t="shared" si="27"/>
        <v>299.58919532865639</v>
      </c>
      <c r="N54" s="71">
        <f t="shared" si="27"/>
        <v>335.77791076716176</v>
      </c>
      <c r="O54" s="71">
        <f t="shared" si="27"/>
        <v>658.38650551619219</v>
      </c>
      <c r="P54" s="16"/>
    </row>
    <row r="55" spans="1:26" ht="15" customHeight="1" x14ac:dyDescent="0.25">
      <c r="A55" s="37"/>
      <c r="B55" s="16"/>
      <c r="C55" s="16"/>
      <c r="D55" s="16"/>
      <c r="E55" s="16"/>
      <c r="F55" s="16"/>
      <c r="G55" s="16"/>
      <c r="H55" s="16"/>
      <c r="I55" s="16"/>
      <c r="J55" s="16"/>
      <c r="K55" s="16"/>
      <c r="L55" s="16"/>
      <c r="M55" s="16"/>
      <c r="N55" s="16"/>
      <c r="O55" s="16"/>
      <c r="P55" s="16"/>
    </row>
    <row r="56" spans="1:26" ht="15" customHeight="1" x14ac:dyDescent="0.25">
      <c r="A56" s="37" t="s">
        <v>94</v>
      </c>
      <c r="B56" s="16"/>
      <c r="C56" s="16"/>
      <c r="D56" s="16"/>
      <c r="E56" s="16"/>
      <c r="F56" s="16"/>
      <c r="G56" s="16"/>
      <c r="H56" s="16"/>
      <c r="I56" s="16"/>
      <c r="J56" s="16"/>
      <c r="K56" s="16"/>
      <c r="L56" s="16"/>
      <c r="M56" s="16"/>
      <c r="N56" s="16"/>
      <c r="O56" s="16"/>
      <c r="P56" s="16"/>
    </row>
    <row r="57" spans="1:26" ht="15" customHeight="1" x14ac:dyDescent="0.25">
      <c r="A57" s="37"/>
      <c r="B57" s="70" t="s">
        <v>95</v>
      </c>
      <c r="C57" s="71"/>
      <c r="D57" s="71"/>
      <c r="E57" s="71"/>
      <c r="F57" s="71"/>
      <c r="G57" s="71">
        <f>F59</f>
        <v>1125.2</v>
      </c>
      <c r="H57" s="71">
        <f t="shared" ref="H57:O57" si="28">G59</f>
        <v>949.113645475</v>
      </c>
      <c r="I57" s="71">
        <f t="shared" si="28"/>
        <v>740.07127529274999</v>
      </c>
      <c r="J57" s="71">
        <f t="shared" si="28"/>
        <v>512.12384630842007</v>
      </c>
      <c r="K57" s="71">
        <f t="shared" si="28"/>
        <v>264.55965957102774</v>
      </c>
      <c r="L57" s="71">
        <f t="shared" si="28"/>
        <v>0</v>
      </c>
      <c r="M57" s="71">
        <f t="shared" si="28"/>
        <v>0</v>
      </c>
      <c r="N57" s="71">
        <f t="shared" si="28"/>
        <v>0</v>
      </c>
      <c r="O57" s="71">
        <f t="shared" si="28"/>
        <v>0</v>
      </c>
      <c r="P57" s="16"/>
    </row>
    <row r="58" spans="1:26" ht="15" customHeight="1" x14ac:dyDescent="0.25">
      <c r="A58" s="37"/>
      <c r="B58" s="70" t="s">
        <v>70</v>
      </c>
      <c r="C58" s="71"/>
      <c r="D58" s="71"/>
      <c r="E58" s="71"/>
      <c r="F58" s="71"/>
      <c r="G58" s="71">
        <f>-MIN(MAX(G54,0),G57)</f>
        <v>-176.08635452500005</v>
      </c>
      <c r="H58" s="71">
        <f t="shared" ref="H58:O58" si="29">-MIN(MAX(H54,0),H57)</f>
        <v>-209.04237018224995</v>
      </c>
      <c r="I58" s="71">
        <f t="shared" si="29"/>
        <v>-227.94742898432997</v>
      </c>
      <c r="J58" s="71">
        <f t="shared" si="29"/>
        <v>-247.5641867373923</v>
      </c>
      <c r="K58" s="71">
        <f t="shared" si="29"/>
        <v>-264.55965957102774</v>
      </c>
      <c r="L58" s="71">
        <f t="shared" si="29"/>
        <v>0</v>
      </c>
      <c r="M58" s="71">
        <f t="shared" si="29"/>
        <v>0</v>
      </c>
      <c r="N58" s="71">
        <f t="shared" si="29"/>
        <v>0</v>
      </c>
      <c r="O58" s="71">
        <f t="shared" si="29"/>
        <v>0</v>
      </c>
      <c r="P58" s="16"/>
    </row>
    <row r="59" spans="1:26" ht="15" customHeight="1" x14ac:dyDescent="0.25">
      <c r="A59" s="37"/>
      <c r="B59" s="70" t="s">
        <v>96</v>
      </c>
      <c r="C59" s="71"/>
      <c r="D59" s="71"/>
      <c r="E59" s="71"/>
      <c r="F59" s="71">
        <f>+O7</f>
        <v>1125.2</v>
      </c>
      <c r="G59" s="71">
        <f>SUM(G57:G58)</f>
        <v>949.113645475</v>
      </c>
      <c r="H59" s="71">
        <f t="shared" ref="H59:O59" si="30">SUM(H57:H58)</f>
        <v>740.07127529274999</v>
      </c>
      <c r="I59" s="71">
        <f t="shared" si="30"/>
        <v>512.12384630842007</v>
      </c>
      <c r="J59" s="71">
        <f t="shared" si="30"/>
        <v>264.55965957102774</v>
      </c>
      <c r="K59" s="71">
        <f t="shared" si="30"/>
        <v>0</v>
      </c>
      <c r="L59" s="71">
        <f t="shared" si="30"/>
        <v>0</v>
      </c>
      <c r="M59" s="71">
        <f t="shared" si="30"/>
        <v>0</v>
      </c>
      <c r="N59" s="71">
        <f t="shared" si="30"/>
        <v>0</v>
      </c>
      <c r="O59" s="71">
        <f t="shared" si="30"/>
        <v>0</v>
      </c>
      <c r="P59" s="16"/>
    </row>
    <row r="60" spans="1:26" ht="15" customHeight="1" x14ac:dyDescent="0.25">
      <c r="A60" s="37"/>
      <c r="B60" s="70" t="s">
        <v>25</v>
      </c>
      <c r="C60" s="71"/>
      <c r="D60" s="71"/>
      <c r="E60" s="71"/>
      <c r="F60" s="71"/>
      <c r="G60" s="71">
        <f t="shared" ref="G60:O60" si="31">$F$14*AVERAGE(F59:G59)</f>
        <v>50.820684314137509</v>
      </c>
      <c r="H60" s="71">
        <f t="shared" si="31"/>
        <v>41.385030558809881</v>
      </c>
      <c r="I60" s="71">
        <f t="shared" si="31"/>
        <v>30.678780479228667</v>
      </c>
      <c r="J60" s="71">
        <f t="shared" si="31"/>
        <v>19.028745894046473</v>
      </c>
      <c r="K60" s="71">
        <f t="shared" si="31"/>
        <v>6.4817116594901796</v>
      </c>
      <c r="L60" s="71">
        <f t="shared" si="31"/>
        <v>0</v>
      </c>
      <c r="M60" s="71">
        <f t="shared" si="31"/>
        <v>0</v>
      </c>
      <c r="N60" s="71">
        <f t="shared" si="31"/>
        <v>0</v>
      </c>
      <c r="O60" s="71">
        <f t="shared" si="31"/>
        <v>0</v>
      </c>
      <c r="P60" s="16"/>
    </row>
    <row r="61" spans="1:26" ht="15" customHeight="1" x14ac:dyDescent="0.25">
      <c r="A61" s="37"/>
      <c r="B61" s="71"/>
      <c r="C61" s="71"/>
      <c r="D61" s="71"/>
      <c r="E61" s="71"/>
      <c r="F61" s="71"/>
      <c r="G61" s="71"/>
      <c r="H61" s="71"/>
      <c r="I61" s="71"/>
      <c r="J61" s="71"/>
      <c r="K61" s="71"/>
      <c r="L61" s="71"/>
      <c r="M61" s="71"/>
      <c r="N61" s="71"/>
      <c r="O61" s="71"/>
      <c r="P61" s="16"/>
      <c r="Q61" s="16"/>
      <c r="R61" s="16"/>
      <c r="S61" s="16"/>
      <c r="T61" s="16"/>
      <c r="U61" s="16"/>
      <c r="V61" s="16"/>
      <c r="W61" s="16"/>
      <c r="X61" s="16"/>
      <c r="Y61" s="16"/>
      <c r="Z61" s="16"/>
    </row>
    <row r="62" spans="1:26" ht="15" customHeight="1" x14ac:dyDescent="0.25">
      <c r="A62" s="37"/>
      <c r="B62" s="71" t="s">
        <v>169</v>
      </c>
      <c r="C62" s="71"/>
      <c r="D62" s="71"/>
      <c r="G62" s="71">
        <f t="shared" ref="G62:O62" si="32">G54+G58</f>
        <v>0</v>
      </c>
      <c r="H62" s="71">
        <f t="shared" si="32"/>
        <v>0</v>
      </c>
      <c r="I62" s="71">
        <f t="shared" si="32"/>
        <v>0</v>
      </c>
      <c r="J62" s="71">
        <f t="shared" si="32"/>
        <v>0</v>
      </c>
      <c r="K62" s="71">
        <f t="shared" si="32"/>
        <v>1.7860027465043231</v>
      </c>
      <c r="L62" s="71">
        <f t="shared" si="32"/>
        <v>283.83831624745022</v>
      </c>
      <c r="M62" s="71">
        <f t="shared" si="32"/>
        <v>299.58919532865639</v>
      </c>
      <c r="N62" s="71">
        <f t="shared" si="32"/>
        <v>335.77791076716176</v>
      </c>
      <c r="O62" s="71">
        <f t="shared" si="32"/>
        <v>658.38650551619219</v>
      </c>
      <c r="P62" s="16"/>
      <c r="Q62" s="16"/>
      <c r="R62" s="16"/>
      <c r="S62" s="16"/>
      <c r="T62" s="16"/>
      <c r="U62" s="16"/>
      <c r="V62" s="16"/>
      <c r="W62" s="16"/>
      <c r="X62" s="16"/>
      <c r="Y62" s="16"/>
      <c r="Z62" s="16"/>
    </row>
    <row r="63" spans="1:26" ht="15" customHeight="1" x14ac:dyDescent="0.25">
      <c r="A63" s="37"/>
      <c r="B63" s="71"/>
      <c r="C63" s="71"/>
      <c r="D63" s="71"/>
      <c r="E63" s="71"/>
      <c r="F63" s="71"/>
      <c r="G63" s="71"/>
      <c r="H63" s="71"/>
      <c r="I63" s="71"/>
      <c r="J63" s="71"/>
      <c r="K63" s="71"/>
      <c r="L63" s="71"/>
      <c r="M63" s="71"/>
      <c r="N63" s="71"/>
      <c r="O63" s="71"/>
      <c r="P63" s="16"/>
    </row>
    <row r="64" spans="1:26" ht="15" customHeight="1" x14ac:dyDescent="0.25">
      <c r="A64" s="37"/>
      <c r="B64" s="71" t="s">
        <v>97</v>
      </c>
      <c r="C64" s="71"/>
      <c r="D64" s="71"/>
      <c r="E64" s="71"/>
      <c r="F64" s="71"/>
      <c r="G64" s="71">
        <f>F66</f>
        <v>562.6</v>
      </c>
      <c r="H64" s="71">
        <f t="shared" ref="H64:O64" si="33">G66</f>
        <v>562.6</v>
      </c>
      <c r="I64" s="71">
        <f t="shared" si="33"/>
        <v>562.6</v>
      </c>
      <c r="J64" s="71">
        <f t="shared" si="33"/>
        <v>562.6</v>
      </c>
      <c r="K64" s="71">
        <f t="shared" si="33"/>
        <v>562.6</v>
      </c>
      <c r="L64" s="71">
        <f t="shared" si="33"/>
        <v>560.8139972534957</v>
      </c>
      <c r="M64" s="71">
        <f t="shared" si="33"/>
        <v>276.97568100604548</v>
      </c>
      <c r="N64" s="71">
        <f t="shared" si="33"/>
        <v>0</v>
      </c>
      <c r="O64" s="71">
        <f t="shared" si="33"/>
        <v>0</v>
      </c>
      <c r="P64" s="16"/>
      <c r="Q64" s="16"/>
      <c r="R64" s="16"/>
      <c r="S64" s="16"/>
      <c r="T64" s="16"/>
      <c r="U64" s="16"/>
      <c r="V64" s="16"/>
      <c r="W64" s="16"/>
      <c r="X64" s="16"/>
      <c r="Y64" s="16"/>
      <c r="Z64" s="16"/>
    </row>
    <row r="65" spans="1:26" ht="15" customHeight="1" x14ac:dyDescent="0.25">
      <c r="A65" s="37"/>
      <c r="B65" s="71" t="s">
        <v>70</v>
      </c>
      <c r="C65" s="71"/>
      <c r="D65" s="71"/>
      <c r="E65" s="71"/>
      <c r="F65" s="71"/>
      <c r="G65" s="71">
        <f>-MIN(G62,G64)</f>
        <v>0</v>
      </c>
      <c r="H65" s="71">
        <f t="shared" ref="H65:O65" si="34">-MIN(H62,H64)</f>
        <v>0</v>
      </c>
      <c r="I65" s="71">
        <f t="shared" si="34"/>
        <v>0</v>
      </c>
      <c r="J65" s="71">
        <f t="shared" si="34"/>
        <v>0</v>
      </c>
      <c r="K65" s="71">
        <f t="shared" si="34"/>
        <v>-1.7860027465043231</v>
      </c>
      <c r="L65" s="71">
        <f t="shared" si="34"/>
        <v>-283.83831624745022</v>
      </c>
      <c r="M65" s="71">
        <f t="shared" si="34"/>
        <v>-276.97568100604548</v>
      </c>
      <c r="N65" s="71">
        <f t="shared" si="34"/>
        <v>0</v>
      </c>
      <c r="O65" s="71">
        <f t="shared" si="34"/>
        <v>0</v>
      </c>
      <c r="P65" s="16"/>
      <c r="Q65" s="16"/>
      <c r="R65" s="16"/>
      <c r="S65" s="16"/>
      <c r="T65" s="16"/>
      <c r="U65" s="16"/>
      <c r="V65" s="16"/>
      <c r="W65" s="16"/>
      <c r="X65" s="16"/>
      <c r="Y65" s="16"/>
      <c r="Z65" s="16"/>
    </row>
    <row r="66" spans="1:26" ht="15" customHeight="1" x14ac:dyDescent="0.25">
      <c r="A66" s="37"/>
      <c r="B66" s="71" t="s">
        <v>98</v>
      </c>
      <c r="C66" s="71"/>
      <c r="D66" s="71"/>
      <c r="E66" s="71"/>
      <c r="F66" s="71">
        <f>+O8</f>
        <v>562.6</v>
      </c>
      <c r="G66" s="71">
        <f>SUM(G64:G65)</f>
        <v>562.6</v>
      </c>
      <c r="H66" s="71">
        <f t="shared" ref="H66:O66" si="35">SUM(H64:H65)</f>
        <v>562.6</v>
      </c>
      <c r="I66" s="71">
        <f t="shared" si="35"/>
        <v>562.6</v>
      </c>
      <c r="J66" s="71">
        <f t="shared" si="35"/>
        <v>562.6</v>
      </c>
      <c r="K66" s="71">
        <f t="shared" si="35"/>
        <v>560.8139972534957</v>
      </c>
      <c r="L66" s="71">
        <f t="shared" si="35"/>
        <v>276.97568100604548</v>
      </c>
      <c r="M66" s="71">
        <f t="shared" si="35"/>
        <v>0</v>
      </c>
      <c r="N66" s="71">
        <f t="shared" si="35"/>
        <v>0</v>
      </c>
      <c r="O66" s="71">
        <f t="shared" si="35"/>
        <v>0</v>
      </c>
      <c r="P66" s="16"/>
      <c r="Q66" s="16"/>
      <c r="R66" s="16"/>
      <c r="S66" s="16"/>
      <c r="T66" s="16"/>
      <c r="U66" s="16"/>
      <c r="V66" s="16"/>
      <c r="W66" s="16"/>
      <c r="X66" s="16"/>
      <c r="Y66" s="16"/>
      <c r="Z66" s="16"/>
    </row>
    <row r="67" spans="1:26" ht="15" customHeight="1" x14ac:dyDescent="0.25">
      <c r="A67" s="37"/>
      <c r="B67" s="71" t="s">
        <v>25</v>
      </c>
      <c r="C67" s="71"/>
      <c r="D67" s="71"/>
      <c r="E67" s="71"/>
      <c r="F67" s="71"/>
      <c r="G67" s="71">
        <f t="shared" ref="G67:O67" si="36">$F$15*AVERAGE(F66:G66)</f>
        <v>39.382000000000005</v>
      </c>
      <c r="H67" s="71">
        <f t="shared" si="36"/>
        <v>39.382000000000005</v>
      </c>
      <c r="I67" s="71">
        <f t="shared" si="36"/>
        <v>39.382000000000005</v>
      </c>
      <c r="J67" s="71">
        <f t="shared" si="36"/>
        <v>39.382000000000005</v>
      </c>
      <c r="K67" s="71">
        <f t="shared" si="36"/>
        <v>39.319489903872359</v>
      </c>
      <c r="L67" s="71">
        <f t="shared" si="36"/>
        <v>29.322638739083946</v>
      </c>
      <c r="M67" s="71">
        <f t="shared" si="36"/>
        <v>9.6941488352115925</v>
      </c>
      <c r="N67" s="71">
        <f t="shared" si="36"/>
        <v>0</v>
      </c>
      <c r="O67" s="71">
        <f t="shared" si="36"/>
        <v>0</v>
      </c>
      <c r="P67" s="16"/>
      <c r="Q67" s="16"/>
      <c r="R67" s="16"/>
      <c r="S67" s="16"/>
      <c r="T67" s="16"/>
      <c r="U67" s="16"/>
      <c r="V67" s="16"/>
      <c r="W67" s="16"/>
      <c r="X67" s="16"/>
      <c r="Y67" s="16"/>
      <c r="Z67" s="16"/>
    </row>
    <row r="68" spans="1:26" ht="15" customHeight="1" x14ac:dyDescent="0.25">
      <c r="A68" s="37"/>
      <c r="B68" s="71"/>
      <c r="C68" s="71"/>
      <c r="D68" s="71"/>
      <c r="E68" s="71"/>
      <c r="F68" s="71"/>
      <c r="G68" s="71"/>
      <c r="H68" s="71"/>
      <c r="I68" s="71"/>
      <c r="J68" s="71"/>
      <c r="K68" s="71"/>
      <c r="L68" s="71"/>
      <c r="M68" s="71"/>
      <c r="N68" s="71"/>
      <c r="O68" s="71"/>
      <c r="P68" s="16"/>
      <c r="Q68" s="16"/>
      <c r="R68" s="16"/>
      <c r="S68" s="16"/>
      <c r="T68" s="16"/>
      <c r="U68" s="16"/>
      <c r="V68" s="16"/>
      <c r="W68" s="16"/>
      <c r="X68" s="16"/>
      <c r="Y68" s="16"/>
      <c r="Z68" s="16"/>
    </row>
    <row r="69" spans="1:26" ht="15" customHeight="1" x14ac:dyDescent="0.25">
      <c r="A69" s="37"/>
      <c r="B69" s="71" t="s">
        <v>69</v>
      </c>
      <c r="C69" s="71"/>
      <c r="D69" s="71"/>
      <c r="E69" s="71"/>
      <c r="F69" s="65">
        <v>0</v>
      </c>
      <c r="G69" s="71">
        <f>G54+G58+G65</f>
        <v>0</v>
      </c>
      <c r="H69" s="71">
        <f t="shared" ref="H69:O69" si="37">H54+H58+H65</f>
        <v>0</v>
      </c>
      <c r="I69" s="71">
        <f t="shared" si="37"/>
        <v>0</v>
      </c>
      <c r="J69" s="71">
        <f t="shared" si="37"/>
        <v>0</v>
      </c>
      <c r="K69" s="71">
        <f t="shared" si="37"/>
        <v>0</v>
      </c>
      <c r="L69" s="71">
        <f t="shared" si="37"/>
        <v>0</v>
      </c>
      <c r="M69" s="71">
        <f t="shared" si="37"/>
        <v>22.613514322610911</v>
      </c>
      <c r="N69" s="71">
        <f t="shared" si="37"/>
        <v>335.77791076716176</v>
      </c>
      <c r="O69" s="71">
        <f t="shared" si="37"/>
        <v>658.38650551619219</v>
      </c>
      <c r="P69" s="16"/>
      <c r="Q69" s="16"/>
      <c r="R69" s="16"/>
      <c r="S69" s="16"/>
      <c r="T69" s="16"/>
      <c r="U69" s="16"/>
      <c r="V69" s="16"/>
      <c r="W69" s="16"/>
      <c r="X69" s="16"/>
      <c r="Y69" s="16"/>
      <c r="Z69" s="16"/>
    </row>
    <row r="70" spans="1:26" ht="15" customHeight="1" x14ac:dyDescent="0.25">
      <c r="A70" s="37"/>
      <c r="B70" s="71" t="s">
        <v>66</v>
      </c>
      <c r="C70" s="71"/>
      <c r="D70" s="71"/>
      <c r="E70" s="71"/>
      <c r="F70" s="71"/>
      <c r="G70" s="71">
        <f t="shared" ref="G70:O70" si="38">$F$16*AVERAGE(F69:G69)</f>
        <v>0</v>
      </c>
      <c r="H70" s="71">
        <f t="shared" si="38"/>
        <v>0</v>
      </c>
      <c r="I70" s="71">
        <f t="shared" si="38"/>
        <v>0</v>
      </c>
      <c r="J70" s="71">
        <f t="shared" si="38"/>
        <v>0</v>
      </c>
      <c r="K70" s="71">
        <f t="shared" si="38"/>
        <v>0</v>
      </c>
      <c r="L70" s="71">
        <f t="shared" si="38"/>
        <v>0</v>
      </c>
      <c r="M70" s="71">
        <f t="shared" si="38"/>
        <v>3.3920271483916367E-2</v>
      </c>
      <c r="N70" s="71">
        <f t="shared" si="38"/>
        <v>0.53758713763465904</v>
      </c>
      <c r="O70" s="71">
        <f t="shared" si="38"/>
        <v>1.4912466244250309</v>
      </c>
      <c r="P70" s="16"/>
      <c r="Q70" s="16"/>
      <c r="R70" s="16"/>
      <c r="S70" s="16"/>
      <c r="T70" s="16"/>
      <c r="U70" s="16"/>
      <c r="V70" s="16"/>
      <c r="W70" s="16"/>
      <c r="X70" s="16"/>
      <c r="Y70" s="16"/>
      <c r="Z70" s="16"/>
    </row>
    <row r="71" spans="1:26" ht="15" customHeight="1" x14ac:dyDescent="0.25">
      <c r="A71" s="37"/>
      <c r="B71" s="71"/>
      <c r="C71" s="71"/>
      <c r="D71" s="71"/>
      <c r="E71" s="71"/>
      <c r="F71" s="71"/>
      <c r="G71" s="71"/>
      <c r="H71" s="71"/>
      <c r="I71" s="71"/>
      <c r="J71" s="71"/>
      <c r="K71" s="71"/>
      <c r="L71" s="71"/>
      <c r="M71" s="71"/>
      <c r="N71" s="71"/>
      <c r="O71" s="71"/>
      <c r="P71" s="16"/>
      <c r="Q71" s="16"/>
      <c r="R71" s="16"/>
      <c r="S71" s="16"/>
      <c r="T71" s="16"/>
      <c r="U71" s="16"/>
      <c r="V71" s="16"/>
      <c r="W71" s="16"/>
      <c r="X71" s="16"/>
      <c r="Y71" s="16"/>
      <c r="Z71" s="16"/>
    </row>
    <row r="72" spans="1:26" ht="15" customHeight="1" x14ac:dyDescent="0.25">
      <c r="A72" s="37"/>
      <c r="B72" s="71" t="s">
        <v>195</v>
      </c>
      <c r="C72" s="71"/>
      <c r="D72" s="71"/>
      <c r="E72" s="71"/>
      <c r="F72" s="71"/>
      <c r="G72" s="71">
        <f>F75</f>
        <v>0</v>
      </c>
      <c r="H72" s="71">
        <f t="shared" ref="H72:M72" si="39">G75</f>
        <v>176.08635452500005</v>
      </c>
      <c r="I72" s="71">
        <f t="shared" si="39"/>
        <v>385.12872470725</v>
      </c>
      <c r="J72" s="71">
        <f t="shared" si="39"/>
        <v>613.07615369157998</v>
      </c>
      <c r="K72" s="71">
        <f t="shared" si="39"/>
        <v>860.64034042897231</v>
      </c>
      <c r="L72" s="71">
        <f t="shared" si="39"/>
        <v>1126.9860027465043</v>
      </c>
      <c r="M72" s="71">
        <f t="shared" si="39"/>
        <v>1410.8243189939544</v>
      </c>
      <c r="N72" s="71">
        <f t="shared" ref="N72:O72" si="40">M75</f>
        <v>1687.8</v>
      </c>
      <c r="O72" s="71">
        <f t="shared" si="40"/>
        <v>1687.8</v>
      </c>
      <c r="P72" s="16"/>
      <c r="Q72" s="16"/>
      <c r="R72" s="16"/>
      <c r="S72" s="16"/>
      <c r="T72" s="16"/>
      <c r="U72" s="16"/>
      <c r="V72" s="16"/>
      <c r="W72" s="16"/>
      <c r="X72" s="16"/>
      <c r="Y72" s="16"/>
      <c r="Z72" s="16"/>
    </row>
    <row r="73" spans="1:26" ht="15" customHeight="1" x14ac:dyDescent="0.25">
      <c r="A73" s="37"/>
      <c r="B73" s="71" t="s">
        <v>196</v>
      </c>
      <c r="C73" s="71"/>
      <c r="D73" s="71"/>
      <c r="E73" s="71"/>
      <c r="F73" s="71"/>
      <c r="G73" s="71">
        <f>-G58</f>
        <v>176.08635452500005</v>
      </c>
      <c r="H73" s="71">
        <f t="shared" ref="H73:M73" si="41">-H58</f>
        <v>209.04237018224995</v>
      </c>
      <c r="I73" s="71">
        <f t="shared" si="41"/>
        <v>227.94742898432997</v>
      </c>
      <c r="J73" s="71">
        <f t="shared" si="41"/>
        <v>247.5641867373923</v>
      </c>
      <c r="K73" s="71">
        <f t="shared" si="41"/>
        <v>264.55965957102774</v>
      </c>
      <c r="L73" s="71">
        <f t="shared" si="41"/>
        <v>0</v>
      </c>
      <c r="M73" s="71">
        <f t="shared" si="41"/>
        <v>0</v>
      </c>
      <c r="N73" s="71">
        <f t="shared" ref="N73:O73" si="42">-N58</f>
        <v>0</v>
      </c>
      <c r="O73" s="71">
        <f t="shared" si="42"/>
        <v>0</v>
      </c>
      <c r="P73" s="16"/>
      <c r="Q73" s="16"/>
      <c r="R73" s="16"/>
      <c r="S73" s="16"/>
      <c r="T73" s="16"/>
      <c r="U73" s="16"/>
      <c r="V73" s="16"/>
      <c r="W73" s="16"/>
      <c r="X73" s="16"/>
      <c r="Y73" s="16"/>
      <c r="Z73" s="16"/>
    </row>
    <row r="74" spans="1:26" ht="15" customHeight="1" x14ac:dyDescent="0.25">
      <c r="A74" s="37"/>
      <c r="B74" s="71" t="s">
        <v>197</v>
      </c>
      <c r="C74" s="71"/>
      <c r="D74" s="71"/>
      <c r="E74" s="71"/>
      <c r="F74" s="71"/>
      <c r="G74" s="71">
        <f>-G65</f>
        <v>0</v>
      </c>
      <c r="H74" s="71">
        <f t="shared" ref="H74:M74" si="43">-H65</f>
        <v>0</v>
      </c>
      <c r="I74" s="71">
        <f t="shared" si="43"/>
        <v>0</v>
      </c>
      <c r="J74" s="71">
        <f t="shared" si="43"/>
        <v>0</v>
      </c>
      <c r="K74" s="71">
        <f t="shared" si="43"/>
        <v>1.7860027465043231</v>
      </c>
      <c r="L74" s="71">
        <f t="shared" si="43"/>
        <v>283.83831624745022</v>
      </c>
      <c r="M74" s="71">
        <f t="shared" si="43"/>
        <v>276.97568100604548</v>
      </c>
      <c r="N74" s="71">
        <f t="shared" ref="N74:O74" si="44">-N65</f>
        <v>0</v>
      </c>
      <c r="O74" s="71">
        <f t="shared" si="44"/>
        <v>0</v>
      </c>
      <c r="P74" s="16"/>
      <c r="Q74" s="16"/>
      <c r="R74" s="16"/>
      <c r="S74" s="16"/>
      <c r="T74" s="16"/>
      <c r="U74" s="16"/>
      <c r="V74" s="16"/>
      <c r="W74" s="16"/>
      <c r="X74" s="16"/>
      <c r="Y74" s="16"/>
      <c r="Z74" s="16"/>
    </row>
    <row r="75" spans="1:26" ht="15" customHeight="1" x14ac:dyDescent="0.25">
      <c r="A75" s="37"/>
      <c r="B75" s="71" t="s">
        <v>198</v>
      </c>
      <c r="C75" s="71"/>
      <c r="D75" s="71"/>
      <c r="E75" s="71"/>
      <c r="F75" s="65">
        <v>0</v>
      </c>
      <c r="G75" s="71">
        <f>SUM(G72:G74)</f>
        <v>176.08635452500005</v>
      </c>
      <c r="H75" s="71">
        <f t="shared" ref="H75:M75" si="45">SUM(H72:H74)</f>
        <v>385.12872470725</v>
      </c>
      <c r="I75" s="71">
        <f t="shared" si="45"/>
        <v>613.07615369157998</v>
      </c>
      <c r="J75" s="71">
        <f t="shared" si="45"/>
        <v>860.64034042897231</v>
      </c>
      <c r="K75" s="71">
        <f t="shared" si="45"/>
        <v>1126.9860027465043</v>
      </c>
      <c r="L75" s="71">
        <f t="shared" si="45"/>
        <v>1410.8243189939544</v>
      </c>
      <c r="M75" s="71">
        <f t="shared" si="45"/>
        <v>1687.8</v>
      </c>
      <c r="N75" s="71">
        <f t="shared" ref="N75" si="46">SUM(N72:N74)</f>
        <v>1687.8</v>
      </c>
      <c r="O75" s="71">
        <f t="shared" ref="O75" si="47">SUM(O72:O74)</f>
        <v>1687.8</v>
      </c>
      <c r="P75" s="16"/>
      <c r="Q75" s="16"/>
      <c r="R75" s="16"/>
      <c r="S75" s="16"/>
      <c r="T75" s="16"/>
      <c r="U75" s="16"/>
      <c r="V75" s="16"/>
      <c r="W75" s="16"/>
      <c r="X75" s="16"/>
      <c r="Y75" s="16"/>
      <c r="Z75" s="16"/>
    </row>
    <row r="76" spans="1:26" ht="15" customHeight="1" x14ac:dyDescent="0.25">
      <c r="A76" s="37"/>
      <c r="B76" s="71"/>
      <c r="C76" s="71"/>
      <c r="D76" s="71"/>
      <c r="E76" s="71"/>
      <c r="F76" s="71"/>
      <c r="G76" s="71"/>
      <c r="H76" s="71"/>
      <c r="I76" s="71"/>
      <c r="J76" s="71"/>
      <c r="K76" s="71"/>
      <c r="L76" s="71"/>
      <c r="M76" s="71"/>
      <c r="N76" s="71"/>
      <c r="O76" s="71"/>
      <c r="P76" s="16"/>
      <c r="Q76" s="16"/>
      <c r="R76" s="16"/>
      <c r="S76" s="16"/>
      <c r="T76" s="16"/>
      <c r="U76" s="16"/>
      <c r="V76" s="16"/>
      <c r="W76" s="16"/>
      <c r="X76" s="16"/>
      <c r="Y76" s="16"/>
      <c r="Z76" s="16"/>
    </row>
    <row r="77" spans="1:26" ht="15" customHeight="1" x14ac:dyDescent="0.25">
      <c r="A77" s="37"/>
      <c r="B77" s="71" t="s">
        <v>174</v>
      </c>
      <c r="C77" s="71"/>
      <c r="D77" s="71"/>
      <c r="E77" s="71"/>
      <c r="F77" s="71">
        <f>F59+F66</f>
        <v>1687.8000000000002</v>
      </c>
      <c r="G77" s="71">
        <f>G59+G66</f>
        <v>1511.713645475</v>
      </c>
      <c r="H77" s="71">
        <f t="shared" ref="H77:M77" si="48">H59+H66</f>
        <v>1302.6712752927501</v>
      </c>
      <c r="I77" s="71">
        <f t="shared" si="48"/>
        <v>1074.72384630842</v>
      </c>
      <c r="J77" s="71">
        <f t="shared" si="48"/>
        <v>827.15965957102776</v>
      </c>
      <c r="K77" s="71">
        <f t="shared" si="48"/>
        <v>560.8139972534957</v>
      </c>
      <c r="L77" s="71">
        <f t="shared" si="48"/>
        <v>276.97568100604548</v>
      </c>
      <c r="M77" s="71">
        <f t="shared" si="48"/>
        <v>0</v>
      </c>
      <c r="N77" s="71">
        <f t="shared" ref="N77:O77" si="49">N59+N66</f>
        <v>0</v>
      </c>
      <c r="O77" s="71">
        <f t="shared" si="49"/>
        <v>0</v>
      </c>
      <c r="P77" s="16"/>
      <c r="Q77" s="16"/>
      <c r="R77" s="16"/>
      <c r="S77" s="16"/>
      <c r="T77" s="16"/>
      <c r="U77" s="16"/>
      <c r="V77" s="16"/>
      <c r="W77" s="16"/>
      <c r="X77" s="16"/>
      <c r="Y77" s="16"/>
      <c r="Z77" s="16"/>
    </row>
    <row r="78" spans="1:26" ht="15" customHeight="1" x14ac:dyDescent="0.25">
      <c r="A78" s="37"/>
      <c r="B78" s="71" t="s">
        <v>194</v>
      </c>
      <c r="C78" s="71"/>
      <c r="D78" s="71"/>
      <c r="E78" s="71"/>
      <c r="F78" s="71"/>
      <c r="G78" s="76">
        <f>G75/$F$77</f>
        <v>0.10432892198423986</v>
      </c>
      <c r="H78" s="76">
        <f t="shared" ref="H78:M78" si="50">H75/$F$77</f>
        <v>0.22818386343598174</v>
      </c>
      <c r="I78" s="76">
        <f t="shared" si="50"/>
        <v>0.36323981140631584</v>
      </c>
      <c r="J78" s="76">
        <f t="shared" si="50"/>
        <v>0.50991843845773921</v>
      </c>
      <c r="K78" s="76">
        <f t="shared" si="50"/>
        <v>0.667724850543017</v>
      </c>
      <c r="L78" s="76">
        <f t="shared" si="50"/>
        <v>0.83589543725201698</v>
      </c>
      <c r="M78" s="76">
        <f t="shared" si="50"/>
        <v>0.99999999999999989</v>
      </c>
      <c r="N78" s="76">
        <f t="shared" ref="N78:O78" si="51">N75/$F$77</f>
        <v>0.99999999999999989</v>
      </c>
      <c r="O78" s="76">
        <f t="shared" si="51"/>
        <v>0.99999999999999989</v>
      </c>
      <c r="P78" s="16"/>
      <c r="Q78" s="16"/>
      <c r="R78" s="16"/>
      <c r="S78" s="16"/>
      <c r="T78" s="16"/>
      <c r="U78" s="16"/>
      <c r="V78" s="16"/>
      <c r="W78" s="16"/>
      <c r="X78" s="16"/>
      <c r="Y78" s="16"/>
      <c r="Z78" s="16"/>
    </row>
    <row r="79" spans="1:26" ht="15" customHeight="1" x14ac:dyDescent="0.25">
      <c r="A79" s="37"/>
      <c r="B79" s="71" t="s">
        <v>199</v>
      </c>
      <c r="C79" s="71"/>
      <c r="D79" s="71"/>
      <c r="E79" s="71"/>
      <c r="F79" s="71"/>
      <c r="G79" s="77">
        <f t="shared" ref="G79:O79" si="52">G77/G31</f>
        <v>4.0671160792730721</v>
      </c>
      <c r="H79" s="77">
        <f t="shared" si="52"/>
        <v>3.2153286726478125</v>
      </c>
      <c r="I79" s="77">
        <f t="shared" si="52"/>
        <v>2.4561996566384736</v>
      </c>
      <c r="J79" s="77">
        <f t="shared" si="52"/>
        <v>1.7667388095361598</v>
      </c>
      <c r="K79" s="77">
        <f t="shared" si="52"/>
        <v>1.1300456365599538</v>
      </c>
      <c r="L79" s="77">
        <f t="shared" si="52"/>
        <v>0.53153207622687093</v>
      </c>
      <c r="M79" s="77">
        <f t="shared" si="52"/>
        <v>0</v>
      </c>
      <c r="N79" s="77">
        <f t="shared" si="52"/>
        <v>0</v>
      </c>
      <c r="O79" s="77">
        <f t="shared" si="52"/>
        <v>0</v>
      </c>
      <c r="P79" s="16"/>
      <c r="Q79" s="16"/>
      <c r="R79" s="16"/>
      <c r="S79" s="16"/>
      <c r="T79" s="16"/>
      <c r="U79" s="16"/>
      <c r="V79" s="16"/>
      <c r="W79" s="16"/>
      <c r="X79" s="16"/>
      <c r="Y79" s="16"/>
      <c r="Z79" s="16"/>
    </row>
    <row r="80" spans="1:26" ht="15" customHeight="1" x14ac:dyDescent="0.25">
      <c r="A80" s="37"/>
      <c r="B80" s="16"/>
      <c r="C80" s="16"/>
      <c r="D80" s="16"/>
      <c r="E80" s="16"/>
      <c r="F80" s="16"/>
      <c r="G80" s="16"/>
      <c r="H80" s="16"/>
      <c r="I80" s="16"/>
      <c r="J80" s="16"/>
      <c r="K80" s="16"/>
      <c r="L80" s="16"/>
      <c r="M80" s="16"/>
      <c r="N80" s="16"/>
      <c r="O80" s="16"/>
      <c r="P80" s="16"/>
      <c r="Q80" s="16"/>
      <c r="R80" s="16"/>
      <c r="S80" s="16"/>
      <c r="T80" s="16"/>
      <c r="U80" s="16"/>
      <c r="V80" s="16"/>
      <c r="W80" s="16"/>
      <c r="X80" s="16"/>
      <c r="Y80" s="16"/>
      <c r="Z80" s="16"/>
    </row>
    <row r="81" spans="1:16" ht="15" customHeight="1" x14ac:dyDescent="0.25">
      <c r="A81" s="37" t="s">
        <v>99</v>
      </c>
      <c r="B81" s="16"/>
      <c r="C81" s="16"/>
      <c r="D81" s="16"/>
      <c r="E81" s="16"/>
      <c r="F81" s="16"/>
      <c r="G81" s="16"/>
      <c r="H81" s="16"/>
      <c r="I81" s="16"/>
      <c r="J81" s="16"/>
      <c r="K81" s="16"/>
      <c r="L81" s="16"/>
      <c r="M81" s="16"/>
      <c r="N81" s="16"/>
      <c r="O81" s="16"/>
      <c r="P81" s="16"/>
    </row>
    <row r="82" spans="1:16" ht="15" customHeight="1" x14ac:dyDescent="0.25">
      <c r="A82" s="37"/>
      <c r="B82" s="70" t="s">
        <v>24</v>
      </c>
      <c r="C82" s="71"/>
      <c r="D82" s="71"/>
      <c r="E82" s="71"/>
      <c r="G82" s="71">
        <f t="shared" ref="G82:O82" si="53">G39+G48</f>
        <v>371.69178750000003</v>
      </c>
      <c r="H82" s="71">
        <f t="shared" si="53"/>
        <v>405.14404837500007</v>
      </c>
      <c r="I82" s="71">
        <f t="shared" si="53"/>
        <v>437.55557224500006</v>
      </c>
      <c r="J82" s="71">
        <f t="shared" si="53"/>
        <v>468.18446230215022</v>
      </c>
      <c r="K82" s="71">
        <f t="shared" si="53"/>
        <v>496.27553004027919</v>
      </c>
      <c r="L82" s="71">
        <f t="shared" si="53"/>
        <v>521.08930654229312</v>
      </c>
      <c r="M82" s="71">
        <f t="shared" si="53"/>
        <v>541.93287880398486</v>
      </c>
      <c r="N82" s="71">
        <f t="shared" si="53"/>
        <v>558.19086516810444</v>
      </c>
      <c r="O82" s="71">
        <f t="shared" si="53"/>
        <v>569.35468247146639</v>
      </c>
      <c r="P82" s="16"/>
    </row>
    <row r="83" spans="1:16" ht="15" customHeight="1" x14ac:dyDescent="0.25">
      <c r="A83" s="37"/>
      <c r="B83" s="70" t="s">
        <v>72</v>
      </c>
      <c r="C83" s="71"/>
      <c r="D83" s="71"/>
      <c r="E83" s="71"/>
      <c r="F83" s="70"/>
      <c r="G83" s="71">
        <f>$F$10*G82</f>
        <v>4088.6096625000005</v>
      </c>
      <c r="H83" s="71">
        <f t="shared" ref="H83:O83" si="54">$F$10*H82</f>
        <v>4456.5845321250008</v>
      </c>
      <c r="I83" s="71">
        <f t="shared" si="54"/>
        <v>4813.1112946950007</v>
      </c>
      <c r="J83" s="71">
        <f t="shared" si="54"/>
        <v>5150.0290853236529</v>
      </c>
      <c r="K83" s="71">
        <f t="shared" si="54"/>
        <v>5459.030830443071</v>
      </c>
      <c r="L83" s="71">
        <f t="shared" si="54"/>
        <v>5731.982371965224</v>
      </c>
      <c r="M83" s="71">
        <f t="shared" si="54"/>
        <v>5961.2616668438332</v>
      </c>
      <c r="N83" s="71">
        <f t="shared" si="54"/>
        <v>6140.099516849149</v>
      </c>
      <c r="O83" s="71">
        <f t="shared" si="54"/>
        <v>6262.9015071861304</v>
      </c>
      <c r="P83" s="16"/>
    </row>
    <row r="84" spans="1:16" ht="15" customHeight="1" x14ac:dyDescent="0.25">
      <c r="A84" s="37"/>
      <c r="B84" s="70" t="s">
        <v>30</v>
      </c>
      <c r="C84" s="71"/>
      <c r="D84" s="71"/>
      <c r="E84" s="71"/>
      <c r="F84" s="71"/>
      <c r="G84" s="71">
        <f t="shared" ref="G84:O84" si="55">G69-G59-G66</f>
        <v>-1511.713645475</v>
      </c>
      <c r="H84" s="71">
        <f t="shared" si="55"/>
        <v>-1302.6712752927501</v>
      </c>
      <c r="I84" s="71">
        <f t="shared" si="55"/>
        <v>-1074.72384630842</v>
      </c>
      <c r="J84" s="71">
        <f t="shared" si="55"/>
        <v>-827.15965957102776</v>
      </c>
      <c r="K84" s="71">
        <f t="shared" si="55"/>
        <v>-560.8139972534957</v>
      </c>
      <c r="L84" s="71">
        <f t="shared" si="55"/>
        <v>-276.97568100604548</v>
      </c>
      <c r="M84" s="71">
        <f t="shared" si="55"/>
        <v>22.613514322610911</v>
      </c>
      <c r="N84" s="71">
        <f t="shared" si="55"/>
        <v>335.77791076716176</v>
      </c>
      <c r="O84" s="71">
        <f t="shared" si="55"/>
        <v>658.38650551619219</v>
      </c>
      <c r="P84" s="16"/>
    </row>
    <row r="85" spans="1:16" ht="15" customHeight="1" x14ac:dyDescent="0.25">
      <c r="A85" s="37"/>
      <c r="B85" s="70" t="s">
        <v>101</v>
      </c>
      <c r="C85" s="71"/>
      <c r="D85" s="71"/>
      <c r="E85" s="71"/>
      <c r="F85" s="71"/>
      <c r="G85" s="71">
        <f>SUM(G83:G84)</f>
        <v>2576.8960170250002</v>
      </c>
      <c r="H85" s="71">
        <f t="shared" ref="H85:O85" si="56">SUM(H83:H84)</f>
        <v>3153.9132568322507</v>
      </c>
      <c r="I85" s="71">
        <f t="shared" si="56"/>
        <v>3738.3874483865807</v>
      </c>
      <c r="J85" s="71">
        <f t="shared" si="56"/>
        <v>4322.8694257526249</v>
      </c>
      <c r="K85" s="71">
        <f t="shared" si="56"/>
        <v>4898.2168331895755</v>
      </c>
      <c r="L85" s="71">
        <f t="shared" si="56"/>
        <v>5455.0066909591787</v>
      </c>
      <c r="M85" s="71">
        <f t="shared" si="56"/>
        <v>5983.8751811664442</v>
      </c>
      <c r="N85" s="71">
        <f t="shared" si="56"/>
        <v>6475.8774276163113</v>
      </c>
      <c r="O85" s="71">
        <f t="shared" si="56"/>
        <v>6921.2880127023227</v>
      </c>
      <c r="P85" s="16"/>
    </row>
    <row r="86" spans="1:16" ht="15" customHeight="1" x14ac:dyDescent="0.25">
      <c r="A86" s="37"/>
      <c r="B86" s="71"/>
      <c r="C86" s="71"/>
      <c r="D86" s="71"/>
      <c r="E86" s="71"/>
      <c r="F86" s="71"/>
      <c r="G86" s="71"/>
      <c r="H86" s="71"/>
      <c r="I86" s="71"/>
      <c r="J86" s="71"/>
      <c r="K86" s="71"/>
      <c r="L86" s="71"/>
      <c r="M86" s="71"/>
      <c r="N86" s="71"/>
      <c r="O86" s="71"/>
      <c r="P86" s="16"/>
    </row>
    <row r="87" spans="1:16" ht="15" customHeight="1" x14ac:dyDescent="0.25">
      <c r="A87" s="37"/>
      <c r="B87" s="70" t="s">
        <v>102</v>
      </c>
      <c r="C87" s="71"/>
      <c r="D87" s="71"/>
      <c r="E87" s="71"/>
      <c r="F87" s="71">
        <f>-O9</f>
        <v>-1437.4430000000004</v>
      </c>
      <c r="G87" s="71">
        <f t="shared" ref="G87:O87" si="57">IF($F$18=G20,G85,0)</f>
        <v>0</v>
      </c>
      <c r="H87" s="71">
        <f t="shared" si="57"/>
        <v>0</v>
      </c>
      <c r="I87" s="71">
        <f t="shared" si="57"/>
        <v>0</v>
      </c>
      <c r="J87" s="71">
        <f t="shared" si="57"/>
        <v>0</v>
      </c>
      <c r="K87" s="71">
        <f t="shared" si="57"/>
        <v>4898.2168331895755</v>
      </c>
      <c r="L87" s="71">
        <f t="shared" si="57"/>
        <v>0</v>
      </c>
      <c r="M87" s="71">
        <f t="shared" si="57"/>
        <v>0</v>
      </c>
      <c r="N87" s="71">
        <f t="shared" si="57"/>
        <v>0</v>
      </c>
      <c r="O87" s="71">
        <f t="shared" si="57"/>
        <v>0</v>
      </c>
      <c r="P87" s="16"/>
    </row>
    <row r="88" spans="1:16" ht="15" customHeight="1" x14ac:dyDescent="0.25">
      <c r="A88" s="37"/>
      <c r="B88" s="70" t="s">
        <v>103</v>
      </c>
      <c r="C88" s="71"/>
      <c r="D88" s="71"/>
      <c r="F88" s="76">
        <f>IRR(F87:O87)</f>
        <v>0.2778782396937125</v>
      </c>
      <c r="H88" s="16"/>
      <c r="I88" s="71"/>
      <c r="J88" s="71"/>
      <c r="K88" s="71"/>
      <c r="L88" s="71"/>
      <c r="M88" s="71"/>
      <c r="N88" s="71"/>
      <c r="O88" s="71"/>
      <c r="P88" s="16"/>
    </row>
    <row r="89" spans="1:16" ht="15" customHeight="1" x14ac:dyDescent="0.25">
      <c r="A89" s="37"/>
      <c r="B89" s="16"/>
      <c r="C89" s="16"/>
      <c r="D89" s="16"/>
      <c r="E89" s="16"/>
      <c r="H89" s="16"/>
      <c r="I89" s="16"/>
      <c r="J89" s="16"/>
      <c r="K89" s="16"/>
      <c r="L89" s="16"/>
      <c r="M89" s="16"/>
      <c r="N89" s="16"/>
      <c r="O89" s="16"/>
      <c r="P89" s="16"/>
    </row>
    <row r="90" spans="1:16" ht="15" customHeight="1" x14ac:dyDescent="0.25">
      <c r="A90" s="37" t="s">
        <v>104</v>
      </c>
      <c r="B90" s="16"/>
      <c r="C90" s="16"/>
      <c r="D90" s="16"/>
      <c r="E90" s="16"/>
      <c r="F90" s="16"/>
      <c r="G90" s="16"/>
      <c r="H90" s="16"/>
      <c r="I90" s="16"/>
      <c r="J90" s="16"/>
      <c r="K90" s="16"/>
      <c r="L90" s="16"/>
      <c r="M90" s="16"/>
      <c r="N90" s="16"/>
      <c r="O90" s="16"/>
      <c r="P90" s="16"/>
    </row>
    <row r="91" spans="1:16" ht="15" customHeight="1" x14ac:dyDescent="0.25">
      <c r="A91" s="37"/>
      <c r="B91" s="70" t="s">
        <v>105</v>
      </c>
      <c r="C91" s="71"/>
      <c r="D91" s="71"/>
      <c r="E91" s="16"/>
      <c r="F91" s="16"/>
      <c r="G91" s="16"/>
      <c r="H91" s="16"/>
      <c r="I91" s="16"/>
      <c r="J91" s="16"/>
      <c r="K91" s="16"/>
      <c r="L91" s="16"/>
      <c r="M91" s="16"/>
      <c r="N91" s="16"/>
      <c r="O91" s="16"/>
      <c r="P91" s="16"/>
    </row>
    <row r="92" spans="1:16" ht="15" customHeight="1" x14ac:dyDescent="0.25">
      <c r="A92" s="37"/>
      <c r="B92" s="71"/>
      <c r="C92" s="71"/>
      <c r="D92" s="90" t="s">
        <v>88</v>
      </c>
      <c r="E92" s="91"/>
      <c r="F92" s="91"/>
      <c r="G92" s="16"/>
      <c r="H92" s="16"/>
      <c r="I92" s="16"/>
      <c r="J92" s="16"/>
      <c r="K92" s="16"/>
      <c r="L92" s="16"/>
      <c r="M92" s="16"/>
      <c r="N92" s="16"/>
      <c r="O92" s="16"/>
      <c r="P92" s="16"/>
    </row>
    <row r="93" spans="1:16" ht="15" customHeight="1" x14ac:dyDescent="0.25">
      <c r="A93" s="37"/>
      <c r="B93" s="16"/>
      <c r="C93" s="78">
        <f>F88</f>
        <v>0.2778782396937125</v>
      </c>
      <c r="D93" s="55">
        <v>3</v>
      </c>
      <c r="E93" s="55">
        <v>4</v>
      </c>
      <c r="F93" s="55">
        <v>5</v>
      </c>
      <c r="G93" s="16"/>
      <c r="H93" s="16"/>
      <c r="I93" s="16"/>
      <c r="J93" s="16"/>
      <c r="K93" s="16"/>
      <c r="L93" s="16"/>
      <c r="M93" s="16"/>
      <c r="N93" s="16"/>
      <c r="O93" s="16"/>
      <c r="P93" s="16"/>
    </row>
    <row r="94" spans="1:16" ht="15" customHeight="1" x14ac:dyDescent="0.25">
      <c r="A94" s="37"/>
      <c r="B94" s="16"/>
      <c r="C94" s="54">
        <v>9</v>
      </c>
      <c r="D94" s="39">
        <f t="dataTable" ref="D94:F111" dt2D="1" dtr="1" r1="F18" r2="F9"/>
        <v>0.62624272252512037</v>
      </c>
      <c r="E94" s="39">
        <v>0.49334783450141906</v>
      </c>
      <c r="F94" s="39">
        <v>0.41312948798363891</v>
      </c>
      <c r="G94" s="16"/>
      <c r="H94" s="16"/>
      <c r="I94" s="16"/>
      <c r="J94" s="16"/>
      <c r="K94" s="16"/>
      <c r="L94" s="16"/>
      <c r="M94" s="16"/>
      <c r="N94" s="16"/>
      <c r="O94" s="16"/>
      <c r="P94" s="16"/>
    </row>
    <row r="95" spans="1:16" ht="15" customHeight="1" x14ac:dyDescent="0.25">
      <c r="A95" s="37"/>
      <c r="B95" s="16"/>
      <c r="C95" s="54">
        <f t="shared" ref="C95:C111" si="58">C94+0.5</f>
        <v>9.5</v>
      </c>
      <c r="D95" s="39">
        <v>0.5462221641711682</v>
      </c>
      <c r="E95" s="39">
        <v>0.43789069307554662</v>
      </c>
      <c r="F95" s="39">
        <v>0.37098870210254997</v>
      </c>
      <c r="G95" s="16"/>
      <c r="H95" s="16"/>
      <c r="I95" s="16"/>
      <c r="J95" s="16"/>
      <c r="K95" s="16"/>
      <c r="L95" s="16"/>
      <c r="M95" s="16"/>
      <c r="N95" s="16"/>
      <c r="O95" s="16"/>
      <c r="P95" s="16"/>
    </row>
    <row r="96" spans="1:16" ht="15" customHeight="1" x14ac:dyDescent="0.25">
      <c r="A96" s="37"/>
      <c r="B96" s="16"/>
      <c r="C96" s="54">
        <f t="shared" si="58"/>
        <v>10</v>
      </c>
      <c r="D96" s="39">
        <v>0.47993817742758749</v>
      </c>
      <c r="E96" s="39">
        <v>0.39140843623367338</v>
      </c>
      <c r="F96" s="39">
        <v>0.33541694763118368</v>
      </c>
      <c r="G96" s="16"/>
      <c r="H96" s="16"/>
      <c r="I96" s="16"/>
      <c r="J96" s="16"/>
      <c r="K96" s="16"/>
      <c r="L96" s="16"/>
      <c r="M96" s="16"/>
      <c r="N96" s="16"/>
      <c r="O96" s="16"/>
      <c r="P96" s="16"/>
    </row>
    <row r="97" spans="1:16" ht="15" customHeight="1" x14ac:dyDescent="0.25">
      <c r="A97" s="37"/>
      <c r="B97" s="16"/>
      <c r="C97" s="54">
        <f t="shared" si="58"/>
        <v>10.5</v>
      </c>
      <c r="D97" s="39">
        <v>0.42373222286313195</v>
      </c>
      <c r="E97" s="39">
        <v>0.35158445365579905</v>
      </c>
      <c r="F97" s="39">
        <v>0.30475126908207684</v>
      </c>
      <c r="G97" s="16"/>
      <c r="H97" s="16"/>
      <c r="I97" s="16"/>
      <c r="J97" s="16"/>
      <c r="K97" s="16"/>
      <c r="L97" s="16"/>
      <c r="M97" s="16"/>
      <c r="N97" s="16"/>
      <c r="O97" s="16"/>
      <c r="P97" s="16"/>
    </row>
    <row r="98" spans="1:16" ht="15" customHeight="1" x14ac:dyDescent="0.25">
      <c r="A98" s="37"/>
      <c r="B98" s="16"/>
      <c r="C98" s="54">
        <f t="shared" si="58"/>
        <v>11</v>
      </c>
      <c r="D98" s="39">
        <v>0.3751958693302937</v>
      </c>
      <c r="E98" s="39">
        <v>0.31687748153778883</v>
      </c>
      <c r="F98" s="39">
        <v>0.2778782396937125</v>
      </c>
      <c r="G98" s="16"/>
      <c r="H98" s="16"/>
      <c r="I98" s="16"/>
      <c r="J98" s="16"/>
      <c r="K98" s="16"/>
      <c r="L98" s="16"/>
      <c r="M98" s="16"/>
      <c r="N98" s="16"/>
      <c r="O98" s="16"/>
      <c r="P98" s="16"/>
    </row>
    <row r="99" spans="1:16" ht="15" customHeight="1" x14ac:dyDescent="0.25">
      <c r="A99" s="37"/>
      <c r="B99" s="16"/>
      <c r="C99" s="54">
        <f t="shared" si="58"/>
        <v>11.5</v>
      </c>
      <c r="D99" s="39">
        <v>0.33266688343883977</v>
      </c>
      <c r="E99" s="39">
        <v>0.28621377434514228</v>
      </c>
      <c r="F99" s="39">
        <v>0.25401780480278791</v>
      </c>
      <c r="G99" s="16"/>
      <c r="H99" s="16"/>
      <c r="I99" s="16"/>
      <c r="J99" s="16"/>
      <c r="K99" s="16"/>
      <c r="L99" s="16"/>
      <c r="M99" s="16"/>
      <c r="N99" s="16"/>
      <c r="O99" s="16"/>
      <c r="P99" s="16"/>
    </row>
    <row r="100" spans="1:16" ht="15" customHeight="1" x14ac:dyDescent="0.25">
      <c r="A100" s="37"/>
      <c r="B100" s="70" t="s">
        <v>106</v>
      </c>
      <c r="C100" s="54">
        <f t="shared" si="58"/>
        <v>12</v>
      </c>
      <c r="D100" s="39">
        <v>0.29495413036844376</v>
      </c>
      <c r="E100" s="39">
        <v>0.25881741020999804</v>
      </c>
      <c r="F100" s="39">
        <v>0.23260342577555226</v>
      </c>
      <c r="G100" s="16"/>
      <c r="H100" s="16"/>
      <c r="I100" s="16"/>
      <c r="J100" s="16"/>
      <c r="K100" s="16"/>
      <c r="L100" s="16"/>
      <c r="M100" s="16"/>
      <c r="N100" s="16"/>
      <c r="O100" s="16"/>
      <c r="P100" s="16"/>
    </row>
    <row r="101" spans="1:16" ht="15" customHeight="1" x14ac:dyDescent="0.25">
      <c r="A101" s="37"/>
      <c r="B101" s="16"/>
      <c r="C101" s="54">
        <f t="shared" si="58"/>
        <v>12.5</v>
      </c>
      <c r="D101" s="39">
        <v>0.26117755102909834</v>
      </c>
      <c r="E101" s="39">
        <v>0.23411072264491684</v>
      </c>
      <c r="F101" s="39">
        <v>0.2132113882995692</v>
      </c>
      <c r="G101" s="16"/>
      <c r="H101" s="16"/>
      <c r="I101" s="16"/>
      <c r="J101" s="16"/>
      <c r="K101" s="16"/>
      <c r="L101" s="16"/>
      <c r="M101" s="16"/>
      <c r="N101" s="16"/>
      <c r="O101" s="16"/>
      <c r="P101" s="16"/>
    </row>
    <row r="102" spans="1:16" ht="15" customHeight="1" x14ac:dyDescent="0.25">
      <c r="A102" s="37"/>
      <c r="B102" s="16"/>
      <c r="C102" s="54">
        <f t="shared" si="58"/>
        <v>13</v>
      </c>
      <c r="D102" s="39">
        <v>0.23067019460632032</v>
      </c>
      <c r="E102" s="39">
        <v>0.21165286599891653</v>
      </c>
      <c r="F102" s="39">
        <v>0.19551698023020703</v>
      </c>
      <c r="G102" s="16"/>
      <c r="H102" s="16"/>
      <c r="I102" s="16"/>
      <c r="J102" s="16"/>
      <c r="K102" s="16"/>
      <c r="L102" s="16"/>
      <c r="M102" s="16"/>
      <c r="N102" s="16"/>
      <c r="O102" s="16"/>
      <c r="P102" s="16"/>
    </row>
    <row r="103" spans="1:16" ht="15" customHeight="1" x14ac:dyDescent="0.25">
      <c r="A103" s="37"/>
      <c r="B103" s="16"/>
      <c r="C103" s="54">
        <f t="shared" si="58"/>
        <v>13.5</v>
      </c>
      <c r="D103" s="39">
        <v>0.20291566012684426</v>
      </c>
      <c r="E103" s="39">
        <v>0.19110030548125101</v>
      </c>
      <c r="F103" s="39">
        <v>0.179266187954777</v>
      </c>
      <c r="G103" s="16"/>
      <c r="H103" s="16"/>
      <c r="I103" s="16"/>
      <c r="J103" s="16"/>
      <c r="K103" s="16"/>
      <c r="L103" s="16"/>
      <c r="M103" s="16"/>
      <c r="N103" s="16"/>
      <c r="O103" s="16"/>
      <c r="P103" s="16"/>
    </row>
    <row r="104" spans="1:16" ht="15" customHeight="1" x14ac:dyDescent="0.25">
      <c r="A104" s="37"/>
      <c r="B104" s="16"/>
      <c r="C104" s="54">
        <f t="shared" si="58"/>
        <v>14</v>
      </c>
      <c r="D104" s="39">
        <v>0.17750671085157044</v>
      </c>
      <c r="E104" s="83">
        <v>0.17218050762349835</v>
      </c>
      <c r="F104" s="39">
        <v>0.16425677510710046</v>
      </c>
      <c r="G104" s="16"/>
      <c r="H104" s="16"/>
      <c r="I104" s="16"/>
      <c r="J104" s="16"/>
      <c r="K104" s="16"/>
      <c r="L104" s="16"/>
      <c r="M104" s="16"/>
      <c r="N104" s="16"/>
      <c r="O104" s="16"/>
      <c r="P104" s="16"/>
    </row>
    <row r="105" spans="1:16" ht="15" customHeight="1" x14ac:dyDescent="0.25">
      <c r="A105" s="37"/>
      <c r="B105" s="16"/>
      <c r="C105" s="54">
        <f t="shared" si="58"/>
        <v>14.5</v>
      </c>
      <c r="D105" s="39">
        <v>0.15411705808341902</v>
      </c>
      <c r="E105" s="39">
        <v>0.15467389400984</v>
      </c>
      <c r="F105" s="39">
        <v>0.15032525673399455</v>
      </c>
      <c r="G105" s="16"/>
      <c r="H105" s="16"/>
      <c r="I105" s="16"/>
      <c r="J105" s="16"/>
      <c r="K105" s="16"/>
      <c r="L105" s="16"/>
      <c r="M105" s="16"/>
      <c r="N105" s="16"/>
      <c r="O105" s="16"/>
      <c r="P105" s="16"/>
    </row>
    <row r="106" spans="1:16" ht="15" customHeight="1" x14ac:dyDescent="0.25">
      <c r="A106" s="37"/>
      <c r="B106" s="16"/>
      <c r="C106" s="54">
        <f t="shared" si="58"/>
        <v>15</v>
      </c>
      <c r="D106" s="39">
        <v>0.13248161740454112</v>
      </c>
      <c r="E106" s="39">
        <v>0.13840114230225553</v>
      </c>
      <c r="F106" s="39">
        <v>0.13733770222188513</v>
      </c>
      <c r="G106" s="16"/>
      <c r="H106" s="16"/>
      <c r="I106" s="16"/>
      <c r="J106" s="16"/>
      <c r="K106" s="16"/>
      <c r="L106" s="16"/>
      <c r="M106" s="16"/>
      <c r="N106" s="16"/>
      <c r="O106" s="16"/>
      <c r="P106" s="16"/>
    </row>
    <row r="107" spans="1:16" ht="15" customHeight="1" x14ac:dyDescent="0.25">
      <c r="A107" s="37"/>
      <c r="B107" s="16"/>
      <c r="C107" s="54">
        <f t="shared" si="58"/>
        <v>15.5</v>
      </c>
      <c r="D107" s="39">
        <v>0.11238237690127084</v>
      </c>
      <c r="E107" s="39">
        <v>0.12321404882907316</v>
      </c>
      <c r="F107" s="39">
        <v>0.12518309663640448</v>
      </c>
      <c r="G107" s="16"/>
      <c r="H107" s="16"/>
      <c r="I107" s="16"/>
      <c r="J107" s="16"/>
      <c r="K107" s="16"/>
      <c r="L107" s="16"/>
      <c r="M107" s="16"/>
      <c r="N107" s="16"/>
      <c r="O107" s="16"/>
      <c r="P107" s="16"/>
    </row>
    <row r="108" spans="1:16" ht="15" customHeight="1" x14ac:dyDescent="0.25">
      <c r="A108" s="37"/>
      <c r="B108" s="16"/>
      <c r="C108" s="54">
        <f t="shared" si="58"/>
        <v>16</v>
      </c>
      <c r="D108" s="39">
        <v>9.3638078709990191E-2</v>
      </c>
      <c r="E108" s="39">
        <v>0.1089888237061245</v>
      </c>
      <c r="F108" s="39">
        <v>0.11376845490391996</v>
      </c>
      <c r="G108" s="16"/>
      <c r="H108" s="16"/>
      <c r="I108" s="16"/>
      <c r="J108" s="16"/>
      <c r="K108" s="16"/>
      <c r="L108" s="16"/>
      <c r="M108" s="16"/>
      <c r="N108" s="16"/>
      <c r="O108" s="16"/>
      <c r="P108" s="16"/>
    </row>
    <row r="109" spans="1:16" ht="15" customHeight="1" x14ac:dyDescent="0.25">
      <c r="A109" s="37"/>
      <c r="B109" s="16"/>
      <c r="C109" s="54">
        <f t="shared" si="58"/>
        <v>16.5</v>
      </c>
      <c r="D109" s="39">
        <v>7.6096550676699959E-2</v>
      </c>
      <c r="E109" s="39">
        <v>9.5621084646996479E-2</v>
      </c>
      <c r="F109" s="39">
        <v>0.10301516359604856</v>
      </c>
      <c r="G109" s="16"/>
      <c r="H109" s="16"/>
      <c r="I109" s="16"/>
      <c r="J109" s="16"/>
      <c r="K109" s="16"/>
      <c r="L109" s="16"/>
      <c r="M109" s="16"/>
      <c r="N109" s="16"/>
      <c r="O109" s="16"/>
      <c r="P109" s="16"/>
    </row>
    <row r="110" spans="1:16" ht="15" customHeight="1" x14ac:dyDescent="0.25">
      <c r="A110" s="37"/>
      <c r="B110" s="16"/>
      <c r="C110" s="54">
        <f t="shared" si="58"/>
        <v>17</v>
      </c>
      <c r="D110" s="39">
        <v>5.9628916899653994E-2</v>
      </c>
      <c r="E110" s="39">
        <v>8.3022060667708564E-2</v>
      </c>
      <c r="F110" s="39">
        <v>9.2856199455239707E-2</v>
      </c>
      <c r="G110" s="16"/>
      <c r="H110" s="16"/>
      <c r="I110" s="16"/>
      <c r="J110" s="16"/>
      <c r="K110" s="16"/>
      <c r="L110" s="16"/>
      <c r="M110" s="16"/>
      <c r="N110" s="16"/>
      <c r="O110" s="16"/>
      <c r="P110" s="16"/>
    </row>
    <row r="111" spans="1:16" ht="15" customHeight="1" x14ac:dyDescent="0.25">
      <c r="A111" s="37"/>
      <c r="B111" s="16"/>
      <c r="C111" s="54">
        <f t="shared" si="58"/>
        <v>17.5</v>
      </c>
      <c r="D111" s="39">
        <v>4.4125164472421652E-2</v>
      </c>
      <c r="E111" s="39">
        <v>7.111567283532394E-2</v>
      </c>
      <c r="F111" s="39">
        <v>8.3233985140167333E-2</v>
      </c>
      <c r="G111" s="16"/>
      <c r="H111" s="16"/>
      <c r="I111" s="16"/>
      <c r="J111" s="16"/>
      <c r="K111" s="16"/>
      <c r="L111" s="16"/>
      <c r="M111" s="16"/>
      <c r="N111" s="16"/>
      <c r="O111" s="16"/>
      <c r="P111" s="16"/>
    </row>
    <row r="112" spans="1:16" ht="15" customHeight="1" x14ac:dyDescent="0.25">
      <c r="A112" s="37"/>
      <c r="B112" s="16"/>
      <c r="C112" s="16"/>
      <c r="D112" s="39"/>
      <c r="E112" s="39"/>
      <c r="F112" s="39"/>
      <c r="G112" s="16"/>
      <c r="H112" s="16"/>
      <c r="I112" s="16"/>
      <c r="J112" s="16"/>
      <c r="K112" s="16"/>
      <c r="L112" s="16"/>
      <c r="M112" s="16"/>
      <c r="N112" s="16"/>
      <c r="O112" s="16"/>
      <c r="P112" s="16"/>
    </row>
    <row r="113" spans="1:16" ht="15" customHeight="1" x14ac:dyDescent="0.25">
      <c r="A113" s="37" t="s">
        <v>32</v>
      </c>
      <c r="B113" s="16"/>
      <c r="C113" s="16"/>
      <c r="D113" s="16"/>
      <c r="E113" s="16"/>
      <c r="F113" s="16"/>
      <c r="G113" s="16"/>
      <c r="H113" s="16"/>
      <c r="I113" s="16"/>
      <c r="J113" s="16"/>
      <c r="K113" s="16"/>
      <c r="L113" s="16"/>
      <c r="M113" s="16"/>
      <c r="N113" s="16"/>
      <c r="O113" s="16"/>
      <c r="P113" s="16"/>
    </row>
  </sheetData>
  <printOptions gridLines="1"/>
  <pageMargins left="0.70866141732283472" right="0.70866141732283472" top="0.74803149606299213" bottom="0.74803149606299213" header="0" footer="0"/>
  <pageSetup paperSize="9" scale="47" fitToHeight="0" orientation="landscape" r:id="rId1"/>
  <headerFooter>
    <oddHeader>&amp;R&amp;F  &amp;A</oddHeader>
    <oddFooter>&amp;L© 2016&amp;CPage &amp;P of</oddFooter>
  </headerFooter>
  <rowBreaks count="2" manualBreakCount="2">
    <brk id="54" max="15" man="1"/>
    <brk id="89" max="15" man="1"/>
  </rowBreaks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6FED7D2-D5F8-4748-86A0-CF3BAC615350}">
  <sheetPr>
    <tabColor theme="6"/>
  </sheetPr>
  <dimension ref="A1:Q75"/>
  <sheetViews>
    <sheetView zoomScaleNormal="100" workbookViewId="0">
      <pane xSplit="2" ySplit="3" topLeftCell="C4" activePane="bottomRight" state="frozen"/>
      <selection activeCell="I19" sqref="I19"/>
      <selection pane="topRight" activeCell="I19" sqref="I19"/>
      <selection pane="bottomLeft" activeCell="I19" sqref="I19"/>
      <selection pane="bottomRight" activeCell="C4" sqref="C4"/>
    </sheetView>
  </sheetViews>
  <sheetFormatPr defaultColWidth="9" defaultRowHeight="15" x14ac:dyDescent="0.25"/>
  <cols>
    <col min="1" max="1" width="1.5703125" customWidth="1"/>
    <col min="2" max="2" width="50.5703125" customWidth="1"/>
    <col min="3" max="15" width="10.28515625" customWidth="1"/>
  </cols>
  <sheetData>
    <row r="1" spans="1:17" ht="45" customHeight="1" x14ac:dyDescent="0.45">
      <c r="A1" s="79" t="s">
        <v>231</v>
      </c>
      <c r="B1" s="85"/>
      <c r="C1" s="85"/>
      <c r="D1" s="85"/>
      <c r="E1" s="79"/>
      <c r="F1" s="79"/>
      <c r="G1" s="79"/>
      <c r="H1" s="79"/>
      <c r="I1" s="79"/>
      <c r="J1" s="79"/>
      <c r="K1" s="79"/>
      <c r="L1" s="79"/>
      <c r="M1" s="79"/>
      <c r="N1" s="79"/>
      <c r="O1" s="79"/>
    </row>
    <row r="2" spans="1:17" ht="15" customHeight="1" x14ac:dyDescent="0.3">
      <c r="A2" s="80"/>
      <c r="B2" s="80"/>
      <c r="C2" s="1"/>
      <c r="D2" s="47" t="s">
        <v>155</v>
      </c>
      <c r="E2" s="47" t="s">
        <v>155</v>
      </c>
      <c r="F2" s="47" t="s">
        <v>155</v>
      </c>
      <c r="G2" s="47" t="s">
        <v>154</v>
      </c>
      <c r="H2" s="47" t="s">
        <v>154</v>
      </c>
      <c r="I2" s="47" t="s">
        <v>154</v>
      </c>
      <c r="J2" s="47" t="s">
        <v>154</v>
      </c>
      <c r="K2" s="47" t="s">
        <v>154</v>
      </c>
      <c r="L2" s="47" t="s">
        <v>154</v>
      </c>
      <c r="M2" s="47" t="s">
        <v>154</v>
      </c>
      <c r="N2" s="47" t="s">
        <v>154</v>
      </c>
      <c r="O2" s="47" t="s">
        <v>154</v>
      </c>
    </row>
    <row r="3" spans="1:17" ht="15" customHeight="1" x14ac:dyDescent="0.3">
      <c r="A3" s="80"/>
      <c r="B3" s="80"/>
      <c r="C3" s="1"/>
      <c r="D3" s="97">
        <f t="shared" ref="D3" si="0">DATE(YEAR(E3)-1,MONTH(E3),DAY(E3))</f>
        <v>55518</v>
      </c>
      <c r="E3" s="97">
        <f>DATE(YEAR(F3)-1,MONTH(F3),DAY(F3))</f>
        <v>55884</v>
      </c>
      <c r="F3" s="97">
        <f>Info!N6</f>
        <v>56249</v>
      </c>
      <c r="G3" s="97">
        <f>DATE(YEAR(F3)+1,MONTH(F3),DAY(F3))</f>
        <v>56614</v>
      </c>
      <c r="H3" s="50">
        <f>DATE(YEAR(G3)+1,MONTH(G3),DAY(G3))</f>
        <v>56979</v>
      </c>
      <c r="I3" s="50">
        <f t="shared" ref="I3:O3" si="1">DATE(YEAR(H3)+1,MONTH(H3),DAY(H3))</f>
        <v>57345</v>
      </c>
      <c r="J3" s="50">
        <f t="shared" si="1"/>
        <v>57710</v>
      </c>
      <c r="K3" s="50">
        <f t="shared" si="1"/>
        <v>58075</v>
      </c>
      <c r="L3" s="50">
        <f t="shared" si="1"/>
        <v>58440</v>
      </c>
      <c r="M3" s="50">
        <f t="shared" si="1"/>
        <v>58806</v>
      </c>
      <c r="N3" s="50">
        <f t="shared" si="1"/>
        <v>59171</v>
      </c>
      <c r="O3" s="50">
        <f t="shared" si="1"/>
        <v>59536</v>
      </c>
    </row>
    <row r="4" spans="1:17" ht="15" customHeight="1" x14ac:dyDescent="0.25">
      <c r="A4" s="70" t="str">
        <f>"All numbers in "&amp;Info!$N$7&amp;LOWER(LEFT(Info!$N$8,1))&amp;" unless otherwise stated"</f>
        <v>All numbers in $m unless otherwise stated</v>
      </c>
    </row>
    <row r="5" spans="1:17" ht="15" customHeight="1" x14ac:dyDescent="0.25"/>
    <row r="6" spans="1:17" ht="15" customHeight="1" x14ac:dyDescent="0.25">
      <c r="A6" s="86" t="s">
        <v>222</v>
      </c>
      <c r="H6" s="86" t="s">
        <v>77</v>
      </c>
      <c r="N6" s="70" t="s">
        <v>188</v>
      </c>
      <c r="Q6" s="81"/>
    </row>
    <row r="7" spans="1:17" ht="15" customHeight="1" x14ac:dyDescent="0.25">
      <c r="A7" s="86"/>
      <c r="B7" t="s">
        <v>221</v>
      </c>
      <c r="F7" s="87">
        <v>2</v>
      </c>
      <c r="H7" t="s">
        <v>72</v>
      </c>
      <c r="J7">
        <f>F10</f>
        <v>0</v>
      </c>
      <c r="L7" t="s">
        <v>81</v>
      </c>
      <c r="N7" s="92">
        <v>5</v>
      </c>
      <c r="O7">
        <f>N7*F9</f>
        <v>0</v>
      </c>
    </row>
    <row r="8" spans="1:17" ht="15" customHeight="1" x14ac:dyDescent="0.25">
      <c r="A8" s="86"/>
      <c r="B8" t="s">
        <v>156</v>
      </c>
      <c r="F8" s="92">
        <v>6</v>
      </c>
      <c r="H8" t="s">
        <v>78</v>
      </c>
      <c r="J8">
        <f>F11*J7</f>
        <v>0</v>
      </c>
      <c r="L8" t="s">
        <v>64</v>
      </c>
      <c r="O8">
        <f>J9-O7</f>
        <v>0</v>
      </c>
    </row>
    <row r="9" spans="1:17" ht="15" customHeight="1" x14ac:dyDescent="0.25">
      <c r="A9" s="86"/>
      <c r="B9" t="s">
        <v>60</v>
      </c>
      <c r="F9" s="98"/>
      <c r="H9" t="s">
        <v>189</v>
      </c>
      <c r="J9">
        <f>SUM(J7:J8)</f>
        <v>0</v>
      </c>
      <c r="L9" t="s">
        <v>158</v>
      </c>
      <c r="O9">
        <f>SUM(O7:O8)</f>
        <v>0</v>
      </c>
    </row>
    <row r="10" spans="1:17" ht="15" customHeight="1" x14ac:dyDescent="0.25">
      <c r="A10" s="86"/>
      <c r="B10" t="s">
        <v>76</v>
      </c>
      <c r="F10" s="98"/>
    </row>
    <row r="11" spans="1:17" ht="15" customHeight="1" x14ac:dyDescent="0.25">
      <c r="A11" s="86"/>
      <c r="B11" s="70" t="s">
        <v>87</v>
      </c>
      <c r="F11" s="69">
        <v>0.03</v>
      </c>
    </row>
    <row r="12" spans="1:17" ht="15" customHeight="1" x14ac:dyDescent="0.25">
      <c r="A12" s="86"/>
      <c r="B12" s="70" t="s">
        <v>227</v>
      </c>
      <c r="F12" s="69">
        <v>0.06</v>
      </c>
    </row>
    <row r="13" spans="1:17" ht="15" customHeight="1" x14ac:dyDescent="0.25">
      <c r="A13" s="86"/>
      <c r="H13" s="81"/>
      <c r="I13" s="81"/>
    </row>
    <row r="14" spans="1:17" ht="15" customHeight="1" x14ac:dyDescent="0.25">
      <c r="A14" s="86"/>
      <c r="B14" t="s">
        <v>100</v>
      </c>
      <c r="F14" s="65">
        <v>0</v>
      </c>
      <c r="G14">
        <f>F14+1</f>
        <v>1</v>
      </c>
      <c r="H14">
        <f t="shared" ref="H14:O14" si="2">G14+1</f>
        <v>2</v>
      </c>
      <c r="I14">
        <f t="shared" si="2"/>
        <v>3</v>
      </c>
      <c r="J14">
        <f t="shared" si="2"/>
        <v>4</v>
      </c>
      <c r="K14">
        <f t="shared" si="2"/>
        <v>5</v>
      </c>
      <c r="L14">
        <f t="shared" si="2"/>
        <v>6</v>
      </c>
      <c r="M14">
        <f t="shared" si="2"/>
        <v>7</v>
      </c>
      <c r="N14">
        <f t="shared" si="2"/>
        <v>8</v>
      </c>
      <c r="O14">
        <f t="shared" si="2"/>
        <v>9</v>
      </c>
    </row>
    <row r="15" spans="1:17" ht="15" customHeight="1" x14ac:dyDescent="0.25">
      <c r="A15" s="86"/>
      <c r="H15" s="81"/>
      <c r="I15" s="81"/>
    </row>
    <row r="16" spans="1:17" ht="15" customHeight="1" x14ac:dyDescent="0.25">
      <c r="A16" s="93" t="s">
        <v>224</v>
      </c>
    </row>
    <row r="17" spans="1:15" ht="15" customHeight="1" x14ac:dyDescent="0.25">
      <c r="A17" s="93"/>
      <c r="B17" t="s">
        <v>61</v>
      </c>
      <c r="E17" s="68">
        <f>E29/D29-1</f>
        <v>2.9398543558392554E-2</v>
      </c>
      <c r="F17" s="68">
        <f>F29/E29-1</f>
        <v>4.1921397379912628E-2</v>
      </c>
      <c r="G17" s="69">
        <v>0.05</v>
      </c>
      <c r="H17" s="69">
        <v>0.04</v>
      </c>
      <c r="I17" s="69">
        <v>0.03</v>
      </c>
      <c r="J17" s="69">
        <v>0.03</v>
      </c>
      <c r="K17" s="69">
        <v>2.5000000000000001E-2</v>
      </c>
      <c r="L17" s="69">
        <v>2.5000000000000001E-2</v>
      </c>
      <c r="M17" s="69">
        <v>2.5000000000000001E-2</v>
      </c>
      <c r="N17" s="69">
        <v>2.5000000000000001E-2</v>
      </c>
      <c r="O17" s="69">
        <v>2.5000000000000001E-2</v>
      </c>
    </row>
    <row r="18" spans="1:15" ht="15" customHeight="1" x14ac:dyDescent="0.25">
      <c r="A18" s="93"/>
      <c r="B18" t="s">
        <v>31</v>
      </c>
      <c r="D18" s="68">
        <f>+D30/D29</f>
        <v>0.2104573534889097</v>
      </c>
      <c r="E18" s="68">
        <f>+E30/E29</f>
        <v>0.20456781035558322</v>
      </c>
      <c r="F18" s="68">
        <f>+F30/F29</f>
        <v>0.20704107292539817</v>
      </c>
      <c r="G18" s="69">
        <v>0.22500000000000001</v>
      </c>
      <c r="H18" s="69">
        <v>0.22500000000000001</v>
      </c>
      <c r="I18" s="69">
        <v>0.22500000000000001</v>
      </c>
      <c r="J18" s="69">
        <v>0.22500000000000001</v>
      </c>
      <c r="K18" s="69">
        <v>0.22500000000000001</v>
      </c>
      <c r="L18" s="69">
        <v>0.22500000000000001</v>
      </c>
      <c r="M18" s="69">
        <v>0.22500000000000001</v>
      </c>
      <c r="N18" s="69">
        <v>0.22500000000000001</v>
      </c>
      <c r="O18" s="69">
        <v>0.22500000000000001</v>
      </c>
    </row>
    <row r="19" spans="1:15" ht="15" customHeight="1" x14ac:dyDescent="0.25">
      <c r="A19" s="93"/>
      <c r="B19" t="s">
        <v>152</v>
      </c>
      <c r="E19" s="82">
        <f>+E35/E29</f>
        <v>9.5321272613849053E-2</v>
      </c>
      <c r="F19" s="82">
        <f>+F35/F29</f>
        <v>8.5857981080110141E-2</v>
      </c>
      <c r="G19" s="69">
        <v>0.1</v>
      </c>
      <c r="H19" s="69">
        <v>0.1</v>
      </c>
      <c r="I19" s="69">
        <v>0.1</v>
      </c>
      <c r="J19" s="69">
        <v>0.1</v>
      </c>
      <c r="K19" s="69">
        <v>0.1</v>
      </c>
      <c r="L19" s="69">
        <v>0.1</v>
      </c>
      <c r="M19" s="69">
        <v>0.1</v>
      </c>
      <c r="N19" s="69">
        <v>0.1</v>
      </c>
      <c r="O19" s="69">
        <v>0.1</v>
      </c>
    </row>
    <row r="20" spans="1:15" ht="15" customHeight="1" x14ac:dyDescent="0.25">
      <c r="A20" s="93"/>
      <c r="B20" t="s">
        <v>210</v>
      </c>
      <c r="E20" s="68">
        <f>+E32/E29</f>
        <v>3.7554585152838424E-2</v>
      </c>
      <c r="F20" s="68">
        <f>+F32/F29</f>
        <v>3.8558256496227995E-2</v>
      </c>
      <c r="G20" s="69">
        <v>3.5000000000000003E-2</v>
      </c>
      <c r="H20" s="69">
        <v>0.04</v>
      </c>
      <c r="I20" s="69">
        <v>0.04</v>
      </c>
      <c r="J20" s="69">
        <v>0.04</v>
      </c>
      <c r="K20" s="69">
        <v>0.04</v>
      </c>
      <c r="L20" s="69">
        <v>0.04</v>
      </c>
      <c r="M20" s="69">
        <v>0.04</v>
      </c>
      <c r="N20" s="69">
        <v>0.04</v>
      </c>
      <c r="O20" s="69">
        <v>0.04</v>
      </c>
    </row>
    <row r="21" spans="1:15" ht="15" customHeight="1" x14ac:dyDescent="0.25">
      <c r="A21" s="93"/>
      <c r="B21" t="s">
        <v>209</v>
      </c>
      <c r="E21" s="68">
        <f>+E31/E32</f>
        <v>0.93023255813953487</v>
      </c>
      <c r="F21" s="68">
        <f>+F31/F32</f>
        <v>0.95652173913043492</v>
      </c>
      <c r="G21" s="69">
        <v>0.96</v>
      </c>
      <c r="H21" s="69">
        <v>0.96</v>
      </c>
      <c r="I21" s="69">
        <v>0.96</v>
      </c>
      <c r="J21" s="69">
        <v>0.96</v>
      </c>
      <c r="K21" s="69">
        <v>0.96</v>
      </c>
      <c r="L21" s="69">
        <v>0.96</v>
      </c>
      <c r="M21" s="69">
        <v>0.96</v>
      </c>
      <c r="N21" s="69">
        <v>0.96</v>
      </c>
      <c r="O21" s="69">
        <v>0.96</v>
      </c>
    </row>
    <row r="22" spans="1:15" ht="15" customHeight="1" x14ac:dyDescent="0.25"/>
    <row r="23" spans="1:15" ht="15" customHeight="1" x14ac:dyDescent="0.25">
      <c r="A23" s="93" t="s">
        <v>204</v>
      </c>
    </row>
    <row r="24" spans="1:15" ht="15" customHeight="1" x14ac:dyDescent="0.25">
      <c r="A24" s="93"/>
      <c r="B24" t="s">
        <v>205</v>
      </c>
      <c r="E24" s="68"/>
      <c r="F24" s="68"/>
      <c r="G24" s="69">
        <v>0.03</v>
      </c>
      <c r="H24" s="69">
        <v>0.05</v>
      </c>
      <c r="I24" s="69">
        <v>7.4999999999999997E-2</v>
      </c>
      <c r="J24" s="69">
        <v>7.4999999999999997E-2</v>
      </c>
      <c r="K24" s="69">
        <v>7.4999999999999997E-2</v>
      </c>
      <c r="L24" s="69">
        <v>7.4999999999999997E-2</v>
      </c>
      <c r="M24" s="69">
        <v>7.4999999999999997E-2</v>
      </c>
      <c r="N24" s="69">
        <v>7.4999999999999997E-2</v>
      </c>
      <c r="O24" s="69">
        <v>7.4999999999999997E-2</v>
      </c>
    </row>
    <row r="25" spans="1:15" ht="15" customHeight="1" x14ac:dyDescent="0.25">
      <c r="A25" s="93"/>
      <c r="B25" t="s">
        <v>242</v>
      </c>
      <c r="E25" s="68"/>
      <c r="F25" s="68"/>
      <c r="G25" s="98"/>
      <c r="H25" s="98"/>
      <c r="I25" s="98"/>
      <c r="J25" s="98"/>
      <c r="K25" s="98"/>
      <c r="L25" s="98"/>
      <c r="M25" s="98"/>
      <c r="N25" s="98"/>
      <c r="O25" s="98"/>
    </row>
    <row r="26" spans="1:15" ht="15" customHeight="1" x14ac:dyDescent="0.25">
      <c r="A26" s="93"/>
      <c r="B26" t="s">
        <v>203</v>
      </c>
      <c r="E26" s="68"/>
      <c r="F26" s="68"/>
      <c r="G26" s="101"/>
      <c r="H26" s="101"/>
      <c r="I26" s="101"/>
      <c r="J26" s="101"/>
      <c r="K26" s="101"/>
      <c r="L26" s="101"/>
      <c r="M26" s="101"/>
      <c r="N26" s="101"/>
      <c r="O26" s="101"/>
    </row>
    <row r="27" spans="1:15" ht="15" customHeight="1" x14ac:dyDescent="0.25">
      <c r="A27" s="95"/>
    </row>
    <row r="28" spans="1:15" ht="15" customHeight="1" x14ac:dyDescent="0.25">
      <c r="A28" s="93" t="s">
        <v>225</v>
      </c>
    </row>
    <row r="29" spans="1:15" ht="15" customHeight="1" x14ac:dyDescent="0.25">
      <c r="A29" s="93"/>
      <c r="B29" t="s">
        <v>42</v>
      </c>
      <c r="D29" s="65">
        <v>111.23</v>
      </c>
      <c r="E29" s="65">
        <v>114.5</v>
      </c>
      <c r="F29" s="65">
        <v>119.3</v>
      </c>
      <c r="G29">
        <f>+(1+G17)*F29</f>
        <v>125.265</v>
      </c>
      <c r="H29">
        <f t="shared" ref="H29:O29" si="3">(1+H17)*G29</f>
        <v>130.2756</v>
      </c>
      <c r="I29">
        <f t="shared" si="3"/>
        <v>134.18386799999999</v>
      </c>
      <c r="J29">
        <f t="shared" si="3"/>
        <v>138.20938404</v>
      </c>
      <c r="K29">
        <f t="shared" si="3"/>
        <v>141.664618641</v>
      </c>
      <c r="L29">
        <f t="shared" si="3"/>
        <v>145.20623410702498</v>
      </c>
      <c r="M29">
        <f t="shared" si="3"/>
        <v>148.8363899597006</v>
      </c>
      <c r="N29">
        <f t="shared" si="3"/>
        <v>152.55729970869311</v>
      </c>
      <c r="O29">
        <f t="shared" si="3"/>
        <v>156.37123220141044</v>
      </c>
    </row>
    <row r="30" spans="1:15" ht="15" customHeight="1" x14ac:dyDescent="0.25">
      <c r="A30" s="93"/>
      <c r="B30" t="s">
        <v>24</v>
      </c>
      <c r="D30" s="65">
        <v>23.409171428571426</v>
      </c>
      <c r="E30" s="65">
        <v>23.423014285714277</v>
      </c>
      <c r="F30" s="65">
        <v>24.7</v>
      </c>
      <c r="G30">
        <f t="shared" ref="G30:O30" si="4">+G18*G29</f>
        <v>28.184625</v>
      </c>
      <c r="H30">
        <f t="shared" si="4"/>
        <v>29.312010000000001</v>
      </c>
      <c r="I30">
        <f t="shared" si="4"/>
        <v>30.191370299999999</v>
      </c>
      <c r="J30">
        <f t="shared" si="4"/>
        <v>31.097111409</v>
      </c>
      <c r="K30">
        <f t="shared" si="4"/>
        <v>31.874539194225001</v>
      </c>
      <c r="L30">
        <f t="shared" si="4"/>
        <v>32.671402674080625</v>
      </c>
      <c r="M30">
        <f t="shared" si="4"/>
        <v>33.488187740932638</v>
      </c>
      <c r="N30">
        <f t="shared" si="4"/>
        <v>34.325392434455949</v>
      </c>
      <c r="O30">
        <f t="shared" si="4"/>
        <v>35.18352724531735</v>
      </c>
    </row>
    <row r="31" spans="1:15" ht="15" customHeight="1" x14ac:dyDescent="0.25">
      <c r="A31" s="93"/>
      <c r="B31" t="s">
        <v>63</v>
      </c>
      <c r="D31" s="65">
        <v>3.7</v>
      </c>
      <c r="E31" s="65">
        <v>4</v>
      </c>
      <c r="F31" s="65">
        <v>4.4000000000000004</v>
      </c>
      <c r="G31">
        <f t="shared" ref="G31:O31" si="5">+G21*G32</f>
        <v>4.2089040000000004</v>
      </c>
      <c r="H31">
        <f t="shared" si="5"/>
        <v>5.0025830400000002</v>
      </c>
      <c r="I31">
        <f t="shared" si="5"/>
        <v>5.1526605311999996</v>
      </c>
      <c r="J31">
        <f t="shared" si="5"/>
        <v>5.3072403471360001</v>
      </c>
      <c r="K31">
        <f t="shared" si="5"/>
        <v>5.4399213558144002</v>
      </c>
      <c r="L31">
        <f t="shared" si="5"/>
        <v>5.5759193897097585</v>
      </c>
      <c r="M31">
        <f t="shared" si="5"/>
        <v>5.7153173744525034</v>
      </c>
      <c r="N31">
        <f t="shared" si="5"/>
        <v>5.8582003088138155</v>
      </c>
      <c r="O31">
        <f t="shared" si="5"/>
        <v>6.0046553165341612</v>
      </c>
    </row>
    <row r="32" spans="1:15" ht="15" customHeight="1" x14ac:dyDescent="0.25">
      <c r="A32" s="93"/>
      <c r="B32" t="s">
        <v>211</v>
      </c>
      <c r="D32" s="65"/>
      <c r="E32" s="65">
        <v>4.3</v>
      </c>
      <c r="F32" s="65">
        <v>4.5999999999999996</v>
      </c>
      <c r="G32">
        <f>G20*G29</f>
        <v>4.3842750000000006</v>
      </c>
      <c r="H32">
        <f t="shared" ref="H32:O32" si="6">+H20*H29</f>
        <v>5.2110240000000001</v>
      </c>
      <c r="I32">
        <f t="shared" si="6"/>
        <v>5.3673547199999998</v>
      </c>
      <c r="J32">
        <f t="shared" si="6"/>
        <v>5.5283753616000002</v>
      </c>
      <c r="K32">
        <f t="shared" si="6"/>
        <v>5.6665847456400007</v>
      </c>
      <c r="L32">
        <f t="shared" si="6"/>
        <v>5.8082493642809991</v>
      </c>
      <c r="M32">
        <f t="shared" si="6"/>
        <v>5.9534555983880244</v>
      </c>
      <c r="N32">
        <f t="shared" si="6"/>
        <v>6.1022919883477247</v>
      </c>
      <c r="O32">
        <f t="shared" si="6"/>
        <v>6.2548492880564179</v>
      </c>
    </row>
    <row r="33" spans="1:15" ht="15" customHeight="1" x14ac:dyDescent="0.25">
      <c r="A33" s="93"/>
      <c r="B33" t="s">
        <v>28</v>
      </c>
      <c r="E33" s="65">
        <v>23.114285714285717</v>
      </c>
      <c r="F33" s="65">
        <v>24.485714285714284</v>
      </c>
      <c r="G33" s="106"/>
      <c r="H33" s="106"/>
      <c r="I33" s="106"/>
      <c r="J33" s="106"/>
      <c r="K33" s="106"/>
      <c r="L33" s="106"/>
      <c r="M33" s="106"/>
      <c r="N33" s="106"/>
      <c r="O33" s="106"/>
    </row>
    <row r="34" spans="1:15" ht="15" customHeight="1" x14ac:dyDescent="0.25">
      <c r="A34" s="93"/>
      <c r="B34" t="s">
        <v>29</v>
      </c>
      <c r="E34" s="65">
        <v>-12.200000000000001</v>
      </c>
      <c r="F34" s="65">
        <v>-14.242857142857144</v>
      </c>
      <c r="G34" s="106"/>
      <c r="H34" s="106"/>
      <c r="I34" s="106"/>
      <c r="J34" s="106"/>
      <c r="K34" s="106"/>
      <c r="L34" s="106"/>
      <c r="M34" s="106"/>
      <c r="N34" s="106"/>
      <c r="O34" s="106"/>
    </row>
    <row r="35" spans="1:15" ht="15" customHeight="1" x14ac:dyDescent="0.25">
      <c r="A35" s="93"/>
      <c r="B35" t="s">
        <v>159</v>
      </c>
      <c r="E35">
        <f>SUM(E33:E34)</f>
        <v>10.914285714285716</v>
      </c>
      <c r="F35">
        <f>SUM(F33:F34)</f>
        <v>10.24285714285714</v>
      </c>
      <c r="G35">
        <f t="shared" ref="G35:O35" si="7">+G19*G29</f>
        <v>12.5265</v>
      </c>
      <c r="H35">
        <f t="shared" si="7"/>
        <v>13.027560000000001</v>
      </c>
      <c r="I35">
        <f t="shared" si="7"/>
        <v>13.4183868</v>
      </c>
      <c r="J35">
        <f t="shared" si="7"/>
        <v>13.820938404000001</v>
      </c>
      <c r="K35">
        <f t="shared" si="7"/>
        <v>14.1664618641</v>
      </c>
      <c r="L35">
        <f t="shared" si="7"/>
        <v>14.520623410702498</v>
      </c>
      <c r="M35">
        <f t="shared" si="7"/>
        <v>14.88363899597006</v>
      </c>
      <c r="N35">
        <f t="shared" si="7"/>
        <v>15.255729970869311</v>
      </c>
      <c r="O35">
        <f t="shared" si="7"/>
        <v>15.637123220141044</v>
      </c>
    </row>
    <row r="36" spans="1:15" ht="15" customHeight="1" x14ac:dyDescent="0.25">
      <c r="A36" s="93"/>
    </row>
    <row r="37" spans="1:15" ht="15" customHeight="1" x14ac:dyDescent="0.25">
      <c r="A37" s="93" t="s">
        <v>226</v>
      </c>
    </row>
    <row r="38" spans="1:15" ht="15" customHeight="1" x14ac:dyDescent="0.25">
      <c r="A38" s="93"/>
      <c r="B38" t="s">
        <v>42</v>
      </c>
      <c r="G38" s="98"/>
      <c r="H38" s="98"/>
      <c r="I38" s="98"/>
      <c r="J38" s="98"/>
      <c r="K38" s="98"/>
      <c r="L38" s="98"/>
      <c r="M38" s="98"/>
      <c r="N38" s="98"/>
      <c r="O38" s="98"/>
    </row>
    <row r="39" spans="1:15" ht="15" customHeight="1" x14ac:dyDescent="0.25">
      <c r="A39" s="86"/>
      <c r="B39" t="s">
        <v>24</v>
      </c>
      <c r="G39">
        <f t="shared" ref="G39:O39" si="8">G30*G$25</f>
        <v>0</v>
      </c>
      <c r="H39">
        <f t="shared" si="8"/>
        <v>0</v>
      </c>
      <c r="I39">
        <f t="shared" si="8"/>
        <v>0</v>
      </c>
      <c r="J39">
        <f t="shared" si="8"/>
        <v>0</v>
      </c>
      <c r="K39">
        <f t="shared" si="8"/>
        <v>0</v>
      </c>
      <c r="L39">
        <f t="shared" si="8"/>
        <v>0</v>
      </c>
      <c r="M39">
        <f t="shared" si="8"/>
        <v>0</v>
      </c>
      <c r="N39">
        <f t="shared" si="8"/>
        <v>0</v>
      </c>
      <c r="O39">
        <f t="shared" si="8"/>
        <v>0</v>
      </c>
    </row>
    <row r="40" spans="1:15" ht="15" customHeight="1" x14ac:dyDescent="0.25">
      <c r="A40" s="86"/>
      <c r="B40" t="s">
        <v>74</v>
      </c>
      <c r="G40" s="98"/>
      <c r="H40" s="98"/>
      <c r="I40" s="98"/>
      <c r="J40" s="98"/>
      <c r="K40" s="98"/>
      <c r="L40" s="98"/>
      <c r="M40" s="98"/>
      <c r="N40" s="98"/>
      <c r="O40" s="98"/>
    </row>
    <row r="41" spans="1:15" ht="15" customHeight="1" x14ac:dyDescent="0.25">
      <c r="A41" s="86"/>
      <c r="B41" t="s">
        <v>90</v>
      </c>
      <c r="G41">
        <f>SUM(G39:G40)</f>
        <v>0</v>
      </c>
      <c r="H41">
        <f t="shared" ref="H41:O41" si="9">SUM(H39:H40)</f>
        <v>0</v>
      </c>
      <c r="I41">
        <f t="shared" si="9"/>
        <v>0</v>
      </c>
      <c r="J41">
        <f t="shared" si="9"/>
        <v>0</v>
      </c>
      <c r="K41">
        <f t="shared" si="9"/>
        <v>0</v>
      </c>
      <c r="L41">
        <f t="shared" si="9"/>
        <v>0</v>
      </c>
      <c r="M41">
        <f t="shared" si="9"/>
        <v>0</v>
      </c>
      <c r="N41">
        <f t="shared" si="9"/>
        <v>0</v>
      </c>
      <c r="O41">
        <f t="shared" si="9"/>
        <v>0</v>
      </c>
    </row>
    <row r="42" spans="1:15" ht="15" customHeight="1" x14ac:dyDescent="0.25">
      <c r="A42" s="86"/>
      <c r="B42" t="s">
        <v>63</v>
      </c>
      <c r="G42">
        <f>-G31*G25</f>
        <v>0</v>
      </c>
      <c r="H42">
        <f t="shared" ref="H42:O42" si="10">-H31*H25</f>
        <v>0</v>
      </c>
      <c r="I42">
        <f t="shared" si="10"/>
        <v>0</v>
      </c>
      <c r="J42">
        <f t="shared" si="10"/>
        <v>0</v>
      </c>
      <c r="K42">
        <f t="shared" si="10"/>
        <v>0</v>
      </c>
      <c r="L42">
        <f t="shared" si="10"/>
        <v>0</v>
      </c>
      <c r="M42">
        <f t="shared" si="10"/>
        <v>0</v>
      </c>
      <c r="N42">
        <f t="shared" si="10"/>
        <v>0</v>
      </c>
      <c r="O42">
        <f t="shared" si="10"/>
        <v>0</v>
      </c>
    </row>
    <row r="43" spans="1:15" ht="15" customHeight="1" x14ac:dyDescent="0.25">
      <c r="A43" s="86"/>
      <c r="B43" t="s">
        <v>22</v>
      </c>
      <c r="G43">
        <f>G41+G42</f>
        <v>0</v>
      </c>
      <c r="H43">
        <f t="shared" ref="H43:O43" si="11">H41+H42</f>
        <v>0</v>
      </c>
      <c r="I43">
        <f t="shared" si="11"/>
        <v>0</v>
      </c>
      <c r="J43">
        <f t="shared" si="11"/>
        <v>0</v>
      </c>
      <c r="K43">
        <f t="shared" si="11"/>
        <v>0</v>
      </c>
      <c r="L43">
        <f t="shared" si="11"/>
        <v>0</v>
      </c>
      <c r="M43">
        <f t="shared" si="11"/>
        <v>0</v>
      </c>
      <c r="N43">
        <f t="shared" si="11"/>
        <v>0</v>
      </c>
      <c r="O43">
        <f t="shared" si="11"/>
        <v>0</v>
      </c>
    </row>
    <row r="44" spans="1:15" ht="15" customHeight="1" x14ac:dyDescent="0.25">
      <c r="A44" s="86"/>
      <c r="B44" t="s">
        <v>211</v>
      </c>
      <c r="G44">
        <f t="shared" ref="G44:O44" si="12">G32*G25</f>
        <v>0</v>
      </c>
      <c r="H44">
        <f t="shared" si="12"/>
        <v>0</v>
      </c>
      <c r="I44">
        <f t="shared" si="12"/>
        <v>0</v>
      </c>
      <c r="J44">
        <f t="shared" si="12"/>
        <v>0</v>
      </c>
      <c r="K44">
        <f t="shared" si="12"/>
        <v>0</v>
      </c>
      <c r="L44">
        <f t="shared" si="12"/>
        <v>0</v>
      </c>
      <c r="M44">
        <f t="shared" si="12"/>
        <v>0</v>
      </c>
      <c r="N44">
        <f t="shared" si="12"/>
        <v>0</v>
      </c>
      <c r="O44">
        <f t="shared" si="12"/>
        <v>0</v>
      </c>
    </row>
    <row r="45" spans="1:15" ht="15" customHeight="1" x14ac:dyDescent="0.25">
      <c r="A45" s="86"/>
      <c r="B45" t="s">
        <v>160</v>
      </c>
      <c r="G45">
        <f t="shared" ref="G45:O45" si="13">(F35-G35)*G25</f>
        <v>0</v>
      </c>
      <c r="H45">
        <f t="shared" si="13"/>
        <v>0</v>
      </c>
      <c r="I45">
        <f t="shared" si="13"/>
        <v>0</v>
      </c>
      <c r="J45">
        <f t="shared" si="13"/>
        <v>0</v>
      </c>
      <c r="K45">
        <f t="shared" si="13"/>
        <v>0</v>
      </c>
      <c r="L45">
        <f t="shared" si="13"/>
        <v>0</v>
      </c>
      <c r="M45">
        <f t="shared" si="13"/>
        <v>0</v>
      </c>
      <c r="N45">
        <f t="shared" si="13"/>
        <v>0</v>
      </c>
      <c r="O45">
        <f t="shared" si="13"/>
        <v>0</v>
      </c>
    </row>
    <row r="46" spans="1:15" ht="15" customHeight="1" x14ac:dyDescent="0.25">
      <c r="A46" s="86"/>
    </row>
    <row r="47" spans="1:15" ht="15" customHeight="1" x14ac:dyDescent="0.25">
      <c r="A47" s="37" t="s">
        <v>251</v>
      </c>
      <c r="B47" s="16"/>
      <c r="C47" s="16"/>
      <c r="D47" s="16"/>
      <c r="E47" s="16"/>
      <c r="F47" s="16"/>
      <c r="G47" s="16"/>
      <c r="H47" s="16"/>
      <c r="I47" s="16"/>
      <c r="J47" s="16"/>
      <c r="K47" s="16"/>
      <c r="L47" s="16"/>
      <c r="M47" s="16"/>
      <c r="N47" s="16"/>
      <c r="O47" s="16"/>
    </row>
    <row r="48" spans="1:15" ht="15" customHeight="1" x14ac:dyDescent="0.25">
      <c r="A48" s="37"/>
      <c r="B48" s="70" t="s">
        <v>252</v>
      </c>
      <c r="C48" s="71"/>
      <c r="D48" s="71"/>
      <c r="E48" s="16"/>
      <c r="F48" s="16"/>
      <c r="G48" s="16"/>
      <c r="H48" s="16"/>
      <c r="I48" s="16"/>
      <c r="J48" s="16"/>
      <c r="K48" s="16"/>
      <c r="L48" s="16"/>
      <c r="M48" s="16"/>
      <c r="N48" s="16"/>
      <c r="O48" s="16"/>
    </row>
    <row r="49" spans="1:15" ht="15" customHeight="1" x14ac:dyDescent="0.25">
      <c r="A49" s="37"/>
      <c r="B49" s="71"/>
      <c r="C49" s="71"/>
      <c r="D49" s="90" t="s">
        <v>249</v>
      </c>
      <c r="E49" s="91"/>
      <c r="F49" s="91"/>
      <c r="G49" s="16"/>
      <c r="H49" s="16"/>
      <c r="I49" s="16"/>
      <c r="J49" s="16"/>
      <c r="K49" s="16"/>
      <c r="L49" s="16"/>
      <c r="M49" s="16"/>
      <c r="N49" s="16"/>
      <c r="O49" s="16"/>
    </row>
    <row r="50" spans="1:15" ht="15" customHeight="1" x14ac:dyDescent="0.25">
      <c r="A50" s="37"/>
      <c r="B50" s="16"/>
      <c r="C50" s="78">
        <f>'Add-on case'!F95</f>
        <v>0</v>
      </c>
      <c r="D50" s="55">
        <v>1</v>
      </c>
      <c r="E50" s="55">
        <f>D50+1</f>
        <v>2</v>
      </c>
      <c r="F50" s="55">
        <f>E50+1</f>
        <v>3</v>
      </c>
      <c r="G50" s="16"/>
      <c r="H50" s="16"/>
      <c r="I50" s="16"/>
      <c r="J50" s="16"/>
      <c r="K50" s="16"/>
      <c r="L50" s="16"/>
      <c r="M50" s="16"/>
      <c r="N50" s="16"/>
      <c r="O50" s="16"/>
    </row>
    <row r="51" spans="1:15" ht="15" customHeight="1" x14ac:dyDescent="0.25">
      <c r="A51" s="37"/>
      <c r="B51" s="16"/>
      <c r="C51" s="54">
        <v>6</v>
      </c>
      <c r="D51" s="104"/>
      <c r="E51" s="104"/>
      <c r="F51" s="104"/>
      <c r="G51" s="16"/>
      <c r="H51" s="16"/>
      <c r="I51" s="16"/>
      <c r="J51" s="16"/>
      <c r="K51" s="16"/>
      <c r="L51" s="16"/>
      <c r="M51" s="16"/>
      <c r="N51" s="16"/>
      <c r="O51" s="16"/>
    </row>
    <row r="52" spans="1:15" ht="15" customHeight="1" x14ac:dyDescent="0.25">
      <c r="A52" s="37"/>
      <c r="B52" s="16"/>
      <c r="C52" s="54">
        <f t="shared" ref="C52:C68" si="14">C51+0.5</f>
        <v>6.5</v>
      </c>
      <c r="D52" s="104"/>
      <c r="E52" s="104"/>
      <c r="F52" s="104"/>
      <c r="G52" s="16"/>
      <c r="H52" s="16"/>
      <c r="I52" s="16"/>
      <c r="J52" s="16"/>
      <c r="K52" s="16"/>
      <c r="L52" s="16"/>
      <c r="M52" s="16"/>
      <c r="N52" s="16"/>
      <c r="O52" s="16"/>
    </row>
    <row r="53" spans="1:15" ht="15" customHeight="1" x14ac:dyDescent="0.25">
      <c r="A53" s="37"/>
      <c r="B53" s="16"/>
      <c r="C53" s="54">
        <f t="shared" si="14"/>
        <v>7</v>
      </c>
      <c r="D53" s="104"/>
      <c r="E53" s="104"/>
      <c r="F53" s="104"/>
      <c r="G53" s="16"/>
      <c r="H53" s="16"/>
      <c r="I53" s="16"/>
      <c r="J53" s="16"/>
      <c r="K53" s="16"/>
      <c r="L53" s="16"/>
      <c r="M53" s="16"/>
      <c r="N53" s="16"/>
      <c r="O53" s="16"/>
    </row>
    <row r="54" spans="1:15" ht="15" customHeight="1" x14ac:dyDescent="0.25">
      <c r="A54" s="37"/>
      <c r="B54" s="16"/>
      <c r="C54" s="54">
        <f t="shared" si="14"/>
        <v>7.5</v>
      </c>
      <c r="D54" s="104"/>
      <c r="E54" s="104"/>
      <c r="F54" s="104"/>
      <c r="G54" s="16"/>
      <c r="H54" s="16"/>
      <c r="I54" s="16"/>
      <c r="J54" s="16"/>
      <c r="K54" s="16"/>
      <c r="L54" s="16"/>
      <c r="M54" s="16"/>
      <c r="N54" s="16"/>
      <c r="O54" s="16"/>
    </row>
    <row r="55" spans="1:15" ht="15" customHeight="1" x14ac:dyDescent="0.25">
      <c r="A55" s="37"/>
      <c r="B55" s="16"/>
      <c r="C55" s="54">
        <f t="shared" si="14"/>
        <v>8</v>
      </c>
      <c r="D55" s="104"/>
      <c r="E55" s="104"/>
      <c r="F55" s="104"/>
      <c r="G55" s="16"/>
      <c r="H55" s="16"/>
      <c r="I55" s="16"/>
      <c r="J55" s="16"/>
      <c r="K55" s="16"/>
      <c r="L55" s="16"/>
      <c r="M55" s="16"/>
      <c r="N55" s="16"/>
      <c r="O55" s="16"/>
    </row>
    <row r="56" spans="1:15" ht="15" customHeight="1" x14ac:dyDescent="0.25">
      <c r="A56" s="37"/>
      <c r="B56" s="16"/>
      <c r="C56" s="54">
        <f t="shared" si="14"/>
        <v>8.5</v>
      </c>
      <c r="D56" s="104"/>
      <c r="E56" s="104"/>
      <c r="F56" s="104"/>
      <c r="G56" s="16"/>
      <c r="H56" s="16"/>
      <c r="I56" s="16"/>
      <c r="J56" s="16"/>
      <c r="K56" s="16"/>
      <c r="L56" s="16"/>
      <c r="M56" s="16"/>
      <c r="N56" s="16"/>
      <c r="O56" s="16"/>
    </row>
    <row r="57" spans="1:15" ht="15" customHeight="1" x14ac:dyDescent="0.25">
      <c r="A57" s="37"/>
      <c r="B57" s="70" t="s">
        <v>250</v>
      </c>
      <c r="C57" s="54">
        <f t="shared" si="14"/>
        <v>9</v>
      </c>
      <c r="D57" s="104"/>
      <c r="E57" s="104"/>
      <c r="F57" s="104"/>
      <c r="G57" s="16"/>
      <c r="H57" s="73"/>
      <c r="I57" s="16"/>
      <c r="J57" s="16"/>
      <c r="K57" s="16"/>
      <c r="L57" s="16"/>
      <c r="M57" s="16"/>
      <c r="N57" s="16"/>
      <c r="O57" s="16"/>
    </row>
    <row r="58" spans="1:15" ht="15" customHeight="1" x14ac:dyDescent="0.25">
      <c r="A58" s="37"/>
      <c r="B58" s="16"/>
      <c r="C58" s="54">
        <f t="shared" si="14"/>
        <v>9.5</v>
      </c>
      <c r="D58" s="104"/>
      <c r="E58" s="104"/>
      <c r="F58" s="104"/>
      <c r="G58" s="16"/>
      <c r="H58" s="73"/>
      <c r="I58" s="16"/>
      <c r="J58" s="16"/>
      <c r="K58" s="16"/>
      <c r="L58" s="16"/>
      <c r="M58" s="16"/>
      <c r="N58" s="16"/>
      <c r="O58" s="16"/>
    </row>
    <row r="59" spans="1:15" ht="15" customHeight="1" x14ac:dyDescent="0.25">
      <c r="A59" s="37"/>
      <c r="B59" s="16"/>
      <c r="C59" s="54">
        <f t="shared" si="14"/>
        <v>10</v>
      </c>
      <c r="D59" s="104"/>
      <c r="E59" s="104"/>
      <c r="F59" s="104"/>
      <c r="G59" s="16"/>
      <c r="H59" s="73"/>
      <c r="I59" s="16"/>
      <c r="J59" s="16"/>
      <c r="K59" s="16"/>
      <c r="L59" s="16"/>
      <c r="M59" s="16"/>
      <c r="N59" s="16"/>
      <c r="O59" s="16"/>
    </row>
    <row r="60" spans="1:15" ht="15" customHeight="1" x14ac:dyDescent="0.25">
      <c r="A60" s="37"/>
      <c r="B60" s="16"/>
      <c r="C60" s="54">
        <f t="shared" si="14"/>
        <v>10.5</v>
      </c>
      <c r="D60" s="104"/>
      <c r="E60" s="104"/>
      <c r="F60" s="104"/>
      <c r="G60" s="16"/>
      <c r="H60" s="73"/>
      <c r="I60" s="16"/>
      <c r="J60" s="16"/>
      <c r="K60" s="16"/>
      <c r="L60" s="16"/>
      <c r="M60" s="16"/>
      <c r="N60" s="16"/>
      <c r="O60" s="16"/>
    </row>
    <row r="61" spans="1:15" ht="15" customHeight="1" x14ac:dyDescent="0.25">
      <c r="A61" s="37"/>
      <c r="B61" s="16"/>
      <c r="C61" s="54">
        <f t="shared" si="14"/>
        <v>11</v>
      </c>
      <c r="D61" s="104"/>
      <c r="E61" s="105"/>
      <c r="F61" s="104"/>
      <c r="G61" s="16"/>
      <c r="H61" s="73"/>
      <c r="I61" s="16"/>
      <c r="J61" s="16"/>
      <c r="K61" s="16"/>
      <c r="L61" s="16"/>
      <c r="M61" s="16"/>
      <c r="N61" s="16"/>
      <c r="O61" s="16"/>
    </row>
    <row r="62" spans="1:15" ht="15" customHeight="1" x14ac:dyDescent="0.25">
      <c r="A62" s="37"/>
      <c r="B62" s="16"/>
      <c r="C62" s="54">
        <f t="shared" si="14"/>
        <v>11.5</v>
      </c>
      <c r="D62" s="104"/>
      <c r="E62" s="104"/>
      <c r="F62" s="104"/>
      <c r="G62" s="16"/>
      <c r="H62" s="73"/>
      <c r="I62" s="16"/>
      <c r="J62" s="16"/>
      <c r="K62" s="16"/>
      <c r="L62" s="16"/>
      <c r="M62" s="16"/>
      <c r="N62" s="16"/>
      <c r="O62" s="16"/>
    </row>
    <row r="63" spans="1:15" ht="15" customHeight="1" x14ac:dyDescent="0.25">
      <c r="A63" s="37"/>
      <c r="B63" s="16"/>
      <c r="C63" s="54">
        <f t="shared" si="14"/>
        <v>12</v>
      </c>
      <c r="D63" s="104"/>
      <c r="E63" s="104"/>
      <c r="F63" s="104"/>
      <c r="G63" s="16"/>
      <c r="H63" s="73"/>
      <c r="I63" s="16"/>
      <c r="J63" s="16"/>
      <c r="K63" s="16"/>
      <c r="L63" s="16"/>
      <c r="M63" s="16"/>
      <c r="N63" s="16"/>
      <c r="O63" s="16"/>
    </row>
    <row r="64" spans="1:15" ht="15" customHeight="1" x14ac:dyDescent="0.25">
      <c r="A64" s="37"/>
      <c r="B64" s="16"/>
      <c r="C64" s="54">
        <f t="shared" si="14"/>
        <v>12.5</v>
      </c>
      <c r="D64" s="104"/>
      <c r="E64" s="104"/>
      <c r="F64" s="104"/>
      <c r="G64" s="16"/>
      <c r="H64" s="16"/>
      <c r="I64" s="16"/>
      <c r="J64" s="16"/>
      <c r="K64" s="16"/>
      <c r="L64" s="16"/>
      <c r="M64" s="16"/>
      <c r="N64" s="16"/>
      <c r="O64" s="16"/>
    </row>
    <row r="65" spans="1:15" ht="15" customHeight="1" x14ac:dyDescent="0.25">
      <c r="A65" s="37"/>
      <c r="B65" s="16"/>
      <c r="C65" s="54">
        <f t="shared" si="14"/>
        <v>13</v>
      </c>
      <c r="D65" s="104"/>
      <c r="E65" s="104"/>
      <c r="F65" s="104"/>
      <c r="G65" s="16"/>
      <c r="H65" s="16"/>
      <c r="I65" s="16"/>
      <c r="J65" s="16"/>
      <c r="K65" s="16"/>
      <c r="L65" s="16"/>
      <c r="M65" s="16"/>
      <c r="N65" s="16"/>
      <c r="O65" s="16"/>
    </row>
    <row r="66" spans="1:15" ht="15" customHeight="1" x14ac:dyDescent="0.25">
      <c r="A66" s="37"/>
      <c r="B66" s="16"/>
      <c r="C66" s="54">
        <f t="shared" si="14"/>
        <v>13.5</v>
      </c>
      <c r="D66" s="104"/>
      <c r="E66" s="104"/>
      <c r="F66" s="104"/>
      <c r="G66" s="16"/>
      <c r="H66" s="16"/>
      <c r="I66" s="16"/>
      <c r="J66" s="16"/>
      <c r="K66" s="16"/>
      <c r="L66" s="16"/>
      <c r="M66" s="16"/>
      <c r="N66" s="16"/>
      <c r="O66" s="16"/>
    </row>
    <row r="67" spans="1:15" ht="15" customHeight="1" x14ac:dyDescent="0.25">
      <c r="A67" s="37"/>
      <c r="B67" s="16"/>
      <c r="C67" s="54">
        <f t="shared" si="14"/>
        <v>14</v>
      </c>
      <c r="D67" s="104"/>
      <c r="E67" s="104"/>
      <c r="F67" s="104"/>
      <c r="G67" s="16"/>
      <c r="H67" s="16"/>
      <c r="I67" s="16"/>
      <c r="J67" s="16"/>
      <c r="K67" s="16"/>
      <c r="L67" s="16"/>
      <c r="M67" s="16"/>
      <c r="N67" s="16"/>
      <c r="O67" s="16"/>
    </row>
    <row r="68" spans="1:15" ht="15" customHeight="1" x14ac:dyDescent="0.25">
      <c r="A68" s="37"/>
      <c r="B68" s="16"/>
      <c r="C68" s="54">
        <f t="shared" si="14"/>
        <v>14.5</v>
      </c>
      <c r="D68" s="104"/>
      <c r="E68" s="104"/>
      <c r="F68" s="104"/>
      <c r="G68" s="16"/>
      <c r="H68" s="16"/>
      <c r="I68" s="16"/>
      <c r="J68" s="16"/>
      <c r="K68" s="16"/>
      <c r="L68" s="16"/>
      <c r="M68" s="16"/>
      <c r="N68" s="16"/>
      <c r="O68" s="16"/>
    </row>
    <row r="69" spans="1:15" ht="15.75" x14ac:dyDescent="0.25">
      <c r="A69" s="86"/>
    </row>
    <row r="70" spans="1:15" ht="15.75" x14ac:dyDescent="0.25">
      <c r="A70" s="86" t="s">
        <v>32</v>
      </c>
    </row>
    <row r="71" spans="1:15" ht="15.75" x14ac:dyDescent="0.25">
      <c r="A71" s="86"/>
    </row>
    <row r="72" spans="1:15" ht="15.75" x14ac:dyDescent="0.25">
      <c r="A72" s="86"/>
    </row>
    <row r="73" spans="1:15" ht="15.75" x14ac:dyDescent="0.25">
      <c r="A73" s="86"/>
    </row>
    <row r="74" spans="1:15" ht="15.75" x14ac:dyDescent="0.25">
      <c r="A74" s="86"/>
    </row>
    <row r="75" spans="1:15" ht="15.75" x14ac:dyDescent="0.25">
      <c r="A75" s="86"/>
    </row>
  </sheetData>
  <pageMargins left="0.7" right="0.7" top="0.75" bottom="0.75" header="0.3" footer="0.3"/>
  <pageSetup paperSize="9" orientation="portrait" verticalDpi="0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300-000000000000}">
  <sheetPr>
    <tabColor theme="6"/>
    <pageSetUpPr fitToPage="1"/>
  </sheetPr>
  <dimension ref="A1:Z120"/>
  <sheetViews>
    <sheetView zoomScaleNormal="100" workbookViewId="0">
      <pane xSplit="2" ySplit="3" topLeftCell="C4" activePane="bottomRight" state="frozen"/>
      <selection pane="topRight"/>
      <selection pane="bottomLeft"/>
      <selection pane="bottomRight" activeCell="C4" sqref="C4"/>
    </sheetView>
  </sheetViews>
  <sheetFormatPr defaultColWidth="12.5703125" defaultRowHeight="15" customHeight="1" x14ac:dyDescent="0.25"/>
  <cols>
    <col min="1" max="1" width="1.5703125" customWidth="1"/>
    <col min="2" max="2" width="50.5703125" customWidth="1"/>
    <col min="3" max="15" width="10.28515625" customWidth="1"/>
    <col min="16" max="26" width="8" customWidth="1"/>
  </cols>
  <sheetData>
    <row r="1" spans="1:26" ht="45" customHeight="1" x14ac:dyDescent="0.45">
      <c r="A1" s="85" t="str">
        <f>Info!N5&amp;" LBO Base Case &amp; Add-On Acquisition"</f>
        <v xml:space="preserve"> LBO Base Case &amp; Add-On Acquisition</v>
      </c>
      <c r="B1" s="41"/>
      <c r="C1" s="41"/>
      <c r="D1" s="41"/>
      <c r="E1" s="41"/>
      <c r="F1" s="41"/>
      <c r="G1" s="41"/>
      <c r="H1" s="41"/>
      <c r="I1" s="41"/>
      <c r="J1" s="41"/>
      <c r="K1" s="41"/>
      <c r="L1" s="41"/>
      <c r="M1" s="41"/>
      <c r="N1" s="41"/>
      <c r="O1" s="41"/>
      <c r="Q1" s="42"/>
      <c r="R1" s="42"/>
      <c r="S1" s="42"/>
      <c r="T1" s="42"/>
      <c r="U1" s="42"/>
      <c r="V1" s="42"/>
      <c r="W1" s="42"/>
      <c r="X1" s="42"/>
      <c r="Y1" s="42"/>
      <c r="Z1" s="42"/>
    </row>
    <row r="2" spans="1:26" ht="15" customHeight="1" x14ac:dyDescent="0.3">
      <c r="A2" s="47"/>
      <c r="B2" s="47"/>
      <c r="C2" s="47"/>
      <c r="D2" s="47" t="s">
        <v>155</v>
      </c>
      <c r="E2" s="47" t="s">
        <v>155</v>
      </c>
      <c r="F2" s="47" t="s">
        <v>155</v>
      </c>
      <c r="G2" s="47" t="s">
        <v>154</v>
      </c>
      <c r="H2" s="47" t="s">
        <v>154</v>
      </c>
      <c r="I2" s="47" t="s">
        <v>154</v>
      </c>
      <c r="J2" s="47" t="s">
        <v>154</v>
      </c>
      <c r="K2" s="47" t="s">
        <v>154</v>
      </c>
      <c r="L2" s="47" t="s">
        <v>154</v>
      </c>
      <c r="M2" s="47" t="s">
        <v>154</v>
      </c>
      <c r="N2" s="47" t="s">
        <v>154</v>
      </c>
      <c r="O2" s="47" t="s">
        <v>154</v>
      </c>
      <c r="Q2" s="43"/>
      <c r="R2" s="43"/>
      <c r="S2" s="43"/>
      <c r="T2" s="43"/>
      <c r="U2" s="43"/>
      <c r="V2" s="43"/>
      <c r="W2" s="43"/>
      <c r="X2" s="43"/>
      <c r="Y2" s="43"/>
      <c r="Z2" s="43"/>
    </row>
    <row r="3" spans="1:26" ht="15" customHeight="1" x14ac:dyDescent="0.25">
      <c r="A3" s="47"/>
      <c r="B3" s="47"/>
      <c r="C3" s="50"/>
      <c r="D3" s="97">
        <f>DATE(YEAR(E3)-1,MONTH(E3),DAY(E3))</f>
        <v>55518</v>
      </c>
      <c r="E3" s="97">
        <f>DATE(YEAR(F3)-1,MONTH(F3),DAY(F3))</f>
        <v>55884</v>
      </c>
      <c r="F3" s="97">
        <f>Info!N6</f>
        <v>56249</v>
      </c>
      <c r="G3" s="97">
        <f t="shared" ref="G3:O3" si="0">DATE(YEAR(F3)+1,MONTH(F3),DAY(F3))</f>
        <v>56614</v>
      </c>
      <c r="H3" s="50">
        <f t="shared" si="0"/>
        <v>56979</v>
      </c>
      <c r="I3" s="50">
        <f t="shared" si="0"/>
        <v>57345</v>
      </c>
      <c r="J3" s="50">
        <f t="shared" si="0"/>
        <v>57710</v>
      </c>
      <c r="K3" s="50">
        <f t="shared" si="0"/>
        <v>58075</v>
      </c>
      <c r="L3" s="50">
        <f t="shared" si="0"/>
        <v>58440</v>
      </c>
      <c r="M3" s="50">
        <f t="shared" si="0"/>
        <v>58806</v>
      </c>
      <c r="N3" s="50">
        <f t="shared" si="0"/>
        <v>59171</v>
      </c>
      <c r="O3" s="50">
        <f t="shared" si="0"/>
        <v>59536</v>
      </c>
    </row>
    <row r="4" spans="1:26" ht="15" customHeight="1" x14ac:dyDescent="0.25">
      <c r="A4" s="70" t="str">
        <f>"All numbers in "&amp;Info!$N$7&amp;LOWER(LEFT(Info!$N$8,1))&amp;" unless otherwise stated"</f>
        <v>All numbers in $m unless otherwise stated</v>
      </c>
      <c r="B4" s="16"/>
      <c r="D4" s="16"/>
      <c r="E4" s="16"/>
      <c r="F4" s="16"/>
      <c r="G4" s="16"/>
      <c r="H4" s="16"/>
      <c r="I4" s="16"/>
      <c r="J4" s="16"/>
      <c r="K4" s="16"/>
      <c r="L4" s="16"/>
      <c r="M4" s="16"/>
      <c r="N4" s="16"/>
      <c r="O4" s="16"/>
    </row>
    <row r="5" spans="1:26" ht="15" customHeight="1" x14ac:dyDescent="0.25">
      <c r="A5" s="70"/>
      <c r="B5" s="16"/>
      <c r="C5" s="16"/>
      <c r="D5" s="16"/>
      <c r="E5" s="16"/>
      <c r="F5" s="16"/>
      <c r="G5" s="16"/>
      <c r="H5" s="16"/>
      <c r="L5" s="16"/>
      <c r="M5" s="16"/>
      <c r="N5" s="16"/>
      <c r="O5" s="16"/>
    </row>
    <row r="6" spans="1:26" ht="15" customHeight="1" x14ac:dyDescent="0.25">
      <c r="A6" s="70"/>
      <c r="B6" t="s">
        <v>170</v>
      </c>
      <c r="C6" s="87">
        <v>1</v>
      </c>
      <c r="F6" s="16"/>
      <c r="G6" s="16"/>
      <c r="H6" s="16"/>
      <c r="L6" s="16"/>
      <c r="M6" s="16"/>
      <c r="N6" s="16"/>
      <c r="O6" s="16"/>
    </row>
    <row r="7" spans="1:26" ht="15" customHeight="1" x14ac:dyDescent="0.25">
      <c r="B7" s="16"/>
      <c r="C7" s="16"/>
      <c r="F7" s="16"/>
      <c r="G7" s="16"/>
      <c r="H7" s="16"/>
      <c r="L7" s="16"/>
      <c r="M7" s="16"/>
      <c r="N7" s="16"/>
      <c r="O7" s="16"/>
    </row>
    <row r="8" spans="1:26" ht="15" customHeight="1" x14ac:dyDescent="0.25">
      <c r="A8" s="37" t="s">
        <v>220</v>
      </c>
      <c r="B8" s="16"/>
      <c r="C8" s="16"/>
      <c r="D8" s="16"/>
      <c r="E8" s="16"/>
      <c r="F8" s="16"/>
      <c r="G8" s="16"/>
      <c r="H8" s="16"/>
      <c r="L8" s="16"/>
      <c r="M8" s="16"/>
      <c r="N8" s="16"/>
      <c r="O8" s="16"/>
    </row>
    <row r="9" spans="1:26" ht="15" customHeight="1" x14ac:dyDescent="0.25">
      <c r="A9" s="37"/>
      <c r="B9" s="71" t="s">
        <v>83</v>
      </c>
      <c r="C9" s="16"/>
      <c r="D9" s="16"/>
      <c r="E9" s="40"/>
      <c r="F9" s="88">
        <f>'Base Case'!F9</f>
        <v>11</v>
      </c>
      <c r="G9" s="16"/>
      <c r="H9" s="16"/>
      <c r="L9" s="16"/>
      <c r="M9" s="16"/>
      <c r="N9" s="16"/>
      <c r="O9" s="16"/>
    </row>
    <row r="10" spans="1:26" ht="15" customHeight="1" x14ac:dyDescent="0.25">
      <c r="A10" s="37"/>
      <c r="B10" s="71" t="s">
        <v>150</v>
      </c>
      <c r="F10" s="88">
        <f>'Base Case'!F10</f>
        <v>11</v>
      </c>
      <c r="G10" s="16"/>
      <c r="H10" s="16"/>
      <c r="L10" s="16"/>
      <c r="M10" s="16"/>
      <c r="N10" s="16"/>
      <c r="O10" s="16"/>
    </row>
    <row r="11" spans="1:26" ht="15" customHeight="1" x14ac:dyDescent="0.25">
      <c r="A11" s="37"/>
      <c r="B11" s="70" t="s">
        <v>85</v>
      </c>
      <c r="C11" s="16"/>
      <c r="D11" s="16"/>
      <c r="F11" s="96">
        <f>'Base Case'!F14</f>
        <v>4.9000000000000002E-2</v>
      </c>
      <c r="G11" s="16"/>
      <c r="H11" s="16"/>
      <c r="L11" s="16"/>
      <c r="M11" s="16"/>
      <c r="N11" s="16"/>
      <c r="O11" s="16"/>
    </row>
    <row r="12" spans="1:26" ht="15" customHeight="1" x14ac:dyDescent="0.25">
      <c r="A12" s="37"/>
      <c r="B12" s="70" t="s">
        <v>227</v>
      </c>
      <c r="C12" s="16"/>
      <c r="D12" s="16"/>
      <c r="F12" s="96">
        <f>'Add-on'!F12</f>
        <v>0.06</v>
      </c>
      <c r="G12" s="16"/>
      <c r="H12" s="16"/>
      <c r="L12" s="16"/>
      <c r="M12" s="16"/>
      <c r="N12" s="16"/>
      <c r="O12" s="16"/>
    </row>
    <row r="13" spans="1:26" ht="15" customHeight="1" x14ac:dyDescent="0.25">
      <c r="A13" s="37"/>
      <c r="B13" s="71" t="s">
        <v>86</v>
      </c>
      <c r="C13" s="16"/>
      <c r="D13" s="16"/>
      <c r="F13" s="68">
        <f>'Base Case'!F15</f>
        <v>7.0000000000000007E-2</v>
      </c>
      <c r="G13" s="16"/>
      <c r="H13" s="16"/>
      <c r="L13" s="16"/>
      <c r="M13" s="16"/>
      <c r="N13" s="16"/>
      <c r="O13" s="16"/>
      <c r="Q13" s="16"/>
      <c r="R13" s="16"/>
      <c r="S13" s="16"/>
      <c r="T13" s="16"/>
      <c r="U13" s="16"/>
      <c r="V13" s="16"/>
      <c r="W13" s="16"/>
      <c r="X13" s="16"/>
      <c r="Y13" s="16"/>
      <c r="Z13" s="16"/>
    </row>
    <row r="14" spans="1:26" ht="15" customHeight="1" x14ac:dyDescent="0.25">
      <c r="A14" s="37"/>
      <c r="B14" s="71" t="s">
        <v>62</v>
      </c>
      <c r="C14" s="16"/>
      <c r="D14" s="16"/>
      <c r="F14" s="68">
        <f>'Base Case'!F16</f>
        <v>3.0000000000000001E-3</v>
      </c>
      <c r="G14" s="16"/>
      <c r="H14" s="16"/>
      <c r="I14" s="16"/>
      <c r="J14" s="16"/>
      <c r="K14" s="16"/>
      <c r="L14" s="16"/>
      <c r="M14" s="16"/>
      <c r="N14" s="16"/>
      <c r="O14" s="16"/>
      <c r="Q14" s="16"/>
      <c r="R14" s="16"/>
      <c r="S14" s="16"/>
      <c r="T14" s="16"/>
      <c r="U14" s="16"/>
      <c r="V14" s="16"/>
      <c r="W14" s="16"/>
      <c r="X14" s="16"/>
      <c r="Y14" s="16"/>
      <c r="Z14" s="16"/>
    </row>
    <row r="15" spans="1:26" ht="15" customHeight="1" x14ac:dyDescent="0.25">
      <c r="A15" s="37"/>
      <c r="B15" s="70" t="s">
        <v>87</v>
      </c>
      <c r="C15" s="16"/>
      <c r="D15" s="16"/>
      <c r="F15" s="68">
        <f>'Base Case'!F17</f>
        <v>0.01</v>
      </c>
      <c r="G15" s="16"/>
      <c r="H15" s="16"/>
      <c r="I15" s="16"/>
      <c r="J15" s="16"/>
      <c r="K15" s="16"/>
      <c r="L15" s="16"/>
      <c r="M15" s="16"/>
      <c r="N15" s="16"/>
      <c r="O15" s="16"/>
    </row>
    <row r="16" spans="1:26" ht="15" customHeight="1" x14ac:dyDescent="0.25">
      <c r="A16" s="37"/>
      <c r="B16" s="70" t="s">
        <v>88</v>
      </c>
      <c r="C16" s="16"/>
      <c r="D16" s="16"/>
      <c r="F16">
        <f>'Base Case'!F18</f>
        <v>5</v>
      </c>
      <c r="G16" s="16"/>
      <c r="H16" s="16"/>
      <c r="I16" s="16"/>
      <c r="J16" s="16"/>
      <c r="K16" s="16"/>
      <c r="L16" s="16"/>
      <c r="M16" s="16"/>
      <c r="N16" s="16"/>
      <c r="O16" s="16"/>
    </row>
    <row r="17" spans="1:26" ht="15" customHeight="1" x14ac:dyDescent="0.25">
      <c r="A17" s="37"/>
      <c r="B17" s="70" t="s">
        <v>71</v>
      </c>
      <c r="C17" s="16"/>
      <c r="D17" s="16"/>
      <c r="E17" s="16"/>
      <c r="F17" s="39"/>
      <c r="G17" s="68">
        <f>'Base Case'!G29</f>
        <v>0.2</v>
      </c>
      <c r="H17" s="68">
        <f>'Base Case'!H29</f>
        <v>0.2</v>
      </c>
      <c r="I17" s="68">
        <f>'Base Case'!I29</f>
        <v>0.2</v>
      </c>
      <c r="J17" s="68">
        <f>'Base Case'!J29</f>
        <v>0.2</v>
      </c>
      <c r="K17" s="68">
        <f>'Base Case'!K29</f>
        <v>0.2</v>
      </c>
      <c r="L17" s="68">
        <f>'Base Case'!L29</f>
        <v>0.2</v>
      </c>
      <c r="M17" s="68">
        <f>'Base Case'!M29</f>
        <v>0.2</v>
      </c>
      <c r="N17" s="68">
        <f>'Base Case'!N29</f>
        <v>0.2</v>
      </c>
      <c r="O17" s="68">
        <f>'Base Case'!O29</f>
        <v>0.2</v>
      </c>
    </row>
    <row r="18" spans="1:26" ht="15" customHeight="1" x14ac:dyDescent="0.25">
      <c r="A18" s="37"/>
      <c r="B18" s="16"/>
      <c r="C18" s="16"/>
      <c r="D18" s="16"/>
      <c r="E18" s="16"/>
      <c r="F18" s="16"/>
      <c r="G18" s="16"/>
      <c r="H18" s="16"/>
      <c r="I18" s="16"/>
      <c r="J18" s="16"/>
      <c r="K18" s="16"/>
      <c r="L18" s="16"/>
      <c r="M18" s="16"/>
      <c r="N18" s="16"/>
      <c r="O18" s="16"/>
    </row>
    <row r="19" spans="1:26" ht="15" customHeight="1" x14ac:dyDescent="0.25">
      <c r="A19" s="37"/>
      <c r="B19" s="70" t="s">
        <v>100</v>
      </c>
      <c r="C19" s="71"/>
      <c r="D19" s="71"/>
      <c r="E19" s="71"/>
      <c r="F19" s="65">
        <v>0</v>
      </c>
      <c r="G19" s="71">
        <f t="shared" ref="G19:O19" si="1">F19+1</f>
        <v>1</v>
      </c>
      <c r="H19" s="71">
        <f t="shared" si="1"/>
        <v>2</v>
      </c>
      <c r="I19" s="71">
        <f t="shared" si="1"/>
        <v>3</v>
      </c>
      <c r="J19" s="71">
        <f t="shared" si="1"/>
        <v>4</v>
      </c>
      <c r="K19" s="71">
        <f t="shared" si="1"/>
        <v>5</v>
      </c>
      <c r="L19" s="71">
        <f t="shared" si="1"/>
        <v>6</v>
      </c>
      <c r="M19" s="71">
        <f t="shared" si="1"/>
        <v>7</v>
      </c>
      <c r="N19" s="71">
        <f t="shared" si="1"/>
        <v>8</v>
      </c>
      <c r="O19" s="71">
        <f t="shared" si="1"/>
        <v>9</v>
      </c>
    </row>
    <row r="20" spans="1:26" ht="15" customHeight="1" x14ac:dyDescent="0.25">
      <c r="A20" s="37"/>
      <c r="B20" s="16"/>
      <c r="C20" s="16"/>
      <c r="D20" s="16"/>
      <c r="E20" s="16"/>
      <c r="F20" s="16"/>
      <c r="G20" s="16"/>
      <c r="H20" s="16"/>
      <c r="I20" s="16"/>
      <c r="J20" s="16"/>
      <c r="K20" s="16"/>
      <c r="L20" s="16"/>
      <c r="M20" s="16"/>
      <c r="N20" s="16"/>
      <c r="O20" s="16"/>
    </row>
    <row r="21" spans="1:26" ht="15" customHeight="1" x14ac:dyDescent="0.25">
      <c r="A21" s="37" t="s">
        <v>20</v>
      </c>
      <c r="B21" s="16"/>
      <c r="C21" s="16"/>
      <c r="D21" s="16"/>
      <c r="E21" s="16"/>
      <c r="F21" s="16"/>
      <c r="G21" s="16"/>
      <c r="H21" s="16"/>
      <c r="I21" s="16"/>
      <c r="J21" s="16"/>
      <c r="K21" s="16"/>
      <c r="L21" s="16"/>
      <c r="M21" s="16"/>
      <c r="N21" s="16"/>
      <c r="O21" s="16"/>
    </row>
    <row r="22" spans="1:26" ht="15" customHeight="1" x14ac:dyDescent="0.25">
      <c r="A22" s="37"/>
      <c r="B22" s="70" t="s">
        <v>232</v>
      </c>
      <c r="C22" s="16"/>
      <c r="D22" s="16"/>
      <c r="E22" s="16"/>
      <c r="F22" s="2"/>
      <c r="G22">
        <f>'Base Case'!G34</f>
        <v>1616.0512500000002</v>
      </c>
      <c r="H22">
        <f>'Base Case'!H34</f>
        <v>1761.4958625000004</v>
      </c>
      <c r="I22">
        <f>'Base Case'!I34</f>
        <v>1902.4155315000005</v>
      </c>
      <c r="J22">
        <f>'Base Case'!J34</f>
        <v>2035.5846187050006</v>
      </c>
      <c r="K22">
        <f>'Base Case'!K34</f>
        <v>2157.7196958273007</v>
      </c>
      <c r="L22">
        <f>'Base Case'!L34</f>
        <v>2265.6056806186657</v>
      </c>
      <c r="M22">
        <f>'Base Case'!M34</f>
        <v>2356.2299078434125</v>
      </c>
      <c r="N22">
        <f>'Base Case'!N34</f>
        <v>2426.9168050787148</v>
      </c>
      <c r="O22">
        <f>'Base Case'!O34</f>
        <v>2475.455141180289</v>
      </c>
    </row>
    <row r="23" spans="1:26" ht="15" customHeight="1" x14ac:dyDescent="0.25">
      <c r="A23" s="37"/>
      <c r="B23" s="70" t="s">
        <v>161</v>
      </c>
      <c r="C23" s="16"/>
      <c r="D23" s="16"/>
      <c r="E23" s="16"/>
      <c r="F23" s="2"/>
      <c r="G23" s="98"/>
      <c r="H23" s="98"/>
      <c r="I23" s="98"/>
      <c r="J23" s="98"/>
      <c r="K23" s="98"/>
      <c r="L23" s="98"/>
      <c r="M23" s="98"/>
      <c r="N23" s="98"/>
      <c r="O23" s="98"/>
    </row>
    <row r="24" spans="1:26" ht="15" customHeight="1" x14ac:dyDescent="0.25">
      <c r="A24" s="37"/>
      <c r="B24" s="70" t="s">
        <v>162</v>
      </c>
      <c r="C24" s="16"/>
      <c r="D24" s="16"/>
      <c r="E24" s="16"/>
      <c r="F24" s="2"/>
      <c r="G24">
        <f t="shared" ref="G24:O24" si="2">SUM(G22:G23)</f>
        <v>1616.0512500000002</v>
      </c>
      <c r="H24">
        <f t="shared" si="2"/>
        <v>1761.4958625000004</v>
      </c>
      <c r="I24">
        <f t="shared" si="2"/>
        <v>1902.4155315000005</v>
      </c>
      <c r="J24">
        <f t="shared" si="2"/>
        <v>2035.5846187050006</v>
      </c>
      <c r="K24">
        <f t="shared" si="2"/>
        <v>2157.7196958273007</v>
      </c>
      <c r="L24">
        <f t="shared" si="2"/>
        <v>2265.6056806186657</v>
      </c>
      <c r="M24">
        <f t="shared" si="2"/>
        <v>2356.2299078434125</v>
      </c>
      <c r="N24">
        <f t="shared" si="2"/>
        <v>2426.9168050787148</v>
      </c>
      <c r="O24">
        <f t="shared" si="2"/>
        <v>2475.455141180289</v>
      </c>
    </row>
    <row r="25" spans="1:26" ht="15" customHeight="1" x14ac:dyDescent="0.25">
      <c r="A25" s="37"/>
      <c r="B25" s="70" t="s">
        <v>233</v>
      </c>
      <c r="C25" s="16"/>
      <c r="D25" s="16"/>
      <c r="E25" s="16"/>
      <c r="F25" s="2"/>
      <c r="G25">
        <f>'Base Case'!G37</f>
        <v>268.10290237499999</v>
      </c>
      <c r="H25">
        <f>'Base Case'!H37</f>
        <v>292.23216358875004</v>
      </c>
      <c r="I25">
        <f>'Base Case'!I37</f>
        <v>315.61073667585003</v>
      </c>
      <c r="J25">
        <f>'Base Case'!J37</f>
        <v>331.29139669423887</v>
      </c>
      <c r="K25">
        <f>'Base Case'!K37</f>
        <v>344.37206345403717</v>
      </c>
      <c r="L25">
        <f>'Base Case'!L37</f>
        <v>354.45400873279027</v>
      </c>
      <c r="M25">
        <f>'Base Case'!M37</f>
        <v>361.21004487239509</v>
      </c>
      <c r="N25">
        <f>'Base Case'!N37</f>
        <v>364.401558282569</v>
      </c>
      <c r="O25">
        <f>'Base Case'!O37</f>
        <v>371.68958944822032</v>
      </c>
    </row>
    <row r="26" spans="1:26" ht="15" customHeight="1" x14ac:dyDescent="0.25">
      <c r="A26" s="37"/>
      <c r="B26" s="71" t="s">
        <v>234</v>
      </c>
      <c r="C26" s="16"/>
      <c r="D26" s="16"/>
      <c r="E26" s="16"/>
      <c r="F26" s="16"/>
      <c r="G26">
        <f>'Base Case'!G38</f>
        <v>32.321025000000006</v>
      </c>
      <c r="H26">
        <f>'Base Case'!H38</f>
        <v>35.229917250000007</v>
      </c>
      <c r="I26">
        <f>'Base Case'!I38</f>
        <v>38.04831063000001</v>
      </c>
      <c r="J26">
        <f>'Base Case'!J38</f>
        <v>40.711692374100011</v>
      </c>
      <c r="K26">
        <f>'Base Case'!K38</f>
        <v>43.154393916546013</v>
      </c>
      <c r="L26">
        <f>'Base Case'!L38</f>
        <v>45.312113612373317</v>
      </c>
      <c r="M26">
        <f>'Base Case'!M38</f>
        <v>47.124598156868252</v>
      </c>
      <c r="N26">
        <f>'Base Case'!N38</f>
        <v>48.538336101574295</v>
      </c>
      <c r="O26">
        <f>'Base Case'!O38</f>
        <v>49.50910282360578</v>
      </c>
      <c r="Q26" s="16"/>
      <c r="R26" s="16"/>
      <c r="S26" s="16"/>
      <c r="T26" s="16"/>
      <c r="U26" s="16"/>
      <c r="V26" s="16"/>
      <c r="W26" s="16"/>
      <c r="X26" s="16"/>
      <c r="Y26" s="16"/>
      <c r="Z26" s="16"/>
    </row>
    <row r="27" spans="1:26" ht="15" customHeight="1" x14ac:dyDescent="0.25">
      <c r="A27" s="37"/>
      <c r="B27" s="71" t="s">
        <v>163</v>
      </c>
      <c r="C27" s="16"/>
      <c r="D27" s="16"/>
      <c r="E27" s="16"/>
      <c r="F27" s="16"/>
      <c r="G27" s="98"/>
      <c r="H27" s="98"/>
      <c r="I27" s="98"/>
      <c r="J27" s="98"/>
      <c r="K27" s="98"/>
      <c r="L27" s="98"/>
      <c r="M27" s="98"/>
      <c r="N27" s="98"/>
      <c r="O27" s="98"/>
      <c r="Q27" s="16"/>
      <c r="R27" s="16"/>
      <c r="S27" s="16"/>
      <c r="T27" s="16"/>
      <c r="U27" s="16"/>
      <c r="V27" s="16"/>
      <c r="W27" s="16"/>
      <c r="X27" s="16"/>
      <c r="Y27" s="16"/>
      <c r="Z27" s="16"/>
    </row>
    <row r="28" spans="1:26" ht="15" customHeight="1" x14ac:dyDescent="0.25">
      <c r="A28" s="37"/>
      <c r="B28" s="71" t="s">
        <v>164</v>
      </c>
      <c r="C28" s="16"/>
      <c r="D28" s="16"/>
      <c r="E28" s="16"/>
      <c r="F28" s="16"/>
      <c r="G28">
        <f t="shared" ref="G28:O28" si="3">SUM(G25:G27)</f>
        <v>300.42392737500001</v>
      </c>
      <c r="H28">
        <f t="shared" si="3"/>
        <v>327.46208083875007</v>
      </c>
      <c r="I28">
        <f t="shared" si="3"/>
        <v>353.65904730585004</v>
      </c>
      <c r="J28">
        <f t="shared" si="3"/>
        <v>372.00308906833891</v>
      </c>
      <c r="K28">
        <f t="shared" si="3"/>
        <v>387.52645737058322</v>
      </c>
      <c r="L28">
        <f t="shared" si="3"/>
        <v>399.76612234516358</v>
      </c>
      <c r="M28">
        <f t="shared" si="3"/>
        <v>408.33464302926336</v>
      </c>
      <c r="N28">
        <f t="shared" si="3"/>
        <v>412.93989438414332</v>
      </c>
      <c r="O28">
        <f t="shared" si="3"/>
        <v>421.19869227182608</v>
      </c>
      <c r="Q28" s="16"/>
      <c r="R28" s="16"/>
      <c r="S28" s="16"/>
      <c r="T28" s="16"/>
      <c r="U28" s="16"/>
      <c r="V28" s="16"/>
      <c r="W28" s="16"/>
      <c r="X28" s="16"/>
      <c r="Y28" s="16"/>
      <c r="Z28" s="16"/>
    </row>
    <row r="29" spans="1:26" ht="15" customHeight="1" x14ac:dyDescent="0.25">
      <c r="A29" s="37"/>
      <c r="B29" s="70" t="s">
        <v>25</v>
      </c>
      <c r="C29" s="16"/>
      <c r="D29" s="16"/>
      <c r="E29" s="16"/>
      <c r="F29" s="16"/>
      <c r="G29">
        <f t="shared" ref="G29:O29" si="4">-IF(CircSwitch=1,G52+G60+G67,0)</f>
        <v>0</v>
      </c>
      <c r="H29">
        <f t="shared" si="4"/>
        <v>0</v>
      </c>
      <c r="I29">
        <f t="shared" si="4"/>
        <v>0</v>
      </c>
      <c r="J29">
        <f t="shared" si="4"/>
        <v>0</v>
      </c>
      <c r="K29">
        <f t="shared" si="4"/>
        <v>0</v>
      </c>
      <c r="L29">
        <f t="shared" si="4"/>
        <v>0</v>
      </c>
      <c r="M29">
        <f t="shared" si="4"/>
        <v>0</v>
      </c>
      <c r="N29">
        <f t="shared" si="4"/>
        <v>0</v>
      </c>
      <c r="O29">
        <f t="shared" si="4"/>
        <v>0</v>
      </c>
    </row>
    <row r="30" spans="1:26" ht="15" customHeight="1" x14ac:dyDescent="0.25">
      <c r="A30" s="37"/>
      <c r="B30" s="70" t="s">
        <v>66</v>
      </c>
      <c r="C30" s="16"/>
      <c r="D30" s="16"/>
      <c r="E30" s="16"/>
      <c r="F30" s="16"/>
      <c r="G30">
        <f t="shared" ref="G30:O30" si="5">+IF(CircSwitch=1,G70,0)</f>
        <v>0</v>
      </c>
      <c r="H30">
        <f t="shared" si="5"/>
        <v>0</v>
      </c>
      <c r="I30">
        <f t="shared" si="5"/>
        <v>0</v>
      </c>
      <c r="J30">
        <f t="shared" si="5"/>
        <v>0</v>
      </c>
      <c r="K30">
        <f t="shared" si="5"/>
        <v>0</v>
      </c>
      <c r="L30">
        <f t="shared" si="5"/>
        <v>0</v>
      </c>
      <c r="M30">
        <f t="shared" si="5"/>
        <v>0</v>
      </c>
      <c r="N30">
        <f t="shared" si="5"/>
        <v>0</v>
      </c>
      <c r="O30">
        <f t="shared" si="5"/>
        <v>0</v>
      </c>
    </row>
    <row r="31" spans="1:26" ht="15" customHeight="1" x14ac:dyDescent="0.25">
      <c r="A31" s="37"/>
      <c r="B31" s="70" t="s">
        <v>26</v>
      </c>
      <c r="C31" s="16"/>
      <c r="D31" s="16"/>
      <c r="E31" s="16"/>
      <c r="F31" s="2"/>
      <c r="G31">
        <f t="shared" ref="G31:O31" si="6">SUM(G28:G30)</f>
        <v>300.42392737500001</v>
      </c>
      <c r="H31">
        <f t="shared" si="6"/>
        <v>327.46208083875007</v>
      </c>
      <c r="I31">
        <f t="shared" si="6"/>
        <v>353.65904730585004</v>
      </c>
      <c r="J31">
        <f t="shared" si="6"/>
        <v>372.00308906833891</v>
      </c>
      <c r="K31">
        <f t="shared" si="6"/>
        <v>387.52645737058322</v>
      </c>
      <c r="L31">
        <f t="shared" si="6"/>
        <v>399.76612234516358</v>
      </c>
      <c r="M31">
        <f t="shared" si="6"/>
        <v>408.33464302926336</v>
      </c>
      <c r="N31">
        <f t="shared" si="6"/>
        <v>412.93989438414332</v>
      </c>
      <c r="O31">
        <f t="shared" si="6"/>
        <v>421.19869227182608</v>
      </c>
    </row>
    <row r="32" spans="1:26" ht="15" customHeight="1" x14ac:dyDescent="0.25">
      <c r="A32" s="37"/>
      <c r="B32" s="70" t="s">
        <v>27</v>
      </c>
      <c r="C32" s="16"/>
      <c r="D32" s="16"/>
      <c r="E32" s="16"/>
      <c r="F32" s="2"/>
      <c r="G32">
        <f t="shared" ref="G32:O32" si="7">-G17*G31</f>
        <v>-60.084785475000004</v>
      </c>
      <c r="H32">
        <f t="shared" si="7"/>
        <v>-65.492416167750022</v>
      </c>
      <c r="I32">
        <f t="shared" si="7"/>
        <v>-70.731809461170016</v>
      </c>
      <c r="J32">
        <f t="shared" si="7"/>
        <v>-74.400617813667779</v>
      </c>
      <c r="K32">
        <f t="shared" si="7"/>
        <v>-77.505291474116646</v>
      </c>
      <c r="L32">
        <f t="shared" si="7"/>
        <v>-79.953224469032719</v>
      </c>
      <c r="M32">
        <f t="shared" si="7"/>
        <v>-81.666928605852675</v>
      </c>
      <c r="N32">
        <f t="shared" si="7"/>
        <v>-82.587978876828672</v>
      </c>
      <c r="O32">
        <f t="shared" si="7"/>
        <v>-84.239738454365224</v>
      </c>
    </row>
    <row r="33" spans="1:15" ht="15" customHeight="1" x14ac:dyDescent="0.25">
      <c r="A33" s="37"/>
      <c r="B33" s="70" t="s">
        <v>65</v>
      </c>
      <c r="C33" s="16"/>
      <c r="D33" s="16"/>
      <c r="E33" s="16"/>
      <c r="F33" s="2"/>
      <c r="G33">
        <f t="shared" ref="G33:O33" si="8">SUM(G31:G32)</f>
        <v>240.33914190000002</v>
      </c>
      <c r="H33">
        <f t="shared" si="8"/>
        <v>261.96966467100003</v>
      </c>
      <c r="I33">
        <f t="shared" si="8"/>
        <v>282.92723784468001</v>
      </c>
      <c r="J33">
        <f t="shared" si="8"/>
        <v>297.60247125467112</v>
      </c>
      <c r="K33">
        <f t="shared" si="8"/>
        <v>310.02116589646658</v>
      </c>
      <c r="L33">
        <f t="shared" si="8"/>
        <v>319.81289787613088</v>
      </c>
      <c r="M33">
        <f t="shared" si="8"/>
        <v>326.6677144234107</v>
      </c>
      <c r="N33">
        <f t="shared" si="8"/>
        <v>330.35191550731463</v>
      </c>
      <c r="O33">
        <f t="shared" si="8"/>
        <v>336.95895381746084</v>
      </c>
    </row>
    <row r="34" spans="1:15" ht="15" customHeight="1" x14ac:dyDescent="0.25">
      <c r="A34" s="37"/>
      <c r="B34" s="49"/>
      <c r="C34" s="16"/>
      <c r="D34" s="16"/>
      <c r="E34" s="16"/>
      <c r="F34" s="16"/>
    </row>
    <row r="35" spans="1:15" ht="15" customHeight="1" x14ac:dyDescent="0.25">
      <c r="A35" s="37" t="s">
        <v>92</v>
      </c>
      <c r="B35" s="49"/>
      <c r="C35" s="16"/>
      <c r="D35" s="16"/>
      <c r="E35" s="16"/>
      <c r="F35" s="16"/>
    </row>
    <row r="36" spans="1:15" ht="15" customHeight="1" x14ac:dyDescent="0.25">
      <c r="A36" s="37"/>
      <c r="B36" s="70" t="s">
        <v>65</v>
      </c>
      <c r="C36" s="16"/>
      <c r="D36" s="16"/>
      <c r="E36" s="16"/>
      <c r="F36" s="2"/>
      <c r="G36">
        <f t="shared" ref="G36:O36" si="9">+G33</f>
        <v>240.33914190000002</v>
      </c>
      <c r="H36">
        <f t="shared" si="9"/>
        <v>261.96966467100003</v>
      </c>
      <c r="I36">
        <f t="shared" si="9"/>
        <v>282.92723784468001</v>
      </c>
      <c r="J36">
        <f t="shared" si="9"/>
        <v>297.60247125467112</v>
      </c>
      <c r="K36">
        <f t="shared" si="9"/>
        <v>310.02116589646658</v>
      </c>
      <c r="L36">
        <f t="shared" si="9"/>
        <v>319.81289787613088</v>
      </c>
      <c r="M36">
        <f t="shared" si="9"/>
        <v>326.6677144234107</v>
      </c>
      <c r="N36">
        <f t="shared" si="9"/>
        <v>330.35191550731463</v>
      </c>
      <c r="O36">
        <f t="shared" si="9"/>
        <v>336.95895381746084</v>
      </c>
    </row>
    <row r="37" spans="1:15" ht="15" customHeight="1" x14ac:dyDescent="0.25">
      <c r="A37" s="37"/>
      <c r="B37" s="70" t="s">
        <v>235</v>
      </c>
      <c r="C37" s="16"/>
      <c r="D37" s="16"/>
      <c r="E37" s="16"/>
      <c r="F37" s="2"/>
      <c r="G37">
        <f>'Base Case'!G48</f>
        <v>71.267860124999999</v>
      </c>
      <c r="H37">
        <f>'Base Case'!H48</f>
        <v>77.681967536250013</v>
      </c>
      <c r="I37">
        <f>'Base Case'!I48</f>
        <v>83.896524939150012</v>
      </c>
      <c r="J37">
        <f>'Base Case'!J48</f>
        <v>96.181373233811286</v>
      </c>
      <c r="K37">
        <f>'Base Case'!K48</f>
        <v>108.74907266969598</v>
      </c>
      <c r="L37">
        <f>'Base Case'!L48</f>
        <v>121.32318419712954</v>
      </c>
      <c r="M37">
        <f>'Base Case'!M48</f>
        <v>133.5982357747215</v>
      </c>
      <c r="N37">
        <f>'Base Case'!N48</f>
        <v>145.25097078396107</v>
      </c>
      <c r="O37">
        <f>'Base Case'!O48</f>
        <v>148.15599019964031</v>
      </c>
    </row>
    <row r="38" spans="1:15" ht="15" customHeight="1" x14ac:dyDescent="0.25">
      <c r="A38" s="37"/>
      <c r="B38" s="70" t="s">
        <v>166</v>
      </c>
      <c r="C38" s="16"/>
      <c r="D38" s="16"/>
      <c r="E38" s="16"/>
      <c r="F38" s="2"/>
      <c r="G38" s="98"/>
      <c r="H38" s="98"/>
      <c r="I38" s="98"/>
      <c r="J38" s="98"/>
      <c r="K38" s="98"/>
      <c r="L38" s="98"/>
      <c r="M38" s="98"/>
      <c r="N38" s="98"/>
      <c r="O38" s="98"/>
    </row>
    <row r="39" spans="1:15" ht="15" customHeight="1" x14ac:dyDescent="0.25">
      <c r="A39" s="37"/>
      <c r="B39" s="70" t="s">
        <v>236</v>
      </c>
      <c r="C39" s="16"/>
      <c r="D39" s="16"/>
      <c r="E39" s="16"/>
      <c r="F39" s="49"/>
      <c r="G39">
        <f>'Base Case'!G49</f>
        <v>-33.709418749999998</v>
      </c>
      <c r="H39">
        <f>'Base Case'!H49</f>
        <v>-19.635022687500026</v>
      </c>
      <c r="I39">
        <f>'Base Case'!I49</f>
        <v>-19.024155315000002</v>
      </c>
      <c r="J39">
        <f>'Base Case'!J49</f>
        <v>-17.97782677267503</v>
      </c>
      <c r="K39">
        <f>'Base Case'!K49</f>
        <v>-16.488235411510516</v>
      </c>
      <c r="L39">
        <f>'Base Case'!L49</f>
        <v>-14.564607946834258</v>
      </c>
      <c r="M39">
        <f>'Base Case'!M49</f>
        <v>-12.234270675340838</v>
      </c>
      <c r="N39">
        <f>'Base Case'!N49</f>
        <v>-9.5427311267658297</v>
      </c>
      <c r="O39">
        <f>'Base Case'!O49</f>
        <v>-6.5526753737125318</v>
      </c>
    </row>
    <row r="40" spans="1:15" ht="15" customHeight="1" x14ac:dyDescent="0.25">
      <c r="A40" s="37"/>
      <c r="B40" s="70" t="s">
        <v>165</v>
      </c>
      <c r="C40" s="16"/>
      <c r="D40" s="16"/>
      <c r="E40" s="16"/>
      <c r="F40" s="49"/>
      <c r="G40" s="98"/>
      <c r="H40" s="98"/>
      <c r="I40" s="98"/>
      <c r="J40" s="98"/>
      <c r="K40" s="98"/>
      <c r="L40" s="98"/>
      <c r="M40" s="98"/>
      <c r="N40" s="98"/>
      <c r="O40" s="98"/>
    </row>
    <row r="41" spans="1:15" ht="15" customHeight="1" x14ac:dyDescent="0.25">
      <c r="A41" s="37"/>
      <c r="B41" s="70" t="s">
        <v>237</v>
      </c>
      <c r="C41" s="16"/>
      <c r="D41" s="16"/>
      <c r="E41" s="16"/>
      <c r="F41" s="2"/>
      <c r="G41">
        <f>'Base Case'!G50</f>
        <v>-101.81122875000001</v>
      </c>
      <c r="H41">
        <f>'Base Case'!H50</f>
        <v>-110.97423933750002</v>
      </c>
      <c r="I41">
        <f>'Base Case'!I50</f>
        <v>-119.85217848450003</v>
      </c>
      <c r="J41">
        <f>'Base Case'!J50</f>
        <v>-128.24183097841504</v>
      </c>
      <c r="K41">
        <f>'Base Case'!K50</f>
        <v>-135.93634083711996</v>
      </c>
      <c r="L41">
        <f>'Base Case'!L50</f>
        <v>-142.73315787897593</v>
      </c>
      <c r="M41">
        <f>'Base Case'!M50</f>
        <v>-148.44248419413501</v>
      </c>
      <c r="N41">
        <f>'Base Case'!N50</f>
        <v>-152.89575871995902</v>
      </c>
      <c r="O41">
        <f>'Base Case'!O50</f>
        <v>-155.95367389435822</v>
      </c>
    </row>
    <row r="42" spans="1:15" ht="15" customHeight="1" x14ac:dyDescent="0.25">
      <c r="A42" s="37"/>
      <c r="B42" s="70" t="s">
        <v>167</v>
      </c>
      <c r="C42" s="16"/>
      <c r="D42" s="16"/>
      <c r="E42" s="16"/>
      <c r="F42" s="2"/>
      <c r="G42" s="98"/>
      <c r="H42" s="98"/>
      <c r="I42" s="98"/>
      <c r="J42" s="98"/>
      <c r="K42" s="98"/>
      <c r="L42" s="98"/>
      <c r="M42" s="98"/>
      <c r="N42" s="98"/>
      <c r="O42" s="98"/>
    </row>
    <row r="43" spans="1:15" ht="15" customHeight="1" x14ac:dyDescent="0.25">
      <c r="A43" s="37"/>
      <c r="B43" s="73" t="s">
        <v>93</v>
      </c>
      <c r="C43" s="16"/>
      <c r="D43" s="16"/>
      <c r="E43" s="16"/>
      <c r="F43" s="2"/>
      <c r="G43">
        <f t="shared" ref="G43:O43" si="10">SUM(G36:G42)</f>
        <v>176.08635452500005</v>
      </c>
      <c r="H43">
        <f t="shared" si="10"/>
        <v>209.04237018224995</v>
      </c>
      <c r="I43">
        <f t="shared" si="10"/>
        <v>227.94742898432997</v>
      </c>
      <c r="J43">
        <f t="shared" si="10"/>
        <v>247.5641867373923</v>
      </c>
      <c r="K43">
        <f t="shared" si="10"/>
        <v>266.34566231753206</v>
      </c>
      <c r="L43">
        <f t="shared" si="10"/>
        <v>283.83831624745022</v>
      </c>
      <c r="M43">
        <f t="shared" si="10"/>
        <v>299.58919532865639</v>
      </c>
      <c r="N43">
        <f t="shared" si="10"/>
        <v>313.16439644455085</v>
      </c>
      <c r="O43">
        <f t="shared" si="10"/>
        <v>322.60859474903043</v>
      </c>
    </row>
    <row r="44" spans="1:15" ht="15" customHeight="1" x14ac:dyDescent="0.25">
      <c r="A44" s="37"/>
      <c r="B44" s="49"/>
      <c r="C44" s="16"/>
      <c r="D44" s="16"/>
      <c r="E44" s="16"/>
      <c r="F44" s="2"/>
    </row>
    <row r="45" spans="1:15" ht="15" customHeight="1" x14ac:dyDescent="0.25">
      <c r="A45" s="37"/>
      <c r="B45" s="71" t="s">
        <v>151</v>
      </c>
      <c r="C45" s="16"/>
      <c r="D45" s="16"/>
      <c r="E45" s="16"/>
      <c r="G45">
        <f t="shared" ref="G45:O45" si="11">+F69</f>
        <v>0</v>
      </c>
      <c r="H45">
        <f t="shared" si="11"/>
        <v>0</v>
      </c>
      <c r="I45">
        <f t="shared" si="11"/>
        <v>0</v>
      </c>
      <c r="J45">
        <f t="shared" si="11"/>
        <v>0</v>
      </c>
      <c r="K45">
        <f t="shared" si="11"/>
        <v>0</v>
      </c>
      <c r="L45">
        <f t="shared" si="11"/>
        <v>1.7860027465043231</v>
      </c>
      <c r="M45">
        <f t="shared" si="11"/>
        <v>285.62431899395455</v>
      </c>
      <c r="N45">
        <f t="shared" si="11"/>
        <v>585.21351432261099</v>
      </c>
      <c r="O45">
        <f t="shared" si="11"/>
        <v>898.37791076716189</v>
      </c>
    </row>
    <row r="46" spans="1:15" ht="15" customHeight="1" x14ac:dyDescent="0.25">
      <c r="A46" s="37"/>
      <c r="B46" s="73" t="s">
        <v>183</v>
      </c>
      <c r="C46" s="16"/>
      <c r="D46" s="16"/>
      <c r="E46" s="16"/>
      <c r="F46" s="16"/>
      <c r="G46" s="71">
        <f t="shared" ref="G46:O46" si="12">+G43+G45</f>
        <v>176.08635452500005</v>
      </c>
      <c r="H46" s="71">
        <f t="shared" si="12"/>
        <v>209.04237018224995</v>
      </c>
      <c r="I46" s="71">
        <f t="shared" si="12"/>
        <v>227.94742898432997</v>
      </c>
      <c r="J46" s="71">
        <f t="shared" si="12"/>
        <v>247.5641867373923</v>
      </c>
      <c r="K46" s="71">
        <f t="shared" si="12"/>
        <v>266.34566231753206</v>
      </c>
      <c r="L46" s="71">
        <f t="shared" si="12"/>
        <v>285.62431899395455</v>
      </c>
      <c r="M46" s="71">
        <f t="shared" si="12"/>
        <v>585.21351432261099</v>
      </c>
      <c r="N46" s="71">
        <f t="shared" si="12"/>
        <v>898.37791076716189</v>
      </c>
      <c r="O46" s="71">
        <f t="shared" si="12"/>
        <v>1220.9865055161922</v>
      </c>
    </row>
    <row r="47" spans="1:15" ht="15" customHeight="1" x14ac:dyDescent="0.25">
      <c r="A47" s="37"/>
      <c r="B47" s="49"/>
      <c r="C47" s="16"/>
      <c r="D47" s="16"/>
      <c r="E47" s="16"/>
      <c r="F47" s="16"/>
      <c r="G47" s="16"/>
      <c r="H47" s="16"/>
      <c r="I47" s="16"/>
      <c r="J47" s="16"/>
      <c r="K47" s="16"/>
      <c r="L47" s="16"/>
      <c r="M47" s="16"/>
      <c r="N47" s="16"/>
      <c r="O47" s="16"/>
    </row>
    <row r="48" spans="1:15" ht="15" customHeight="1" x14ac:dyDescent="0.25">
      <c r="A48" s="37" t="s">
        <v>94</v>
      </c>
      <c r="B48" s="49"/>
      <c r="C48" s="16"/>
      <c r="D48" s="16"/>
      <c r="E48" s="16"/>
      <c r="F48" s="16"/>
      <c r="G48" s="16"/>
      <c r="H48" s="16"/>
      <c r="I48" s="16"/>
      <c r="J48" s="16"/>
      <c r="K48" s="16"/>
      <c r="L48" s="16"/>
      <c r="M48" s="16"/>
      <c r="N48" s="16"/>
      <c r="O48" s="16"/>
    </row>
    <row r="49" spans="1:26" ht="15" customHeight="1" x14ac:dyDescent="0.25">
      <c r="A49" s="37"/>
      <c r="B49" s="70" t="s">
        <v>238</v>
      </c>
      <c r="C49" s="71"/>
      <c r="D49" s="71"/>
      <c r="E49" s="71"/>
      <c r="F49" s="71"/>
      <c r="G49" s="71">
        <f t="shared" ref="G49:O49" si="13">F51</f>
        <v>1125.2</v>
      </c>
      <c r="H49" s="71">
        <f t="shared" si="13"/>
        <v>949.113645475</v>
      </c>
      <c r="I49" s="71">
        <f t="shared" si="13"/>
        <v>740.07127529274999</v>
      </c>
      <c r="J49" s="71">
        <f t="shared" si="13"/>
        <v>512.12384630842007</v>
      </c>
      <c r="K49" s="71">
        <f t="shared" si="13"/>
        <v>264.55965957102774</v>
      </c>
      <c r="L49" s="71">
        <f t="shared" si="13"/>
        <v>0</v>
      </c>
      <c r="M49" s="71">
        <f t="shared" si="13"/>
        <v>0</v>
      </c>
      <c r="N49" s="71">
        <f t="shared" si="13"/>
        <v>0</v>
      </c>
      <c r="O49" s="71">
        <f t="shared" si="13"/>
        <v>0</v>
      </c>
    </row>
    <row r="50" spans="1:26" ht="15" customHeight="1" x14ac:dyDescent="0.25">
      <c r="A50" s="37"/>
      <c r="B50" s="70" t="s">
        <v>70</v>
      </c>
      <c r="C50" s="71"/>
      <c r="D50" s="71"/>
      <c r="E50" s="71"/>
      <c r="F50" s="71"/>
      <c r="G50" s="71">
        <f t="shared" ref="G50:O50" si="14">-MIN(G46,G49)</f>
        <v>-176.08635452500005</v>
      </c>
      <c r="H50" s="71">
        <f t="shared" si="14"/>
        <v>-209.04237018224995</v>
      </c>
      <c r="I50" s="71">
        <f t="shared" si="14"/>
        <v>-227.94742898432997</v>
      </c>
      <c r="J50" s="71">
        <f t="shared" si="14"/>
        <v>-247.5641867373923</v>
      </c>
      <c r="K50" s="71">
        <f t="shared" si="14"/>
        <v>-264.55965957102774</v>
      </c>
      <c r="L50" s="71">
        <f t="shared" si="14"/>
        <v>0</v>
      </c>
      <c r="M50" s="71">
        <f t="shared" si="14"/>
        <v>0</v>
      </c>
      <c r="N50" s="71">
        <f t="shared" si="14"/>
        <v>0</v>
      </c>
      <c r="O50" s="71">
        <f t="shared" si="14"/>
        <v>0</v>
      </c>
    </row>
    <row r="51" spans="1:26" ht="15" customHeight="1" x14ac:dyDescent="0.25">
      <c r="A51" s="37"/>
      <c r="B51" s="70" t="s">
        <v>96</v>
      </c>
      <c r="C51" s="71"/>
      <c r="D51" s="71"/>
      <c r="E51" s="71"/>
      <c r="F51" s="71">
        <f>'Base Case'!F59</f>
        <v>1125.2</v>
      </c>
      <c r="G51" s="71">
        <f t="shared" ref="G51:O51" si="15">SUM(G49:G50)</f>
        <v>949.113645475</v>
      </c>
      <c r="H51" s="71">
        <f t="shared" si="15"/>
        <v>740.07127529274999</v>
      </c>
      <c r="I51" s="71">
        <f t="shared" si="15"/>
        <v>512.12384630842007</v>
      </c>
      <c r="J51" s="71">
        <f t="shared" si="15"/>
        <v>264.55965957102774</v>
      </c>
      <c r="K51" s="71">
        <f t="shared" si="15"/>
        <v>0</v>
      </c>
      <c r="L51" s="71">
        <f t="shared" si="15"/>
        <v>0</v>
      </c>
      <c r="M51" s="71">
        <f t="shared" si="15"/>
        <v>0</v>
      </c>
      <c r="N51" s="71">
        <f t="shared" si="15"/>
        <v>0</v>
      </c>
      <c r="O51" s="71">
        <f t="shared" si="15"/>
        <v>0</v>
      </c>
    </row>
    <row r="52" spans="1:26" ht="15" customHeight="1" x14ac:dyDescent="0.25">
      <c r="A52" s="37"/>
      <c r="B52" s="70" t="s">
        <v>25</v>
      </c>
      <c r="C52" s="71"/>
      <c r="E52" s="71"/>
      <c r="F52" s="71"/>
      <c r="G52" s="71">
        <f t="shared" ref="G52:O52" si="16">$F$11*AVERAGE(F51:G51)</f>
        <v>50.820684314137509</v>
      </c>
      <c r="H52" s="71">
        <f t="shared" si="16"/>
        <v>41.385030558809881</v>
      </c>
      <c r="I52" s="71">
        <f t="shared" si="16"/>
        <v>30.678780479228667</v>
      </c>
      <c r="J52" s="71">
        <f t="shared" si="16"/>
        <v>19.028745894046473</v>
      </c>
      <c r="K52" s="71">
        <f t="shared" si="16"/>
        <v>6.4817116594901796</v>
      </c>
      <c r="L52" s="71">
        <f t="shared" si="16"/>
        <v>0</v>
      </c>
      <c r="M52" s="71">
        <f t="shared" si="16"/>
        <v>0</v>
      </c>
      <c r="N52" s="71">
        <f t="shared" si="16"/>
        <v>0</v>
      </c>
      <c r="O52" s="71">
        <f t="shared" si="16"/>
        <v>0</v>
      </c>
    </row>
    <row r="53" spans="1:26" ht="15" customHeight="1" x14ac:dyDescent="0.25">
      <c r="A53" s="37"/>
      <c r="B53" s="71"/>
      <c r="C53" s="71"/>
      <c r="E53" s="71"/>
      <c r="F53" s="71"/>
      <c r="G53" s="71"/>
      <c r="H53" s="71"/>
      <c r="I53" s="71"/>
      <c r="J53" s="71"/>
      <c r="K53" s="71"/>
      <c r="L53" s="71"/>
      <c r="M53" s="71"/>
      <c r="N53" s="71"/>
      <c r="O53" s="71"/>
      <c r="Q53" s="16"/>
      <c r="R53" s="16"/>
      <c r="S53" s="16"/>
      <c r="T53" s="16"/>
      <c r="U53" s="16"/>
      <c r="V53" s="16"/>
      <c r="W53" s="16"/>
      <c r="X53" s="16"/>
      <c r="Y53" s="16"/>
      <c r="Z53" s="16"/>
    </row>
    <row r="54" spans="1:26" ht="15" customHeight="1" x14ac:dyDescent="0.25">
      <c r="A54" s="37"/>
      <c r="B54" s="71" t="s">
        <v>208</v>
      </c>
      <c r="C54" s="71"/>
      <c r="G54" s="99"/>
      <c r="H54" s="99"/>
      <c r="I54" s="99"/>
      <c r="J54" s="99"/>
      <c r="K54" s="99"/>
      <c r="L54" s="99"/>
      <c r="M54" s="99"/>
      <c r="N54" s="99"/>
      <c r="O54" s="99"/>
      <c r="Q54" s="16"/>
      <c r="R54" s="16"/>
      <c r="S54" s="16"/>
      <c r="T54" s="16"/>
      <c r="U54" s="16"/>
      <c r="V54" s="16"/>
      <c r="W54" s="16"/>
      <c r="X54" s="16"/>
      <c r="Y54" s="16"/>
      <c r="Z54" s="16"/>
    </row>
    <row r="55" spans="1:26" ht="15" customHeight="1" x14ac:dyDescent="0.25">
      <c r="A55" s="37"/>
      <c r="B55" s="71"/>
      <c r="C55" s="71"/>
      <c r="E55" s="71"/>
      <c r="F55" s="71"/>
      <c r="G55" s="71"/>
      <c r="H55" s="71"/>
      <c r="I55" s="71"/>
      <c r="J55" s="71"/>
      <c r="K55" s="71"/>
      <c r="L55" s="71"/>
      <c r="M55" s="71"/>
      <c r="N55" s="71"/>
      <c r="O55" s="71"/>
    </row>
    <row r="56" spans="1:26" ht="15" customHeight="1" x14ac:dyDescent="0.25">
      <c r="A56" s="37"/>
      <c r="B56" s="70" t="s">
        <v>239</v>
      </c>
      <c r="C56" s="71"/>
      <c r="E56" s="71"/>
      <c r="F56" s="71"/>
      <c r="G56" s="99"/>
      <c r="H56" s="99"/>
      <c r="I56" s="99"/>
      <c r="J56" s="99"/>
      <c r="K56" s="99"/>
      <c r="L56" s="99"/>
      <c r="M56" s="99"/>
      <c r="N56" s="99"/>
      <c r="O56" s="99"/>
    </row>
    <row r="57" spans="1:26" ht="15" customHeight="1" x14ac:dyDescent="0.25">
      <c r="A57" s="37"/>
      <c r="B57" s="70" t="s">
        <v>206</v>
      </c>
      <c r="C57" s="71"/>
      <c r="D57" s="71"/>
      <c r="E57" s="71"/>
      <c r="F57" s="71"/>
      <c r="G57" s="99"/>
      <c r="H57" s="99"/>
      <c r="I57" s="99"/>
      <c r="J57" s="99"/>
      <c r="K57" s="99"/>
      <c r="L57" s="99"/>
      <c r="M57" s="99"/>
      <c r="N57" s="99"/>
      <c r="O57" s="99"/>
    </row>
    <row r="58" spans="1:26" ht="15" customHeight="1" x14ac:dyDescent="0.25">
      <c r="A58" s="37"/>
      <c r="B58" s="70" t="s">
        <v>207</v>
      </c>
      <c r="C58" s="71"/>
      <c r="D58" s="71"/>
      <c r="E58" s="71"/>
      <c r="F58" s="71"/>
      <c r="G58" s="99"/>
      <c r="H58" s="99"/>
      <c r="I58" s="99"/>
      <c r="J58" s="99"/>
      <c r="K58" s="99"/>
      <c r="L58" s="99"/>
      <c r="M58" s="99"/>
      <c r="N58" s="99"/>
      <c r="O58" s="99"/>
    </row>
    <row r="59" spans="1:26" ht="15" customHeight="1" x14ac:dyDescent="0.25">
      <c r="A59" s="37"/>
      <c r="B59" s="70" t="s">
        <v>168</v>
      </c>
      <c r="C59" s="71"/>
      <c r="D59" s="71"/>
      <c r="E59" s="71"/>
      <c r="F59" s="65">
        <v>0</v>
      </c>
      <c r="G59" s="99"/>
      <c r="H59" s="99"/>
      <c r="I59" s="99"/>
      <c r="J59" s="99"/>
      <c r="K59" s="99"/>
      <c r="L59" s="99"/>
      <c r="M59" s="99"/>
      <c r="N59" s="99"/>
      <c r="O59" s="99"/>
    </row>
    <row r="60" spans="1:26" ht="15" customHeight="1" x14ac:dyDescent="0.25">
      <c r="A60" s="37"/>
      <c r="B60" s="70" t="s">
        <v>25</v>
      </c>
      <c r="C60" s="71"/>
      <c r="D60" s="71"/>
      <c r="E60" s="71"/>
      <c r="F60" s="71"/>
      <c r="G60" s="71">
        <f t="shared" ref="G60:O60" si="17">$F$12*AVERAGE(F59:G59)</f>
        <v>0</v>
      </c>
      <c r="H60" s="71" t="e">
        <f t="shared" si="17"/>
        <v>#DIV/0!</v>
      </c>
      <c r="I60" s="71" t="e">
        <f t="shared" si="17"/>
        <v>#DIV/0!</v>
      </c>
      <c r="J60" s="71" t="e">
        <f t="shared" si="17"/>
        <v>#DIV/0!</v>
      </c>
      <c r="K60" s="71" t="e">
        <f t="shared" si="17"/>
        <v>#DIV/0!</v>
      </c>
      <c r="L60" s="71" t="e">
        <f t="shared" si="17"/>
        <v>#DIV/0!</v>
      </c>
      <c r="M60" s="71" t="e">
        <f t="shared" si="17"/>
        <v>#DIV/0!</v>
      </c>
      <c r="N60" s="71" t="e">
        <f t="shared" si="17"/>
        <v>#DIV/0!</v>
      </c>
      <c r="O60" s="71" t="e">
        <f t="shared" si="17"/>
        <v>#DIV/0!</v>
      </c>
    </row>
    <row r="61" spans="1:26" ht="15" customHeight="1" x14ac:dyDescent="0.25">
      <c r="A61" s="37"/>
      <c r="B61" s="71"/>
      <c r="C61" s="71"/>
      <c r="D61" s="71"/>
      <c r="E61" s="71"/>
      <c r="F61" s="71"/>
      <c r="G61" s="71"/>
      <c r="H61" s="71"/>
      <c r="I61" s="71"/>
      <c r="J61" s="71"/>
      <c r="K61" s="71"/>
      <c r="L61" s="71"/>
      <c r="M61" s="71"/>
      <c r="N61" s="71"/>
      <c r="O61" s="71"/>
    </row>
    <row r="62" spans="1:26" ht="15" customHeight="1" x14ac:dyDescent="0.25">
      <c r="A62" s="37"/>
      <c r="B62" s="71" t="s">
        <v>169</v>
      </c>
      <c r="C62" s="71"/>
      <c r="D62" s="71"/>
      <c r="E62" s="71"/>
      <c r="F62" s="71"/>
      <c r="G62" s="71">
        <f t="shared" ref="G62:O62" si="18">G54+G58</f>
        <v>0</v>
      </c>
      <c r="H62" s="71">
        <f t="shared" si="18"/>
        <v>0</v>
      </c>
      <c r="I62" s="71">
        <f t="shared" si="18"/>
        <v>0</v>
      </c>
      <c r="J62" s="71">
        <f t="shared" si="18"/>
        <v>0</v>
      </c>
      <c r="K62" s="71">
        <f t="shared" si="18"/>
        <v>0</v>
      </c>
      <c r="L62" s="71">
        <f t="shared" si="18"/>
        <v>0</v>
      </c>
      <c r="M62" s="71">
        <f t="shared" si="18"/>
        <v>0</v>
      </c>
      <c r="N62" s="71">
        <f t="shared" si="18"/>
        <v>0</v>
      </c>
      <c r="O62" s="71">
        <f t="shared" si="18"/>
        <v>0</v>
      </c>
    </row>
    <row r="63" spans="1:26" ht="15" customHeight="1" x14ac:dyDescent="0.25">
      <c r="A63" s="37"/>
      <c r="B63" s="71"/>
      <c r="C63" s="71"/>
      <c r="D63" s="71"/>
      <c r="E63" s="71"/>
      <c r="F63" s="71"/>
      <c r="G63" s="71"/>
      <c r="H63" s="71"/>
      <c r="I63" s="71"/>
      <c r="J63" s="71"/>
      <c r="K63" s="71"/>
      <c r="L63" s="71"/>
      <c r="M63" s="71"/>
      <c r="N63" s="71"/>
      <c r="O63" s="71"/>
    </row>
    <row r="64" spans="1:26" ht="15" customHeight="1" x14ac:dyDescent="0.25">
      <c r="A64" s="37"/>
      <c r="B64" s="71" t="s">
        <v>97</v>
      </c>
      <c r="C64" s="71"/>
      <c r="D64" s="71"/>
      <c r="E64" s="71"/>
      <c r="F64" s="71"/>
      <c r="G64" s="71">
        <f t="shared" ref="G64:O64" si="19">F66</f>
        <v>562.6</v>
      </c>
      <c r="H64" s="71">
        <f t="shared" si="19"/>
        <v>562.6</v>
      </c>
      <c r="I64" s="71">
        <f t="shared" si="19"/>
        <v>562.6</v>
      </c>
      <c r="J64" s="71">
        <f t="shared" si="19"/>
        <v>562.6</v>
      </c>
      <c r="K64" s="71">
        <f t="shared" si="19"/>
        <v>562.6</v>
      </c>
      <c r="L64" s="71">
        <f t="shared" si="19"/>
        <v>562.6</v>
      </c>
      <c r="M64" s="71">
        <f t="shared" si="19"/>
        <v>562.6</v>
      </c>
      <c r="N64" s="71">
        <f t="shared" si="19"/>
        <v>562.6</v>
      </c>
      <c r="O64" s="71">
        <f t="shared" si="19"/>
        <v>562.6</v>
      </c>
      <c r="Q64" s="16"/>
      <c r="R64" s="16"/>
      <c r="S64" s="16"/>
      <c r="T64" s="16"/>
      <c r="U64" s="16"/>
      <c r="V64" s="16"/>
      <c r="W64" s="16"/>
      <c r="X64" s="16"/>
      <c r="Y64" s="16"/>
      <c r="Z64" s="16"/>
    </row>
    <row r="65" spans="1:26" ht="15" customHeight="1" x14ac:dyDescent="0.25">
      <c r="A65" s="37"/>
      <c r="B65" s="71" t="s">
        <v>70</v>
      </c>
      <c r="C65" s="71"/>
      <c r="D65" s="71"/>
      <c r="E65" s="71"/>
      <c r="F65" s="71"/>
      <c r="G65" s="71">
        <f t="shared" ref="G65:O65" si="20">-MIN(G62,G64)</f>
        <v>0</v>
      </c>
      <c r="H65" s="71">
        <f t="shared" si="20"/>
        <v>0</v>
      </c>
      <c r="I65" s="71">
        <f t="shared" si="20"/>
        <v>0</v>
      </c>
      <c r="J65" s="71">
        <f t="shared" si="20"/>
        <v>0</v>
      </c>
      <c r="K65" s="71">
        <f t="shared" si="20"/>
        <v>0</v>
      </c>
      <c r="L65" s="71">
        <f t="shared" si="20"/>
        <v>0</v>
      </c>
      <c r="M65" s="71">
        <f t="shared" si="20"/>
        <v>0</v>
      </c>
      <c r="N65" s="71">
        <f t="shared" si="20"/>
        <v>0</v>
      </c>
      <c r="O65" s="71">
        <f t="shared" si="20"/>
        <v>0</v>
      </c>
      <c r="Q65" s="16"/>
      <c r="R65" s="16"/>
      <c r="S65" s="16"/>
      <c r="T65" s="16"/>
      <c r="U65" s="16"/>
      <c r="V65" s="16"/>
      <c r="W65" s="16"/>
      <c r="X65" s="16"/>
      <c r="Y65" s="16"/>
      <c r="Z65" s="16"/>
    </row>
    <row r="66" spans="1:26" ht="15" customHeight="1" x14ac:dyDescent="0.25">
      <c r="A66" s="37"/>
      <c r="B66" s="71" t="s">
        <v>98</v>
      </c>
      <c r="C66" s="71"/>
      <c r="D66" s="71"/>
      <c r="E66" s="71"/>
      <c r="F66" s="71">
        <f>'Base Case'!F66</f>
        <v>562.6</v>
      </c>
      <c r="G66" s="71">
        <f t="shared" ref="G66:O66" si="21">SUM(G64:G65)</f>
        <v>562.6</v>
      </c>
      <c r="H66" s="71">
        <f t="shared" si="21"/>
        <v>562.6</v>
      </c>
      <c r="I66" s="71">
        <f t="shared" si="21"/>
        <v>562.6</v>
      </c>
      <c r="J66" s="71">
        <f t="shared" si="21"/>
        <v>562.6</v>
      </c>
      <c r="K66" s="71">
        <f t="shared" si="21"/>
        <v>562.6</v>
      </c>
      <c r="L66" s="71">
        <f t="shared" si="21"/>
        <v>562.6</v>
      </c>
      <c r="M66" s="71">
        <f t="shared" si="21"/>
        <v>562.6</v>
      </c>
      <c r="N66" s="71">
        <f t="shared" si="21"/>
        <v>562.6</v>
      </c>
      <c r="O66" s="71">
        <f t="shared" si="21"/>
        <v>562.6</v>
      </c>
      <c r="Q66" s="16"/>
      <c r="R66" s="16"/>
      <c r="S66" s="16"/>
      <c r="T66" s="16"/>
      <c r="U66" s="16"/>
      <c r="V66" s="16"/>
      <c r="W66" s="16"/>
      <c r="X66" s="16"/>
      <c r="Y66" s="16"/>
      <c r="Z66" s="16"/>
    </row>
    <row r="67" spans="1:26" ht="15" customHeight="1" x14ac:dyDescent="0.25">
      <c r="A67" s="37"/>
      <c r="B67" s="71" t="s">
        <v>25</v>
      </c>
      <c r="C67" s="71"/>
      <c r="D67" s="71"/>
      <c r="E67" s="71"/>
      <c r="F67" s="71"/>
      <c r="G67" s="71">
        <f t="shared" ref="G67:O67" si="22">$F$13*AVERAGE(F66:G66)</f>
        <v>39.382000000000005</v>
      </c>
      <c r="H67" s="71">
        <f t="shared" si="22"/>
        <v>39.382000000000005</v>
      </c>
      <c r="I67" s="71">
        <f t="shared" si="22"/>
        <v>39.382000000000005</v>
      </c>
      <c r="J67" s="71">
        <f t="shared" si="22"/>
        <v>39.382000000000005</v>
      </c>
      <c r="K67" s="71">
        <f t="shared" si="22"/>
        <v>39.382000000000005</v>
      </c>
      <c r="L67" s="71">
        <f t="shared" si="22"/>
        <v>39.382000000000005</v>
      </c>
      <c r="M67" s="71">
        <f t="shared" si="22"/>
        <v>39.382000000000005</v>
      </c>
      <c r="N67" s="71">
        <f t="shared" si="22"/>
        <v>39.382000000000005</v>
      </c>
      <c r="O67" s="71">
        <f t="shared" si="22"/>
        <v>39.382000000000005</v>
      </c>
      <c r="Q67" s="16"/>
      <c r="R67" s="16"/>
      <c r="S67" s="16"/>
      <c r="T67" s="16"/>
      <c r="U67" s="16"/>
      <c r="V67" s="16"/>
      <c r="W67" s="16"/>
      <c r="X67" s="16"/>
      <c r="Y67" s="16"/>
      <c r="Z67" s="16"/>
    </row>
    <row r="68" spans="1:26" ht="15" customHeight="1" x14ac:dyDescent="0.25">
      <c r="A68" s="37"/>
      <c r="B68" s="71"/>
      <c r="C68" s="71"/>
      <c r="D68" s="71"/>
      <c r="E68" s="71"/>
      <c r="F68" s="71"/>
      <c r="G68" s="71"/>
      <c r="H68" s="71"/>
      <c r="I68" s="71"/>
      <c r="J68" s="71"/>
      <c r="K68" s="71"/>
      <c r="L68" s="71"/>
      <c r="M68" s="71"/>
      <c r="N68" s="71"/>
      <c r="O68" s="71"/>
      <c r="Q68" s="16"/>
      <c r="R68" s="16"/>
      <c r="S68" s="16"/>
      <c r="T68" s="16"/>
      <c r="U68" s="16"/>
      <c r="V68" s="16"/>
      <c r="W68" s="16"/>
      <c r="X68" s="16"/>
      <c r="Y68" s="16"/>
      <c r="Z68" s="16"/>
    </row>
    <row r="69" spans="1:26" ht="15" customHeight="1" x14ac:dyDescent="0.25">
      <c r="A69" s="37"/>
      <c r="B69" s="71" t="s">
        <v>69</v>
      </c>
      <c r="C69" s="71"/>
      <c r="D69" s="71"/>
      <c r="E69" s="71"/>
      <c r="F69">
        <f>'Base Case'!F69</f>
        <v>0</v>
      </c>
      <c r="G69" s="71">
        <f t="shared" ref="G69:O69" si="23">G46+G50+G58+G65</f>
        <v>0</v>
      </c>
      <c r="H69" s="71">
        <f t="shared" si="23"/>
        <v>0</v>
      </c>
      <c r="I69" s="71">
        <f t="shared" si="23"/>
        <v>0</v>
      </c>
      <c r="J69" s="71">
        <f t="shared" si="23"/>
        <v>0</v>
      </c>
      <c r="K69" s="71">
        <f t="shared" si="23"/>
        <v>1.7860027465043231</v>
      </c>
      <c r="L69" s="71">
        <f t="shared" si="23"/>
        <v>285.62431899395455</v>
      </c>
      <c r="M69" s="71">
        <f t="shared" si="23"/>
        <v>585.21351432261099</v>
      </c>
      <c r="N69" s="71">
        <f t="shared" si="23"/>
        <v>898.37791076716189</v>
      </c>
      <c r="O69" s="71">
        <f t="shared" si="23"/>
        <v>1220.9865055161922</v>
      </c>
      <c r="Q69" s="16"/>
      <c r="R69" s="16"/>
      <c r="S69" s="16"/>
      <c r="T69" s="16"/>
      <c r="U69" s="16"/>
      <c r="V69" s="16"/>
      <c r="W69" s="16"/>
      <c r="X69" s="16"/>
      <c r="Y69" s="16"/>
      <c r="Z69" s="16"/>
    </row>
    <row r="70" spans="1:26" ht="15" customHeight="1" x14ac:dyDescent="0.25">
      <c r="A70" s="37"/>
      <c r="B70" s="71" t="s">
        <v>66</v>
      </c>
      <c r="C70" s="71"/>
      <c r="D70" s="71"/>
      <c r="E70" s="71"/>
      <c r="F70" s="71"/>
      <c r="G70" s="71">
        <f t="shared" ref="G70:O70" si="24">$F$14*AVERAGE(F69:G69)</f>
        <v>0</v>
      </c>
      <c r="H70" s="71">
        <f t="shared" si="24"/>
        <v>0</v>
      </c>
      <c r="I70" s="71">
        <f t="shared" si="24"/>
        <v>0</v>
      </c>
      <c r="J70" s="71">
        <f t="shared" si="24"/>
        <v>0</v>
      </c>
      <c r="K70" s="71">
        <f t="shared" si="24"/>
        <v>2.6790041197564847E-3</v>
      </c>
      <c r="L70" s="71">
        <f t="shared" si="24"/>
        <v>0.43111548261068833</v>
      </c>
      <c r="M70" s="71">
        <f t="shared" si="24"/>
        <v>1.3062567499748483</v>
      </c>
      <c r="N70" s="71">
        <f t="shared" si="24"/>
        <v>2.2253871376346592</v>
      </c>
      <c r="O70" s="71">
        <f t="shared" si="24"/>
        <v>3.1790466244250317</v>
      </c>
      <c r="Q70" s="16"/>
      <c r="R70" s="16"/>
      <c r="S70" s="16"/>
      <c r="T70" s="16"/>
      <c r="U70" s="16"/>
      <c r="V70" s="16"/>
      <c r="W70" s="16"/>
      <c r="X70" s="16"/>
      <c r="Y70" s="16"/>
      <c r="Z70" s="16"/>
    </row>
    <row r="71" spans="1:26" ht="15" customHeight="1" x14ac:dyDescent="0.25">
      <c r="A71" s="37"/>
      <c r="B71" s="16"/>
      <c r="C71" s="16"/>
      <c r="D71" s="16"/>
      <c r="E71" s="16"/>
      <c r="F71" s="16"/>
      <c r="G71" s="16"/>
      <c r="H71" s="16"/>
      <c r="I71" s="16"/>
      <c r="J71" s="16"/>
      <c r="K71" s="16"/>
      <c r="L71" s="16"/>
      <c r="M71" s="16"/>
      <c r="N71" s="16"/>
      <c r="O71" s="16"/>
      <c r="Q71" s="16"/>
      <c r="R71" s="16"/>
      <c r="S71" s="16"/>
      <c r="T71" s="16"/>
      <c r="U71" s="16"/>
      <c r="V71" s="16"/>
      <c r="W71" s="16"/>
      <c r="X71" s="16"/>
      <c r="Y71" s="16"/>
      <c r="Z71" s="16"/>
    </row>
    <row r="72" spans="1:26" ht="15" customHeight="1" x14ac:dyDescent="0.25">
      <c r="A72" s="37"/>
      <c r="B72" s="71" t="s">
        <v>195</v>
      </c>
      <c r="C72" s="16"/>
      <c r="D72" s="16"/>
      <c r="E72" s="16"/>
      <c r="G72">
        <f t="shared" ref="G72:O72" si="25">F76</f>
        <v>0</v>
      </c>
      <c r="H72">
        <f t="shared" si="25"/>
        <v>176.08635452500005</v>
      </c>
      <c r="I72">
        <f t="shared" si="25"/>
        <v>385.12872470725</v>
      </c>
      <c r="J72">
        <f t="shared" si="25"/>
        <v>613.07615369157998</v>
      </c>
      <c r="K72">
        <f t="shared" si="25"/>
        <v>860.64034042897231</v>
      </c>
      <c r="L72">
        <f t="shared" si="25"/>
        <v>1125.2</v>
      </c>
      <c r="M72">
        <f t="shared" si="25"/>
        <v>1125.2</v>
      </c>
      <c r="N72">
        <f t="shared" si="25"/>
        <v>1125.2</v>
      </c>
      <c r="O72">
        <f t="shared" si="25"/>
        <v>1125.2</v>
      </c>
      <c r="Q72" s="16"/>
      <c r="R72" s="16"/>
      <c r="S72" s="16"/>
      <c r="T72" s="16"/>
      <c r="U72" s="16"/>
      <c r="V72" s="16"/>
      <c r="W72" s="16"/>
      <c r="X72" s="16"/>
      <c r="Y72" s="16"/>
      <c r="Z72" s="16"/>
    </row>
    <row r="73" spans="1:26" ht="15" customHeight="1" x14ac:dyDescent="0.25">
      <c r="A73" s="37"/>
      <c r="B73" s="71" t="s">
        <v>196</v>
      </c>
      <c r="C73" s="16"/>
      <c r="D73" s="16"/>
      <c r="E73" s="16"/>
      <c r="G73">
        <f t="shared" ref="G73:O73" si="26">-G50</f>
        <v>176.08635452500005</v>
      </c>
      <c r="H73">
        <f t="shared" si="26"/>
        <v>209.04237018224995</v>
      </c>
      <c r="I73">
        <f t="shared" si="26"/>
        <v>227.94742898432997</v>
      </c>
      <c r="J73">
        <f t="shared" si="26"/>
        <v>247.5641867373923</v>
      </c>
      <c r="K73">
        <f t="shared" si="26"/>
        <v>264.55965957102774</v>
      </c>
      <c r="L73">
        <f t="shared" si="26"/>
        <v>0</v>
      </c>
      <c r="M73">
        <f t="shared" si="26"/>
        <v>0</v>
      </c>
      <c r="N73">
        <f t="shared" si="26"/>
        <v>0</v>
      </c>
      <c r="O73">
        <f t="shared" si="26"/>
        <v>0</v>
      </c>
      <c r="Q73" s="16"/>
      <c r="R73" s="16"/>
      <c r="S73" s="16"/>
      <c r="T73" s="16"/>
      <c r="U73" s="16"/>
      <c r="V73" s="16"/>
      <c r="W73" s="16"/>
      <c r="X73" s="16"/>
      <c r="Y73" s="16"/>
      <c r="Z73" s="16"/>
    </row>
    <row r="74" spans="1:26" ht="15" customHeight="1" x14ac:dyDescent="0.25">
      <c r="A74" s="37"/>
      <c r="B74" t="s">
        <v>200</v>
      </c>
      <c r="C74" s="16"/>
      <c r="D74" s="16"/>
      <c r="E74" s="16"/>
      <c r="G74" s="98"/>
      <c r="H74" s="98"/>
      <c r="I74" s="98"/>
      <c r="J74" s="98"/>
      <c r="K74" s="98"/>
      <c r="L74" s="98"/>
      <c r="M74" s="98"/>
      <c r="N74" s="98"/>
      <c r="O74" s="98"/>
      <c r="Q74" s="16"/>
      <c r="R74" s="16"/>
      <c r="S74" s="16"/>
      <c r="T74" s="16"/>
      <c r="U74" s="16"/>
      <c r="V74" s="16"/>
      <c r="W74" s="16"/>
      <c r="X74" s="16"/>
      <c r="Y74" s="16"/>
      <c r="Z74" s="16"/>
    </row>
    <row r="75" spans="1:26" ht="15" customHeight="1" x14ac:dyDescent="0.25">
      <c r="A75" s="37"/>
      <c r="B75" s="71" t="s">
        <v>197</v>
      </c>
      <c r="C75" s="16"/>
      <c r="D75" s="16"/>
      <c r="E75" s="16"/>
      <c r="G75">
        <f t="shared" ref="G75:O75" si="27">-G65</f>
        <v>0</v>
      </c>
      <c r="H75">
        <f t="shared" si="27"/>
        <v>0</v>
      </c>
      <c r="I75">
        <f t="shared" si="27"/>
        <v>0</v>
      </c>
      <c r="J75">
        <f t="shared" si="27"/>
        <v>0</v>
      </c>
      <c r="K75">
        <f t="shared" si="27"/>
        <v>0</v>
      </c>
      <c r="L75">
        <f t="shared" si="27"/>
        <v>0</v>
      </c>
      <c r="M75">
        <f t="shared" si="27"/>
        <v>0</v>
      </c>
      <c r="N75">
        <f t="shared" si="27"/>
        <v>0</v>
      </c>
      <c r="O75">
        <f t="shared" si="27"/>
        <v>0</v>
      </c>
      <c r="Q75" s="16"/>
      <c r="R75" s="16"/>
      <c r="S75" s="16"/>
      <c r="T75" s="16"/>
      <c r="U75" s="16"/>
      <c r="V75" s="16"/>
      <c r="W75" s="16"/>
      <c r="X75" s="16"/>
      <c r="Y75" s="16"/>
      <c r="Z75" s="16"/>
    </row>
    <row r="76" spans="1:26" ht="15" customHeight="1" x14ac:dyDescent="0.25">
      <c r="A76" s="37"/>
      <c r="B76" s="71" t="s">
        <v>198</v>
      </c>
      <c r="C76" s="16"/>
      <c r="D76" s="16"/>
      <c r="E76" s="16"/>
      <c r="F76" s="65">
        <v>0</v>
      </c>
      <c r="G76">
        <f t="shared" ref="G76:O76" si="28">SUM(G72:G75)</f>
        <v>176.08635452500005</v>
      </c>
      <c r="H76">
        <f t="shared" si="28"/>
        <v>385.12872470725</v>
      </c>
      <c r="I76">
        <f t="shared" si="28"/>
        <v>613.07615369157998</v>
      </c>
      <c r="J76">
        <f t="shared" si="28"/>
        <v>860.64034042897231</v>
      </c>
      <c r="K76">
        <f t="shared" si="28"/>
        <v>1125.2</v>
      </c>
      <c r="L76">
        <f t="shared" si="28"/>
        <v>1125.2</v>
      </c>
      <c r="M76">
        <f t="shared" si="28"/>
        <v>1125.2</v>
      </c>
      <c r="N76">
        <f t="shared" si="28"/>
        <v>1125.2</v>
      </c>
      <c r="O76">
        <f t="shared" si="28"/>
        <v>1125.2</v>
      </c>
      <c r="Q76" s="16"/>
      <c r="R76" s="16"/>
      <c r="S76" s="16"/>
      <c r="T76" s="16"/>
      <c r="U76" s="16"/>
      <c r="V76" s="16"/>
      <c r="W76" s="16"/>
      <c r="X76" s="16"/>
      <c r="Y76" s="16"/>
      <c r="Z76" s="16"/>
    </row>
    <row r="77" spans="1:26" ht="15" customHeight="1" x14ac:dyDescent="0.25">
      <c r="A77" s="37"/>
      <c r="B77" s="71"/>
      <c r="C77" s="16"/>
      <c r="D77" s="16"/>
      <c r="E77" s="16"/>
      <c r="Q77" s="16"/>
      <c r="R77" s="16"/>
      <c r="S77" s="16"/>
      <c r="T77" s="16"/>
      <c r="U77" s="16"/>
      <c r="V77" s="16"/>
      <c r="W77" s="16"/>
      <c r="X77" s="16"/>
      <c r="Y77" s="16"/>
      <c r="Z77" s="16"/>
    </row>
    <row r="78" spans="1:26" ht="15" customHeight="1" x14ac:dyDescent="0.25">
      <c r="A78" s="37"/>
      <c r="B78" s="71" t="s">
        <v>240</v>
      </c>
      <c r="C78" s="16"/>
      <c r="D78" s="16"/>
      <c r="E78" s="16"/>
      <c r="G78">
        <f t="shared" ref="G78:O78" si="29">$F$51+$F$66</f>
        <v>1687.8000000000002</v>
      </c>
      <c r="H78">
        <f t="shared" si="29"/>
        <v>1687.8000000000002</v>
      </c>
      <c r="I78">
        <f t="shared" si="29"/>
        <v>1687.8000000000002</v>
      </c>
      <c r="J78">
        <f t="shared" si="29"/>
        <v>1687.8000000000002</v>
      </c>
      <c r="K78">
        <f t="shared" si="29"/>
        <v>1687.8000000000002</v>
      </c>
      <c r="L78">
        <f t="shared" si="29"/>
        <v>1687.8000000000002</v>
      </c>
      <c r="M78">
        <f t="shared" si="29"/>
        <v>1687.8000000000002</v>
      </c>
      <c r="N78">
        <f t="shared" si="29"/>
        <v>1687.8000000000002</v>
      </c>
      <c r="O78">
        <f t="shared" si="29"/>
        <v>1687.8000000000002</v>
      </c>
      <c r="Q78" s="16"/>
      <c r="R78" s="16"/>
      <c r="S78" s="16"/>
      <c r="T78" s="16"/>
      <c r="U78" s="16"/>
      <c r="V78" s="16"/>
      <c r="W78" s="16"/>
      <c r="X78" s="16"/>
      <c r="Y78" s="16"/>
      <c r="Z78" s="16"/>
    </row>
    <row r="79" spans="1:26" ht="15" customHeight="1" x14ac:dyDescent="0.25">
      <c r="A79" s="37"/>
      <c r="B79" s="71" t="s">
        <v>214</v>
      </c>
      <c r="C79" s="16"/>
      <c r="D79" s="16"/>
      <c r="E79" s="16"/>
      <c r="G79" s="98"/>
      <c r="H79" s="98"/>
      <c r="I79" s="98"/>
      <c r="J79" s="98"/>
      <c r="K79" s="98"/>
      <c r="L79" s="98"/>
      <c r="M79" s="98"/>
      <c r="N79" s="98"/>
      <c r="O79" s="98"/>
      <c r="Q79" s="16"/>
      <c r="R79" s="16"/>
      <c r="S79" s="16"/>
      <c r="T79" s="16"/>
      <c r="U79" s="16"/>
      <c r="V79" s="16"/>
      <c r="W79" s="16"/>
      <c r="X79" s="16"/>
      <c r="Y79" s="16"/>
      <c r="Z79" s="16"/>
    </row>
    <row r="80" spans="1:26" ht="15" customHeight="1" x14ac:dyDescent="0.25">
      <c r="A80" s="37"/>
      <c r="B80" s="71" t="s">
        <v>215</v>
      </c>
      <c r="C80" s="16"/>
      <c r="D80" s="16"/>
      <c r="E80" s="16"/>
      <c r="G80">
        <f t="shared" ref="G80:O80" si="30">SUM(G78:G79)</f>
        <v>1687.8000000000002</v>
      </c>
      <c r="H80">
        <f t="shared" si="30"/>
        <v>1687.8000000000002</v>
      </c>
      <c r="I80">
        <f t="shared" si="30"/>
        <v>1687.8000000000002</v>
      </c>
      <c r="J80">
        <f t="shared" si="30"/>
        <v>1687.8000000000002</v>
      </c>
      <c r="K80">
        <f t="shared" si="30"/>
        <v>1687.8000000000002</v>
      </c>
      <c r="L80">
        <f t="shared" si="30"/>
        <v>1687.8000000000002</v>
      </c>
      <c r="M80">
        <f t="shared" si="30"/>
        <v>1687.8000000000002</v>
      </c>
      <c r="N80">
        <f t="shared" si="30"/>
        <v>1687.8000000000002</v>
      </c>
      <c r="O80">
        <f t="shared" si="30"/>
        <v>1687.8000000000002</v>
      </c>
      <c r="Q80" s="16"/>
      <c r="R80" s="16"/>
      <c r="S80" s="16"/>
      <c r="T80" s="16"/>
      <c r="U80" s="16"/>
      <c r="V80" s="16"/>
      <c r="W80" s="16"/>
      <c r="X80" s="16"/>
      <c r="Y80" s="16"/>
      <c r="Z80" s="16"/>
    </row>
    <row r="81" spans="1:26" ht="15" customHeight="1" x14ac:dyDescent="0.25">
      <c r="A81" s="37"/>
      <c r="B81" s="71" t="s">
        <v>194</v>
      </c>
      <c r="C81" s="16"/>
      <c r="D81" s="16"/>
      <c r="E81" s="16"/>
      <c r="G81" s="68">
        <f t="shared" ref="G81:O81" si="31">G76/G80</f>
        <v>0.10432892198423986</v>
      </c>
      <c r="H81" s="68">
        <f t="shared" si="31"/>
        <v>0.22818386343598174</v>
      </c>
      <c r="I81" s="68">
        <f t="shared" si="31"/>
        <v>0.36323981140631584</v>
      </c>
      <c r="J81" s="68">
        <f t="shared" si="31"/>
        <v>0.50991843845773921</v>
      </c>
      <c r="K81" s="68">
        <f t="shared" si="31"/>
        <v>0.66666666666666663</v>
      </c>
      <c r="L81" s="68">
        <f t="shared" si="31"/>
        <v>0.66666666666666663</v>
      </c>
      <c r="M81" s="68">
        <f t="shared" si="31"/>
        <v>0.66666666666666663</v>
      </c>
      <c r="N81" s="68">
        <f t="shared" si="31"/>
        <v>0.66666666666666663</v>
      </c>
      <c r="O81" s="68">
        <f t="shared" si="31"/>
        <v>0.66666666666666663</v>
      </c>
      <c r="Q81" s="16"/>
      <c r="R81" s="16"/>
      <c r="S81" s="16"/>
      <c r="T81" s="16"/>
      <c r="U81" s="16"/>
      <c r="V81" s="16"/>
      <c r="W81" s="16"/>
      <c r="X81" s="16"/>
      <c r="Y81" s="16"/>
      <c r="Z81" s="16"/>
    </row>
    <row r="82" spans="1:26" ht="15" customHeight="1" x14ac:dyDescent="0.25">
      <c r="A82" s="37"/>
      <c r="B82" s="71"/>
      <c r="C82" s="16"/>
      <c r="D82" s="16"/>
      <c r="E82" s="16"/>
      <c r="G82" s="68"/>
      <c r="H82" s="68"/>
      <c r="I82" s="68"/>
      <c r="J82" s="68"/>
      <c r="K82" s="68"/>
      <c r="L82" s="68"/>
      <c r="M82" s="68"/>
      <c r="N82" s="68"/>
      <c r="O82" s="68"/>
      <c r="Q82" s="16"/>
      <c r="R82" s="16"/>
      <c r="S82" s="16"/>
      <c r="T82" s="16"/>
      <c r="U82" s="16"/>
      <c r="V82" s="16"/>
      <c r="W82" s="16"/>
      <c r="X82" s="16"/>
      <c r="Y82" s="16"/>
      <c r="Z82" s="16"/>
    </row>
    <row r="83" spans="1:26" ht="15" customHeight="1" x14ac:dyDescent="0.25">
      <c r="A83" s="37"/>
      <c r="B83" s="71" t="s">
        <v>216</v>
      </c>
      <c r="C83" s="16"/>
      <c r="D83" s="16"/>
      <c r="E83" s="16"/>
      <c r="G83">
        <f t="shared" ref="G83:O83" si="32">G51+G59+G66</f>
        <v>1511.713645475</v>
      </c>
      <c r="H83">
        <f t="shared" si="32"/>
        <v>1302.6712752927501</v>
      </c>
      <c r="I83">
        <f t="shared" si="32"/>
        <v>1074.72384630842</v>
      </c>
      <c r="J83">
        <f t="shared" si="32"/>
        <v>827.15965957102776</v>
      </c>
      <c r="K83">
        <f t="shared" si="32"/>
        <v>562.6</v>
      </c>
      <c r="L83">
        <f t="shared" si="32"/>
        <v>562.6</v>
      </c>
      <c r="M83">
        <f t="shared" si="32"/>
        <v>562.6</v>
      </c>
      <c r="N83">
        <f t="shared" si="32"/>
        <v>562.6</v>
      </c>
      <c r="O83">
        <f t="shared" si="32"/>
        <v>562.6</v>
      </c>
      <c r="Q83" s="16"/>
      <c r="R83" s="16"/>
      <c r="S83" s="16"/>
      <c r="T83" s="16"/>
      <c r="U83" s="16"/>
      <c r="V83" s="16"/>
      <c r="W83" s="16"/>
      <c r="X83" s="16"/>
      <c r="Y83" s="16"/>
      <c r="Z83" s="16"/>
    </row>
    <row r="84" spans="1:26" ht="15" customHeight="1" x14ac:dyDescent="0.25">
      <c r="A84" s="37"/>
      <c r="B84" s="71" t="s">
        <v>217</v>
      </c>
      <c r="C84" s="16"/>
      <c r="D84" s="16"/>
      <c r="E84" s="16"/>
      <c r="G84">
        <f t="shared" ref="G84:O84" si="33">G28+G37+G38</f>
        <v>371.69178750000003</v>
      </c>
      <c r="H84">
        <f t="shared" si="33"/>
        <v>405.14404837500007</v>
      </c>
      <c r="I84">
        <f t="shared" si="33"/>
        <v>437.55557224500006</v>
      </c>
      <c r="J84">
        <f t="shared" si="33"/>
        <v>468.18446230215022</v>
      </c>
      <c r="K84">
        <f t="shared" si="33"/>
        <v>496.27553004027919</v>
      </c>
      <c r="L84">
        <f t="shared" si="33"/>
        <v>521.08930654229312</v>
      </c>
      <c r="M84">
        <f t="shared" si="33"/>
        <v>541.93287880398486</v>
      </c>
      <c r="N84">
        <f t="shared" si="33"/>
        <v>558.19086516810444</v>
      </c>
      <c r="O84">
        <f t="shared" si="33"/>
        <v>569.35468247146639</v>
      </c>
      <c r="Q84" s="16"/>
      <c r="R84" s="16"/>
      <c r="S84" s="16"/>
      <c r="T84" s="16"/>
      <c r="U84" s="16"/>
      <c r="V84" s="16"/>
      <c r="W84" s="16"/>
      <c r="X84" s="16"/>
      <c r="Y84" s="16"/>
      <c r="Z84" s="16"/>
    </row>
    <row r="85" spans="1:26" ht="15" customHeight="1" x14ac:dyDescent="0.25">
      <c r="A85" s="37"/>
      <c r="B85" s="71" t="s">
        <v>199</v>
      </c>
      <c r="C85" s="16"/>
      <c r="D85" s="16"/>
      <c r="E85" s="16"/>
      <c r="G85" s="88">
        <f t="shared" ref="G85:O85" si="34">G83/G84</f>
        <v>4.0671160792730721</v>
      </c>
      <c r="H85" s="88">
        <f t="shared" si="34"/>
        <v>3.2153286726478125</v>
      </c>
      <c r="I85" s="88">
        <f t="shared" si="34"/>
        <v>2.4561996566384736</v>
      </c>
      <c r="J85" s="88">
        <f t="shared" si="34"/>
        <v>1.7667388095361594</v>
      </c>
      <c r="K85" s="88">
        <f t="shared" si="34"/>
        <v>1.1336444493935409</v>
      </c>
      <c r="L85" s="88">
        <f t="shared" si="34"/>
        <v>1.079661380374801</v>
      </c>
      <c r="M85" s="88">
        <f t="shared" si="34"/>
        <v>1.0381359426680778</v>
      </c>
      <c r="N85" s="88">
        <f t="shared" si="34"/>
        <v>1.0078989734641532</v>
      </c>
      <c r="O85" s="88">
        <f t="shared" si="34"/>
        <v>0.98813624849426807</v>
      </c>
      <c r="Q85" s="16"/>
      <c r="R85" s="16"/>
      <c r="S85" s="16"/>
      <c r="T85" s="16"/>
      <c r="U85" s="16"/>
      <c r="V85" s="16"/>
      <c r="W85" s="16"/>
      <c r="X85" s="16"/>
      <c r="Y85" s="16"/>
      <c r="Z85" s="16"/>
    </row>
    <row r="86" spans="1:26" ht="15" customHeight="1" x14ac:dyDescent="0.25">
      <c r="A86" s="37"/>
      <c r="B86" s="16"/>
      <c r="C86" s="16"/>
      <c r="D86" s="16"/>
      <c r="E86" s="16"/>
      <c r="F86" s="16"/>
      <c r="G86" s="94"/>
      <c r="H86" s="94"/>
      <c r="I86" s="94"/>
      <c r="J86" s="94"/>
      <c r="K86" s="94"/>
      <c r="L86" s="94"/>
      <c r="M86" s="94"/>
      <c r="N86" s="94"/>
      <c r="O86" s="94"/>
      <c r="Q86" s="16"/>
      <c r="R86" s="16"/>
      <c r="S86" s="16"/>
      <c r="T86" s="16"/>
      <c r="U86" s="16"/>
      <c r="V86" s="16"/>
      <c r="W86" s="16"/>
      <c r="X86" s="16"/>
      <c r="Y86" s="16"/>
      <c r="Z86" s="16"/>
    </row>
    <row r="87" spans="1:26" ht="15" customHeight="1" x14ac:dyDescent="0.25">
      <c r="A87" s="37" t="s">
        <v>99</v>
      </c>
      <c r="B87" s="16"/>
      <c r="C87" s="16"/>
      <c r="D87" s="16"/>
      <c r="E87" s="16"/>
      <c r="F87" s="16"/>
      <c r="G87" s="16"/>
      <c r="H87" s="16"/>
      <c r="I87" s="16"/>
      <c r="J87" s="16"/>
      <c r="K87" s="16"/>
      <c r="L87" s="16"/>
      <c r="M87" s="16"/>
      <c r="N87" s="16"/>
      <c r="O87" s="16"/>
    </row>
    <row r="88" spans="1:26" ht="15" customHeight="1" x14ac:dyDescent="0.25">
      <c r="A88" s="37"/>
      <c r="B88" s="70" t="s">
        <v>217</v>
      </c>
      <c r="C88" s="71"/>
      <c r="D88" s="71"/>
      <c r="E88" s="71"/>
      <c r="G88" s="99"/>
      <c r="H88" s="99"/>
      <c r="I88" s="99"/>
      <c r="J88" s="99"/>
      <c r="K88" s="99"/>
      <c r="L88" s="99"/>
      <c r="M88" s="99"/>
      <c r="N88" s="99"/>
      <c r="O88" s="99"/>
    </row>
    <row r="89" spans="1:26" ht="15" customHeight="1" x14ac:dyDescent="0.25">
      <c r="A89" s="37"/>
      <c r="B89" s="70" t="s">
        <v>72</v>
      </c>
      <c r="C89" s="71"/>
      <c r="D89" s="71"/>
      <c r="E89" s="71"/>
      <c r="F89" s="70"/>
      <c r="G89" s="99"/>
      <c r="H89" s="99"/>
      <c r="I89" s="99"/>
      <c r="J89" s="99"/>
      <c r="K89" s="99"/>
      <c r="L89" s="99"/>
      <c r="M89" s="99"/>
      <c r="N89" s="99"/>
      <c r="O89" s="99"/>
    </row>
    <row r="90" spans="1:26" ht="15" customHeight="1" x14ac:dyDescent="0.25">
      <c r="A90" s="37"/>
      <c r="B90" s="70" t="s">
        <v>218</v>
      </c>
      <c r="C90" s="71"/>
      <c r="D90" s="71"/>
      <c r="E90" s="71"/>
      <c r="F90" s="71"/>
      <c r="G90" s="99"/>
      <c r="H90" s="99"/>
      <c r="I90" s="99"/>
      <c r="J90" s="99"/>
      <c r="K90" s="99"/>
      <c r="L90" s="99"/>
      <c r="M90" s="99"/>
      <c r="N90" s="99"/>
      <c r="O90" s="99"/>
    </row>
    <row r="91" spans="1:26" ht="15" customHeight="1" x14ac:dyDescent="0.25">
      <c r="A91" s="37"/>
      <c r="B91" s="70" t="s">
        <v>101</v>
      </c>
      <c r="C91" s="71"/>
      <c r="D91" s="71"/>
      <c r="E91" s="71"/>
      <c r="F91" s="71"/>
      <c r="G91" s="99"/>
      <c r="H91" s="99"/>
      <c r="I91" s="99"/>
      <c r="J91" s="99"/>
      <c r="K91" s="99"/>
      <c r="L91" s="99"/>
      <c r="M91" s="99"/>
      <c r="N91" s="99"/>
      <c r="O91" s="99"/>
    </row>
    <row r="92" spans="1:26" ht="15" customHeight="1" x14ac:dyDescent="0.25">
      <c r="A92" s="37"/>
      <c r="B92" s="70" t="s">
        <v>219</v>
      </c>
      <c r="C92" s="71"/>
      <c r="D92" s="71"/>
      <c r="E92" s="71"/>
      <c r="F92" s="71"/>
      <c r="G92" s="98"/>
      <c r="H92" s="98"/>
      <c r="I92" s="98"/>
      <c r="J92" s="98"/>
      <c r="K92" s="98"/>
      <c r="L92" s="98"/>
      <c r="M92" s="98"/>
      <c r="N92" s="98"/>
      <c r="O92" s="98"/>
    </row>
    <row r="93" spans="1:26" ht="15" customHeight="1" x14ac:dyDescent="0.25">
      <c r="A93" s="37"/>
      <c r="B93" s="71"/>
      <c r="C93" s="71"/>
      <c r="D93" s="71"/>
      <c r="E93" s="71"/>
      <c r="F93" s="71"/>
      <c r="G93" s="71"/>
      <c r="H93" s="71"/>
      <c r="I93" s="71"/>
      <c r="J93" s="71"/>
      <c r="K93" s="71"/>
      <c r="L93" s="71"/>
      <c r="M93" s="71"/>
      <c r="N93" s="71"/>
      <c r="O93" s="71"/>
    </row>
    <row r="94" spans="1:26" ht="15" customHeight="1" x14ac:dyDescent="0.25">
      <c r="A94" s="37"/>
      <c r="B94" s="70" t="s">
        <v>102</v>
      </c>
      <c r="C94" s="71"/>
      <c r="D94" s="71"/>
      <c r="E94" s="71"/>
      <c r="F94" s="71">
        <f>-'Base Case'!O9</f>
        <v>-1437.4430000000004</v>
      </c>
      <c r="G94" s="99"/>
      <c r="H94" s="99"/>
      <c r="I94" s="99"/>
      <c r="J94" s="99"/>
      <c r="K94" s="99"/>
      <c r="L94" s="99"/>
      <c r="M94" s="99"/>
      <c r="N94" s="99"/>
      <c r="O94" s="99"/>
    </row>
    <row r="95" spans="1:26" ht="15" customHeight="1" x14ac:dyDescent="0.25">
      <c r="A95" s="37"/>
      <c r="B95" s="70" t="s">
        <v>103</v>
      </c>
      <c r="C95" s="71"/>
      <c r="D95" s="71"/>
      <c r="F95" s="100"/>
      <c r="G95" s="71"/>
      <c r="H95" s="71"/>
      <c r="I95" s="71"/>
      <c r="J95" s="71"/>
      <c r="K95" s="71"/>
      <c r="L95" s="71"/>
      <c r="M95" s="71"/>
      <c r="N95" s="71"/>
      <c r="O95" s="71"/>
    </row>
    <row r="96" spans="1:26" ht="15" customHeight="1" x14ac:dyDescent="0.25">
      <c r="A96" s="37"/>
      <c r="B96" s="16"/>
      <c r="C96" s="16"/>
      <c r="D96" s="16"/>
      <c r="E96" s="16"/>
      <c r="F96" s="16"/>
      <c r="G96" s="16"/>
      <c r="H96" s="16"/>
      <c r="I96" s="16"/>
      <c r="J96" s="16"/>
      <c r="K96" s="16"/>
      <c r="L96" s="16"/>
      <c r="M96" s="16"/>
      <c r="N96" s="16"/>
      <c r="O96" s="16"/>
    </row>
    <row r="97" spans="1:1" ht="15" customHeight="1" x14ac:dyDescent="0.25">
      <c r="A97" s="86" t="s">
        <v>32</v>
      </c>
    </row>
    <row r="119" spans="1:15" ht="15" customHeight="1" x14ac:dyDescent="0.25">
      <c r="A119" s="37"/>
      <c r="B119" s="16"/>
      <c r="C119" s="16"/>
      <c r="D119" s="39"/>
      <c r="E119" s="39"/>
      <c r="F119" s="39"/>
      <c r="G119" s="16"/>
      <c r="H119" s="16"/>
      <c r="I119" s="16"/>
      <c r="J119" s="16"/>
      <c r="K119" s="16"/>
      <c r="L119" s="16"/>
      <c r="M119" s="16"/>
      <c r="N119" s="16"/>
      <c r="O119" s="16"/>
    </row>
    <row r="120" spans="1:15" ht="15" customHeight="1" x14ac:dyDescent="0.25">
      <c r="A120" s="37" t="s">
        <v>32</v>
      </c>
      <c r="B120" s="16"/>
      <c r="C120" s="16"/>
      <c r="D120" s="16"/>
      <c r="E120" s="16"/>
      <c r="F120" s="16"/>
      <c r="G120" s="16"/>
      <c r="H120" s="16"/>
      <c r="I120" s="16"/>
      <c r="J120" s="16"/>
      <c r="K120" s="16"/>
      <c r="L120" s="16"/>
      <c r="M120" s="16"/>
      <c r="N120" s="16"/>
      <c r="O120" s="16"/>
    </row>
  </sheetData>
  <printOptions gridLines="1"/>
  <pageMargins left="0.70866141732283472" right="0.70866141732283472" top="0.74803149606299213" bottom="0.74803149606299213" header="0" footer="0"/>
  <pageSetup paperSize="9" scale="47" fitToHeight="0" orientation="landscape" r:id="rId1"/>
  <headerFooter>
    <oddHeader>&amp;R&amp;F  &amp;A</oddHeader>
    <oddFooter>&amp;L© 2016&amp;CPage &amp;P of</oddFooter>
  </headerFooter>
  <rowBreaks count="2" manualBreakCount="2">
    <brk id="46" max="15" man="1"/>
    <brk id="96" max="15" man="1"/>
  </rowBreaks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279C8E9-0BE7-47E9-9F04-DF01868F4A68}">
  <sheetPr>
    <tabColor theme="9"/>
    <pageSetUpPr fitToPage="1"/>
  </sheetPr>
  <dimension ref="A1:Z64"/>
  <sheetViews>
    <sheetView zoomScaleNormal="100" workbookViewId="0">
      <pane xSplit="2" ySplit="3" topLeftCell="C4" activePane="bottomRight" state="frozen"/>
      <selection activeCell="C4" sqref="C4"/>
      <selection pane="topRight" activeCell="C4" sqref="C4"/>
      <selection pane="bottomLeft" activeCell="C4" sqref="C4"/>
      <selection pane="bottomRight" activeCell="C4" sqref="C4"/>
    </sheetView>
  </sheetViews>
  <sheetFormatPr defaultColWidth="12.5703125" defaultRowHeight="15" customHeight="1" x14ac:dyDescent="0.25"/>
  <cols>
    <col min="1" max="1" width="1.5703125" customWidth="1"/>
    <col min="2" max="2" width="50.5703125" customWidth="1"/>
    <col min="3" max="15" width="10.28515625" customWidth="1"/>
    <col min="16" max="26" width="8" customWidth="1"/>
  </cols>
  <sheetData>
    <row r="1" spans="1:26" ht="45" customHeight="1" x14ac:dyDescent="0.45">
      <c r="A1" s="41" t="str">
        <f>Info!N5&amp;" Leveraged Recapitalization"</f>
        <v xml:space="preserve"> Leveraged Recapitalization</v>
      </c>
      <c r="B1" s="41"/>
      <c r="C1" s="41"/>
      <c r="D1" s="41"/>
      <c r="E1" s="41"/>
      <c r="F1" s="41"/>
      <c r="G1" s="41"/>
      <c r="H1" s="41"/>
      <c r="I1" s="41"/>
      <c r="J1" s="41"/>
      <c r="K1" s="41"/>
      <c r="L1" s="41"/>
      <c r="M1" s="41"/>
      <c r="N1" s="41"/>
      <c r="O1" s="41"/>
      <c r="P1" s="42"/>
      <c r="Q1" s="42"/>
      <c r="R1" s="42"/>
      <c r="S1" s="42"/>
      <c r="T1" s="42"/>
      <c r="U1" s="42"/>
      <c r="V1" s="42"/>
      <c r="W1" s="42"/>
      <c r="X1" s="42"/>
      <c r="Y1" s="42"/>
      <c r="Z1" s="42"/>
    </row>
    <row r="2" spans="1:26" ht="15" customHeight="1" x14ac:dyDescent="0.3">
      <c r="A2" s="47"/>
      <c r="B2" s="47"/>
      <c r="C2" s="47"/>
      <c r="D2" s="47" t="s">
        <v>155</v>
      </c>
      <c r="E2" s="47" t="s">
        <v>155</v>
      </c>
      <c r="F2" s="47" t="s">
        <v>155</v>
      </c>
      <c r="G2" s="47" t="s">
        <v>154</v>
      </c>
      <c r="H2" s="47" t="s">
        <v>154</v>
      </c>
      <c r="I2" s="47" t="s">
        <v>154</v>
      </c>
      <c r="J2" s="47" t="s">
        <v>154</v>
      </c>
      <c r="K2" s="47" t="s">
        <v>154</v>
      </c>
      <c r="L2" s="47" t="s">
        <v>154</v>
      </c>
      <c r="M2" s="47" t="s">
        <v>154</v>
      </c>
      <c r="N2" s="47" t="s">
        <v>154</v>
      </c>
      <c r="O2" s="47" t="s">
        <v>154</v>
      </c>
      <c r="P2" s="43"/>
      <c r="Q2" s="43"/>
      <c r="R2" s="43"/>
      <c r="S2" s="43"/>
      <c r="T2" s="43"/>
      <c r="U2" s="43"/>
      <c r="V2" s="43"/>
      <c r="W2" s="43"/>
      <c r="X2" s="43"/>
      <c r="Y2" s="43"/>
      <c r="Z2" s="43"/>
    </row>
    <row r="3" spans="1:26" ht="15" customHeight="1" x14ac:dyDescent="0.25">
      <c r="A3" s="47"/>
      <c r="B3" s="47"/>
      <c r="C3" s="50"/>
      <c r="D3" s="97">
        <f t="shared" ref="D3" si="0">DATE(YEAR(E3)-1,MONTH(E3),DAY(E3))</f>
        <v>55518</v>
      </c>
      <c r="E3" s="97">
        <f>DATE(YEAR(F3)-1,MONTH(F3),DAY(F3))</f>
        <v>55884</v>
      </c>
      <c r="F3" s="97">
        <f>Info!N6</f>
        <v>56249</v>
      </c>
      <c r="G3" s="97">
        <f>DATE(YEAR(F3)+1,MONTH(F3),DAY(F3))</f>
        <v>56614</v>
      </c>
      <c r="H3" s="50">
        <f>DATE(YEAR(G3)+1,MONTH(G3),DAY(G3))</f>
        <v>56979</v>
      </c>
      <c r="I3" s="50">
        <f t="shared" ref="I3:O3" si="1">DATE(YEAR(H3)+1,MONTH(H3),DAY(H3))</f>
        <v>57345</v>
      </c>
      <c r="J3" s="50">
        <f t="shared" si="1"/>
        <v>57710</v>
      </c>
      <c r="K3" s="50">
        <f t="shared" si="1"/>
        <v>58075</v>
      </c>
      <c r="L3" s="50">
        <f t="shared" si="1"/>
        <v>58440</v>
      </c>
      <c r="M3" s="50">
        <f t="shared" si="1"/>
        <v>58806</v>
      </c>
      <c r="N3" s="50">
        <f t="shared" si="1"/>
        <v>59171</v>
      </c>
      <c r="O3" s="50">
        <f t="shared" si="1"/>
        <v>59536</v>
      </c>
    </row>
    <row r="4" spans="1:26" ht="15" customHeight="1" x14ac:dyDescent="0.25">
      <c r="A4" s="70" t="str">
        <f>"All numbers in "&amp;Info!$N$7&amp;LOWER(LEFT(Info!$N$8,1))&amp;" unless otherwise stated"</f>
        <v>All numbers in $m unless otherwise stated</v>
      </c>
      <c r="B4" s="16"/>
      <c r="C4" s="16"/>
      <c r="D4" s="16"/>
      <c r="E4" s="16"/>
      <c r="F4" s="16"/>
      <c r="G4" s="16"/>
      <c r="H4" s="16"/>
      <c r="I4" s="16"/>
      <c r="J4" s="16"/>
      <c r="K4" s="16"/>
      <c r="L4" s="16"/>
      <c r="M4" s="16"/>
      <c r="N4" s="16"/>
      <c r="O4" s="16"/>
      <c r="P4" s="16"/>
    </row>
    <row r="5" spans="1:26" ht="15" customHeight="1" x14ac:dyDescent="0.25">
      <c r="A5" s="70"/>
      <c r="B5" s="16"/>
      <c r="C5" s="16"/>
      <c r="D5" s="16"/>
      <c r="E5" s="16"/>
      <c r="F5" s="16"/>
      <c r="G5" s="16"/>
      <c r="H5" s="16"/>
      <c r="I5" s="16"/>
      <c r="J5" s="16"/>
      <c r="K5" s="16"/>
      <c r="L5" s="16"/>
      <c r="M5" s="16"/>
      <c r="N5" s="16"/>
      <c r="O5" s="16"/>
      <c r="P5" s="16"/>
    </row>
    <row r="6" spans="1:26" ht="15" customHeight="1" x14ac:dyDescent="0.25">
      <c r="A6" s="86" t="s">
        <v>172</v>
      </c>
    </row>
    <row r="7" spans="1:26" ht="15" customHeight="1" x14ac:dyDescent="0.25">
      <c r="B7" t="s">
        <v>186</v>
      </c>
      <c r="C7" s="87">
        <v>3</v>
      </c>
    </row>
    <row r="8" spans="1:26" ht="15" customHeight="1" x14ac:dyDescent="0.25">
      <c r="B8" t="s">
        <v>171</v>
      </c>
      <c r="C8" s="56">
        <v>0.02</v>
      </c>
    </row>
    <row r="9" spans="1:26" ht="15" customHeight="1" x14ac:dyDescent="0.25">
      <c r="B9" t="s">
        <v>175</v>
      </c>
      <c r="C9" s="56">
        <v>0.01</v>
      </c>
    </row>
    <row r="10" spans="1:26" ht="15" customHeight="1" x14ac:dyDescent="0.25">
      <c r="B10" t="s">
        <v>181</v>
      </c>
      <c r="C10" s="51">
        <v>1</v>
      </c>
    </row>
    <row r="11" spans="1:26" ht="15" customHeight="1" x14ac:dyDescent="0.25">
      <c r="C11" s="68"/>
    </row>
    <row r="12" spans="1:26" ht="15" customHeight="1" x14ac:dyDescent="0.25">
      <c r="A12" s="86" t="s">
        <v>193</v>
      </c>
      <c r="C12" s="68" t="s">
        <v>188</v>
      </c>
      <c r="D12" t="s">
        <v>157</v>
      </c>
    </row>
    <row r="13" spans="1:26" ht="15" customHeight="1" x14ac:dyDescent="0.25">
      <c r="B13" t="s">
        <v>260</v>
      </c>
      <c r="C13" s="66">
        <v>3.5</v>
      </c>
      <c r="D13" s="56">
        <f>6%+D15</f>
        <v>0.06</v>
      </c>
    </row>
    <row r="14" spans="1:26" ht="15" customHeight="1" x14ac:dyDescent="0.25">
      <c r="B14" t="s">
        <v>261</v>
      </c>
      <c r="C14" s="66">
        <v>1.5</v>
      </c>
      <c r="D14" s="56">
        <f>9%+D15</f>
        <v>0.09</v>
      </c>
    </row>
    <row r="15" spans="1:26" ht="15" customHeight="1" x14ac:dyDescent="0.25">
      <c r="B15" t="s">
        <v>257</v>
      </c>
      <c r="D15" s="68">
        <v>0</v>
      </c>
    </row>
    <row r="17" spans="1:15" ht="15" customHeight="1" x14ac:dyDescent="0.25">
      <c r="B17" t="s">
        <v>100</v>
      </c>
      <c r="G17">
        <f>F17+1</f>
        <v>1</v>
      </c>
      <c r="H17">
        <f t="shared" ref="H17:O17" si="2">G17+1</f>
        <v>2</v>
      </c>
      <c r="I17">
        <f t="shared" si="2"/>
        <v>3</v>
      </c>
      <c r="J17">
        <f t="shared" si="2"/>
        <v>4</v>
      </c>
      <c r="K17">
        <f t="shared" si="2"/>
        <v>5</v>
      </c>
      <c r="L17">
        <f t="shared" si="2"/>
        <v>6</v>
      </c>
      <c r="M17">
        <f t="shared" si="2"/>
        <v>7</v>
      </c>
      <c r="N17">
        <f t="shared" si="2"/>
        <v>8</v>
      </c>
      <c r="O17">
        <f t="shared" si="2"/>
        <v>9</v>
      </c>
    </row>
    <row r="19" spans="1:15" ht="15" customHeight="1" x14ac:dyDescent="0.25">
      <c r="A19" s="86" t="s">
        <v>173</v>
      </c>
    </row>
    <row r="20" spans="1:15" ht="15" customHeight="1" x14ac:dyDescent="0.25">
      <c r="B20" t="s">
        <v>266</v>
      </c>
      <c r="G20" s="98"/>
      <c r="H20" s="98"/>
      <c r="I20" s="98"/>
      <c r="J20" s="98"/>
      <c r="K20" s="98"/>
      <c r="L20" s="98"/>
      <c r="M20" s="98"/>
      <c r="N20" s="98"/>
      <c r="O20" s="98"/>
    </row>
    <row r="21" spans="1:15" ht="15" customHeight="1" x14ac:dyDescent="0.25">
      <c r="B21" t="s">
        <v>267</v>
      </c>
      <c r="G21" s="98"/>
      <c r="H21" s="98"/>
      <c r="I21" s="98"/>
      <c r="J21" s="98"/>
      <c r="K21" s="98"/>
      <c r="L21" s="98"/>
      <c r="M21" s="98"/>
      <c r="N21" s="98"/>
      <c r="O21" s="98"/>
    </row>
    <row r="22" spans="1:15" ht="15" customHeight="1" x14ac:dyDescent="0.25">
      <c r="B22" t="s">
        <v>174</v>
      </c>
      <c r="G22" s="98"/>
      <c r="H22" s="98"/>
      <c r="I22" s="98"/>
      <c r="J22" s="98"/>
      <c r="K22" s="98"/>
      <c r="L22" s="98"/>
      <c r="M22" s="98"/>
      <c r="N22" s="98"/>
      <c r="O22" s="98"/>
    </row>
    <row r="24" spans="1:15" ht="15" customHeight="1" x14ac:dyDescent="0.25">
      <c r="A24" s="86" t="s">
        <v>192</v>
      </c>
    </row>
    <row r="25" spans="1:15" ht="15" customHeight="1" x14ac:dyDescent="0.25">
      <c r="B25" t="s">
        <v>24</v>
      </c>
      <c r="G25" s="98"/>
      <c r="H25" s="98"/>
      <c r="I25" s="98"/>
      <c r="J25" s="98"/>
      <c r="K25" s="98"/>
      <c r="L25" s="98"/>
      <c r="M25" s="98"/>
      <c r="N25" s="98"/>
      <c r="O25" s="98"/>
    </row>
    <row r="27" spans="1:15" ht="15" customHeight="1" x14ac:dyDescent="0.25">
      <c r="B27" t="s">
        <v>81</v>
      </c>
      <c r="G27" s="102"/>
      <c r="H27" s="102"/>
      <c r="I27" s="102"/>
      <c r="J27" s="102"/>
      <c r="K27" s="102"/>
      <c r="L27" s="102"/>
      <c r="M27" s="102"/>
      <c r="N27" s="102"/>
      <c r="O27" s="102"/>
    </row>
    <row r="28" spans="1:15" ht="15" customHeight="1" x14ac:dyDescent="0.25">
      <c r="B28" t="s">
        <v>82</v>
      </c>
      <c r="G28" s="102"/>
      <c r="H28" s="102"/>
      <c r="I28" s="102"/>
      <c r="J28" s="102"/>
      <c r="K28" s="102"/>
      <c r="L28" s="102"/>
      <c r="M28" s="102"/>
      <c r="N28" s="102"/>
      <c r="O28" s="102"/>
    </row>
    <row r="29" spans="1:15" ht="15" customHeight="1" x14ac:dyDescent="0.25">
      <c r="B29" t="s">
        <v>174</v>
      </c>
      <c r="G29" s="102"/>
      <c r="H29" s="102"/>
      <c r="I29" s="102"/>
      <c r="J29" s="102"/>
      <c r="K29" s="102"/>
      <c r="L29" s="102"/>
      <c r="M29" s="102"/>
      <c r="N29" s="102"/>
      <c r="O29" s="102"/>
    </row>
    <row r="31" spans="1:15" ht="15" customHeight="1" x14ac:dyDescent="0.25">
      <c r="A31" s="86" t="s">
        <v>176</v>
      </c>
    </row>
    <row r="32" spans="1:15" ht="15" customHeight="1" x14ac:dyDescent="0.25">
      <c r="B32" t="str">
        <f>B13&amp;" recap"</f>
        <v>Senior debt 2 recap</v>
      </c>
      <c r="G32" s="98"/>
      <c r="H32" s="98"/>
      <c r="I32" s="98"/>
      <c r="J32" s="98"/>
      <c r="K32" s="98"/>
      <c r="L32" s="98"/>
      <c r="M32" s="98"/>
      <c r="N32" s="98"/>
      <c r="O32" s="98"/>
    </row>
    <row r="33" spans="1:26" ht="15" customHeight="1" x14ac:dyDescent="0.25">
      <c r="B33" t="str">
        <f>B14&amp;" recap"</f>
        <v>Unsecured notes 2 recap</v>
      </c>
      <c r="G33" s="98"/>
      <c r="H33" s="98"/>
      <c r="I33" s="98"/>
      <c r="J33" s="98"/>
      <c r="K33" s="98"/>
      <c r="L33" s="98"/>
      <c r="M33" s="98"/>
      <c r="N33" s="98"/>
      <c r="O33" s="98"/>
    </row>
    <row r="34" spans="1:26" ht="15" customHeight="1" x14ac:dyDescent="0.25">
      <c r="B34" t="s">
        <v>177</v>
      </c>
      <c r="G34" s="98"/>
      <c r="H34" s="98"/>
      <c r="I34" s="98"/>
      <c r="J34" s="98"/>
      <c r="K34" s="98"/>
      <c r="L34" s="98"/>
      <c r="M34" s="98"/>
      <c r="N34" s="98"/>
      <c r="O34" s="98"/>
    </row>
    <row r="36" spans="1:26" ht="15" customHeight="1" x14ac:dyDescent="0.25">
      <c r="A36" s="86" t="s">
        <v>178</v>
      </c>
    </row>
    <row r="37" spans="1:26" ht="15" customHeight="1" x14ac:dyDescent="0.25">
      <c r="B37" t="s">
        <v>262</v>
      </c>
      <c r="G37" s="98"/>
      <c r="H37" s="98"/>
      <c r="I37" s="98"/>
      <c r="J37" s="98"/>
      <c r="K37" s="98"/>
      <c r="L37" s="98"/>
      <c r="M37" s="98"/>
      <c r="N37" s="98"/>
      <c r="O37" s="98"/>
    </row>
    <row r="38" spans="1:26" ht="15" customHeight="1" x14ac:dyDescent="0.25">
      <c r="B38" t="s">
        <v>263</v>
      </c>
      <c r="G38" s="98"/>
      <c r="H38" s="98"/>
      <c r="I38" s="98"/>
      <c r="J38" s="98"/>
      <c r="K38" s="98"/>
      <c r="L38" s="98"/>
      <c r="M38" s="98"/>
      <c r="N38" s="98"/>
      <c r="O38" s="98"/>
    </row>
    <row r="39" spans="1:26" ht="15" customHeight="1" x14ac:dyDescent="0.25">
      <c r="B39" t="s">
        <v>179</v>
      </c>
      <c r="G39" s="98"/>
      <c r="H39" s="98"/>
      <c r="I39" s="98"/>
      <c r="J39" s="98"/>
      <c r="K39" s="98"/>
      <c r="L39" s="98"/>
      <c r="M39" s="98"/>
      <c r="N39" s="98"/>
      <c r="O39" s="98"/>
    </row>
    <row r="40" spans="1:26" ht="15" customHeight="1" x14ac:dyDescent="0.25">
      <c r="B40" t="s">
        <v>264</v>
      </c>
      <c r="C40" s="87">
        <v>0</v>
      </c>
      <c r="G40" s="98"/>
      <c r="H40" s="98"/>
      <c r="I40" s="98"/>
      <c r="J40" s="98"/>
      <c r="K40" s="98"/>
      <c r="L40" s="98"/>
      <c r="M40" s="98"/>
      <c r="N40" s="98"/>
      <c r="O40" s="98"/>
    </row>
    <row r="41" spans="1:26" ht="15" customHeight="1" x14ac:dyDescent="0.25">
      <c r="B41" t="s">
        <v>265</v>
      </c>
      <c r="C41" s="87">
        <v>1</v>
      </c>
      <c r="G41" s="98"/>
      <c r="H41" s="98"/>
      <c r="I41" s="98"/>
      <c r="J41" s="98"/>
      <c r="K41" s="98"/>
      <c r="L41" s="98"/>
      <c r="M41" s="98"/>
      <c r="N41" s="98"/>
      <c r="O41" s="98"/>
    </row>
    <row r="42" spans="1:26" ht="15" customHeight="1" x14ac:dyDescent="0.25">
      <c r="B42" t="s">
        <v>189</v>
      </c>
      <c r="G42" s="98"/>
      <c r="H42" s="98"/>
      <c r="I42" s="98"/>
      <c r="J42" s="98"/>
      <c r="K42" s="98"/>
      <c r="L42" s="98"/>
      <c r="M42" s="98"/>
      <c r="N42" s="98"/>
      <c r="O42" s="98"/>
    </row>
    <row r="44" spans="1:26" ht="15" customHeight="1" x14ac:dyDescent="0.25">
      <c r="B44" t="s">
        <v>180</v>
      </c>
      <c r="G44" s="98"/>
      <c r="H44" s="98"/>
      <c r="I44" s="98"/>
      <c r="J44" s="98"/>
      <c r="K44" s="98"/>
      <c r="L44" s="98"/>
      <c r="M44" s="98"/>
      <c r="N44" s="98"/>
      <c r="O44" s="98"/>
    </row>
    <row r="45" spans="1:26" ht="15" customHeight="1" x14ac:dyDescent="0.25">
      <c r="B45" t="s">
        <v>182</v>
      </c>
      <c r="G45" s="98"/>
      <c r="H45" s="98"/>
      <c r="I45" s="98"/>
      <c r="J45" s="98"/>
      <c r="K45" s="98"/>
      <c r="L45" s="98"/>
      <c r="M45" s="98"/>
      <c r="N45" s="98"/>
      <c r="O45" s="98"/>
    </row>
    <row r="47" spans="1:26" ht="15" customHeight="1" x14ac:dyDescent="0.25">
      <c r="A47" s="37" t="s">
        <v>253</v>
      </c>
      <c r="B47" s="16"/>
      <c r="C47" s="16"/>
      <c r="D47" s="16"/>
      <c r="E47" s="16"/>
      <c r="F47" s="16"/>
      <c r="G47" s="16"/>
      <c r="H47" s="16"/>
      <c r="I47" s="16"/>
      <c r="J47" s="16"/>
      <c r="K47" s="16"/>
      <c r="L47" s="16"/>
      <c r="M47" s="16"/>
      <c r="N47" s="16"/>
      <c r="O47" s="16"/>
      <c r="P47" s="16"/>
      <c r="Q47" s="16"/>
      <c r="R47" s="16"/>
      <c r="S47" s="16"/>
      <c r="T47" s="16"/>
      <c r="U47" s="16"/>
      <c r="V47" s="16"/>
      <c r="W47" s="16"/>
      <c r="X47" s="16"/>
      <c r="Y47" s="16"/>
      <c r="Z47" s="16"/>
    </row>
    <row r="48" spans="1:26" ht="15" customHeight="1" x14ac:dyDescent="0.25">
      <c r="A48" s="37"/>
      <c r="B48" s="70" t="s">
        <v>254</v>
      </c>
      <c r="C48" s="71"/>
      <c r="D48" s="71"/>
      <c r="E48" s="16"/>
      <c r="F48" s="16"/>
      <c r="G48" s="16"/>
      <c r="H48" s="16"/>
      <c r="I48" s="16"/>
      <c r="J48" s="16"/>
      <c r="K48" s="16"/>
      <c r="L48" s="16"/>
      <c r="M48" s="16"/>
      <c r="N48" s="16"/>
      <c r="O48" s="16"/>
      <c r="P48" s="16"/>
      <c r="Q48" s="16"/>
      <c r="R48" s="16"/>
      <c r="S48" s="16"/>
      <c r="T48" s="16"/>
      <c r="U48" s="16"/>
      <c r="V48" s="16"/>
      <c r="W48" s="16"/>
      <c r="X48" s="16"/>
      <c r="Y48" s="16"/>
      <c r="Z48" s="16"/>
    </row>
    <row r="49" spans="1:26" ht="15" customHeight="1" x14ac:dyDescent="0.25">
      <c r="A49" s="37"/>
      <c r="B49" s="71"/>
      <c r="C49" s="71"/>
      <c r="D49" s="91" t="s">
        <v>255</v>
      </c>
      <c r="F49" s="91"/>
      <c r="G49" s="16"/>
      <c r="H49" s="16"/>
      <c r="I49" s="16"/>
      <c r="J49" s="16"/>
      <c r="K49" s="16"/>
      <c r="L49" s="16"/>
      <c r="M49" s="16"/>
      <c r="N49" s="16"/>
      <c r="O49" s="16"/>
      <c r="P49" s="16"/>
      <c r="Q49" s="16"/>
      <c r="R49" s="16"/>
      <c r="S49" s="16"/>
      <c r="T49" s="16"/>
      <c r="U49" s="16"/>
      <c r="V49" s="16"/>
      <c r="W49" s="16"/>
      <c r="X49" s="16"/>
      <c r="Y49" s="16"/>
      <c r="Z49" s="16"/>
    </row>
    <row r="50" spans="1:26" ht="15" customHeight="1" x14ac:dyDescent="0.25">
      <c r="A50" s="37"/>
      <c r="B50" s="16"/>
      <c r="C50" s="78" t="e">
        <f>'Recap case'!F107</f>
        <v>#NUM!</v>
      </c>
      <c r="D50" s="55">
        <v>2</v>
      </c>
      <c r="E50" s="55">
        <f>D50+1</f>
        <v>3</v>
      </c>
      <c r="F50" s="55">
        <f>E50+1</f>
        <v>4</v>
      </c>
      <c r="G50" s="16"/>
      <c r="H50" s="16"/>
      <c r="I50" s="16"/>
      <c r="J50" s="16"/>
      <c r="K50" s="16"/>
      <c r="L50" s="16"/>
      <c r="M50" s="16"/>
      <c r="N50" s="16"/>
      <c r="O50" s="16"/>
      <c r="P50" s="16"/>
      <c r="Q50" s="16"/>
      <c r="R50" s="16"/>
      <c r="S50" s="16"/>
      <c r="T50" s="16"/>
      <c r="U50" s="16"/>
      <c r="V50" s="16"/>
      <c r="W50" s="16"/>
      <c r="X50" s="16"/>
      <c r="Y50" s="16"/>
      <c r="Z50" s="16"/>
    </row>
    <row r="51" spans="1:26" ht="15" customHeight="1" x14ac:dyDescent="0.25">
      <c r="A51" s="37"/>
      <c r="B51" s="16"/>
      <c r="C51" s="109">
        <v>0</v>
      </c>
      <c r="D51" s="104"/>
      <c r="E51" s="104"/>
      <c r="F51" s="104"/>
      <c r="G51" s="16"/>
      <c r="H51" s="16"/>
      <c r="I51" s="16"/>
      <c r="J51" s="16"/>
      <c r="K51" s="16"/>
      <c r="L51" s="16"/>
      <c r="M51" s="16"/>
      <c r="N51" s="16"/>
      <c r="O51" s="16"/>
      <c r="P51" s="16"/>
      <c r="Q51" s="16"/>
      <c r="R51" s="16"/>
      <c r="S51" s="16"/>
      <c r="T51" s="16"/>
      <c r="U51" s="16"/>
      <c r="V51" s="16"/>
      <c r="W51" s="16"/>
      <c r="X51" s="16"/>
      <c r="Y51" s="16"/>
      <c r="Z51" s="16"/>
    </row>
    <row r="52" spans="1:26" ht="15" customHeight="1" x14ac:dyDescent="0.25">
      <c r="A52" s="37"/>
      <c r="B52" s="16"/>
      <c r="C52" s="109">
        <f>C51+0.005</f>
        <v>5.0000000000000001E-3</v>
      </c>
      <c r="D52" s="104"/>
      <c r="E52" s="104"/>
      <c r="F52" s="104"/>
      <c r="G52" s="16"/>
      <c r="I52" s="16"/>
      <c r="J52" s="16"/>
      <c r="K52" s="16"/>
      <c r="L52" s="16"/>
      <c r="M52" s="16"/>
      <c r="N52" s="16"/>
      <c r="O52" s="16"/>
      <c r="P52" s="16"/>
      <c r="Q52" s="16"/>
      <c r="R52" s="16"/>
      <c r="S52" s="16"/>
      <c r="T52" s="16"/>
      <c r="U52" s="16"/>
      <c r="V52" s="16"/>
      <c r="W52" s="16"/>
      <c r="X52" s="16"/>
      <c r="Y52" s="16"/>
      <c r="Z52" s="16"/>
    </row>
    <row r="53" spans="1:26" ht="15" customHeight="1" x14ac:dyDescent="0.25">
      <c r="A53" s="37"/>
      <c r="B53" s="16"/>
      <c r="C53" s="109">
        <f t="shared" ref="C53:C62" si="3">C52+0.005</f>
        <v>0.01</v>
      </c>
      <c r="D53" s="104"/>
      <c r="E53" s="104"/>
      <c r="F53" s="104"/>
      <c r="G53" s="16"/>
      <c r="H53" s="16"/>
      <c r="I53" s="16"/>
      <c r="J53" s="16"/>
      <c r="K53" s="16"/>
      <c r="L53" s="16"/>
      <c r="M53" s="16"/>
      <c r="N53" s="16"/>
      <c r="O53" s="16"/>
      <c r="P53" s="16"/>
    </row>
    <row r="54" spans="1:26" ht="15" customHeight="1" x14ac:dyDescent="0.25">
      <c r="A54" s="37"/>
      <c r="B54" s="16"/>
      <c r="C54" s="109">
        <f t="shared" si="3"/>
        <v>1.4999999999999999E-2</v>
      </c>
      <c r="D54" s="104"/>
      <c r="E54" s="104"/>
      <c r="F54" s="104"/>
      <c r="G54" s="16"/>
      <c r="H54" s="16"/>
      <c r="I54" s="16"/>
      <c r="J54" s="16"/>
      <c r="K54" s="16"/>
      <c r="L54" s="16"/>
      <c r="M54" s="16"/>
      <c r="N54" s="16"/>
      <c r="O54" s="16"/>
      <c r="P54" s="16"/>
    </row>
    <row r="55" spans="1:26" ht="15" customHeight="1" x14ac:dyDescent="0.25">
      <c r="A55" s="37"/>
      <c r="B55" s="70" t="s">
        <v>256</v>
      </c>
      <c r="C55" s="109">
        <f t="shared" si="3"/>
        <v>0.02</v>
      </c>
      <c r="D55" s="104"/>
      <c r="E55" s="104"/>
      <c r="F55" s="104"/>
      <c r="G55" s="16"/>
      <c r="H55" s="16"/>
      <c r="I55" s="16"/>
      <c r="J55" s="16"/>
      <c r="K55" s="16"/>
      <c r="L55" s="16"/>
      <c r="M55" s="16"/>
      <c r="N55" s="16"/>
      <c r="O55" s="16"/>
      <c r="P55" s="16"/>
    </row>
    <row r="56" spans="1:26" ht="15" customHeight="1" x14ac:dyDescent="0.25">
      <c r="A56" s="37"/>
      <c r="B56" s="16"/>
      <c r="C56" s="109">
        <f t="shared" si="3"/>
        <v>2.5000000000000001E-2</v>
      </c>
      <c r="D56" s="104"/>
      <c r="E56" s="104"/>
      <c r="F56" s="104"/>
      <c r="G56" s="16"/>
      <c r="H56" s="16"/>
      <c r="I56" s="16"/>
      <c r="J56" s="16"/>
      <c r="K56" s="16"/>
      <c r="L56" s="16"/>
      <c r="M56" s="16"/>
      <c r="N56" s="16"/>
      <c r="O56" s="16"/>
      <c r="P56" s="16"/>
    </row>
    <row r="57" spans="1:26" ht="15" customHeight="1" x14ac:dyDescent="0.25">
      <c r="A57" s="37"/>
      <c r="C57" s="109">
        <f t="shared" si="3"/>
        <v>3.0000000000000002E-2</v>
      </c>
      <c r="D57" s="104"/>
      <c r="E57" s="104"/>
      <c r="F57" s="104"/>
      <c r="G57" s="16"/>
      <c r="H57" s="16"/>
      <c r="I57" s="16"/>
      <c r="J57" s="16"/>
      <c r="K57" s="16"/>
      <c r="L57" s="16"/>
      <c r="M57" s="16"/>
      <c r="N57" s="16"/>
      <c r="O57" s="16"/>
      <c r="P57" s="16"/>
    </row>
    <row r="58" spans="1:26" ht="15" customHeight="1" x14ac:dyDescent="0.25">
      <c r="A58" s="37"/>
      <c r="B58" s="70"/>
      <c r="C58" s="109">
        <f t="shared" si="3"/>
        <v>3.5000000000000003E-2</v>
      </c>
      <c r="D58" s="104"/>
      <c r="E58" s="104"/>
      <c r="F58" s="104"/>
      <c r="G58" s="16"/>
      <c r="H58" s="16"/>
      <c r="I58" s="16"/>
      <c r="J58" s="16"/>
      <c r="K58" s="16"/>
      <c r="L58" s="16"/>
      <c r="M58" s="16"/>
      <c r="N58" s="16"/>
      <c r="O58" s="16"/>
      <c r="P58" s="16"/>
    </row>
    <row r="59" spans="1:26" ht="15" customHeight="1" x14ac:dyDescent="0.25">
      <c r="C59" s="109">
        <f t="shared" si="3"/>
        <v>0.04</v>
      </c>
      <c r="D59" s="104"/>
      <c r="E59" s="104"/>
      <c r="F59" s="104"/>
    </row>
    <row r="60" spans="1:26" ht="15" customHeight="1" x14ac:dyDescent="0.25">
      <c r="C60" s="109">
        <f t="shared" si="3"/>
        <v>4.4999999999999998E-2</v>
      </c>
      <c r="D60" s="104"/>
      <c r="E60" s="104"/>
      <c r="F60" s="104"/>
    </row>
    <row r="61" spans="1:26" ht="15" customHeight="1" x14ac:dyDescent="0.25">
      <c r="C61" s="109">
        <f t="shared" si="3"/>
        <v>4.9999999999999996E-2</v>
      </c>
      <c r="D61" s="104"/>
      <c r="E61" s="104"/>
      <c r="F61" s="104"/>
    </row>
    <row r="62" spans="1:26" ht="15" customHeight="1" x14ac:dyDescent="0.25">
      <c r="C62" s="109">
        <f t="shared" si="3"/>
        <v>5.4999999999999993E-2</v>
      </c>
      <c r="D62" s="104"/>
      <c r="E62" s="104"/>
      <c r="F62" s="104"/>
      <c r="I62" s="89"/>
    </row>
    <row r="63" spans="1:26" ht="15" customHeight="1" x14ac:dyDescent="0.25">
      <c r="I63" s="89"/>
    </row>
    <row r="64" spans="1:26" ht="15" customHeight="1" x14ac:dyDescent="0.25">
      <c r="A64" s="86" t="s">
        <v>32</v>
      </c>
    </row>
  </sheetData>
  <printOptions gridLines="1"/>
  <pageMargins left="0.70866141732283472" right="0.70866141732283472" top="0.74803149606299213" bottom="0.74803149606299213" header="0" footer="0"/>
  <pageSetup paperSize="9" scale="47" fitToHeight="0" orientation="landscape" r:id="rId1"/>
  <headerFooter>
    <oddHeader>&amp;R&amp;F  &amp;A</oddHeader>
    <oddFooter>&amp;L© 2016&amp;CPage &amp;P of</oddFooter>
  </headerFooter>
  <rowBreaks count="2" manualBreakCount="2">
    <brk id="75" max="15" man="1"/>
    <brk id="110" max="15" man="1"/>
  </rowBreaks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2C2652C-A419-473A-97FE-CF2534842F99}">
  <sheetPr>
    <tabColor theme="9"/>
    <pageSetUpPr fitToPage="1"/>
  </sheetPr>
  <dimension ref="A1:Z132"/>
  <sheetViews>
    <sheetView zoomScaleNormal="100" workbookViewId="0">
      <pane xSplit="2" ySplit="3" topLeftCell="C4" activePane="bottomRight" state="frozen"/>
      <selection activeCell="F25" sqref="F25"/>
      <selection pane="topRight" activeCell="F25" sqref="F25"/>
      <selection pane="bottomLeft" activeCell="F25" sqref="F25"/>
      <selection pane="bottomRight" activeCell="C4" sqref="C4"/>
    </sheetView>
  </sheetViews>
  <sheetFormatPr defaultColWidth="12.5703125" defaultRowHeight="15" customHeight="1" x14ac:dyDescent="0.25"/>
  <cols>
    <col min="1" max="1" width="1.5703125" customWidth="1"/>
    <col min="2" max="2" width="50.5703125" customWidth="1"/>
    <col min="3" max="15" width="10.28515625" customWidth="1"/>
    <col min="16" max="26" width="8" customWidth="1"/>
  </cols>
  <sheetData>
    <row r="1" spans="1:26" ht="45" customHeight="1" x14ac:dyDescent="0.45">
      <c r="A1" s="85" t="str">
        <f>Info!N5&amp;"LBO dividend recap Case"</f>
        <v>LBO dividend recap Case</v>
      </c>
      <c r="B1" s="41"/>
      <c r="C1" s="41"/>
      <c r="D1" s="41"/>
      <c r="E1" s="41"/>
      <c r="F1" s="41"/>
      <c r="G1" s="41"/>
      <c r="H1" s="41"/>
      <c r="I1" s="41"/>
      <c r="J1" s="41"/>
      <c r="K1" s="41"/>
      <c r="L1" s="41"/>
      <c r="M1" s="41"/>
      <c r="N1" s="41"/>
      <c r="O1" s="41"/>
      <c r="Q1" s="42"/>
      <c r="R1" s="42"/>
      <c r="S1" s="42"/>
      <c r="T1" s="42"/>
      <c r="U1" s="42"/>
      <c r="V1" s="42"/>
      <c r="W1" s="42"/>
      <c r="X1" s="42"/>
      <c r="Y1" s="42"/>
      <c r="Z1" s="42"/>
    </row>
    <row r="2" spans="1:26" ht="15" customHeight="1" x14ac:dyDescent="0.3">
      <c r="A2" s="47"/>
      <c r="B2" s="47"/>
      <c r="C2" s="47"/>
      <c r="D2" s="47" t="s">
        <v>155</v>
      </c>
      <c r="E2" s="47" t="s">
        <v>155</v>
      </c>
      <c r="F2" s="47" t="s">
        <v>155</v>
      </c>
      <c r="G2" s="47" t="s">
        <v>154</v>
      </c>
      <c r="H2" s="47" t="s">
        <v>154</v>
      </c>
      <c r="I2" s="47" t="s">
        <v>154</v>
      </c>
      <c r="J2" s="47" t="s">
        <v>154</v>
      </c>
      <c r="K2" s="47" t="s">
        <v>154</v>
      </c>
      <c r="L2" s="47" t="s">
        <v>154</v>
      </c>
      <c r="M2" s="47" t="s">
        <v>154</v>
      </c>
      <c r="N2" s="47" t="s">
        <v>154</v>
      </c>
      <c r="O2" s="47" t="s">
        <v>154</v>
      </c>
      <c r="Q2" s="43"/>
      <c r="R2" s="43"/>
      <c r="S2" s="43"/>
      <c r="T2" s="43"/>
      <c r="U2" s="43"/>
      <c r="V2" s="43"/>
      <c r="W2" s="43"/>
      <c r="X2" s="43"/>
      <c r="Y2" s="43"/>
      <c r="Z2" s="43"/>
    </row>
    <row r="3" spans="1:26" ht="15" customHeight="1" x14ac:dyDescent="0.25">
      <c r="A3" s="47"/>
      <c r="B3" s="47"/>
      <c r="C3" s="50"/>
      <c r="D3" s="97">
        <f>DATE(YEAR(E3)-1,MONTH(E3),DAY(E3))</f>
        <v>55518</v>
      </c>
      <c r="E3" s="97">
        <f>DATE(YEAR(F3)-1,MONTH(F3),DAY(F3))</f>
        <v>55884</v>
      </c>
      <c r="F3" s="97">
        <f>Info!N6</f>
        <v>56249</v>
      </c>
      <c r="G3" s="97">
        <f t="shared" ref="G3:O3" si="0">DATE(YEAR(F3)+1,MONTH(F3),DAY(F3))</f>
        <v>56614</v>
      </c>
      <c r="H3" s="50">
        <f t="shared" si="0"/>
        <v>56979</v>
      </c>
      <c r="I3" s="50">
        <f t="shared" si="0"/>
        <v>57345</v>
      </c>
      <c r="J3" s="50">
        <f t="shared" si="0"/>
        <v>57710</v>
      </c>
      <c r="K3" s="50">
        <f t="shared" si="0"/>
        <v>58075</v>
      </c>
      <c r="L3" s="50">
        <f t="shared" si="0"/>
        <v>58440</v>
      </c>
      <c r="M3" s="50">
        <f t="shared" si="0"/>
        <v>58806</v>
      </c>
      <c r="N3" s="50">
        <f t="shared" si="0"/>
        <v>59171</v>
      </c>
      <c r="O3" s="50">
        <f t="shared" si="0"/>
        <v>59536</v>
      </c>
    </row>
    <row r="4" spans="1:26" ht="15" customHeight="1" x14ac:dyDescent="0.25">
      <c r="A4" s="70" t="str">
        <f>"All numbers in "&amp;Info!$N$7&amp;LOWER(LEFT(Info!$N$8,1))&amp;" unless otherwise stated"</f>
        <v>All numbers in $m unless otherwise stated</v>
      </c>
      <c r="B4" s="16"/>
      <c r="C4" s="16"/>
      <c r="D4" s="16"/>
      <c r="E4" s="16"/>
      <c r="F4" s="16"/>
      <c r="G4" s="16"/>
      <c r="H4" s="16"/>
      <c r="I4" s="16"/>
      <c r="J4" s="16"/>
      <c r="K4" s="16"/>
      <c r="L4" s="16"/>
      <c r="M4" s="16"/>
      <c r="N4" s="16"/>
      <c r="O4" s="16"/>
    </row>
    <row r="5" spans="1:26" ht="15" customHeight="1" x14ac:dyDescent="0.25">
      <c r="A5" s="70"/>
      <c r="B5" s="16"/>
      <c r="C5" s="16"/>
      <c r="D5" s="16"/>
      <c r="E5" s="16"/>
      <c r="F5" s="16"/>
      <c r="G5" s="16"/>
      <c r="H5" s="16"/>
      <c r="I5" s="16"/>
      <c r="J5" s="16"/>
      <c r="K5" s="16"/>
      <c r="L5" s="16"/>
      <c r="M5" s="16"/>
      <c r="N5" s="16"/>
      <c r="O5" s="16"/>
    </row>
    <row r="6" spans="1:26" ht="15" customHeight="1" x14ac:dyDescent="0.25">
      <c r="A6" s="70"/>
      <c r="B6" s="16" t="s">
        <v>243</v>
      </c>
      <c r="C6" s="87">
        <v>1</v>
      </c>
      <c r="D6" s="16"/>
      <c r="E6" s="16"/>
      <c r="F6" s="16"/>
      <c r="G6" s="16"/>
      <c r="H6" s="16"/>
      <c r="I6" s="16"/>
      <c r="J6" s="16"/>
      <c r="K6" s="16"/>
      <c r="L6" s="16"/>
      <c r="M6" s="16"/>
      <c r="N6" s="16"/>
      <c r="O6" s="16"/>
    </row>
    <row r="7" spans="1:26" ht="15" customHeight="1" x14ac:dyDescent="0.25">
      <c r="A7" s="70"/>
      <c r="B7" s="16"/>
      <c r="D7" s="16"/>
      <c r="E7" s="16"/>
      <c r="F7" s="16"/>
      <c r="G7" s="16"/>
      <c r="H7" s="16"/>
      <c r="I7" s="16"/>
      <c r="J7" s="16"/>
      <c r="K7" s="16"/>
      <c r="L7" s="16"/>
      <c r="M7" s="16"/>
      <c r="N7" s="16"/>
      <c r="O7" s="16"/>
    </row>
    <row r="8" spans="1:26" ht="15" customHeight="1" x14ac:dyDescent="0.25">
      <c r="A8" s="37" t="s">
        <v>229</v>
      </c>
      <c r="B8" s="16"/>
      <c r="C8" s="16"/>
      <c r="D8" s="16"/>
      <c r="E8" s="16"/>
      <c r="F8" s="16"/>
      <c r="H8" s="37" t="s">
        <v>282</v>
      </c>
      <c r="I8" s="16"/>
      <c r="J8" s="16"/>
      <c r="K8" s="16"/>
      <c r="L8" s="16"/>
      <c r="M8" s="16"/>
      <c r="N8" s="70" t="s">
        <v>187</v>
      </c>
      <c r="O8" s="16"/>
    </row>
    <row r="9" spans="1:26" ht="15" customHeight="1" x14ac:dyDescent="0.25">
      <c r="A9" s="37"/>
      <c r="B9" s="70" t="s">
        <v>60</v>
      </c>
      <c r="C9" s="16"/>
      <c r="D9" s="16"/>
      <c r="E9" s="67"/>
      <c r="F9" s="71">
        <f>+F37</f>
        <v>281.3</v>
      </c>
      <c r="H9" s="70" t="s">
        <v>72</v>
      </c>
      <c r="I9" s="71"/>
      <c r="J9" s="71">
        <f>+F9*F11</f>
        <v>3094.3</v>
      </c>
      <c r="L9" s="70" t="s">
        <v>266</v>
      </c>
      <c r="M9" s="16"/>
      <c r="N9" s="77">
        <f>'Base Case'!N7</f>
        <v>4</v>
      </c>
      <c r="O9" s="71">
        <f>+N9*$F$9</f>
        <v>1125.2</v>
      </c>
    </row>
    <row r="10" spans="1:26" ht="15" customHeight="1" x14ac:dyDescent="0.25">
      <c r="A10" s="37"/>
      <c r="B10" s="70" t="s">
        <v>190</v>
      </c>
      <c r="C10" s="16"/>
      <c r="D10" s="16"/>
      <c r="E10" s="49"/>
      <c r="F10" s="77">
        <f>'Base Case'!F8</f>
        <v>6</v>
      </c>
      <c r="H10" s="70" t="s">
        <v>78</v>
      </c>
      <c r="I10" s="71"/>
      <c r="J10" s="71">
        <f>+F19*J9</f>
        <v>30.943000000000001</v>
      </c>
      <c r="L10" s="71" t="s">
        <v>267</v>
      </c>
      <c r="M10" s="16"/>
      <c r="N10" s="77">
        <f>+F10-N9</f>
        <v>2</v>
      </c>
      <c r="O10" s="71">
        <f>+N10*$F$9</f>
        <v>562.6</v>
      </c>
    </row>
    <row r="11" spans="1:26" ht="15" customHeight="1" x14ac:dyDescent="0.25">
      <c r="A11" s="37"/>
      <c r="B11" s="71" t="s">
        <v>83</v>
      </c>
      <c r="C11" s="16"/>
      <c r="D11" s="16"/>
      <c r="E11" s="40"/>
      <c r="F11" s="77">
        <f>'Base Case'!F9</f>
        <v>11</v>
      </c>
      <c r="L11" s="70" t="s">
        <v>64</v>
      </c>
      <c r="M11" s="16"/>
      <c r="N11" s="16"/>
      <c r="O11" s="71">
        <f>+J12-O10-O9</f>
        <v>1437.4430000000004</v>
      </c>
    </row>
    <row r="12" spans="1:26" ht="15" customHeight="1" x14ac:dyDescent="0.25">
      <c r="A12" s="37"/>
      <c r="B12" s="71" t="s">
        <v>150</v>
      </c>
      <c r="F12" s="77">
        <f>'Base Case'!F10</f>
        <v>11</v>
      </c>
      <c r="H12" s="70" t="s">
        <v>79</v>
      </c>
      <c r="I12" s="71"/>
      <c r="J12" s="71">
        <f>SUM(J9:J10)</f>
        <v>3125.2430000000004</v>
      </c>
      <c r="L12" s="70" t="s">
        <v>80</v>
      </c>
      <c r="M12" s="16"/>
      <c r="N12" s="16"/>
      <c r="O12" s="71">
        <f>SUM(O9:O11)</f>
        <v>3125.2430000000004</v>
      </c>
    </row>
    <row r="13" spans="1:26" ht="15" customHeight="1" x14ac:dyDescent="0.25">
      <c r="A13" s="37"/>
      <c r="B13" s="71"/>
      <c r="C13" s="16"/>
      <c r="D13" s="16"/>
      <c r="E13" s="16"/>
      <c r="G13" s="16"/>
      <c r="H13" s="16"/>
      <c r="I13" s="16"/>
      <c r="J13" s="16"/>
      <c r="K13" s="16"/>
      <c r="L13" s="16"/>
      <c r="M13" s="16"/>
      <c r="N13" s="16"/>
      <c r="O13" s="16"/>
    </row>
    <row r="14" spans="1:26" ht="15" customHeight="1" x14ac:dyDescent="0.25">
      <c r="A14" s="37"/>
      <c r="B14" s="70" t="s">
        <v>84</v>
      </c>
      <c r="C14" s="16"/>
      <c r="D14" s="16"/>
      <c r="F14" s="68">
        <f>'Base Case'!F12</f>
        <v>2.4E-2</v>
      </c>
      <c r="G14" s="16"/>
      <c r="H14" s="73" t="s">
        <v>280</v>
      </c>
      <c r="I14" s="16"/>
      <c r="J14" s="73" t="s">
        <v>157</v>
      </c>
      <c r="K14" s="73" t="s">
        <v>281</v>
      </c>
      <c r="L14" s="16"/>
      <c r="M14" s="16"/>
      <c r="N14" s="16"/>
      <c r="O14" s="16"/>
    </row>
    <row r="15" spans="1:26" ht="15" customHeight="1" x14ac:dyDescent="0.25">
      <c r="A15" s="37"/>
      <c r="B15" s="70" t="s">
        <v>73</v>
      </c>
      <c r="C15" s="16"/>
      <c r="D15" s="16"/>
      <c r="F15" s="68">
        <f>'Base Case'!F13</f>
        <v>2.5000000000000001E-2</v>
      </c>
      <c r="G15" s="16"/>
      <c r="H15" t="s">
        <v>260</v>
      </c>
      <c r="J15" s="68">
        <f>Recap!D13</f>
        <v>0.06</v>
      </c>
      <c r="K15" s="108">
        <f>Recap!C13</f>
        <v>3.5</v>
      </c>
      <c r="L15" s="16"/>
      <c r="M15" s="16"/>
      <c r="N15" s="16"/>
      <c r="O15" s="16"/>
    </row>
    <row r="16" spans="1:26" ht="15" customHeight="1" x14ac:dyDescent="0.25">
      <c r="A16" s="37"/>
      <c r="B16" s="70" t="s">
        <v>85</v>
      </c>
      <c r="C16" s="16"/>
      <c r="D16" s="16"/>
      <c r="F16" s="107">
        <f>SUM(F14:F15)</f>
        <v>4.9000000000000002E-2</v>
      </c>
      <c r="G16" s="16"/>
      <c r="H16" t="s">
        <v>261</v>
      </c>
      <c r="J16" s="68">
        <f>Recap!D14</f>
        <v>0.09</v>
      </c>
      <c r="K16" s="108">
        <f>Recap!C14</f>
        <v>1.5</v>
      </c>
      <c r="L16" s="16"/>
      <c r="M16" s="16"/>
      <c r="N16" s="16"/>
      <c r="O16" s="16"/>
    </row>
    <row r="17" spans="1:26" ht="15" customHeight="1" x14ac:dyDescent="0.25">
      <c r="A17" s="37"/>
      <c r="B17" s="71" t="s">
        <v>86</v>
      </c>
      <c r="C17" s="16"/>
      <c r="D17" s="16"/>
      <c r="F17" s="68">
        <f>'Base Case'!F15</f>
        <v>7.0000000000000007E-2</v>
      </c>
      <c r="G17" s="16"/>
      <c r="H17" s="16" t="str">
        <f>Recap!B7</f>
        <v>Recapitalization year</v>
      </c>
      <c r="I17" s="16"/>
      <c r="J17" s="16">
        <f>RecapYear</f>
        <v>3</v>
      </c>
      <c r="K17" s="16"/>
      <c r="L17" s="16"/>
      <c r="M17" s="16"/>
      <c r="N17" s="16"/>
      <c r="O17" s="16"/>
    </row>
    <row r="18" spans="1:26" ht="15" customHeight="1" x14ac:dyDescent="0.25">
      <c r="A18" s="37"/>
      <c r="B18" s="71" t="s">
        <v>62</v>
      </c>
      <c r="C18" s="16"/>
      <c r="D18" s="16"/>
      <c r="F18" s="68">
        <f>'Base Case'!F16</f>
        <v>3.0000000000000001E-3</v>
      </c>
      <c r="G18" s="16"/>
      <c r="H18" s="16"/>
      <c r="I18" s="16"/>
      <c r="J18" s="16"/>
      <c r="K18" s="16"/>
      <c r="L18" s="16"/>
      <c r="M18" s="16"/>
      <c r="N18" s="16"/>
      <c r="O18" s="16"/>
    </row>
    <row r="19" spans="1:26" ht="15" customHeight="1" x14ac:dyDescent="0.25">
      <c r="A19" s="37"/>
      <c r="B19" s="70" t="s">
        <v>87</v>
      </c>
      <c r="C19" s="16"/>
      <c r="D19" s="16"/>
      <c r="F19" s="68">
        <f>'Base Case'!F17</f>
        <v>0.01</v>
      </c>
      <c r="G19" s="16"/>
      <c r="H19" s="16"/>
      <c r="I19" s="16"/>
      <c r="J19" s="16"/>
      <c r="K19" s="16"/>
      <c r="L19" s="16"/>
      <c r="M19" s="16"/>
      <c r="N19" s="16"/>
      <c r="O19" s="16"/>
      <c r="Q19" s="16"/>
      <c r="R19" s="16"/>
      <c r="S19" s="16"/>
      <c r="T19" s="16"/>
      <c r="U19" s="16"/>
      <c r="V19" s="16"/>
      <c r="W19" s="16"/>
      <c r="X19" s="16"/>
      <c r="Y19" s="16"/>
      <c r="Z19" s="16"/>
    </row>
    <row r="20" spans="1:26" ht="15" customHeight="1" x14ac:dyDescent="0.25">
      <c r="A20" s="37"/>
      <c r="B20" s="70" t="s">
        <v>88</v>
      </c>
      <c r="C20" s="16"/>
      <c r="D20" s="16"/>
      <c r="F20">
        <f>'Base Case'!F18</f>
        <v>5</v>
      </c>
      <c r="G20" s="16"/>
      <c r="H20" s="16"/>
      <c r="I20" s="16"/>
      <c r="J20" s="16"/>
      <c r="K20" s="16"/>
      <c r="L20" s="16"/>
      <c r="M20" s="16"/>
      <c r="N20" s="16"/>
      <c r="O20" s="16"/>
      <c r="Q20" s="16"/>
      <c r="R20" s="16"/>
      <c r="S20" s="16"/>
      <c r="T20" s="16"/>
      <c r="U20" s="16"/>
      <c r="V20" s="16"/>
      <c r="W20" s="16"/>
      <c r="X20" s="16"/>
      <c r="Y20" s="16"/>
      <c r="Z20" s="16"/>
    </row>
    <row r="21" spans="1:26" ht="15" customHeight="1" x14ac:dyDescent="0.25">
      <c r="A21" s="37"/>
      <c r="B21" s="16"/>
      <c r="C21" s="16"/>
      <c r="D21" s="16"/>
      <c r="E21" s="16"/>
      <c r="F21" s="16"/>
      <c r="G21" s="16"/>
      <c r="H21" s="16"/>
      <c r="I21" s="16"/>
      <c r="J21" s="16"/>
      <c r="K21" s="16"/>
      <c r="L21" s="16"/>
      <c r="M21" s="16"/>
      <c r="N21" s="16"/>
      <c r="O21" s="16"/>
    </row>
    <row r="22" spans="1:26" ht="15" customHeight="1" x14ac:dyDescent="0.25">
      <c r="A22" s="37"/>
      <c r="B22" s="70" t="s">
        <v>100</v>
      </c>
      <c r="C22" s="71"/>
      <c r="D22" s="71"/>
      <c r="E22" s="71"/>
      <c r="F22" s="65">
        <v>0</v>
      </c>
      <c r="G22" s="71">
        <f t="shared" ref="G22:O22" si="1">F22+1</f>
        <v>1</v>
      </c>
      <c r="H22" s="71">
        <f t="shared" si="1"/>
        <v>2</v>
      </c>
      <c r="I22" s="71">
        <f t="shared" si="1"/>
        <v>3</v>
      </c>
      <c r="J22" s="71">
        <f t="shared" si="1"/>
        <v>4</v>
      </c>
      <c r="K22" s="71">
        <f t="shared" si="1"/>
        <v>5</v>
      </c>
      <c r="L22" s="71">
        <f t="shared" si="1"/>
        <v>6</v>
      </c>
      <c r="M22" s="71">
        <f t="shared" si="1"/>
        <v>7</v>
      </c>
      <c r="N22" s="71">
        <f t="shared" si="1"/>
        <v>8</v>
      </c>
      <c r="O22" s="71">
        <f t="shared" si="1"/>
        <v>9</v>
      </c>
    </row>
    <row r="23" spans="1:26" ht="15" customHeight="1" x14ac:dyDescent="0.25">
      <c r="A23" s="37"/>
      <c r="B23" s="16"/>
      <c r="C23" s="16"/>
      <c r="D23" s="16"/>
      <c r="E23" s="16"/>
      <c r="F23" s="16"/>
      <c r="G23" s="16"/>
      <c r="H23" s="16"/>
      <c r="I23" s="16"/>
      <c r="J23" s="16"/>
      <c r="K23" s="16"/>
      <c r="L23" s="16"/>
      <c r="M23" s="16"/>
      <c r="N23" s="16"/>
      <c r="O23" s="16"/>
    </row>
    <row r="24" spans="1:26" ht="15" customHeight="1" x14ac:dyDescent="0.25">
      <c r="A24" s="37" t="s">
        <v>230</v>
      </c>
      <c r="B24" s="16"/>
      <c r="C24" s="16"/>
      <c r="D24" s="16"/>
      <c r="E24" s="16"/>
      <c r="F24" s="16"/>
      <c r="G24" s="16"/>
      <c r="H24" s="16"/>
      <c r="I24" s="16"/>
      <c r="J24" s="16"/>
      <c r="K24" s="16"/>
      <c r="L24" s="16"/>
      <c r="M24" s="16"/>
      <c r="N24" s="16"/>
      <c r="O24" s="16"/>
    </row>
    <row r="25" spans="1:26" ht="15" customHeight="1" x14ac:dyDescent="0.25">
      <c r="A25" s="37"/>
      <c r="B25" s="71" t="s">
        <v>223</v>
      </c>
      <c r="C25" s="16"/>
      <c r="D25" s="74"/>
      <c r="E25" s="75">
        <f>E36/D36-1</f>
        <v>0.1278372746759997</v>
      </c>
      <c r="F25" s="75">
        <f>F36/E36-1</f>
        <v>0.11468453738092621</v>
      </c>
      <c r="G25" s="68">
        <f>'Base Case'!G23</f>
        <v>0.1</v>
      </c>
      <c r="H25" s="68">
        <f>'Base Case'!H23</f>
        <v>9.0000000000000011E-2</v>
      </c>
      <c r="I25" s="68">
        <f>'Base Case'!I23</f>
        <v>8.0000000000000016E-2</v>
      </c>
      <c r="J25" s="68">
        <f>'Base Case'!J23</f>
        <v>7.0000000000000021E-2</v>
      </c>
      <c r="K25" s="68">
        <f>'Base Case'!K23</f>
        <v>6.0000000000000019E-2</v>
      </c>
      <c r="L25" s="68">
        <f>'Base Case'!L23</f>
        <v>5.0000000000000017E-2</v>
      </c>
      <c r="M25" s="68">
        <f>'Base Case'!M23</f>
        <v>4.0000000000000015E-2</v>
      </c>
      <c r="N25" s="68">
        <f>'Base Case'!N23</f>
        <v>3.0000000000000013E-2</v>
      </c>
      <c r="O25" s="68">
        <f>'Base Case'!O23</f>
        <v>2.0000000000000011E-2</v>
      </c>
    </row>
    <row r="26" spans="1:26" ht="15" customHeight="1" x14ac:dyDescent="0.25">
      <c r="A26" s="37"/>
      <c r="B26" s="71" t="s">
        <v>31</v>
      </c>
      <c r="C26" s="16"/>
      <c r="D26" s="16"/>
      <c r="E26" s="72">
        <f>E37/E36</f>
        <v>0.2113510396552313</v>
      </c>
      <c r="F26" s="72">
        <f>F37/F36</f>
        <v>0.19147288800401596</v>
      </c>
      <c r="G26" s="68">
        <f>'Base Case'!G24</f>
        <v>0.21</v>
      </c>
      <c r="H26" s="68">
        <f>'Base Case'!H24</f>
        <v>0.21</v>
      </c>
      <c r="I26" s="68">
        <f>'Base Case'!I24</f>
        <v>0.21</v>
      </c>
      <c r="J26" s="68">
        <f>'Base Case'!J24</f>
        <v>0.21</v>
      </c>
      <c r="K26" s="68">
        <f>'Base Case'!K24</f>
        <v>0.21</v>
      </c>
      <c r="L26" s="68">
        <f>'Base Case'!L24</f>
        <v>0.21</v>
      </c>
      <c r="M26" s="68">
        <f>'Base Case'!M24</f>
        <v>0.21</v>
      </c>
      <c r="N26" s="68">
        <f>'Base Case'!N24</f>
        <v>0.21</v>
      </c>
      <c r="O26" s="68">
        <f>'Base Case'!O24</f>
        <v>0.21</v>
      </c>
    </row>
    <row r="27" spans="1:26" ht="15" customHeight="1" x14ac:dyDescent="0.25">
      <c r="A27" s="37"/>
      <c r="B27" s="71" t="s">
        <v>149</v>
      </c>
      <c r="C27" s="16"/>
      <c r="D27" s="16"/>
      <c r="E27" s="52"/>
      <c r="F27" s="52"/>
      <c r="G27" s="68">
        <f>'Base Case'!G25</f>
        <v>0.02</v>
      </c>
      <c r="H27" s="68">
        <f>'Base Case'!H25</f>
        <v>0.02</v>
      </c>
      <c r="I27" s="68">
        <f>'Base Case'!I25</f>
        <v>0.02</v>
      </c>
      <c r="J27" s="68">
        <f>'Base Case'!J25</f>
        <v>0.02</v>
      </c>
      <c r="K27" s="68">
        <f>'Base Case'!K25</f>
        <v>0.02</v>
      </c>
      <c r="L27" s="68">
        <f>'Base Case'!L25</f>
        <v>0.02</v>
      </c>
      <c r="M27" s="68">
        <f>'Base Case'!M25</f>
        <v>0.02</v>
      </c>
      <c r="N27" s="68">
        <f>'Base Case'!N25</f>
        <v>0.02</v>
      </c>
      <c r="O27" s="68">
        <f>'Base Case'!O25</f>
        <v>0.02</v>
      </c>
    </row>
    <row r="28" spans="1:26" ht="15" customHeight="1" x14ac:dyDescent="0.25">
      <c r="A28" s="36"/>
      <c r="B28" s="71" t="s">
        <v>212</v>
      </c>
      <c r="C28" s="16"/>
      <c r="D28" s="72">
        <f>-D53/D36</f>
        <v>5.4424330071581685E-2</v>
      </c>
      <c r="E28" s="72">
        <f>-E53/E36</f>
        <v>6.9378634809956111E-2</v>
      </c>
      <c r="F28" s="72">
        <f>-F53/F36</f>
        <v>5.2435527648024775E-2</v>
      </c>
      <c r="G28" s="68">
        <f>'Base Case'!G26</f>
        <v>6.3E-2</v>
      </c>
      <c r="H28" s="68">
        <f>'Base Case'!H26</f>
        <v>6.3E-2</v>
      </c>
      <c r="I28" s="68">
        <f>'Base Case'!I26</f>
        <v>6.3E-2</v>
      </c>
      <c r="J28" s="68">
        <f>'Base Case'!J26</f>
        <v>6.3E-2</v>
      </c>
      <c r="K28" s="68">
        <f>'Base Case'!K26</f>
        <v>6.3E-2</v>
      </c>
      <c r="L28" s="68">
        <f>'Base Case'!L26</f>
        <v>6.3E-2</v>
      </c>
      <c r="M28" s="68">
        <f>'Base Case'!M26</f>
        <v>6.3E-2</v>
      </c>
      <c r="N28" s="68">
        <f>'Base Case'!N26</f>
        <v>6.3E-2</v>
      </c>
      <c r="O28" s="68">
        <f>'Base Case'!O26</f>
        <v>6.3E-2</v>
      </c>
    </row>
    <row r="29" spans="1:26" ht="15" customHeight="1" x14ac:dyDescent="0.25">
      <c r="A29" s="36"/>
      <c r="B29" s="71" t="s">
        <v>213</v>
      </c>
      <c r="C29" s="16"/>
      <c r="D29" s="72">
        <f>D38/D53</f>
        <v>0.54693396226415092</v>
      </c>
      <c r="E29" s="72">
        <f>E38/E53</f>
        <v>0.48930993000874889</v>
      </c>
      <c r="F29" s="72">
        <f>F38/F53</f>
        <v>0.69708574024793934</v>
      </c>
      <c r="G29" s="68">
        <f>'Base Case'!G27</f>
        <v>0.7</v>
      </c>
      <c r="H29" s="68">
        <f>'Base Case'!H27</f>
        <v>0.7</v>
      </c>
      <c r="I29" s="68">
        <f>'Base Case'!I27</f>
        <v>0.7</v>
      </c>
      <c r="J29" s="68">
        <f>'Base Case'!J27</f>
        <v>0.75</v>
      </c>
      <c r="K29" s="68">
        <f>'Base Case'!K27</f>
        <v>0.8</v>
      </c>
      <c r="L29" s="68">
        <f>'Base Case'!L27</f>
        <v>0.85</v>
      </c>
      <c r="M29" s="68">
        <f>'Base Case'!M27</f>
        <v>0.9</v>
      </c>
      <c r="N29" s="68">
        <f>'Base Case'!N27</f>
        <v>0.95</v>
      </c>
      <c r="O29" s="68">
        <f>'Base Case'!O27</f>
        <v>0.95</v>
      </c>
      <c r="Q29" s="16"/>
      <c r="R29" s="16"/>
      <c r="S29" s="16"/>
      <c r="T29" s="16"/>
      <c r="U29" s="16"/>
      <c r="V29" s="16"/>
      <c r="W29" s="16"/>
      <c r="X29" s="16"/>
      <c r="Y29" s="16"/>
      <c r="Z29" s="16"/>
    </row>
    <row r="30" spans="1:26" ht="15" customHeight="1" x14ac:dyDescent="0.25">
      <c r="A30" s="36"/>
      <c r="B30" t="s">
        <v>202</v>
      </c>
      <c r="C30" s="16"/>
      <c r="D30" s="52"/>
      <c r="E30" s="72"/>
      <c r="F30" s="72"/>
      <c r="G30" s="68">
        <f>'Base Case'!G28</f>
        <v>0.13500000000000001</v>
      </c>
      <c r="H30" s="68">
        <f>'Base Case'!H28</f>
        <v>0.13500000000000001</v>
      </c>
      <c r="I30" s="68">
        <f>'Base Case'!I28</f>
        <v>0.13500000000000001</v>
      </c>
      <c r="J30" s="68">
        <f>'Base Case'!J28</f>
        <v>0.13500000000000001</v>
      </c>
      <c r="K30" s="68">
        <f>'Base Case'!K28</f>
        <v>0.13500000000000001</v>
      </c>
      <c r="L30" s="68">
        <f>'Base Case'!L28</f>
        <v>0.13500000000000001</v>
      </c>
      <c r="M30" s="68">
        <f>'Base Case'!M28</f>
        <v>0.13500000000000001</v>
      </c>
      <c r="N30" s="68">
        <f>'Base Case'!N28</f>
        <v>0.13500000000000001</v>
      </c>
      <c r="O30" s="68">
        <f>'Base Case'!O28</f>
        <v>0.13500000000000001</v>
      </c>
      <c r="Q30" s="16"/>
      <c r="R30" s="16"/>
      <c r="S30" s="16"/>
      <c r="T30" s="16"/>
      <c r="U30" s="16"/>
      <c r="V30" s="16"/>
      <c r="W30" s="16"/>
      <c r="X30" s="16"/>
      <c r="Y30" s="16"/>
      <c r="Z30" s="16"/>
    </row>
    <row r="31" spans="1:26" ht="15" customHeight="1" x14ac:dyDescent="0.25">
      <c r="A31" s="37"/>
      <c r="B31" s="70" t="s">
        <v>71</v>
      </c>
      <c r="C31" s="16"/>
      <c r="D31" s="16"/>
      <c r="E31" s="16"/>
      <c r="F31" s="39"/>
      <c r="G31" s="68">
        <f>'Base Case'!G29</f>
        <v>0.2</v>
      </c>
      <c r="H31" s="68">
        <f>'Base Case'!H29</f>
        <v>0.2</v>
      </c>
      <c r="I31" s="68">
        <f>'Base Case'!I29</f>
        <v>0.2</v>
      </c>
      <c r="J31" s="68">
        <f>'Base Case'!J29</f>
        <v>0.2</v>
      </c>
      <c r="K31" s="68">
        <f>'Base Case'!K29</f>
        <v>0.2</v>
      </c>
      <c r="L31" s="68">
        <f>'Base Case'!L29</f>
        <v>0.2</v>
      </c>
      <c r="M31" s="68">
        <f>'Base Case'!M29</f>
        <v>0.2</v>
      </c>
      <c r="N31" s="68">
        <f>'Base Case'!N29</f>
        <v>0.2</v>
      </c>
      <c r="O31" s="68">
        <f>'Base Case'!O29</f>
        <v>0.2</v>
      </c>
      <c r="Q31" s="16"/>
      <c r="R31" s="16"/>
      <c r="S31" s="16"/>
      <c r="T31" s="16"/>
      <c r="U31" s="16"/>
      <c r="V31" s="16"/>
      <c r="W31" s="16"/>
      <c r="X31" s="16"/>
      <c r="Y31" s="16"/>
      <c r="Z31" s="16"/>
    </row>
    <row r="32" spans="1:26" ht="15" customHeight="1" x14ac:dyDescent="0.25">
      <c r="A32" s="36"/>
      <c r="B32" s="71" t="s">
        <v>201</v>
      </c>
      <c r="C32" s="16"/>
      <c r="D32" s="52"/>
      <c r="E32" s="74">
        <v>159.38749999999999</v>
      </c>
      <c r="F32" s="74">
        <v>184.45750000000001</v>
      </c>
      <c r="G32">
        <f t="shared" ref="G32:O32" si="2">+G30*G36</f>
        <v>218.16691875000004</v>
      </c>
      <c r="H32">
        <f t="shared" si="2"/>
        <v>237.80194143750006</v>
      </c>
      <c r="I32">
        <f t="shared" si="2"/>
        <v>256.82609675250006</v>
      </c>
      <c r="J32">
        <f t="shared" si="2"/>
        <v>274.80392352517509</v>
      </c>
      <c r="K32">
        <f t="shared" si="2"/>
        <v>291.29215893668561</v>
      </c>
      <c r="L32">
        <f t="shared" si="2"/>
        <v>305.85676688351987</v>
      </c>
      <c r="M32">
        <f t="shared" si="2"/>
        <v>318.09103755886071</v>
      </c>
      <c r="N32">
        <f t="shared" si="2"/>
        <v>327.63376868562653</v>
      </c>
      <c r="O32">
        <f t="shared" si="2"/>
        <v>334.18644405933907</v>
      </c>
      <c r="Q32" s="16"/>
      <c r="R32" s="16"/>
      <c r="S32" s="16"/>
      <c r="T32" s="16"/>
      <c r="U32" s="16"/>
      <c r="V32" s="16"/>
      <c r="W32" s="16"/>
      <c r="X32" s="16"/>
      <c r="Y32" s="16"/>
      <c r="Z32" s="16"/>
    </row>
    <row r="33" spans="1:26" ht="15" customHeight="1" x14ac:dyDescent="0.25">
      <c r="A33" s="37"/>
      <c r="B33" s="70" t="s">
        <v>90</v>
      </c>
      <c r="C33" s="16"/>
      <c r="D33" s="16"/>
      <c r="E33" s="16"/>
      <c r="F33" s="16"/>
      <c r="G33" s="71">
        <f t="shared" ref="G33:O33" si="3">G37+G40</f>
        <v>371.69178750000003</v>
      </c>
      <c r="H33" s="71">
        <f t="shared" si="3"/>
        <v>405.14404837500007</v>
      </c>
      <c r="I33" s="71">
        <f t="shared" si="3"/>
        <v>437.55557224500006</v>
      </c>
      <c r="J33" s="71">
        <f t="shared" si="3"/>
        <v>468.18446230215011</v>
      </c>
      <c r="K33" s="71">
        <f t="shared" si="3"/>
        <v>496.27553004027914</v>
      </c>
      <c r="L33" s="71">
        <f t="shared" si="3"/>
        <v>521.08930654229312</v>
      </c>
      <c r="M33" s="71">
        <f t="shared" si="3"/>
        <v>541.93287880398486</v>
      </c>
      <c r="N33" s="71">
        <f t="shared" si="3"/>
        <v>558.19086516810432</v>
      </c>
      <c r="O33" s="71">
        <f t="shared" si="3"/>
        <v>569.35468247146639</v>
      </c>
    </row>
    <row r="34" spans="1:26" ht="15" customHeight="1" x14ac:dyDescent="0.25">
      <c r="A34" s="36"/>
      <c r="B34" s="71"/>
      <c r="C34" s="16"/>
      <c r="D34" s="52"/>
      <c r="E34" s="74"/>
      <c r="F34" s="74"/>
    </row>
    <row r="35" spans="1:26" ht="15" customHeight="1" x14ac:dyDescent="0.25">
      <c r="A35" s="37" t="s">
        <v>20</v>
      </c>
      <c r="B35" s="16"/>
      <c r="C35" s="16"/>
      <c r="D35" s="16"/>
      <c r="E35" s="16"/>
      <c r="F35" s="16"/>
      <c r="G35" s="16"/>
      <c r="H35" s="16"/>
      <c r="I35" s="16"/>
      <c r="J35" s="16"/>
      <c r="K35" s="16"/>
      <c r="L35" s="16"/>
      <c r="M35" s="16"/>
      <c r="N35" s="16"/>
      <c r="O35" s="16"/>
    </row>
    <row r="36" spans="1:26" ht="15" customHeight="1" x14ac:dyDescent="0.25">
      <c r="A36" s="37"/>
      <c r="B36" s="70" t="s">
        <v>42</v>
      </c>
      <c r="C36" s="16"/>
      <c r="D36" s="74">
        <v>1168.595</v>
      </c>
      <c r="E36" s="74">
        <v>1317.9849999999999</v>
      </c>
      <c r="F36" s="74">
        <v>1469.1375</v>
      </c>
      <c r="G36" s="71">
        <f t="shared" ref="G36:O36" si="4">+F36*(1+G25)</f>
        <v>1616.0512500000002</v>
      </c>
      <c r="H36" s="71">
        <f t="shared" si="4"/>
        <v>1761.4958625000004</v>
      </c>
      <c r="I36" s="71">
        <f t="shared" si="4"/>
        <v>1902.4155315000005</v>
      </c>
      <c r="J36" s="71">
        <f t="shared" si="4"/>
        <v>2035.5846187050006</v>
      </c>
      <c r="K36" s="71">
        <f t="shared" si="4"/>
        <v>2157.7196958273007</v>
      </c>
      <c r="L36" s="71">
        <f t="shared" si="4"/>
        <v>2265.6056806186657</v>
      </c>
      <c r="M36" s="71">
        <f t="shared" si="4"/>
        <v>2356.2299078434125</v>
      </c>
      <c r="N36" s="71">
        <f t="shared" si="4"/>
        <v>2426.9168050787148</v>
      </c>
      <c r="O36" s="71">
        <f t="shared" si="4"/>
        <v>2475.455141180289</v>
      </c>
    </row>
    <row r="37" spans="1:26" ht="15" customHeight="1" x14ac:dyDescent="0.25">
      <c r="A37" s="37"/>
      <c r="B37" s="71" t="s">
        <v>24</v>
      </c>
      <c r="C37" s="16"/>
      <c r="D37" s="74">
        <v>250.9675</v>
      </c>
      <c r="E37" s="74">
        <v>278.5575</v>
      </c>
      <c r="F37" s="74">
        <v>281.3</v>
      </c>
      <c r="G37">
        <f t="shared" ref="G37:O37" si="5">G36*G26</f>
        <v>339.37076250000001</v>
      </c>
      <c r="H37">
        <f t="shared" si="5"/>
        <v>369.91413112500004</v>
      </c>
      <c r="I37">
        <f t="shared" si="5"/>
        <v>399.50726161500006</v>
      </c>
      <c r="J37">
        <f t="shared" si="5"/>
        <v>427.47276992805013</v>
      </c>
      <c r="K37">
        <f t="shared" si="5"/>
        <v>453.12113612373315</v>
      </c>
      <c r="L37">
        <f t="shared" si="5"/>
        <v>475.77719292991981</v>
      </c>
      <c r="M37">
        <f t="shared" si="5"/>
        <v>494.80828064711659</v>
      </c>
      <c r="N37">
        <f t="shared" si="5"/>
        <v>509.65252906653006</v>
      </c>
      <c r="O37">
        <f t="shared" si="5"/>
        <v>519.84557964786063</v>
      </c>
    </row>
    <row r="38" spans="1:26" ht="15" customHeight="1" x14ac:dyDescent="0.25">
      <c r="A38" s="36"/>
      <c r="B38" s="71" t="s">
        <v>63</v>
      </c>
      <c r="C38" s="16"/>
      <c r="D38" s="65">
        <v>-34.784999999999997</v>
      </c>
      <c r="E38" s="65">
        <v>-44.7425</v>
      </c>
      <c r="F38" s="65">
        <v>-53.7</v>
      </c>
      <c r="G38">
        <f t="shared" ref="G38:O38" si="6">G29*G53</f>
        <v>-71.267860124999999</v>
      </c>
      <c r="H38">
        <f t="shared" si="6"/>
        <v>-77.681967536250013</v>
      </c>
      <c r="I38">
        <f t="shared" si="6"/>
        <v>-83.896524939150012</v>
      </c>
      <c r="J38">
        <f t="shared" si="6"/>
        <v>-96.181373233811286</v>
      </c>
      <c r="K38">
        <f t="shared" si="6"/>
        <v>-108.74907266969598</v>
      </c>
      <c r="L38">
        <f t="shared" si="6"/>
        <v>-121.32318419712954</v>
      </c>
      <c r="M38">
        <f t="shared" si="6"/>
        <v>-133.5982357747215</v>
      </c>
      <c r="N38">
        <f t="shared" si="6"/>
        <v>-145.25097078396107</v>
      </c>
      <c r="O38">
        <f t="shared" si="6"/>
        <v>-148.15599019964031</v>
      </c>
    </row>
    <row r="39" spans="1:26" ht="15" customHeight="1" x14ac:dyDescent="0.25">
      <c r="A39" s="37"/>
      <c r="B39" s="70" t="s">
        <v>91</v>
      </c>
      <c r="C39" s="16"/>
      <c r="D39" s="16"/>
      <c r="E39" s="16"/>
      <c r="F39" s="2"/>
      <c r="G39" s="71">
        <f t="shared" ref="G39:O39" si="7">SUM(G37:G38)</f>
        <v>268.10290237499999</v>
      </c>
      <c r="H39" s="71">
        <f t="shared" si="7"/>
        <v>292.23216358875004</v>
      </c>
      <c r="I39" s="71">
        <f t="shared" si="7"/>
        <v>315.61073667585003</v>
      </c>
      <c r="J39" s="71">
        <f t="shared" si="7"/>
        <v>331.29139669423887</v>
      </c>
      <c r="K39" s="71">
        <f t="shared" si="7"/>
        <v>344.37206345403717</v>
      </c>
      <c r="L39" s="71">
        <f t="shared" si="7"/>
        <v>354.45400873279027</v>
      </c>
      <c r="M39" s="71">
        <f t="shared" si="7"/>
        <v>361.21004487239509</v>
      </c>
      <c r="N39" s="71">
        <f t="shared" si="7"/>
        <v>364.401558282569</v>
      </c>
      <c r="O39" s="71">
        <f t="shared" si="7"/>
        <v>371.68958944822032</v>
      </c>
    </row>
    <row r="40" spans="1:26" ht="15" customHeight="1" x14ac:dyDescent="0.25">
      <c r="A40" s="37"/>
      <c r="B40" s="71" t="s">
        <v>89</v>
      </c>
      <c r="C40" s="16"/>
      <c r="D40" s="16"/>
      <c r="E40" s="16"/>
      <c r="F40" s="16"/>
      <c r="G40" s="71">
        <f t="shared" ref="G40:O40" si="8">+G27*G36</f>
        <v>32.321025000000006</v>
      </c>
      <c r="H40" s="71">
        <f t="shared" si="8"/>
        <v>35.229917250000007</v>
      </c>
      <c r="I40" s="71">
        <f t="shared" si="8"/>
        <v>38.04831063000001</v>
      </c>
      <c r="J40" s="71">
        <f t="shared" si="8"/>
        <v>40.711692374100011</v>
      </c>
      <c r="K40" s="71">
        <f t="shared" si="8"/>
        <v>43.154393916546013</v>
      </c>
      <c r="L40" s="71">
        <f t="shared" si="8"/>
        <v>45.312113612373317</v>
      </c>
      <c r="M40" s="71">
        <f t="shared" si="8"/>
        <v>47.124598156868252</v>
      </c>
      <c r="N40" s="71">
        <f t="shared" si="8"/>
        <v>48.538336101574295</v>
      </c>
      <c r="O40" s="71">
        <f t="shared" si="8"/>
        <v>49.50910282360578</v>
      </c>
    </row>
    <row r="41" spans="1:26" ht="15" customHeight="1" x14ac:dyDescent="0.25">
      <c r="A41" s="37"/>
      <c r="B41" s="71" t="s">
        <v>185</v>
      </c>
      <c r="C41" s="16"/>
      <c r="D41" s="16"/>
      <c r="E41" s="16"/>
      <c r="F41" s="16"/>
      <c r="G41" s="71">
        <f t="shared" ref="G41:O41" si="9">SUM(G39:G40)</f>
        <v>300.42392737500001</v>
      </c>
      <c r="H41" s="71">
        <f t="shared" si="9"/>
        <v>327.46208083875007</v>
      </c>
      <c r="I41" s="71">
        <f t="shared" si="9"/>
        <v>353.65904730585004</v>
      </c>
      <c r="J41" s="71">
        <f t="shared" si="9"/>
        <v>372.00308906833891</v>
      </c>
      <c r="K41" s="71">
        <f t="shared" si="9"/>
        <v>387.52645737058322</v>
      </c>
      <c r="L41" s="71">
        <f t="shared" si="9"/>
        <v>399.76612234516358</v>
      </c>
      <c r="M41" s="71">
        <f t="shared" si="9"/>
        <v>408.33464302926336</v>
      </c>
      <c r="N41" s="71">
        <f t="shared" si="9"/>
        <v>412.93989438414332</v>
      </c>
      <c r="O41" s="71">
        <f t="shared" si="9"/>
        <v>421.19869227182608</v>
      </c>
    </row>
    <row r="42" spans="1:26" ht="15" customHeight="1" x14ac:dyDescent="0.25">
      <c r="A42" s="37"/>
      <c r="B42" s="70" t="s">
        <v>25</v>
      </c>
      <c r="C42" s="16"/>
      <c r="D42" s="16"/>
      <c r="E42" s="16"/>
      <c r="F42" s="16"/>
      <c r="G42">
        <f t="shared" ref="G42:O42" si="10">IF(CircSwitch=1,G75+G67+G91+G83+G94,0)</f>
        <v>0</v>
      </c>
      <c r="H42">
        <f t="shared" si="10"/>
        <v>0</v>
      </c>
      <c r="I42">
        <f t="shared" si="10"/>
        <v>0</v>
      </c>
      <c r="J42">
        <f t="shared" si="10"/>
        <v>0</v>
      </c>
      <c r="K42">
        <f t="shared" si="10"/>
        <v>0</v>
      </c>
      <c r="L42">
        <f t="shared" si="10"/>
        <v>0</v>
      </c>
      <c r="M42">
        <f t="shared" si="10"/>
        <v>0</v>
      </c>
      <c r="N42">
        <f t="shared" si="10"/>
        <v>0</v>
      </c>
      <c r="O42">
        <f t="shared" si="10"/>
        <v>0</v>
      </c>
    </row>
    <row r="43" spans="1:26" ht="15" customHeight="1" x14ac:dyDescent="0.25">
      <c r="A43" s="37"/>
      <c r="B43" s="70" t="s">
        <v>258</v>
      </c>
      <c r="C43" s="16"/>
      <c r="D43" s="16"/>
      <c r="E43" s="16"/>
      <c r="F43" s="16"/>
      <c r="G43" s="98"/>
      <c r="H43" s="98"/>
      <c r="I43" s="98"/>
      <c r="J43" s="98"/>
      <c r="K43" s="98"/>
      <c r="L43" s="98"/>
      <c r="M43" s="98"/>
      <c r="N43" s="98"/>
      <c r="O43" s="98"/>
    </row>
    <row r="44" spans="1:26" ht="15" customHeight="1" x14ac:dyDescent="0.25">
      <c r="A44" s="37"/>
      <c r="B44" s="70" t="s">
        <v>66</v>
      </c>
      <c r="C44" s="16"/>
      <c r="D44" s="16"/>
      <c r="E44" s="16"/>
      <c r="F44" s="16"/>
      <c r="G44">
        <f t="shared" ref="G44:O44" si="11">+IF(CircSwitch=1,G94,0)</f>
        <v>0</v>
      </c>
      <c r="H44">
        <f t="shared" si="11"/>
        <v>0</v>
      </c>
      <c r="I44">
        <f t="shared" si="11"/>
        <v>0</v>
      </c>
      <c r="J44">
        <f t="shared" si="11"/>
        <v>0</v>
      </c>
      <c r="K44">
        <f t="shared" si="11"/>
        <v>0</v>
      </c>
      <c r="L44">
        <f t="shared" si="11"/>
        <v>0</v>
      </c>
      <c r="M44">
        <f t="shared" si="11"/>
        <v>0</v>
      </c>
      <c r="N44">
        <f t="shared" si="11"/>
        <v>0</v>
      </c>
      <c r="O44">
        <f t="shared" si="11"/>
        <v>0</v>
      </c>
    </row>
    <row r="45" spans="1:26" ht="15" customHeight="1" x14ac:dyDescent="0.25">
      <c r="A45" s="37"/>
      <c r="B45" s="70" t="s">
        <v>26</v>
      </c>
      <c r="C45" s="16"/>
      <c r="D45" s="16"/>
      <c r="E45" s="16"/>
      <c r="F45" s="2"/>
      <c r="G45" s="71">
        <f t="shared" ref="G45:O45" si="12">SUM(G41:G44)</f>
        <v>300.42392737500001</v>
      </c>
      <c r="H45" s="71">
        <f t="shared" si="12"/>
        <v>327.46208083875007</v>
      </c>
      <c r="I45" s="71">
        <f t="shared" si="12"/>
        <v>353.65904730585004</v>
      </c>
      <c r="J45" s="71">
        <f t="shared" si="12"/>
        <v>372.00308906833891</v>
      </c>
      <c r="K45" s="71">
        <f t="shared" si="12"/>
        <v>387.52645737058322</v>
      </c>
      <c r="L45" s="71">
        <f t="shared" si="12"/>
        <v>399.76612234516358</v>
      </c>
      <c r="M45" s="71">
        <f t="shared" si="12"/>
        <v>408.33464302926336</v>
      </c>
      <c r="N45" s="71">
        <f t="shared" si="12"/>
        <v>412.93989438414332</v>
      </c>
      <c r="O45" s="71">
        <f t="shared" si="12"/>
        <v>421.19869227182608</v>
      </c>
    </row>
    <row r="46" spans="1:26" ht="15" customHeight="1" x14ac:dyDescent="0.25">
      <c r="A46" s="37"/>
      <c r="B46" s="70" t="s">
        <v>27</v>
      </c>
      <c r="C46" s="16"/>
      <c r="D46" s="16"/>
      <c r="E46" s="16"/>
      <c r="F46" s="2"/>
      <c r="G46" s="71">
        <f t="shared" ref="G46:O46" si="13">-G31*G45</f>
        <v>-60.084785475000004</v>
      </c>
      <c r="H46" s="71">
        <f t="shared" si="13"/>
        <v>-65.492416167750022</v>
      </c>
      <c r="I46" s="71">
        <f t="shared" si="13"/>
        <v>-70.731809461170016</v>
      </c>
      <c r="J46" s="71">
        <f t="shared" si="13"/>
        <v>-74.400617813667779</v>
      </c>
      <c r="K46" s="71">
        <f t="shared" si="13"/>
        <v>-77.505291474116646</v>
      </c>
      <c r="L46" s="71">
        <f t="shared" si="13"/>
        <v>-79.953224469032719</v>
      </c>
      <c r="M46" s="71">
        <f t="shared" si="13"/>
        <v>-81.666928605852675</v>
      </c>
      <c r="N46" s="71">
        <f t="shared" si="13"/>
        <v>-82.587978876828672</v>
      </c>
      <c r="O46" s="71">
        <f t="shared" si="13"/>
        <v>-84.239738454365224</v>
      </c>
    </row>
    <row r="47" spans="1:26" ht="15" customHeight="1" x14ac:dyDescent="0.25">
      <c r="A47" s="37"/>
      <c r="B47" s="70" t="s">
        <v>65</v>
      </c>
      <c r="C47" s="16"/>
      <c r="D47" s="16"/>
      <c r="E47" s="16"/>
      <c r="F47" s="2"/>
      <c r="G47" s="71">
        <f t="shared" ref="G47:O47" si="14">SUM(G45:G46)</f>
        <v>240.33914190000002</v>
      </c>
      <c r="H47" s="71">
        <f t="shared" si="14"/>
        <v>261.96966467100003</v>
      </c>
      <c r="I47" s="71">
        <f t="shared" si="14"/>
        <v>282.92723784468001</v>
      </c>
      <c r="J47" s="71">
        <f t="shared" si="14"/>
        <v>297.60247125467112</v>
      </c>
      <c r="K47" s="71">
        <f t="shared" si="14"/>
        <v>310.02116589646658</v>
      </c>
      <c r="L47" s="71">
        <f t="shared" si="14"/>
        <v>319.81289787613088</v>
      </c>
      <c r="M47" s="71">
        <f t="shared" si="14"/>
        <v>326.6677144234107</v>
      </c>
      <c r="N47" s="71">
        <f t="shared" si="14"/>
        <v>330.35191550731463</v>
      </c>
      <c r="O47" s="71">
        <f t="shared" si="14"/>
        <v>336.95895381746084</v>
      </c>
      <c r="Q47" s="16"/>
      <c r="R47" s="16"/>
      <c r="S47" s="16"/>
      <c r="T47" s="16"/>
      <c r="U47" s="16"/>
      <c r="V47" s="16"/>
      <c r="W47" s="16"/>
      <c r="X47" s="16"/>
      <c r="Y47" s="16"/>
      <c r="Z47" s="16"/>
    </row>
    <row r="48" spans="1:26" ht="15" customHeight="1" x14ac:dyDescent="0.25">
      <c r="A48" s="37"/>
      <c r="B48" s="70"/>
      <c r="C48" s="16"/>
      <c r="D48" s="16"/>
      <c r="E48" s="16"/>
      <c r="F48" s="2"/>
      <c r="G48" s="71"/>
      <c r="H48" s="71"/>
      <c r="I48" s="71"/>
      <c r="J48" s="71"/>
      <c r="K48" s="71"/>
      <c r="L48" s="71"/>
      <c r="M48" s="71"/>
      <c r="N48" s="71"/>
      <c r="O48" s="71"/>
      <c r="Q48" s="16"/>
      <c r="R48" s="16"/>
      <c r="S48" s="16"/>
      <c r="T48" s="16"/>
      <c r="U48" s="16"/>
      <c r="V48" s="16"/>
      <c r="W48" s="16"/>
      <c r="X48" s="16"/>
      <c r="Y48" s="16"/>
      <c r="Z48" s="16"/>
    </row>
    <row r="49" spans="1:15" ht="15" customHeight="1" x14ac:dyDescent="0.25">
      <c r="A49" s="37" t="s">
        <v>92</v>
      </c>
      <c r="B49" s="16"/>
      <c r="C49" s="16"/>
      <c r="D49" s="16"/>
      <c r="E49" s="16"/>
      <c r="F49" s="16"/>
      <c r="G49" s="16"/>
      <c r="H49" s="16"/>
      <c r="I49" s="16"/>
      <c r="J49" s="16"/>
      <c r="K49" s="16"/>
      <c r="L49" s="16"/>
      <c r="M49" s="16"/>
      <c r="N49" s="16"/>
      <c r="O49" s="16"/>
    </row>
    <row r="50" spans="1:15" ht="15" customHeight="1" x14ac:dyDescent="0.25">
      <c r="A50" s="37"/>
      <c r="B50" s="70" t="s">
        <v>65</v>
      </c>
      <c r="C50" s="16"/>
      <c r="D50" s="16"/>
      <c r="E50" s="16"/>
      <c r="F50" s="2"/>
      <c r="G50" s="71">
        <f t="shared" ref="G50:O50" si="15">+G47</f>
        <v>240.33914190000002</v>
      </c>
      <c r="H50" s="71">
        <f t="shared" si="15"/>
        <v>261.96966467100003</v>
      </c>
      <c r="I50" s="71">
        <f t="shared" si="15"/>
        <v>282.92723784468001</v>
      </c>
      <c r="J50" s="71">
        <f t="shared" si="15"/>
        <v>297.60247125467112</v>
      </c>
      <c r="K50" s="71">
        <f t="shared" si="15"/>
        <v>310.02116589646658</v>
      </c>
      <c r="L50" s="71">
        <f t="shared" si="15"/>
        <v>319.81289787613088</v>
      </c>
      <c r="M50" s="71">
        <f t="shared" si="15"/>
        <v>326.6677144234107</v>
      </c>
      <c r="N50" s="71">
        <f t="shared" si="15"/>
        <v>330.35191550731463</v>
      </c>
      <c r="O50" s="71">
        <f t="shared" si="15"/>
        <v>336.95895381746084</v>
      </c>
    </row>
    <row r="51" spans="1:15" ht="15" customHeight="1" x14ac:dyDescent="0.25">
      <c r="A51" s="37"/>
      <c r="B51" s="70" t="s">
        <v>63</v>
      </c>
      <c r="C51" s="16"/>
      <c r="D51" s="16"/>
      <c r="E51" s="16"/>
      <c r="F51" s="2"/>
      <c r="G51" s="71">
        <f t="shared" ref="G51:O51" si="16">-G38</f>
        <v>71.267860124999999</v>
      </c>
      <c r="H51" s="71">
        <f t="shared" si="16"/>
        <v>77.681967536250013</v>
      </c>
      <c r="I51" s="71">
        <f t="shared" si="16"/>
        <v>83.896524939150012</v>
      </c>
      <c r="J51" s="71">
        <f t="shared" si="16"/>
        <v>96.181373233811286</v>
      </c>
      <c r="K51" s="71">
        <f t="shared" si="16"/>
        <v>108.74907266969598</v>
      </c>
      <c r="L51" s="71">
        <f t="shared" si="16"/>
        <v>121.32318419712954</v>
      </c>
      <c r="M51" s="71">
        <f t="shared" si="16"/>
        <v>133.5982357747215</v>
      </c>
      <c r="N51" s="71">
        <f t="shared" si="16"/>
        <v>145.25097078396107</v>
      </c>
      <c r="O51" s="71">
        <f t="shared" si="16"/>
        <v>148.15599019964031</v>
      </c>
    </row>
    <row r="52" spans="1:15" ht="15" customHeight="1" x14ac:dyDescent="0.25">
      <c r="A52" s="37"/>
      <c r="B52" s="70" t="s">
        <v>67</v>
      </c>
      <c r="C52" s="16"/>
      <c r="D52" s="16"/>
      <c r="E52" s="16"/>
      <c r="F52" s="49"/>
      <c r="G52" s="71">
        <f t="shared" ref="G52:O52" si="17">+F32-G32</f>
        <v>-33.709418750000026</v>
      </c>
      <c r="H52" s="71">
        <f t="shared" si="17"/>
        <v>-19.635022687500026</v>
      </c>
      <c r="I52" s="71">
        <f t="shared" si="17"/>
        <v>-19.024155315000002</v>
      </c>
      <c r="J52" s="71">
        <f t="shared" si="17"/>
        <v>-17.97782677267503</v>
      </c>
      <c r="K52" s="71">
        <f t="shared" si="17"/>
        <v>-16.488235411510516</v>
      </c>
      <c r="L52" s="71">
        <f t="shared" si="17"/>
        <v>-14.564607946834258</v>
      </c>
      <c r="M52" s="71">
        <f t="shared" si="17"/>
        <v>-12.234270675340838</v>
      </c>
      <c r="N52" s="71">
        <f t="shared" si="17"/>
        <v>-9.5427311267658297</v>
      </c>
      <c r="O52" s="71">
        <f t="shared" si="17"/>
        <v>-6.5526753737125318</v>
      </c>
    </row>
    <row r="53" spans="1:15" ht="15" customHeight="1" x14ac:dyDescent="0.25">
      <c r="A53" s="37"/>
      <c r="B53" s="70" t="s">
        <v>68</v>
      </c>
      <c r="C53" s="16"/>
      <c r="D53" s="65">
        <v>-63.6</v>
      </c>
      <c r="E53" s="65">
        <v>-91.44</v>
      </c>
      <c r="F53" s="65">
        <v>-77.034999999999997</v>
      </c>
      <c r="G53" s="71">
        <f t="shared" ref="G53:O53" si="18">-G28*G36</f>
        <v>-101.81122875000001</v>
      </c>
      <c r="H53" s="71">
        <f t="shared" si="18"/>
        <v>-110.97423933750002</v>
      </c>
      <c r="I53" s="71">
        <f t="shared" si="18"/>
        <v>-119.85217848450003</v>
      </c>
      <c r="J53" s="71">
        <f t="shared" si="18"/>
        <v>-128.24183097841504</v>
      </c>
      <c r="K53" s="71">
        <f t="shared" si="18"/>
        <v>-135.93634083711996</v>
      </c>
      <c r="L53" s="71">
        <f t="shared" si="18"/>
        <v>-142.73315787897593</v>
      </c>
      <c r="M53" s="71">
        <f t="shared" si="18"/>
        <v>-148.44248419413501</v>
      </c>
      <c r="N53" s="71">
        <f t="shared" si="18"/>
        <v>-152.89575871995902</v>
      </c>
      <c r="O53" s="71">
        <f t="shared" si="18"/>
        <v>-155.95367389435822</v>
      </c>
    </row>
    <row r="54" spans="1:15" ht="15" customHeight="1" x14ac:dyDescent="0.25">
      <c r="A54" s="37"/>
      <c r="B54" s="70" t="s">
        <v>279</v>
      </c>
      <c r="C54" s="16"/>
      <c r="D54" s="65"/>
      <c r="E54" s="65"/>
      <c r="F54" s="65"/>
      <c r="G54" s="99"/>
      <c r="H54" s="99"/>
      <c r="I54" s="99"/>
      <c r="J54" s="99"/>
      <c r="K54" s="99"/>
      <c r="L54" s="99"/>
      <c r="M54" s="99"/>
      <c r="N54" s="99"/>
      <c r="O54" s="99"/>
    </row>
    <row r="55" spans="1:15" ht="15" customHeight="1" x14ac:dyDescent="0.25">
      <c r="A55" s="37"/>
      <c r="B55" s="70" t="s">
        <v>278</v>
      </c>
      <c r="C55" s="16"/>
      <c r="D55" s="65"/>
      <c r="E55" s="65"/>
      <c r="F55" s="65"/>
      <c r="G55" s="99"/>
      <c r="H55" s="99"/>
      <c r="I55" s="99"/>
      <c r="J55" s="99"/>
      <c r="K55" s="99"/>
      <c r="L55" s="99"/>
      <c r="M55" s="99"/>
      <c r="N55" s="99"/>
      <c r="O55" s="99"/>
    </row>
    <row r="56" spans="1:15" ht="15" customHeight="1" x14ac:dyDescent="0.25">
      <c r="A56" s="37"/>
      <c r="B56" s="70" t="s">
        <v>248</v>
      </c>
      <c r="C56" s="16"/>
      <c r="D56" s="65"/>
      <c r="E56" s="65"/>
      <c r="F56" s="65"/>
      <c r="G56" s="99"/>
      <c r="H56" s="99"/>
      <c r="I56" s="99"/>
      <c r="J56" s="99"/>
      <c r="K56" s="99"/>
      <c r="L56" s="99"/>
      <c r="M56" s="99"/>
      <c r="N56" s="99"/>
      <c r="O56" s="99"/>
    </row>
    <row r="57" spans="1:15" ht="15" customHeight="1" x14ac:dyDescent="0.25">
      <c r="A57" s="37"/>
      <c r="B57" s="73" t="s">
        <v>93</v>
      </c>
      <c r="C57" s="16"/>
      <c r="D57" s="16"/>
      <c r="E57" s="16"/>
      <c r="F57" s="2"/>
      <c r="G57" s="71">
        <f t="shared" ref="G57:O57" si="19">SUM(G50:G56)</f>
        <v>176.08635452499999</v>
      </c>
      <c r="H57" s="71">
        <f t="shared" si="19"/>
        <v>209.04237018224995</v>
      </c>
      <c r="I57" s="71">
        <f t="shared" si="19"/>
        <v>227.94742898432997</v>
      </c>
      <c r="J57" s="71">
        <f t="shared" si="19"/>
        <v>247.5641867373923</v>
      </c>
      <c r="K57" s="71">
        <f t="shared" si="19"/>
        <v>266.34566231753206</v>
      </c>
      <c r="L57" s="71">
        <f t="shared" si="19"/>
        <v>283.83831624745022</v>
      </c>
      <c r="M57" s="71">
        <f t="shared" si="19"/>
        <v>299.58919532865639</v>
      </c>
      <c r="N57" s="71">
        <f t="shared" si="19"/>
        <v>313.16439644455085</v>
      </c>
      <c r="O57" s="71">
        <f t="shared" si="19"/>
        <v>322.60859474903043</v>
      </c>
    </row>
    <row r="58" spans="1:15" ht="15" customHeight="1" x14ac:dyDescent="0.25">
      <c r="A58" s="37"/>
      <c r="B58" s="16"/>
      <c r="C58" s="16"/>
      <c r="D58" s="16"/>
      <c r="E58" s="16"/>
      <c r="F58" s="2"/>
      <c r="G58" s="71"/>
      <c r="H58" s="71"/>
      <c r="I58" s="71"/>
      <c r="J58" s="71"/>
      <c r="K58" s="71"/>
      <c r="L58" s="71"/>
      <c r="M58" s="71"/>
      <c r="N58" s="71"/>
      <c r="O58" s="71"/>
    </row>
    <row r="59" spans="1:15" ht="15" customHeight="1" x14ac:dyDescent="0.25">
      <c r="A59" s="37"/>
      <c r="B59" s="71" t="s">
        <v>151</v>
      </c>
      <c r="C59" s="16"/>
      <c r="D59" s="16"/>
      <c r="E59" s="16"/>
      <c r="G59" s="71">
        <f t="shared" ref="G59:O59" si="20">+F93</f>
        <v>0</v>
      </c>
      <c r="H59" s="71">
        <f t="shared" si="20"/>
        <v>176.08635452499999</v>
      </c>
      <c r="I59" s="71">
        <f t="shared" si="20"/>
        <v>385.12872470724994</v>
      </c>
      <c r="J59" s="71">
        <f t="shared" si="20"/>
        <v>613.07615369157998</v>
      </c>
      <c r="K59" s="71">
        <f t="shared" si="20"/>
        <v>860.64034042897231</v>
      </c>
      <c r="L59" s="71">
        <f t="shared" si="20"/>
        <v>1126.9860027465043</v>
      </c>
      <c r="M59" s="71">
        <f t="shared" si="20"/>
        <v>1410.8243189939544</v>
      </c>
      <c r="N59" s="71">
        <f t="shared" si="20"/>
        <v>1710.4135143226108</v>
      </c>
      <c r="O59" s="71">
        <f t="shared" si="20"/>
        <v>2023.5779107671617</v>
      </c>
    </row>
    <row r="60" spans="1:15" ht="15" customHeight="1" x14ac:dyDescent="0.25">
      <c r="A60" s="37"/>
      <c r="B60" s="73" t="s">
        <v>183</v>
      </c>
      <c r="C60" s="16"/>
      <c r="D60" s="16"/>
      <c r="E60" s="16"/>
      <c r="F60" s="16"/>
      <c r="G60" s="71">
        <f>+G57+G59</f>
        <v>176.08635452499999</v>
      </c>
      <c r="H60" s="71">
        <f t="shared" ref="H60:O60" si="21">+H57+H59</f>
        <v>385.12872470724994</v>
      </c>
      <c r="I60" s="71">
        <f t="shared" si="21"/>
        <v>613.07615369157998</v>
      </c>
      <c r="J60" s="71">
        <f t="shared" si="21"/>
        <v>860.64034042897231</v>
      </c>
      <c r="K60" s="71">
        <f t="shared" si="21"/>
        <v>1126.9860027465043</v>
      </c>
      <c r="L60" s="71">
        <f t="shared" si="21"/>
        <v>1410.8243189939544</v>
      </c>
      <c r="M60" s="71">
        <f t="shared" si="21"/>
        <v>1710.4135143226108</v>
      </c>
      <c r="N60" s="71">
        <f t="shared" si="21"/>
        <v>2023.5779107671617</v>
      </c>
      <c r="O60" s="71">
        <f t="shared" si="21"/>
        <v>2346.186505516192</v>
      </c>
    </row>
    <row r="61" spans="1:15" ht="15" customHeight="1" x14ac:dyDescent="0.25">
      <c r="A61" s="37"/>
      <c r="B61" s="16"/>
      <c r="C61" s="16"/>
      <c r="D61" s="16"/>
      <c r="E61" s="16"/>
      <c r="F61" s="16"/>
      <c r="G61" s="16"/>
      <c r="H61" s="16"/>
      <c r="I61" s="16"/>
      <c r="J61" s="16"/>
      <c r="K61" s="16"/>
      <c r="L61" s="16"/>
      <c r="M61" s="16"/>
      <c r="N61" s="16"/>
      <c r="O61" s="16"/>
    </row>
    <row r="62" spans="1:15" ht="15" customHeight="1" x14ac:dyDescent="0.25">
      <c r="A62" s="37" t="s">
        <v>94</v>
      </c>
      <c r="B62" s="16"/>
      <c r="C62" s="16"/>
      <c r="D62" s="16"/>
      <c r="E62" s="16"/>
      <c r="F62" s="16"/>
      <c r="G62" s="16"/>
      <c r="H62" s="16"/>
      <c r="I62" s="16"/>
      <c r="J62" s="16"/>
      <c r="K62" s="16"/>
      <c r="L62" s="16"/>
      <c r="M62" s="16"/>
      <c r="N62" s="16"/>
      <c r="O62" s="16"/>
    </row>
    <row r="63" spans="1:15" ht="15" customHeight="1" x14ac:dyDescent="0.25">
      <c r="A63" s="37"/>
      <c r="B63" s="70" t="s">
        <v>259</v>
      </c>
      <c r="C63" s="71"/>
      <c r="D63" s="71"/>
      <c r="E63" s="71"/>
      <c r="F63" s="71"/>
      <c r="G63" s="71">
        <f t="shared" ref="G63:O63" si="22">F66</f>
        <v>1125.2</v>
      </c>
      <c r="H63" s="71">
        <f t="shared" si="22"/>
        <v>1125.2</v>
      </c>
      <c r="I63" s="71">
        <f t="shared" si="22"/>
        <v>1125.2</v>
      </c>
      <c r="J63" s="71">
        <f t="shared" si="22"/>
        <v>1125.2</v>
      </c>
      <c r="K63" s="71">
        <f t="shared" si="22"/>
        <v>1125.2</v>
      </c>
      <c r="L63" s="71">
        <f t="shared" si="22"/>
        <v>1125.2</v>
      </c>
      <c r="M63" s="71">
        <f t="shared" si="22"/>
        <v>1125.2</v>
      </c>
      <c r="N63" s="71">
        <f t="shared" si="22"/>
        <v>1125.2</v>
      </c>
      <c r="O63" s="71">
        <f t="shared" si="22"/>
        <v>1125.2</v>
      </c>
    </row>
    <row r="64" spans="1:15" ht="15" customHeight="1" x14ac:dyDescent="0.25">
      <c r="A64" s="37"/>
      <c r="B64" s="70" t="s">
        <v>245</v>
      </c>
      <c r="C64" s="71"/>
      <c r="D64" s="71"/>
      <c r="E64" s="71"/>
      <c r="F64" s="71"/>
      <c r="G64" s="99"/>
      <c r="H64" s="99"/>
      <c r="I64" s="99"/>
      <c r="J64" s="99"/>
      <c r="K64" s="99"/>
      <c r="L64" s="99"/>
      <c r="M64" s="99"/>
      <c r="N64" s="99"/>
      <c r="O64" s="99"/>
    </row>
    <row r="65" spans="1:15" ht="15" customHeight="1" x14ac:dyDescent="0.25">
      <c r="A65" s="37"/>
      <c r="B65" s="70" t="s">
        <v>246</v>
      </c>
      <c r="C65" s="71"/>
      <c r="D65" s="71"/>
      <c r="E65" s="71"/>
      <c r="F65" s="71"/>
      <c r="G65" s="99"/>
      <c r="H65" s="99"/>
      <c r="I65" s="99"/>
      <c r="J65" s="99"/>
      <c r="K65" s="99"/>
      <c r="L65" s="99"/>
      <c r="M65" s="99"/>
      <c r="N65" s="99"/>
      <c r="O65" s="99"/>
    </row>
    <row r="66" spans="1:15" ht="15" customHeight="1" x14ac:dyDescent="0.25">
      <c r="A66" s="37"/>
      <c r="B66" s="70" t="s">
        <v>270</v>
      </c>
      <c r="C66" s="71"/>
      <c r="D66" s="71"/>
      <c r="E66" s="71"/>
      <c r="F66" s="71">
        <f>+O9</f>
        <v>1125.2</v>
      </c>
      <c r="G66" s="71">
        <f>SUM(G63:G65)</f>
        <v>1125.2</v>
      </c>
      <c r="H66" s="71">
        <f t="shared" ref="H66:O66" si="23">SUM(H63:H65)</f>
        <v>1125.2</v>
      </c>
      <c r="I66" s="71">
        <f t="shared" si="23"/>
        <v>1125.2</v>
      </c>
      <c r="J66" s="71">
        <f t="shared" si="23"/>
        <v>1125.2</v>
      </c>
      <c r="K66" s="71">
        <f t="shared" si="23"/>
        <v>1125.2</v>
      </c>
      <c r="L66" s="71">
        <f t="shared" si="23"/>
        <v>1125.2</v>
      </c>
      <c r="M66" s="71">
        <f t="shared" si="23"/>
        <v>1125.2</v>
      </c>
      <c r="N66" s="71">
        <f t="shared" si="23"/>
        <v>1125.2</v>
      </c>
      <c r="O66" s="71">
        <f t="shared" si="23"/>
        <v>1125.2</v>
      </c>
    </row>
    <row r="67" spans="1:15" ht="15" customHeight="1" x14ac:dyDescent="0.25">
      <c r="A67" s="37"/>
      <c r="B67" s="70" t="s">
        <v>25</v>
      </c>
      <c r="C67" s="71"/>
      <c r="D67" s="71"/>
      <c r="E67" s="71"/>
      <c r="F67" s="71"/>
      <c r="G67" s="99"/>
      <c r="H67" s="99"/>
      <c r="I67" s="99"/>
      <c r="J67" s="99"/>
      <c r="K67" s="99"/>
      <c r="L67" s="99"/>
      <c r="M67" s="99"/>
      <c r="N67" s="99"/>
      <c r="O67" s="99"/>
    </row>
    <row r="68" spans="1:15" ht="15" customHeight="1" x14ac:dyDescent="0.25">
      <c r="A68" s="37"/>
      <c r="B68" s="70"/>
      <c r="C68" s="71"/>
      <c r="D68" s="71"/>
      <c r="E68" s="71"/>
      <c r="F68" s="65"/>
    </row>
    <row r="69" spans="1:15" ht="15" customHeight="1" x14ac:dyDescent="0.25">
      <c r="A69" s="37"/>
      <c r="B69" s="71" t="s">
        <v>271</v>
      </c>
      <c r="C69" s="71"/>
      <c r="D69" s="71"/>
      <c r="E69" s="71"/>
      <c r="F69" s="71"/>
      <c r="G69" s="99"/>
      <c r="H69" s="99"/>
      <c r="I69" s="99"/>
      <c r="J69" s="99"/>
      <c r="K69" s="99"/>
      <c r="L69" s="99"/>
      <c r="M69" s="99"/>
      <c r="N69" s="99"/>
      <c r="O69" s="99"/>
    </row>
    <row r="70" spans="1:15" ht="15" customHeight="1" x14ac:dyDescent="0.25">
      <c r="A70" s="37"/>
      <c r="B70" s="70"/>
      <c r="C70" s="71"/>
      <c r="D70" s="71"/>
      <c r="E70" s="71"/>
      <c r="F70" s="71"/>
      <c r="G70" s="71"/>
      <c r="H70" s="71"/>
      <c r="I70" s="71"/>
      <c r="J70" s="71"/>
      <c r="K70" s="71"/>
      <c r="L70" s="71"/>
      <c r="M70" s="71"/>
      <c r="N70" s="71"/>
      <c r="O70" s="71"/>
    </row>
    <row r="71" spans="1:15" ht="15" customHeight="1" x14ac:dyDescent="0.25">
      <c r="A71" s="37"/>
      <c r="B71" s="70" t="s">
        <v>268</v>
      </c>
      <c r="C71" s="71"/>
      <c r="D71" s="71"/>
      <c r="E71" s="71"/>
      <c r="F71" s="71"/>
      <c r="G71" s="71">
        <f>F74</f>
        <v>0</v>
      </c>
      <c r="H71" s="71">
        <f t="shared" ref="H71:O71" si="24">G74</f>
        <v>0</v>
      </c>
      <c r="I71" s="71">
        <f t="shared" si="24"/>
        <v>0</v>
      </c>
      <c r="J71" s="71">
        <f t="shared" si="24"/>
        <v>0</v>
      </c>
      <c r="K71" s="71">
        <f t="shared" si="24"/>
        <v>0</v>
      </c>
      <c r="L71" s="71">
        <f t="shared" si="24"/>
        <v>0</v>
      </c>
      <c r="M71" s="71">
        <f t="shared" si="24"/>
        <v>0</v>
      </c>
      <c r="N71" s="71">
        <f t="shared" si="24"/>
        <v>0</v>
      </c>
      <c r="O71" s="71">
        <f t="shared" si="24"/>
        <v>0</v>
      </c>
    </row>
    <row r="72" spans="1:15" ht="15" customHeight="1" x14ac:dyDescent="0.25">
      <c r="A72" s="37"/>
      <c r="B72" s="70" t="s">
        <v>246</v>
      </c>
      <c r="C72" s="71"/>
      <c r="D72" s="71"/>
      <c r="E72" s="71"/>
      <c r="F72" s="71"/>
      <c r="G72" s="99"/>
      <c r="H72" s="99"/>
      <c r="I72" s="99"/>
      <c r="J72" s="99"/>
      <c r="K72" s="99"/>
      <c r="L72" s="99"/>
      <c r="M72" s="99"/>
      <c r="N72" s="99"/>
      <c r="O72" s="99"/>
    </row>
    <row r="73" spans="1:15" ht="15" customHeight="1" x14ac:dyDescent="0.25">
      <c r="A73" s="37"/>
      <c r="B73" s="70" t="s">
        <v>244</v>
      </c>
      <c r="C73" s="71"/>
      <c r="D73" s="71"/>
      <c r="E73" s="71"/>
      <c r="F73" s="71"/>
      <c r="G73" s="99"/>
      <c r="H73" s="99"/>
      <c r="I73" s="99"/>
      <c r="J73" s="99"/>
      <c r="K73" s="99"/>
      <c r="L73" s="99"/>
      <c r="M73" s="99"/>
      <c r="N73" s="99"/>
      <c r="O73" s="99"/>
    </row>
    <row r="74" spans="1:15" ht="15" customHeight="1" x14ac:dyDescent="0.25">
      <c r="A74" s="37"/>
      <c r="B74" s="70" t="s">
        <v>269</v>
      </c>
      <c r="C74" s="71"/>
      <c r="D74" s="71"/>
      <c r="E74" s="71"/>
      <c r="F74" s="65">
        <v>0</v>
      </c>
      <c r="G74" s="71">
        <f t="shared" ref="G74:O74" si="25">SUM(G71:G73)</f>
        <v>0</v>
      </c>
      <c r="H74" s="71">
        <f t="shared" si="25"/>
        <v>0</v>
      </c>
      <c r="I74" s="71">
        <f t="shared" si="25"/>
        <v>0</v>
      </c>
      <c r="J74" s="71">
        <f t="shared" si="25"/>
        <v>0</v>
      </c>
      <c r="K74" s="71">
        <f t="shared" si="25"/>
        <v>0</v>
      </c>
      <c r="L74" s="71">
        <f t="shared" si="25"/>
        <v>0</v>
      </c>
      <c r="M74" s="71">
        <f t="shared" si="25"/>
        <v>0</v>
      </c>
      <c r="N74" s="71">
        <f t="shared" si="25"/>
        <v>0</v>
      </c>
      <c r="O74" s="71">
        <f t="shared" si="25"/>
        <v>0</v>
      </c>
    </row>
    <row r="75" spans="1:15" ht="15" customHeight="1" x14ac:dyDescent="0.25">
      <c r="A75" s="37"/>
      <c r="B75" s="70" t="s">
        <v>25</v>
      </c>
      <c r="C75" s="71"/>
      <c r="D75" s="71"/>
      <c r="E75" s="71"/>
      <c r="F75" s="71"/>
      <c r="G75" s="99"/>
      <c r="H75" s="99"/>
      <c r="I75" s="99"/>
      <c r="J75" s="99"/>
      <c r="K75" s="99"/>
      <c r="L75" s="99"/>
      <c r="M75" s="99"/>
      <c r="N75" s="99"/>
      <c r="O75" s="99"/>
    </row>
    <row r="76" spans="1:15" ht="15" customHeight="1" x14ac:dyDescent="0.25">
      <c r="A76" s="37"/>
      <c r="B76" s="71"/>
      <c r="C76" s="71"/>
      <c r="D76" s="71"/>
      <c r="E76" s="71"/>
      <c r="F76" s="71"/>
      <c r="G76" s="71"/>
      <c r="H76" s="71"/>
      <c r="I76" s="71"/>
      <c r="J76" s="71"/>
      <c r="K76" s="71"/>
      <c r="L76" s="71"/>
      <c r="M76" s="71"/>
      <c r="N76" s="71"/>
      <c r="O76" s="71"/>
    </row>
    <row r="77" spans="1:15" ht="15" customHeight="1" x14ac:dyDescent="0.25">
      <c r="A77" s="37"/>
      <c r="B77" s="71" t="s">
        <v>277</v>
      </c>
      <c r="C77" s="71"/>
      <c r="D77" s="71"/>
      <c r="G77" s="71">
        <f>G69+G72</f>
        <v>0</v>
      </c>
      <c r="H77" s="71">
        <f t="shared" ref="H77:O77" si="26">H69+H72</f>
        <v>0</v>
      </c>
      <c r="I77" s="71">
        <f t="shared" si="26"/>
        <v>0</v>
      </c>
      <c r="J77" s="71">
        <f t="shared" si="26"/>
        <v>0</v>
      </c>
      <c r="K77" s="71">
        <f t="shared" si="26"/>
        <v>0</v>
      </c>
      <c r="L77" s="71">
        <f t="shared" si="26"/>
        <v>0</v>
      </c>
      <c r="M77" s="71">
        <f t="shared" si="26"/>
        <v>0</v>
      </c>
      <c r="N77" s="71">
        <f t="shared" si="26"/>
        <v>0</v>
      </c>
      <c r="O77" s="71">
        <f t="shared" si="26"/>
        <v>0</v>
      </c>
    </row>
    <row r="78" spans="1:15" ht="15" customHeight="1" x14ac:dyDescent="0.25">
      <c r="A78" s="37"/>
      <c r="B78" s="71"/>
      <c r="C78" s="71"/>
      <c r="D78" s="71"/>
      <c r="G78" s="71"/>
      <c r="H78" s="71"/>
      <c r="I78" s="71"/>
      <c r="J78" s="71"/>
      <c r="K78" s="71"/>
      <c r="L78" s="71"/>
      <c r="M78" s="71"/>
      <c r="N78" s="71"/>
      <c r="O78" s="71"/>
    </row>
    <row r="79" spans="1:15" ht="15" customHeight="1" x14ac:dyDescent="0.25">
      <c r="A79" s="37"/>
      <c r="B79" s="71" t="s">
        <v>272</v>
      </c>
      <c r="C79" s="71"/>
      <c r="D79" s="71"/>
      <c r="E79" s="71"/>
      <c r="F79" s="71"/>
      <c r="G79" s="71">
        <f t="shared" ref="G79:O79" si="27">F82</f>
        <v>562.6</v>
      </c>
      <c r="H79" s="71">
        <f t="shared" si="27"/>
        <v>562.6</v>
      </c>
      <c r="I79" s="71">
        <f t="shared" si="27"/>
        <v>562.6</v>
      </c>
      <c r="J79" s="71">
        <f t="shared" si="27"/>
        <v>562.6</v>
      </c>
      <c r="K79" s="71">
        <f t="shared" si="27"/>
        <v>562.6</v>
      </c>
      <c r="L79" s="71">
        <f t="shared" si="27"/>
        <v>562.6</v>
      </c>
      <c r="M79" s="71">
        <f t="shared" si="27"/>
        <v>562.6</v>
      </c>
      <c r="N79" s="71">
        <f t="shared" si="27"/>
        <v>562.6</v>
      </c>
      <c r="O79" s="71">
        <f t="shared" si="27"/>
        <v>562.6</v>
      </c>
    </row>
    <row r="80" spans="1:15" ht="15" customHeight="1" x14ac:dyDescent="0.25">
      <c r="A80" s="37"/>
      <c r="B80" s="70" t="s">
        <v>245</v>
      </c>
      <c r="C80" s="71"/>
      <c r="D80" s="71"/>
      <c r="E80" s="71"/>
      <c r="F80" s="71"/>
      <c r="G80" s="99"/>
      <c r="H80" s="99"/>
      <c r="I80" s="99"/>
      <c r="J80" s="99"/>
      <c r="K80" s="99"/>
      <c r="L80" s="99"/>
      <c r="M80" s="99"/>
      <c r="N80" s="99"/>
      <c r="O80" s="99"/>
    </row>
    <row r="81" spans="1:26" ht="15" customHeight="1" x14ac:dyDescent="0.25">
      <c r="A81" s="37"/>
      <c r="B81" s="70" t="s">
        <v>246</v>
      </c>
      <c r="C81" s="71"/>
      <c r="D81" s="71"/>
      <c r="E81" s="71"/>
      <c r="F81" s="71"/>
      <c r="G81" s="99"/>
      <c r="H81" s="99"/>
      <c r="I81" s="99"/>
      <c r="J81" s="99"/>
      <c r="K81" s="99"/>
      <c r="L81" s="99"/>
      <c r="M81" s="99"/>
      <c r="N81" s="99"/>
      <c r="O81" s="99"/>
    </row>
    <row r="82" spans="1:26" ht="15" customHeight="1" x14ac:dyDescent="0.25">
      <c r="A82" s="37"/>
      <c r="B82" s="71" t="s">
        <v>273</v>
      </c>
      <c r="C82" s="71"/>
      <c r="D82" s="71"/>
      <c r="E82" s="71"/>
      <c r="F82" s="71">
        <f>+O10</f>
        <v>562.6</v>
      </c>
      <c r="G82" s="71">
        <f t="shared" ref="G82:O82" si="28">SUM(G79:G80)</f>
        <v>562.6</v>
      </c>
      <c r="H82" s="71">
        <f t="shared" si="28"/>
        <v>562.6</v>
      </c>
      <c r="I82" s="71">
        <f t="shared" si="28"/>
        <v>562.6</v>
      </c>
      <c r="J82" s="71">
        <f t="shared" si="28"/>
        <v>562.6</v>
      </c>
      <c r="K82" s="71">
        <f t="shared" si="28"/>
        <v>562.6</v>
      </c>
      <c r="L82" s="71">
        <f t="shared" si="28"/>
        <v>562.6</v>
      </c>
      <c r="M82" s="71">
        <f t="shared" si="28"/>
        <v>562.6</v>
      </c>
      <c r="N82" s="71">
        <f t="shared" si="28"/>
        <v>562.6</v>
      </c>
      <c r="O82" s="71">
        <f t="shared" si="28"/>
        <v>562.6</v>
      </c>
    </row>
    <row r="83" spans="1:26" ht="15" customHeight="1" x14ac:dyDescent="0.25">
      <c r="A83" s="37"/>
      <c r="B83" s="71" t="s">
        <v>25</v>
      </c>
      <c r="C83" s="71"/>
      <c r="D83" s="71"/>
      <c r="E83" s="71"/>
      <c r="F83" s="71"/>
      <c r="G83" s="71">
        <f>AVERAGE(F82,G82)*$F$17*-1</f>
        <v>-39.382000000000005</v>
      </c>
      <c r="H83" s="71">
        <f t="shared" ref="H83:O83" si="29">AVERAGE(G82,H82)*$F$17*-1</f>
        <v>-39.382000000000005</v>
      </c>
      <c r="I83" s="71">
        <f t="shared" si="29"/>
        <v>-39.382000000000005</v>
      </c>
      <c r="J83" s="71">
        <f t="shared" si="29"/>
        <v>-39.382000000000005</v>
      </c>
      <c r="K83" s="71">
        <f t="shared" si="29"/>
        <v>-39.382000000000005</v>
      </c>
      <c r="L83" s="71">
        <f t="shared" si="29"/>
        <v>-39.382000000000005</v>
      </c>
      <c r="M83" s="71">
        <f t="shared" si="29"/>
        <v>-39.382000000000005</v>
      </c>
      <c r="N83" s="71">
        <f t="shared" si="29"/>
        <v>-39.382000000000005</v>
      </c>
      <c r="O83" s="71">
        <f t="shared" si="29"/>
        <v>-39.382000000000005</v>
      </c>
    </row>
    <row r="84" spans="1:26" ht="15" customHeight="1" x14ac:dyDescent="0.25">
      <c r="A84" s="37"/>
      <c r="B84" s="71"/>
      <c r="C84" s="71"/>
      <c r="D84" s="71"/>
      <c r="E84" s="71"/>
      <c r="F84" s="71"/>
    </row>
    <row r="85" spans="1:26" ht="15" customHeight="1" x14ac:dyDescent="0.25">
      <c r="A85" s="37"/>
      <c r="B85" s="71" t="s">
        <v>274</v>
      </c>
      <c r="C85" s="71"/>
      <c r="D85" s="71"/>
      <c r="G85" s="71">
        <f>G77+G81</f>
        <v>0</v>
      </c>
      <c r="H85" s="71">
        <f t="shared" ref="H85:O85" si="30">H77+H81</f>
        <v>0</v>
      </c>
      <c r="I85" s="71">
        <f t="shared" si="30"/>
        <v>0</v>
      </c>
      <c r="J85" s="71">
        <f t="shared" si="30"/>
        <v>0</v>
      </c>
      <c r="K85" s="71">
        <f t="shared" si="30"/>
        <v>0</v>
      </c>
      <c r="L85" s="71">
        <f t="shared" si="30"/>
        <v>0</v>
      </c>
      <c r="M85" s="71">
        <f t="shared" si="30"/>
        <v>0</v>
      </c>
      <c r="N85" s="71">
        <f t="shared" si="30"/>
        <v>0</v>
      </c>
      <c r="O85" s="71">
        <f t="shared" si="30"/>
        <v>0</v>
      </c>
    </row>
    <row r="86" spans="1:26" ht="15" customHeight="1" x14ac:dyDescent="0.25">
      <c r="A86" s="37"/>
      <c r="B86" s="71"/>
      <c r="C86" s="71"/>
      <c r="D86" s="71"/>
      <c r="E86" s="71"/>
      <c r="F86" s="71"/>
      <c r="G86" s="71"/>
      <c r="H86" s="71"/>
      <c r="I86" s="71"/>
      <c r="J86" s="71"/>
      <c r="K86" s="71"/>
      <c r="L86" s="71"/>
      <c r="M86" s="71"/>
      <c r="N86" s="71"/>
      <c r="O86" s="71"/>
    </row>
    <row r="87" spans="1:26" ht="15" customHeight="1" x14ac:dyDescent="0.25">
      <c r="A87" s="37"/>
      <c r="B87" s="71" t="s">
        <v>275</v>
      </c>
      <c r="C87" s="71"/>
      <c r="D87" s="71"/>
      <c r="G87" s="71">
        <f>F90</f>
        <v>0</v>
      </c>
      <c r="H87" s="71">
        <f t="shared" ref="H87:O87" si="31">G90</f>
        <v>0</v>
      </c>
      <c r="I87" s="71">
        <f t="shared" si="31"/>
        <v>0</v>
      </c>
      <c r="J87" s="71">
        <f t="shared" si="31"/>
        <v>0</v>
      </c>
      <c r="K87" s="71">
        <f t="shared" si="31"/>
        <v>0</v>
      </c>
      <c r="L87" s="71">
        <f t="shared" si="31"/>
        <v>0</v>
      </c>
      <c r="M87" s="71">
        <f t="shared" si="31"/>
        <v>0</v>
      </c>
      <c r="N87" s="71">
        <f t="shared" si="31"/>
        <v>0</v>
      </c>
      <c r="O87" s="71">
        <f t="shared" si="31"/>
        <v>0</v>
      </c>
    </row>
    <row r="88" spans="1:26" ht="15" customHeight="1" x14ac:dyDescent="0.25">
      <c r="A88" s="37"/>
      <c r="B88" s="70" t="s">
        <v>246</v>
      </c>
      <c r="C88" s="71"/>
      <c r="D88" s="71"/>
      <c r="G88" s="99"/>
      <c r="H88" s="99"/>
      <c r="I88" s="99"/>
      <c r="J88" s="99"/>
      <c r="K88" s="99"/>
      <c r="L88" s="99"/>
      <c r="M88" s="99"/>
      <c r="N88" s="99"/>
      <c r="O88" s="99"/>
    </row>
    <row r="89" spans="1:26" ht="15" customHeight="1" x14ac:dyDescent="0.25">
      <c r="A89" s="37"/>
      <c r="B89" s="70" t="s">
        <v>244</v>
      </c>
      <c r="C89" s="71"/>
      <c r="D89" s="71"/>
      <c r="E89" s="71"/>
      <c r="F89" s="71"/>
      <c r="G89" s="99"/>
      <c r="H89" s="99"/>
      <c r="I89" s="99"/>
      <c r="J89" s="99"/>
      <c r="K89" s="99"/>
      <c r="L89" s="99"/>
      <c r="M89" s="99"/>
      <c r="N89" s="99"/>
      <c r="O89" s="99"/>
    </row>
    <row r="90" spans="1:26" ht="15" customHeight="1" x14ac:dyDescent="0.25">
      <c r="A90" s="37"/>
      <c r="B90" s="71" t="s">
        <v>276</v>
      </c>
      <c r="C90" s="71"/>
      <c r="D90" s="71"/>
      <c r="F90" s="65">
        <v>0</v>
      </c>
      <c r="G90" s="71">
        <f t="shared" ref="G90:O90" si="32">SUM(G87:G89)</f>
        <v>0</v>
      </c>
      <c r="H90" s="71">
        <f t="shared" si="32"/>
        <v>0</v>
      </c>
      <c r="I90" s="71">
        <f t="shared" si="32"/>
        <v>0</v>
      </c>
      <c r="J90" s="71">
        <f t="shared" si="32"/>
        <v>0</v>
      </c>
      <c r="K90" s="71">
        <f t="shared" si="32"/>
        <v>0</v>
      </c>
      <c r="L90" s="71">
        <f t="shared" si="32"/>
        <v>0</v>
      </c>
      <c r="M90" s="71">
        <f t="shared" si="32"/>
        <v>0</v>
      </c>
      <c r="N90" s="71">
        <f t="shared" si="32"/>
        <v>0</v>
      </c>
      <c r="O90" s="71">
        <f t="shared" si="32"/>
        <v>0</v>
      </c>
    </row>
    <row r="91" spans="1:26" ht="15" customHeight="1" x14ac:dyDescent="0.25">
      <c r="A91" s="37"/>
      <c r="B91" s="71" t="s">
        <v>25</v>
      </c>
      <c r="C91" s="71"/>
      <c r="D91" s="71"/>
      <c r="G91" s="71">
        <f>AVERAGE(F90,G90)*$J$16*-1</f>
        <v>0</v>
      </c>
      <c r="H91" s="71">
        <f t="shared" ref="H91:O91" si="33">AVERAGE(G90,H90)*$J$16*-1</f>
        <v>0</v>
      </c>
      <c r="I91" s="71">
        <f t="shared" si="33"/>
        <v>0</v>
      </c>
      <c r="J91" s="71">
        <f t="shared" si="33"/>
        <v>0</v>
      </c>
      <c r="K91" s="71">
        <f t="shared" si="33"/>
        <v>0</v>
      </c>
      <c r="L91" s="71">
        <f t="shared" si="33"/>
        <v>0</v>
      </c>
      <c r="M91" s="71">
        <f t="shared" si="33"/>
        <v>0</v>
      </c>
      <c r="N91" s="71">
        <f t="shared" si="33"/>
        <v>0</v>
      </c>
      <c r="O91" s="71">
        <f t="shared" si="33"/>
        <v>0</v>
      </c>
    </row>
    <row r="92" spans="1:26" ht="15" customHeight="1" x14ac:dyDescent="0.25">
      <c r="A92" s="37"/>
      <c r="B92" s="71"/>
      <c r="C92" s="71"/>
      <c r="D92" s="71"/>
      <c r="G92" s="71"/>
      <c r="H92" s="71"/>
      <c r="I92" s="71"/>
      <c r="J92" s="71"/>
      <c r="K92" s="71"/>
      <c r="L92" s="71"/>
      <c r="M92" s="71"/>
      <c r="N92" s="71"/>
      <c r="O92" s="71"/>
    </row>
    <row r="93" spans="1:26" ht="15" customHeight="1" x14ac:dyDescent="0.25">
      <c r="A93" s="37"/>
      <c r="B93" s="71" t="s">
        <v>69</v>
      </c>
      <c r="C93" s="71"/>
      <c r="D93" s="71"/>
      <c r="E93" s="71"/>
      <c r="F93" s="65">
        <v>0</v>
      </c>
      <c r="G93" s="71">
        <f>G60+G72+G65+G88+G81</f>
        <v>176.08635452499999</v>
      </c>
      <c r="H93" s="71">
        <f t="shared" ref="H93:O93" si="34">H60+H72+H65+H88+H81</f>
        <v>385.12872470724994</v>
      </c>
      <c r="I93" s="71">
        <f t="shared" si="34"/>
        <v>613.07615369157998</v>
      </c>
      <c r="J93" s="71">
        <f t="shared" si="34"/>
        <v>860.64034042897231</v>
      </c>
      <c r="K93" s="71">
        <f t="shared" si="34"/>
        <v>1126.9860027465043</v>
      </c>
      <c r="L93" s="71">
        <f t="shared" si="34"/>
        <v>1410.8243189939544</v>
      </c>
      <c r="M93" s="71">
        <f t="shared" si="34"/>
        <v>1710.4135143226108</v>
      </c>
      <c r="N93" s="71">
        <f t="shared" si="34"/>
        <v>2023.5779107671617</v>
      </c>
      <c r="O93" s="71">
        <f t="shared" si="34"/>
        <v>2346.186505516192</v>
      </c>
    </row>
    <row r="94" spans="1:26" ht="15" customHeight="1" x14ac:dyDescent="0.25">
      <c r="A94" s="37"/>
      <c r="B94" s="71" t="s">
        <v>66</v>
      </c>
      <c r="C94" s="71"/>
      <c r="D94" s="71"/>
      <c r="E94" s="71"/>
      <c r="F94" s="71"/>
      <c r="G94" s="71">
        <f t="shared" ref="G94:O94" si="35">$F$18*AVERAGE(F93:G93)</f>
        <v>0.26412953178749998</v>
      </c>
      <c r="H94" s="71">
        <f t="shared" si="35"/>
        <v>0.84182261884837506</v>
      </c>
      <c r="I94" s="71">
        <f t="shared" si="35"/>
        <v>1.497307317598245</v>
      </c>
      <c r="J94" s="71">
        <f t="shared" si="35"/>
        <v>2.2105747411808285</v>
      </c>
      <c r="K94" s="71">
        <f t="shared" si="35"/>
        <v>2.9814395147632147</v>
      </c>
      <c r="L94" s="71">
        <f t="shared" si="35"/>
        <v>3.8067154826106879</v>
      </c>
      <c r="M94" s="71">
        <f t="shared" si="35"/>
        <v>4.6818567499748482</v>
      </c>
      <c r="N94" s="71">
        <f t="shared" si="35"/>
        <v>5.6009871376346592</v>
      </c>
      <c r="O94" s="71">
        <f t="shared" si="35"/>
        <v>6.5546466244250308</v>
      </c>
      <c r="Q94" s="16"/>
      <c r="R94" s="16"/>
      <c r="S94" s="16"/>
      <c r="T94" s="16"/>
      <c r="U94" s="16"/>
      <c r="V94" s="16"/>
      <c r="W94" s="16"/>
      <c r="X94" s="16"/>
      <c r="Y94" s="16"/>
      <c r="Z94" s="16"/>
    </row>
    <row r="95" spans="1:26" ht="15" customHeight="1" x14ac:dyDescent="0.25">
      <c r="A95" s="37"/>
      <c r="B95" s="71"/>
      <c r="C95" s="71"/>
      <c r="D95" s="71"/>
      <c r="E95" s="71"/>
      <c r="F95" s="71"/>
      <c r="G95" s="71"/>
      <c r="H95" s="71"/>
      <c r="I95" s="71"/>
      <c r="J95" s="71"/>
      <c r="K95" s="71"/>
      <c r="L95" s="71"/>
      <c r="M95" s="71"/>
      <c r="N95" s="71"/>
      <c r="O95" s="71"/>
      <c r="Q95" s="16"/>
      <c r="R95" s="16"/>
      <c r="S95" s="16"/>
      <c r="T95" s="16"/>
      <c r="U95" s="16"/>
      <c r="V95" s="16"/>
      <c r="W95" s="16"/>
      <c r="X95" s="16"/>
      <c r="Y95" s="16"/>
      <c r="Z95" s="16"/>
    </row>
    <row r="96" spans="1:26" ht="15" customHeight="1" x14ac:dyDescent="0.25">
      <c r="A96" s="37"/>
      <c r="B96" s="71" t="s">
        <v>247</v>
      </c>
      <c r="C96" s="71"/>
      <c r="D96" s="71"/>
      <c r="E96" s="71"/>
      <c r="F96" s="71">
        <f t="shared" ref="F96:O96" si="36">F74+F66+F90+F82</f>
        <v>1687.8000000000002</v>
      </c>
      <c r="G96" s="71">
        <f t="shared" si="36"/>
        <v>1687.8000000000002</v>
      </c>
      <c r="H96" s="71">
        <f t="shared" si="36"/>
        <v>1687.8000000000002</v>
      </c>
      <c r="I96" s="71">
        <f t="shared" si="36"/>
        <v>1687.8000000000002</v>
      </c>
      <c r="J96" s="71">
        <f t="shared" si="36"/>
        <v>1687.8000000000002</v>
      </c>
      <c r="K96" s="71">
        <f t="shared" si="36"/>
        <v>1687.8000000000002</v>
      </c>
      <c r="L96" s="71">
        <f t="shared" si="36"/>
        <v>1687.8000000000002</v>
      </c>
      <c r="M96" s="71">
        <f t="shared" si="36"/>
        <v>1687.8000000000002</v>
      </c>
      <c r="N96" s="71">
        <f t="shared" si="36"/>
        <v>1687.8000000000002</v>
      </c>
      <c r="O96" s="71">
        <f t="shared" si="36"/>
        <v>1687.8000000000002</v>
      </c>
      <c r="Q96" s="16"/>
      <c r="R96" s="16"/>
      <c r="S96" s="16"/>
      <c r="T96" s="16"/>
      <c r="U96" s="16"/>
      <c r="V96" s="16"/>
      <c r="W96" s="16"/>
      <c r="X96" s="16"/>
      <c r="Y96" s="16"/>
      <c r="Z96" s="16"/>
    </row>
    <row r="97" spans="1:26" ht="15" customHeight="1" x14ac:dyDescent="0.25">
      <c r="A97" s="37"/>
      <c r="B97" s="71" t="s">
        <v>199</v>
      </c>
      <c r="C97" s="71"/>
      <c r="D97" s="71"/>
      <c r="E97" s="71"/>
      <c r="F97" s="71"/>
      <c r="G97" s="103"/>
      <c r="H97" s="103"/>
      <c r="I97" s="103"/>
      <c r="J97" s="103"/>
      <c r="K97" s="103"/>
      <c r="L97" s="103"/>
      <c r="M97" s="103"/>
      <c r="N97" s="103"/>
      <c r="O97" s="103"/>
      <c r="Q97" s="16"/>
      <c r="R97" s="16"/>
      <c r="S97" s="16"/>
      <c r="T97" s="16"/>
      <c r="U97" s="16"/>
      <c r="V97" s="16"/>
      <c r="W97" s="16"/>
      <c r="X97" s="16"/>
      <c r="Y97" s="16"/>
      <c r="Z97" s="16"/>
    </row>
    <row r="98" spans="1:26" ht="15" customHeight="1" x14ac:dyDescent="0.25">
      <c r="A98" s="37"/>
      <c r="B98" s="16"/>
      <c r="C98" s="16"/>
      <c r="D98" s="16"/>
      <c r="E98" s="16"/>
      <c r="F98" s="16"/>
      <c r="G98" s="16"/>
      <c r="H98" s="16"/>
      <c r="I98" s="16"/>
      <c r="J98" s="16"/>
      <c r="K98" s="16"/>
      <c r="L98" s="16"/>
      <c r="M98" s="16"/>
      <c r="N98" s="16"/>
      <c r="O98" s="16"/>
      <c r="Q98" s="16"/>
      <c r="R98" s="16"/>
      <c r="S98" s="16"/>
      <c r="T98" s="16"/>
      <c r="U98" s="16"/>
      <c r="V98" s="16"/>
      <c r="W98" s="16"/>
      <c r="X98" s="16"/>
      <c r="Y98" s="16"/>
      <c r="Z98" s="16"/>
    </row>
    <row r="99" spans="1:26" ht="15" customHeight="1" x14ac:dyDescent="0.25">
      <c r="A99" s="37" t="s">
        <v>99</v>
      </c>
      <c r="B99" s="16"/>
      <c r="C99" s="16"/>
      <c r="D99" s="16"/>
      <c r="E99" s="16"/>
      <c r="F99" s="16"/>
      <c r="G99" s="16"/>
      <c r="H99" s="16"/>
      <c r="I99" s="16"/>
      <c r="J99" s="16"/>
      <c r="K99" s="16"/>
      <c r="L99" s="16"/>
      <c r="M99" s="16"/>
      <c r="N99" s="16"/>
      <c r="O99" s="16"/>
      <c r="Q99" s="16"/>
      <c r="R99" s="16"/>
      <c r="S99" s="16"/>
      <c r="T99" s="16"/>
      <c r="U99" s="16"/>
      <c r="V99" s="16"/>
      <c r="W99" s="16"/>
      <c r="X99" s="16"/>
      <c r="Y99" s="16"/>
      <c r="Z99" s="16"/>
    </row>
    <row r="100" spans="1:26" ht="15" customHeight="1" x14ac:dyDescent="0.25">
      <c r="A100" s="37"/>
      <c r="B100" s="70" t="s">
        <v>24</v>
      </c>
      <c r="C100" s="71"/>
      <c r="D100" s="71"/>
      <c r="E100" s="71"/>
      <c r="G100" s="71">
        <f t="shared" ref="G100:O100" si="37">G41+G51</f>
        <v>371.69178750000003</v>
      </c>
      <c r="H100" s="71">
        <f t="shared" si="37"/>
        <v>405.14404837500007</v>
      </c>
      <c r="I100" s="71">
        <f t="shared" si="37"/>
        <v>437.55557224500006</v>
      </c>
      <c r="J100" s="71">
        <f t="shared" si="37"/>
        <v>468.18446230215022</v>
      </c>
      <c r="K100" s="71">
        <f t="shared" si="37"/>
        <v>496.27553004027919</v>
      </c>
      <c r="L100" s="71">
        <f t="shared" si="37"/>
        <v>521.08930654229312</v>
      </c>
      <c r="M100" s="71">
        <f t="shared" si="37"/>
        <v>541.93287880398486</v>
      </c>
      <c r="N100" s="71">
        <f t="shared" si="37"/>
        <v>558.19086516810444</v>
      </c>
      <c r="O100" s="71">
        <f t="shared" si="37"/>
        <v>569.35468247146639</v>
      </c>
      <c r="Q100" s="16"/>
      <c r="R100" s="16"/>
      <c r="S100" s="16"/>
      <c r="T100" s="16"/>
      <c r="U100" s="16"/>
      <c r="V100" s="16"/>
      <c r="W100" s="16"/>
      <c r="X100" s="16"/>
      <c r="Y100" s="16"/>
      <c r="Z100" s="16"/>
    </row>
    <row r="101" spans="1:26" ht="15" customHeight="1" x14ac:dyDescent="0.25">
      <c r="A101" s="37"/>
      <c r="B101" s="70" t="s">
        <v>72</v>
      </c>
      <c r="C101" s="71"/>
      <c r="D101" s="71"/>
      <c r="E101" s="71"/>
      <c r="F101" s="70"/>
      <c r="G101" s="71">
        <f t="shared" ref="G101:O101" si="38">$F$12*G100</f>
        <v>4088.6096625000005</v>
      </c>
      <c r="H101" s="71">
        <f t="shared" si="38"/>
        <v>4456.5845321250008</v>
      </c>
      <c r="I101" s="71">
        <f t="shared" si="38"/>
        <v>4813.1112946950007</v>
      </c>
      <c r="J101" s="71">
        <f t="shared" si="38"/>
        <v>5150.0290853236529</v>
      </c>
      <c r="K101" s="71">
        <f t="shared" si="38"/>
        <v>5459.030830443071</v>
      </c>
      <c r="L101" s="71">
        <f t="shared" si="38"/>
        <v>5731.982371965224</v>
      </c>
      <c r="M101" s="71">
        <f t="shared" si="38"/>
        <v>5961.2616668438332</v>
      </c>
      <c r="N101" s="71">
        <f t="shared" si="38"/>
        <v>6140.099516849149</v>
      </c>
      <c r="O101" s="71">
        <f t="shared" si="38"/>
        <v>6262.9015071861304</v>
      </c>
      <c r="Q101" s="16"/>
      <c r="R101" s="16"/>
      <c r="S101" s="16"/>
      <c r="T101" s="16"/>
      <c r="U101" s="16"/>
      <c r="V101" s="16"/>
      <c r="W101" s="16"/>
      <c r="X101" s="16"/>
      <c r="Y101" s="16"/>
      <c r="Z101" s="16"/>
    </row>
    <row r="102" spans="1:26" ht="15" customHeight="1" x14ac:dyDescent="0.25">
      <c r="A102" s="37"/>
      <c r="B102" s="70" t="s">
        <v>30</v>
      </c>
      <c r="C102" s="71"/>
      <c r="D102" s="71"/>
      <c r="E102" s="71"/>
      <c r="F102" s="71"/>
      <c r="G102" s="71">
        <f>G66+G74+G82+G90-G93</f>
        <v>1511.7136454750002</v>
      </c>
      <c r="H102" s="71">
        <f t="shared" ref="H102:O102" si="39">H66+H74+H82+H90-H93</f>
        <v>1302.6712752927501</v>
      </c>
      <c r="I102" s="71">
        <f t="shared" si="39"/>
        <v>1074.7238463084202</v>
      </c>
      <c r="J102" s="71">
        <f t="shared" si="39"/>
        <v>827.15965957102787</v>
      </c>
      <c r="K102" s="71">
        <f t="shared" si="39"/>
        <v>560.81399725349593</v>
      </c>
      <c r="L102" s="71">
        <f t="shared" si="39"/>
        <v>276.97568100604576</v>
      </c>
      <c r="M102" s="71">
        <f t="shared" si="39"/>
        <v>-22.613514322610627</v>
      </c>
      <c r="N102" s="71">
        <f t="shared" si="39"/>
        <v>-335.77791076716153</v>
      </c>
      <c r="O102" s="71">
        <f t="shared" si="39"/>
        <v>-658.38650551619185</v>
      </c>
      <c r="Q102" s="16"/>
      <c r="R102" s="16"/>
      <c r="S102" s="16"/>
      <c r="T102" s="16"/>
      <c r="U102" s="16"/>
      <c r="V102" s="16"/>
      <c r="W102" s="16"/>
      <c r="X102" s="16"/>
      <c r="Y102" s="16"/>
      <c r="Z102" s="16"/>
    </row>
    <row r="103" spans="1:26" ht="15" customHeight="1" x14ac:dyDescent="0.25">
      <c r="A103" s="37"/>
      <c r="B103" s="70" t="s">
        <v>101</v>
      </c>
      <c r="C103" s="71"/>
      <c r="D103" s="71"/>
      <c r="E103" s="71"/>
      <c r="F103" s="71"/>
      <c r="G103" s="71">
        <f>G101-G102</f>
        <v>2576.8960170250002</v>
      </c>
      <c r="H103" s="71">
        <f t="shared" ref="H103:O103" si="40">H101-H102</f>
        <v>3153.9132568322507</v>
      </c>
      <c r="I103" s="71">
        <f t="shared" si="40"/>
        <v>3738.3874483865802</v>
      </c>
      <c r="J103" s="71">
        <f t="shared" si="40"/>
        <v>4322.8694257526249</v>
      </c>
      <c r="K103" s="71">
        <f t="shared" si="40"/>
        <v>4898.2168331895755</v>
      </c>
      <c r="L103" s="71">
        <f t="shared" si="40"/>
        <v>5455.0066909591787</v>
      </c>
      <c r="M103" s="71">
        <f t="shared" si="40"/>
        <v>5983.8751811664442</v>
      </c>
      <c r="N103" s="71">
        <f t="shared" si="40"/>
        <v>6475.8774276163103</v>
      </c>
      <c r="O103" s="71">
        <f t="shared" si="40"/>
        <v>6921.2880127023218</v>
      </c>
      <c r="Q103" s="16"/>
      <c r="R103" s="16"/>
      <c r="S103" s="16"/>
      <c r="T103" s="16"/>
      <c r="U103" s="16"/>
      <c r="V103" s="16"/>
      <c r="W103" s="16"/>
      <c r="X103" s="16"/>
      <c r="Y103" s="16"/>
      <c r="Z103" s="16"/>
    </row>
    <row r="104" spans="1:26" ht="15" customHeight="1" x14ac:dyDescent="0.25">
      <c r="A104" s="37"/>
      <c r="B104" s="70" t="s">
        <v>248</v>
      </c>
      <c r="C104" s="71"/>
      <c r="D104" s="71"/>
      <c r="E104" s="71"/>
      <c r="F104" s="71"/>
      <c r="G104" s="99"/>
      <c r="H104" s="99"/>
      <c r="I104" s="99"/>
      <c r="J104" s="99"/>
      <c r="K104" s="99"/>
      <c r="L104" s="99"/>
      <c r="M104" s="99"/>
      <c r="N104" s="99"/>
      <c r="O104" s="99"/>
      <c r="Q104" s="16"/>
      <c r="R104" s="16"/>
      <c r="S104" s="16"/>
      <c r="T104" s="16"/>
      <c r="U104" s="16"/>
      <c r="V104" s="16"/>
      <c r="W104" s="16"/>
      <c r="X104" s="16"/>
      <c r="Y104" s="16"/>
      <c r="Z104" s="16"/>
    </row>
    <row r="105" spans="1:26" ht="15" customHeight="1" x14ac:dyDescent="0.25">
      <c r="A105" s="37"/>
      <c r="B105" s="71"/>
      <c r="C105" s="71"/>
      <c r="D105" s="71"/>
      <c r="E105" s="71"/>
      <c r="F105" s="71"/>
      <c r="G105" s="71"/>
      <c r="H105" s="71"/>
      <c r="I105" s="71"/>
      <c r="J105" s="71"/>
      <c r="K105" s="71"/>
      <c r="L105" s="71"/>
      <c r="M105" s="71"/>
      <c r="N105" s="71"/>
      <c r="O105" s="71"/>
      <c r="Q105" s="16"/>
      <c r="R105" s="16"/>
      <c r="S105" s="16"/>
      <c r="T105" s="16"/>
      <c r="U105" s="16"/>
      <c r="V105" s="16"/>
      <c r="W105" s="16"/>
      <c r="X105" s="16"/>
      <c r="Y105" s="16"/>
      <c r="Z105" s="16"/>
    </row>
    <row r="106" spans="1:26" ht="15" customHeight="1" x14ac:dyDescent="0.25">
      <c r="A106" s="37"/>
      <c r="B106" s="70" t="s">
        <v>102</v>
      </c>
      <c r="C106" s="71"/>
      <c r="D106" s="71"/>
      <c r="E106" s="71"/>
      <c r="F106" s="71">
        <f>-O11</f>
        <v>-1437.4430000000004</v>
      </c>
      <c r="G106" s="99"/>
      <c r="H106" s="99"/>
      <c r="I106" s="99"/>
      <c r="J106" s="99"/>
      <c r="K106" s="99"/>
      <c r="L106" s="99"/>
      <c r="M106" s="99"/>
      <c r="N106" s="99"/>
      <c r="O106" s="99"/>
      <c r="Q106" s="16"/>
      <c r="R106" s="16"/>
      <c r="S106" s="16"/>
      <c r="T106" s="16"/>
      <c r="U106" s="16"/>
      <c r="V106" s="16"/>
      <c r="W106" s="16"/>
      <c r="X106" s="16"/>
      <c r="Y106" s="16"/>
      <c r="Z106" s="16"/>
    </row>
    <row r="107" spans="1:26" ht="15" customHeight="1" x14ac:dyDescent="0.25">
      <c r="A107" s="37"/>
      <c r="B107" s="70" t="s">
        <v>103</v>
      </c>
      <c r="C107" s="71"/>
      <c r="D107" s="71"/>
      <c r="F107" s="76" t="e">
        <f>IRR(F106:O106)</f>
        <v>#NUM!</v>
      </c>
      <c r="H107" s="16"/>
      <c r="I107" s="71"/>
      <c r="J107" s="71"/>
      <c r="K107" s="71"/>
      <c r="L107" s="71"/>
      <c r="M107" s="71"/>
      <c r="N107" s="71"/>
      <c r="O107" s="71"/>
      <c r="Q107" s="16"/>
      <c r="R107" s="16"/>
      <c r="S107" s="16"/>
      <c r="T107" s="16"/>
      <c r="U107" s="16"/>
      <c r="V107" s="16"/>
      <c r="W107" s="16"/>
      <c r="X107" s="16"/>
      <c r="Y107" s="16"/>
      <c r="Z107" s="16"/>
    </row>
    <row r="108" spans="1:26" ht="15" customHeight="1" x14ac:dyDescent="0.25">
      <c r="A108" s="37"/>
      <c r="B108" s="16"/>
      <c r="C108" s="16"/>
      <c r="D108" s="16"/>
      <c r="E108" s="16"/>
      <c r="H108" s="16"/>
      <c r="I108" s="16"/>
      <c r="J108" s="16"/>
      <c r="K108" s="16"/>
      <c r="L108" s="16"/>
      <c r="M108" s="16"/>
      <c r="N108" s="16"/>
      <c r="O108" s="16"/>
      <c r="Q108" s="16"/>
      <c r="R108" s="16"/>
      <c r="S108" s="16"/>
      <c r="T108" s="16"/>
      <c r="U108" s="16"/>
      <c r="V108" s="16"/>
      <c r="W108" s="16"/>
      <c r="X108" s="16"/>
      <c r="Y108" s="16"/>
      <c r="Z108" s="16"/>
    </row>
    <row r="109" spans="1:26" ht="15" customHeight="1" x14ac:dyDescent="0.25">
      <c r="A109" s="86" t="s">
        <v>32</v>
      </c>
    </row>
    <row r="131" spans="1:15" ht="15" customHeight="1" x14ac:dyDescent="0.25">
      <c r="A131" s="37"/>
      <c r="B131" s="16"/>
      <c r="C131" s="16"/>
      <c r="D131" s="39"/>
      <c r="E131" s="39"/>
      <c r="F131" s="39"/>
      <c r="G131" s="16"/>
      <c r="H131" s="16"/>
      <c r="I131" s="16"/>
      <c r="J131" s="16"/>
      <c r="K131" s="16"/>
      <c r="L131" s="16"/>
      <c r="M131" s="16"/>
      <c r="N131" s="16"/>
      <c r="O131" s="16"/>
    </row>
    <row r="132" spans="1:15" ht="15" customHeight="1" x14ac:dyDescent="0.25">
      <c r="A132" s="37"/>
      <c r="B132" s="16"/>
      <c r="C132" s="16"/>
      <c r="D132" s="16"/>
      <c r="E132" s="16"/>
      <c r="F132" s="16"/>
      <c r="G132" s="16"/>
      <c r="H132" s="16"/>
      <c r="I132" s="16"/>
      <c r="J132" s="16"/>
      <c r="K132" s="16"/>
      <c r="L132" s="16"/>
      <c r="M132" s="16"/>
      <c r="N132" s="16"/>
      <c r="O132" s="16"/>
    </row>
  </sheetData>
  <printOptions gridLines="1"/>
  <pageMargins left="0.70866141732283472" right="0.70866141732283472" top="0.74803149606299213" bottom="0.74803149606299213" header="0" footer="0"/>
  <pageSetup paperSize="9" scale="47" fitToHeight="0" orientation="landscape" r:id="rId1"/>
  <headerFooter>
    <oddHeader>&amp;R&amp;F  &amp;A</oddHeader>
    <oddFooter>&amp;L© 2016&amp;CPage &amp;P of</oddFooter>
  </headerFooter>
  <rowBreaks count="2" manualBreakCount="2">
    <brk id="76" max="15" man="1"/>
    <brk id="124" max="15" man="1"/>
  </rowBreaks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500-000000000000}">
  <sheetPr>
    <pageSetUpPr fitToPage="1"/>
  </sheetPr>
  <dimension ref="A1:Z1000"/>
  <sheetViews>
    <sheetView workbookViewId="0"/>
  </sheetViews>
  <sheetFormatPr defaultColWidth="12.5703125" defaultRowHeight="15" customHeight="1" x14ac:dyDescent="0.25"/>
  <cols>
    <col min="1" max="1" width="1.140625" customWidth="1"/>
    <col min="2" max="2" width="24.28515625" customWidth="1"/>
    <col min="3" max="3" width="2.140625" customWidth="1"/>
    <col min="4" max="4" width="9.5703125" customWidth="1"/>
    <col min="5" max="5" width="2.140625" customWidth="1"/>
    <col min="6" max="6" width="9.5703125" customWidth="1"/>
    <col min="7" max="7" width="2.140625" customWidth="1"/>
    <col min="8" max="8" width="9.5703125" customWidth="1"/>
    <col min="9" max="9" width="2.140625" customWidth="1"/>
    <col min="10" max="10" width="9.5703125" customWidth="1"/>
    <col min="11" max="11" width="2.140625" customWidth="1"/>
    <col min="12" max="12" width="8.5703125" customWidth="1"/>
    <col min="13" max="13" width="2.140625" customWidth="1"/>
    <col min="14" max="14" width="8.5703125" customWidth="1"/>
    <col min="15" max="15" width="2.140625" customWidth="1"/>
    <col min="16" max="16" width="8.5703125" customWidth="1"/>
    <col min="17" max="17" width="2.140625" customWidth="1"/>
    <col min="18" max="18" width="8" customWidth="1"/>
    <col min="19" max="19" width="2.140625" customWidth="1"/>
    <col min="20" max="20" width="8" customWidth="1"/>
    <col min="21" max="21" width="2.140625" customWidth="1"/>
    <col min="22" max="22" width="8" customWidth="1"/>
    <col min="23" max="23" width="2.140625" customWidth="1"/>
    <col min="24" max="26" width="8" customWidth="1"/>
  </cols>
  <sheetData>
    <row r="1" spans="1:26" ht="45" customHeight="1" x14ac:dyDescent="0.45">
      <c r="A1" s="41" t="s">
        <v>107</v>
      </c>
      <c r="B1" s="41"/>
      <c r="C1" s="41"/>
      <c r="D1" s="41"/>
      <c r="E1" s="41"/>
      <c r="F1" s="41"/>
      <c r="G1" s="41"/>
      <c r="H1" s="41"/>
      <c r="I1" s="41"/>
      <c r="J1" s="41"/>
      <c r="K1" s="41"/>
      <c r="L1" s="41"/>
      <c r="M1" s="41"/>
      <c r="N1" s="41"/>
      <c r="O1" s="41"/>
      <c r="P1" s="41"/>
      <c r="Q1" s="41"/>
      <c r="R1" s="41"/>
      <c r="S1" s="41"/>
      <c r="T1" s="41"/>
      <c r="U1" s="41"/>
      <c r="V1" s="41"/>
      <c r="W1" s="41"/>
      <c r="X1" s="41"/>
      <c r="Y1" s="42"/>
      <c r="Z1" s="42"/>
    </row>
    <row r="2" spans="1:26" ht="15" customHeight="1" x14ac:dyDescent="0.3">
      <c r="B2" s="33" t="s">
        <v>108</v>
      </c>
      <c r="D2" s="43"/>
      <c r="T2" s="43" t="s">
        <v>109</v>
      </c>
      <c r="U2" s="43"/>
      <c r="V2" s="43"/>
      <c r="W2" s="43"/>
      <c r="X2" s="43"/>
      <c r="Y2" s="43"/>
      <c r="Z2" s="43"/>
    </row>
    <row r="3" spans="1:26" ht="15" customHeight="1" x14ac:dyDescent="0.3">
      <c r="D3" s="43"/>
      <c r="T3" s="43"/>
      <c r="U3" s="43"/>
      <c r="V3" s="43"/>
      <c r="W3" s="43"/>
      <c r="X3" s="43"/>
      <c r="Y3" s="43"/>
      <c r="Z3" s="43"/>
    </row>
    <row r="4" spans="1:26" ht="15" customHeight="1" x14ac:dyDescent="0.25">
      <c r="A4" s="57" t="s">
        <v>33</v>
      </c>
      <c r="B4" s="57"/>
      <c r="C4" s="57"/>
      <c r="D4" s="57"/>
    </row>
    <row r="5" spans="1:26" ht="15" customHeight="1" x14ac:dyDescent="0.25">
      <c r="A5" s="36"/>
      <c r="B5" s="2" t="s">
        <v>34</v>
      </c>
      <c r="D5" s="38" t="s">
        <v>110</v>
      </c>
    </row>
    <row r="6" spans="1:26" ht="15" customHeight="1" x14ac:dyDescent="0.25">
      <c r="A6" s="36"/>
      <c r="B6" s="2" t="s">
        <v>35</v>
      </c>
      <c r="D6" s="2" t="s">
        <v>36</v>
      </c>
    </row>
    <row r="7" spans="1:26" ht="15" customHeight="1" x14ac:dyDescent="0.25">
      <c r="A7" s="36"/>
      <c r="B7" s="2" t="s">
        <v>37</v>
      </c>
      <c r="D7" s="58">
        <v>42482</v>
      </c>
    </row>
    <row r="8" spans="1:26" ht="15" customHeight="1" x14ac:dyDescent="0.25">
      <c r="A8" s="36"/>
      <c r="B8" s="2" t="s">
        <v>40</v>
      </c>
      <c r="D8" s="38" t="s">
        <v>111</v>
      </c>
    </row>
    <row r="9" spans="1:26" ht="15" customHeight="1" x14ac:dyDescent="0.25">
      <c r="A9" s="37"/>
      <c r="B9" s="2" t="s">
        <v>112</v>
      </c>
      <c r="D9" s="38" t="s">
        <v>113</v>
      </c>
    </row>
    <row r="10" spans="1:26" ht="15" customHeight="1" x14ac:dyDescent="0.25">
      <c r="A10" s="36"/>
      <c r="B10" s="2" t="s">
        <v>38</v>
      </c>
      <c r="D10" s="58">
        <v>42369</v>
      </c>
    </row>
    <row r="11" spans="1:26" ht="15" customHeight="1" x14ac:dyDescent="0.25">
      <c r="A11" s="36"/>
      <c r="B11" s="2" t="s">
        <v>41</v>
      </c>
      <c r="D11" s="38" t="s">
        <v>9</v>
      </c>
    </row>
    <row r="12" spans="1:26" ht="15" customHeight="1" x14ac:dyDescent="0.25">
      <c r="A12" s="36"/>
      <c r="B12" s="2" t="s">
        <v>114</v>
      </c>
      <c r="D12" s="38"/>
    </row>
    <row r="13" spans="1:26" ht="15" customHeight="1" x14ac:dyDescent="0.25">
      <c r="A13" s="36"/>
      <c r="B13" s="2" t="str">
        <f>"Closing price as at "&amp;TEXT(D7,"dd-mmm-yy")</f>
        <v>Closing price as at 22-Apr-16</v>
      </c>
      <c r="D13" s="38" t="e">
        <v>#N/A</v>
      </c>
    </row>
    <row r="14" spans="1:26" ht="15" customHeight="1" x14ac:dyDescent="0.25">
      <c r="A14" s="36"/>
      <c r="B14" s="2" t="s">
        <v>43</v>
      </c>
      <c r="D14" s="38" t="e">
        <v>#N/A</v>
      </c>
    </row>
    <row r="15" spans="1:26" ht="15" customHeight="1" x14ac:dyDescent="0.25">
      <c r="A15" s="36"/>
      <c r="B15" s="2" t="s">
        <v>44</v>
      </c>
      <c r="D15" s="38" t="e">
        <v>#N/A</v>
      </c>
    </row>
    <row r="16" spans="1:26" ht="15" customHeight="1" x14ac:dyDescent="0.25">
      <c r="A16" s="36"/>
      <c r="B16" s="2" t="s">
        <v>115</v>
      </c>
      <c r="D16" s="38" t="e">
        <v>#N/A</v>
      </c>
    </row>
    <row r="17" spans="1:4" ht="15" customHeight="1" x14ac:dyDescent="0.25">
      <c r="A17" s="36"/>
      <c r="B17" s="2" t="s">
        <v>116</v>
      </c>
      <c r="D17" s="38" t="s">
        <v>59</v>
      </c>
    </row>
    <row r="18" spans="1:4" ht="15" customHeight="1" x14ac:dyDescent="0.25">
      <c r="A18" s="36"/>
      <c r="B18" s="2" t="s">
        <v>117</v>
      </c>
      <c r="D18" s="38">
        <v>0.6389551</v>
      </c>
    </row>
    <row r="19" spans="1:4" ht="15" customHeight="1" x14ac:dyDescent="0.25">
      <c r="A19" s="36"/>
      <c r="B19" s="2" t="s">
        <v>39</v>
      </c>
      <c r="D19" s="48" t="e">
        <v>#N/A</v>
      </c>
    </row>
    <row r="20" spans="1:4" ht="15" customHeight="1" x14ac:dyDescent="0.25">
      <c r="A20" s="36"/>
      <c r="D20" s="38"/>
    </row>
    <row r="21" spans="1:4" ht="15" customHeight="1" x14ac:dyDescent="0.25">
      <c r="A21" s="36"/>
      <c r="B21" s="2" t="s">
        <v>45</v>
      </c>
      <c r="D21" s="38" t="s">
        <v>118</v>
      </c>
    </row>
    <row r="22" spans="1:4" ht="15" customHeight="1" x14ac:dyDescent="0.25">
      <c r="A22" s="36"/>
      <c r="B22" s="2" t="s">
        <v>46</v>
      </c>
      <c r="D22" s="48" t="s">
        <v>75</v>
      </c>
    </row>
    <row r="23" spans="1:4" ht="15" customHeight="1" x14ac:dyDescent="0.25">
      <c r="A23" s="36"/>
      <c r="D23" s="38"/>
    </row>
    <row r="24" spans="1:4" ht="15" customHeight="1" x14ac:dyDescent="0.25">
      <c r="A24" s="57" t="s">
        <v>119</v>
      </c>
      <c r="B24" s="57"/>
      <c r="C24" s="57"/>
      <c r="D24" s="57"/>
    </row>
    <row r="25" spans="1:4" ht="15" customHeight="1" x14ac:dyDescent="0.25">
      <c r="A25" s="36"/>
      <c r="B25" s="2" t="s">
        <v>120</v>
      </c>
      <c r="D25" s="59">
        <v>0</v>
      </c>
    </row>
    <row r="26" spans="1:4" ht="15" customHeight="1" x14ac:dyDescent="0.25">
      <c r="A26" s="36"/>
      <c r="B26" s="2" t="s">
        <v>121</v>
      </c>
      <c r="D26" s="59">
        <v>0</v>
      </c>
    </row>
    <row r="27" spans="1:4" ht="15" customHeight="1" x14ac:dyDescent="0.25">
      <c r="A27" s="36"/>
      <c r="B27" s="2" t="s">
        <v>49</v>
      </c>
      <c r="D27" s="59">
        <v>67.661361999999997</v>
      </c>
    </row>
    <row r="28" spans="1:4" ht="15" customHeight="1" x14ac:dyDescent="0.25">
      <c r="A28" s="36"/>
      <c r="B28" s="2" t="s">
        <v>51</v>
      </c>
      <c r="D28" s="59">
        <v>510.95299999999997</v>
      </c>
    </row>
    <row r="29" spans="1:4" ht="15" customHeight="1" x14ac:dyDescent="0.25">
      <c r="A29" s="36"/>
      <c r="B29" s="2" t="s">
        <v>122</v>
      </c>
      <c r="D29" s="59">
        <v>6.6109999999999998</v>
      </c>
    </row>
    <row r="30" spans="1:4" ht="15" customHeight="1" x14ac:dyDescent="0.25">
      <c r="A30" s="36"/>
      <c r="B30" s="2" t="s">
        <v>123</v>
      </c>
      <c r="D30" s="59">
        <v>0</v>
      </c>
    </row>
    <row r="31" spans="1:4" ht="15" customHeight="1" x14ac:dyDescent="0.25">
      <c r="A31" s="36"/>
      <c r="B31" s="2" t="s">
        <v>124</v>
      </c>
      <c r="D31" s="60">
        <v>0</v>
      </c>
    </row>
    <row r="32" spans="1:4" ht="15" customHeight="1" x14ac:dyDescent="0.25">
      <c r="A32" s="36"/>
      <c r="B32" s="2" t="s">
        <v>50</v>
      </c>
      <c r="D32" s="61">
        <v>0</v>
      </c>
    </row>
    <row r="33" spans="1:18" ht="15" customHeight="1" x14ac:dyDescent="0.25">
      <c r="A33" s="36"/>
      <c r="B33" s="2" t="s">
        <v>125</v>
      </c>
      <c r="D33" s="59">
        <v>113.08199999999999</v>
      </c>
    </row>
    <row r="34" spans="1:18" ht="15" customHeight="1" x14ac:dyDescent="0.25">
      <c r="A34" s="36"/>
      <c r="B34" s="2" t="s">
        <v>126</v>
      </c>
      <c r="D34" s="59">
        <v>0</v>
      </c>
    </row>
    <row r="35" spans="1:18" ht="15" customHeight="1" x14ac:dyDescent="0.25">
      <c r="A35" s="36"/>
      <c r="B35" s="2" t="s">
        <v>127</v>
      </c>
      <c r="D35" s="59">
        <v>1.84</v>
      </c>
    </row>
    <row r="36" spans="1:18" ht="15" customHeight="1" x14ac:dyDescent="0.25">
      <c r="A36" s="36"/>
      <c r="B36" s="2" t="s">
        <v>128</v>
      </c>
      <c r="D36" s="46">
        <v>0</v>
      </c>
    </row>
    <row r="37" spans="1:18" ht="15.75" customHeight="1" x14ac:dyDescent="0.25">
      <c r="A37" s="36"/>
    </row>
    <row r="38" spans="1:18" ht="15" customHeight="1" x14ac:dyDescent="0.25">
      <c r="A38" s="57" t="s">
        <v>129</v>
      </c>
      <c r="B38" s="57"/>
      <c r="C38" s="57"/>
      <c r="D38" s="57"/>
    </row>
    <row r="39" spans="1:18" ht="15.75" customHeight="1" x14ac:dyDescent="0.25">
      <c r="A39" s="36"/>
      <c r="D39" s="62" t="s">
        <v>130</v>
      </c>
      <c r="F39" s="63" t="s">
        <v>53</v>
      </c>
      <c r="G39" s="63"/>
      <c r="H39" s="63" t="s">
        <v>54</v>
      </c>
      <c r="I39" s="63"/>
      <c r="L39" s="38" t="s">
        <v>55</v>
      </c>
      <c r="N39" s="38" t="s">
        <v>56</v>
      </c>
      <c r="P39" s="38" t="s">
        <v>57</v>
      </c>
      <c r="R39" s="38" t="s">
        <v>58</v>
      </c>
    </row>
    <row r="40" spans="1:18" ht="15" customHeight="1" x14ac:dyDescent="0.25">
      <c r="A40" s="36"/>
      <c r="B40" s="2" t="s">
        <v>7</v>
      </c>
      <c r="D40" s="45" t="str">
        <f>D8</f>
        <v>31/12/2015</v>
      </c>
      <c r="F40" s="44">
        <f>EDATE(H40,-12)</f>
        <v>42094</v>
      </c>
      <c r="H40" s="64">
        <v>42460</v>
      </c>
      <c r="L40" s="44">
        <f>EDATE(D40,12)</f>
        <v>42735</v>
      </c>
      <c r="M40" s="44"/>
      <c r="N40" s="44">
        <f>EDATE(L40,12)</f>
        <v>43100</v>
      </c>
      <c r="O40" s="44"/>
      <c r="P40" s="44">
        <f>EDATE(N40,12)</f>
        <v>43465</v>
      </c>
      <c r="Q40" s="44"/>
      <c r="R40" s="44">
        <f>EDATE(P40,12)</f>
        <v>43830</v>
      </c>
    </row>
    <row r="41" spans="1:18" ht="15" customHeight="1" x14ac:dyDescent="0.25">
      <c r="A41" s="36"/>
      <c r="B41" s="2" t="s">
        <v>21</v>
      </c>
      <c r="D41" s="59">
        <v>547.65499999999997</v>
      </c>
      <c r="F41" s="59">
        <v>138.52000000000001</v>
      </c>
      <c r="H41" s="59">
        <v>147.517</v>
      </c>
      <c r="L41" s="59" t="e">
        <v>#N/A</v>
      </c>
      <c r="N41" s="59" t="e">
        <v>#N/A</v>
      </c>
      <c r="P41" s="59" t="e">
        <v>#N/A</v>
      </c>
      <c r="R41" s="59" t="e">
        <v>#N/A</v>
      </c>
    </row>
    <row r="42" spans="1:18" ht="15" customHeight="1" x14ac:dyDescent="0.25">
      <c r="A42" s="36"/>
      <c r="B42" s="2" t="s">
        <v>22</v>
      </c>
      <c r="D42" s="16">
        <v>100.14100000000001</v>
      </c>
      <c r="F42" s="16">
        <v>25.919</v>
      </c>
      <c r="H42" s="16">
        <v>22.268999999999998</v>
      </c>
      <c r="L42" s="59" t="e">
        <v>#N/A</v>
      </c>
      <c r="N42" s="59" t="e">
        <v>#N/A</v>
      </c>
      <c r="P42" s="59" t="e">
        <v>#N/A</v>
      </c>
      <c r="R42" s="59" t="e">
        <v>#N/A</v>
      </c>
    </row>
    <row r="43" spans="1:18" ht="15" customHeight="1" x14ac:dyDescent="0.25">
      <c r="A43" s="36"/>
      <c r="B43" s="2" t="s">
        <v>23</v>
      </c>
      <c r="D43" s="59">
        <v>21.494</v>
      </c>
      <c r="F43" s="59">
        <v>5.0670000000000002</v>
      </c>
      <c r="H43" s="59">
        <v>6.1520000000000001</v>
      </c>
      <c r="L43" s="16" t="e">
        <f>L44-L42</f>
        <v>#N/A</v>
      </c>
      <c r="N43" s="16" t="e">
        <f>N44-N42</f>
        <v>#N/A</v>
      </c>
      <c r="P43" s="16" t="e">
        <f>P44-P42</f>
        <v>#N/A</v>
      </c>
      <c r="R43" s="16" t="e">
        <f>R44-R42</f>
        <v>#N/A</v>
      </c>
    </row>
    <row r="44" spans="1:18" ht="15" customHeight="1" x14ac:dyDescent="0.25">
      <c r="A44" s="36"/>
      <c r="B44" s="2" t="s">
        <v>24</v>
      </c>
      <c r="D44" s="59">
        <f>D42+D43</f>
        <v>121.63500000000001</v>
      </c>
      <c r="F44" s="59">
        <f>F42+F43</f>
        <v>30.986000000000001</v>
      </c>
      <c r="H44" s="59">
        <f>H42+H43</f>
        <v>28.420999999999999</v>
      </c>
      <c r="L44" s="61" t="e">
        <v>#N/A</v>
      </c>
      <c r="N44" s="61" t="e">
        <v>#N/A</v>
      </c>
      <c r="P44" s="61" t="e">
        <v>#N/A</v>
      </c>
      <c r="R44" s="61" t="e">
        <v>#N/A</v>
      </c>
    </row>
    <row r="45" spans="1:18" ht="15" customHeight="1" x14ac:dyDescent="0.25">
      <c r="A45" s="36"/>
      <c r="B45" s="2" t="s">
        <v>131</v>
      </c>
      <c r="D45" s="59">
        <v>0.34699999999999998</v>
      </c>
      <c r="F45" s="59">
        <v>0.08</v>
      </c>
      <c r="H45" s="59">
        <v>0</v>
      </c>
      <c r="L45" s="59" t="e">
        <v>#N/A</v>
      </c>
      <c r="N45" s="59" t="e">
        <v>#N/A</v>
      </c>
      <c r="P45" s="59" t="e">
        <v>#N/A</v>
      </c>
      <c r="R45" s="59" t="e">
        <v>#N/A</v>
      </c>
    </row>
    <row r="46" spans="1:18" ht="15" customHeight="1" x14ac:dyDescent="0.25">
      <c r="A46" s="36"/>
      <c r="B46" s="2" t="s">
        <v>132</v>
      </c>
      <c r="D46" s="59">
        <v>50.619</v>
      </c>
      <c r="F46" s="59">
        <v>16.303000000000001</v>
      </c>
      <c r="H46" s="59">
        <v>50.619</v>
      </c>
      <c r="L46" s="59" t="e">
        <v>#N/A</v>
      </c>
      <c r="N46" s="59" t="e">
        <v>#N/A</v>
      </c>
      <c r="P46" s="59" t="e">
        <v>#N/A</v>
      </c>
      <c r="R46" s="59" t="e">
        <v>#N/A</v>
      </c>
    </row>
    <row r="47" spans="1:18" ht="15.75" customHeight="1" x14ac:dyDescent="0.25">
      <c r="A47" s="36"/>
    </row>
    <row r="48" spans="1:18" ht="15.75" customHeight="1" x14ac:dyDescent="0.25">
      <c r="A48" s="36"/>
    </row>
    <row r="49" spans="1:7" ht="15" customHeight="1" x14ac:dyDescent="0.25">
      <c r="A49" s="57" t="s">
        <v>133</v>
      </c>
      <c r="B49" s="57"/>
      <c r="C49" s="57"/>
      <c r="D49" s="57"/>
      <c r="E49" s="57"/>
      <c r="F49" s="57"/>
      <c r="G49" s="57"/>
    </row>
    <row r="50" spans="1:7" ht="15" customHeight="1" x14ac:dyDescent="0.25">
      <c r="A50" s="36"/>
      <c r="B50" s="2" t="s">
        <v>47</v>
      </c>
      <c r="D50" s="2" t="s">
        <v>48</v>
      </c>
      <c r="F50" s="2" t="s">
        <v>134</v>
      </c>
    </row>
    <row r="51" spans="1:7" ht="15" customHeight="1" x14ac:dyDescent="0.25">
      <c r="A51" s="36"/>
      <c r="B51" s="2" t="s">
        <v>135</v>
      </c>
      <c r="D51" s="60">
        <v>0</v>
      </c>
      <c r="F51" s="46">
        <v>0</v>
      </c>
    </row>
    <row r="52" spans="1:7" ht="15" customHeight="1" x14ac:dyDescent="0.25">
      <c r="A52" s="36"/>
      <c r="B52" s="2" t="s">
        <v>136</v>
      </c>
      <c r="D52" s="60">
        <v>0</v>
      </c>
      <c r="F52" s="46">
        <v>0</v>
      </c>
    </row>
    <row r="53" spans="1:7" ht="15" customHeight="1" x14ac:dyDescent="0.25">
      <c r="A53" s="36"/>
      <c r="B53" s="2" t="s">
        <v>137</v>
      </c>
      <c r="D53" s="60">
        <v>0</v>
      </c>
      <c r="F53" s="46">
        <v>0</v>
      </c>
    </row>
    <row r="54" spans="1:7" ht="15" customHeight="1" x14ac:dyDescent="0.25">
      <c r="A54" s="36"/>
      <c r="B54" s="2" t="s">
        <v>138</v>
      </c>
      <c r="D54" s="60">
        <v>0</v>
      </c>
      <c r="F54" s="46">
        <v>0</v>
      </c>
    </row>
    <row r="55" spans="1:7" ht="15" customHeight="1" x14ac:dyDescent="0.25">
      <c r="A55" s="36"/>
      <c r="B55" s="2" t="s">
        <v>139</v>
      </c>
      <c r="D55" s="60">
        <v>0</v>
      </c>
      <c r="F55" s="46">
        <v>0</v>
      </c>
    </row>
    <row r="56" spans="1:7" ht="15" customHeight="1" x14ac:dyDescent="0.25">
      <c r="A56" s="36"/>
      <c r="B56" s="2" t="s">
        <v>140</v>
      </c>
      <c r="D56" s="60">
        <v>0</v>
      </c>
      <c r="F56" s="46">
        <v>0</v>
      </c>
    </row>
    <row r="57" spans="1:7" ht="15" customHeight="1" x14ac:dyDescent="0.25">
      <c r="A57" s="36"/>
      <c r="B57" s="2" t="s">
        <v>141</v>
      </c>
      <c r="D57" s="60">
        <v>0</v>
      </c>
      <c r="F57" s="46">
        <v>0</v>
      </c>
    </row>
    <row r="58" spans="1:7" ht="15" customHeight="1" x14ac:dyDescent="0.25">
      <c r="A58" s="36"/>
      <c r="B58" s="2" t="s">
        <v>142</v>
      </c>
      <c r="D58" s="60">
        <v>0</v>
      </c>
      <c r="F58" s="46">
        <v>0</v>
      </c>
    </row>
    <row r="59" spans="1:7" ht="15" customHeight="1" x14ac:dyDescent="0.25">
      <c r="A59" s="36"/>
      <c r="B59" s="2" t="s">
        <v>52</v>
      </c>
    </row>
    <row r="60" spans="1:7" ht="15.75" customHeight="1" x14ac:dyDescent="0.25">
      <c r="A60" s="36"/>
    </row>
    <row r="61" spans="1:7" ht="15" customHeight="1" x14ac:dyDescent="0.25">
      <c r="B61" s="2" t="s">
        <v>143</v>
      </c>
      <c r="F61" s="46">
        <v>0</v>
      </c>
    </row>
    <row r="62" spans="1:7" ht="15" customHeight="1" x14ac:dyDescent="0.25">
      <c r="A62" s="36"/>
      <c r="B62" s="2" t="s">
        <v>144</v>
      </c>
      <c r="F62" s="46">
        <v>0</v>
      </c>
    </row>
    <row r="63" spans="1:7" ht="15" customHeight="1" x14ac:dyDescent="0.25">
      <c r="A63" s="36"/>
      <c r="B63" s="2" t="s">
        <v>145</v>
      </c>
      <c r="F63" s="46">
        <v>0</v>
      </c>
    </row>
    <row r="64" spans="1:7" ht="15" customHeight="1" x14ac:dyDescent="0.25">
      <c r="A64" s="36"/>
      <c r="B64" s="2" t="s">
        <v>146</v>
      </c>
      <c r="F64" s="46">
        <v>0</v>
      </c>
    </row>
    <row r="65" spans="1:6" ht="15" customHeight="1" x14ac:dyDescent="0.25">
      <c r="A65" s="36"/>
      <c r="B65" s="2" t="s">
        <v>25</v>
      </c>
      <c r="F65" s="46">
        <v>0</v>
      </c>
    </row>
    <row r="66" spans="1:6" ht="15" customHeight="1" x14ac:dyDescent="0.25">
      <c r="A66" s="36"/>
      <c r="B66" s="2" t="s">
        <v>147</v>
      </c>
      <c r="F66" s="46">
        <v>0</v>
      </c>
    </row>
    <row r="67" spans="1:6" ht="15" customHeight="1" x14ac:dyDescent="0.25">
      <c r="A67" s="36"/>
      <c r="B67" s="2" t="s">
        <v>148</v>
      </c>
      <c r="F67" s="46">
        <v>39.268000000000001</v>
      </c>
    </row>
    <row r="68" spans="1:6" ht="15.75" customHeight="1" x14ac:dyDescent="0.25">
      <c r="A68" s="36"/>
    </row>
    <row r="69" spans="1:6" ht="15.75" customHeight="1" x14ac:dyDescent="0.25">
      <c r="A69" s="36"/>
    </row>
    <row r="70" spans="1:6" ht="15.75" customHeight="1" x14ac:dyDescent="0.25">
      <c r="A70" s="36"/>
    </row>
    <row r="111" spans="1:1" ht="15.75" customHeight="1" x14ac:dyDescent="0.25">
      <c r="A111" s="36"/>
    </row>
    <row r="112" spans="1:1" ht="15.75" customHeight="1" x14ac:dyDescent="0.25">
      <c r="A112" s="36"/>
    </row>
    <row r="113" spans="1:1" ht="15.75" customHeight="1" x14ac:dyDescent="0.25">
      <c r="A113" s="36"/>
    </row>
    <row r="114" spans="1:1" ht="15.75" customHeight="1" x14ac:dyDescent="0.25">
      <c r="A114" s="36"/>
    </row>
    <row r="115" spans="1:1" ht="15.75" customHeight="1" x14ac:dyDescent="0.25">
      <c r="A115" s="36"/>
    </row>
    <row r="116" spans="1:1" ht="15.75" customHeight="1" x14ac:dyDescent="0.25">
      <c r="A116" s="36"/>
    </row>
    <row r="117" spans="1:1" ht="15.75" customHeight="1" x14ac:dyDescent="0.25">
      <c r="A117" s="36"/>
    </row>
    <row r="118" spans="1:1" ht="15.75" customHeight="1" x14ac:dyDescent="0.25">
      <c r="A118" s="36"/>
    </row>
    <row r="119" spans="1:1" ht="15.75" customHeight="1" x14ac:dyDescent="0.25">
      <c r="A119" s="36"/>
    </row>
    <row r="120" spans="1:1" ht="15.75" customHeight="1" x14ac:dyDescent="0.25">
      <c r="A120" s="36"/>
    </row>
    <row r="121" spans="1:1" ht="15.75" customHeight="1" x14ac:dyDescent="0.25">
      <c r="A121" s="36"/>
    </row>
    <row r="122" spans="1:1" ht="15.75" customHeight="1" x14ac:dyDescent="0.25">
      <c r="A122" s="36"/>
    </row>
    <row r="123" spans="1:1" ht="15.75" customHeight="1" x14ac:dyDescent="0.25">
      <c r="A123" s="36"/>
    </row>
    <row r="124" spans="1:1" ht="15.75" customHeight="1" x14ac:dyDescent="0.25">
      <c r="A124" s="36"/>
    </row>
    <row r="125" spans="1:1" ht="15.75" customHeight="1" x14ac:dyDescent="0.25">
      <c r="A125" s="36"/>
    </row>
    <row r="126" spans="1:1" ht="15.75" customHeight="1" x14ac:dyDescent="0.25">
      <c r="A126" s="36"/>
    </row>
    <row r="127" spans="1:1" ht="15.75" customHeight="1" x14ac:dyDescent="0.25">
      <c r="A127" s="36"/>
    </row>
    <row r="128" spans="1:1" ht="15.75" customHeight="1" x14ac:dyDescent="0.25">
      <c r="A128" s="36"/>
    </row>
    <row r="129" spans="1:1" ht="15.75" customHeight="1" x14ac:dyDescent="0.25">
      <c r="A129" s="36"/>
    </row>
    <row r="130" spans="1:1" ht="15.75" customHeight="1" x14ac:dyDescent="0.25">
      <c r="A130" s="36"/>
    </row>
    <row r="131" spans="1:1" ht="15.75" customHeight="1" x14ac:dyDescent="0.25">
      <c r="A131" s="36"/>
    </row>
    <row r="132" spans="1:1" ht="15.75" customHeight="1" x14ac:dyDescent="0.25">
      <c r="A132" s="36"/>
    </row>
    <row r="133" spans="1:1" ht="15.75" customHeight="1" x14ac:dyDescent="0.25">
      <c r="A133" s="36"/>
    </row>
    <row r="134" spans="1:1" ht="15.75" customHeight="1" x14ac:dyDescent="0.25">
      <c r="A134" s="36"/>
    </row>
    <row r="135" spans="1:1" ht="15.75" customHeight="1" x14ac:dyDescent="0.25">
      <c r="A135" s="36"/>
    </row>
    <row r="136" spans="1:1" ht="15.75" customHeight="1" x14ac:dyDescent="0.25">
      <c r="A136" s="36"/>
    </row>
    <row r="137" spans="1:1" ht="15.75" customHeight="1" x14ac:dyDescent="0.25">
      <c r="A137" s="36"/>
    </row>
    <row r="138" spans="1:1" ht="15.75" customHeight="1" x14ac:dyDescent="0.25">
      <c r="A138" s="36"/>
    </row>
    <row r="139" spans="1:1" ht="15.75" customHeight="1" x14ac:dyDescent="0.25">
      <c r="A139" s="36"/>
    </row>
    <row r="140" spans="1:1" ht="15.75" customHeight="1" x14ac:dyDescent="0.25">
      <c r="A140" s="36"/>
    </row>
    <row r="141" spans="1:1" ht="15.75" customHeight="1" x14ac:dyDescent="0.25">
      <c r="A141" s="36"/>
    </row>
    <row r="142" spans="1:1" ht="15.75" customHeight="1" x14ac:dyDescent="0.25">
      <c r="A142" s="36"/>
    </row>
    <row r="143" spans="1:1" ht="15.75" customHeight="1" x14ac:dyDescent="0.25">
      <c r="A143" s="36"/>
    </row>
    <row r="144" spans="1:1" ht="15.75" customHeight="1" x14ac:dyDescent="0.25">
      <c r="A144" s="36"/>
    </row>
    <row r="145" spans="1:1" ht="15.75" customHeight="1" x14ac:dyDescent="0.25">
      <c r="A145" s="36"/>
    </row>
    <row r="146" spans="1:1" ht="15.75" customHeight="1" x14ac:dyDescent="0.25">
      <c r="A146" s="36"/>
    </row>
    <row r="147" spans="1:1" ht="15.75" customHeight="1" x14ac:dyDescent="0.25">
      <c r="A147" s="36"/>
    </row>
    <row r="148" spans="1:1" ht="15.75" customHeight="1" x14ac:dyDescent="0.25">
      <c r="A148" s="36"/>
    </row>
    <row r="149" spans="1:1" ht="15.75" customHeight="1" x14ac:dyDescent="0.25">
      <c r="A149" s="36"/>
    </row>
    <row r="150" spans="1:1" ht="15.75" customHeight="1" x14ac:dyDescent="0.25">
      <c r="A150" s="36"/>
    </row>
    <row r="151" spans="1:1" ht="15.75" customHeight="1" x14ac:dyDescent="0.25">
      <c r="A151" s="36"/>
    </row>
    <row r="152" spans="1:1" ht="15.75" customHeight="1" x14ac:dyDescent="0.25">
      <c r="A152" s="36"/>
    </row>
    <row r="153" spans="1:1" ht="15.75" customHeight="1" x14ac:dyDescent="0.25">
      <c r="A153" s="36"/>
    </row>
    <row r="154" spans="1:1" ht="15.75" customHeight="1" x14ac:dyDescent="0.25">
      <c r="A154" s="36"/>
    </row>
    <row r="155" spans="1:1" ht="15.75" customHeight="1" x14ac:dyDescent="0.25">
      <c r="A155" s="36"/>
    </row>
    <row r="156" spans="1:1" ht="15.75" customHeight="1" x14ac:dyDescent="0.25">
      <c r="A156" s="36"/>
    </row>
    <row r="157" spans="1:1" ht="15.75" customHeight="1" x14ac:dyDescent="0.25">
      <c r="A157" s="36"/>
    </row>
    <row r="158" spans="1:1" ht="15.75" customHeight="1" x14ac:dyDescent="0.25">
      <c r="A158" s="36"/>
    </row>
    <row r="159" spans="1:1" ht="15.75" customHeight="1" x14ac:dyDescent="0.25">
      <c r="A159" s="36"/>
    </row>
    <row r="160" spans="1:1" ht="15.75" customHeight="1" x14ac:dyDescent="0.25">
      <c r="A160" s="36"/>
    </row>
    <row r="161" spans="1:1" ht="15.75" customHeight="1" x14ac:dyDescent="0.25">
      <c r="A161" s="36"/>
    </row>
    <row r="162" spans="1:1" ht="15.75" customHeight="1" x14ac:dyDescent="0.25">
      <c r="A162" s="36"/>
    </row>
    <row r="163" spans="1:1" ht="15.75" customHeight="1" x14ac:dyDescent="0.25">
      <c r="A163" s="36"/>
    </row>
    <row r="164" spans="1:1" ht="15.75" customHeight="1" x14ac:dyDescent="0.25">
      <c r="A164" s="36"/>
    </row>
    <row r="165" spans="1:1" ht="15.75" customHeight="1" x14ac:dyDescent="0.25">
      <c r="A165" s="36"/>
    </row>
    <row r="166" spans="1:1" ht="15.75" customHeight="1" x14ac:dyDescent="0.25">
      <c r="A166" s="36"/>
    </row>
    <row r="167" spans="1:1" ht="15.75" customHeight="1" x14ac:dyDescent="0.25">
      <c r="A167" s="36"/>
    </row>
    <row r="168" spans="1:1" ht="15.75" customHeight="1" x14ac:dyDescent="0.25">
      <c r="A168" s="36"/>
    </row>
    <row r="169" spans="1:1" ht="15.75" customHeight="1" x14ac:dyDescent="0.25">
      <c r="A169" s="36"/>
    </row>
    <row r="170" spans="1:1" ht="15.75" customHeight="1" x14ac:dyDescent="0.25">
      <c r="A170" s="36"/>
    </row>
    <row r="171" spans="1:1" ht="15.75" customHeight="1" x14ac:dyDescent="0.25">
      <c r="A171" s="36"/>
    </row>
    <row r="172" spans="1:1" ht="15.75" customHeight="1" x14ac:dyDescent="0.25">
      <c r="A172" s="36"/>
    </row>
    <row r="173" spans="1:1" ht="15.75" customHeight="1" x14ac:dyDescent="0.25">
      <c r="A173" s="36"/>
    </row>
    <row r="174" spans="1:1" ht="15.75" customHeight="1" x14ac:dyDescent="0.25">
      <c r="A174" s="36"/>
    </row>
    <row r="175" spans="1:1" ht="15.75" customHeight="1" x14ac:dyDescent="0.25">
      <c r="A175" s="36"/>
    </row>
    <row r="176" spans="1:1" ht="15.75" customHeight="1" x14ac:dyDescent="0.25">
      <c r="A176" s="36"/>
    </row>
    <row r="177" spans="1:1" ht="15.75" customHeight="1" x14ac:dyDescent="0.25">
      <c r="A177" s="36"/>
    </row>
    <row r="178" spans="1:1" ht="15.75" customHeight="1" x14ac:dyDescent="0.25">
      <c r="A178" s="36"/>
    </row>
    <row r="179" spans="1:1" ht="15.75" customHeight="1" x14ac:dyDescent="0.25">
      <c r="A179" s="36"/>
    </row>
    <row r="180" spans="1:1" ht="15.75" customHeight="1" x14ac:dyDescent="0.25">
      <c r="A180" s="36"/>
    </row>
    <row r="181" spans="1:1" ht="15.75" customHeight="1" x14ac:dyDescent="0.25">
      <c r="A181" s="36"/>
    </row>
    <row r="182" spans="1:1" ht="15.75" customHeight="1" x14ac:dyDescent="0.25">
      <c r="A182" s="36"/>
    </row>
    <row r="183" spans="1:1" ht="15.75" customHeight="1" x14ac:dyDescent="0.25">
      <c r="A183" s="36"/>
    </row>
    <row r="184" spans="1:1" ht="15.75" customHeight="1" x14ac:dyDescent="0.25">
      <c r="A184" s="36"/>
    </row>
    <row r="185" spans="1:1" ht="15.75" customHeight="1" x14ac:dyDescent="0.25">
      <c r="A185" s="36"/>
    </row>
    <row r="186" spans="1:1" ht="15.75" customHeight="1" x14ac:dyDescent="0.25">
      <c r="A186" s="36"/>
    </row>
    <row r="187" spans="1:1" ht="15.75" customHeight="1" x14ac:dyDescent="0.25">
      <c r="A187" s="36"/>
    </row>
    <row r="188" spans="1:1" ht="15.75" customHeight="1" x14ac:dyDescent="0.25">
      <c r="A188" s="36"/>
    </row>
    <row r="189" spans="1:1" ht="15.75" customHeight="1" x14ac:dyDescent="0.25">
      <c r="A189" s="36"/>
    </row>
    <row r="190" spans="1:1" ht="15.75" customHeight="1" x14ac:dyDescent="0.25">
      <c r="A190" s="36"/>
    </row>
    <row r="191" spans="1:1" ht="15.75" customHeight="1" x14ac:dyDescent="0.25">
      <c r="A191" s="36"/>
    </row>
    <row r="192" spans="1:1" ht="15.75" customHeight="1" x14ac:dyDescent="0.25">
      <c r="A192" s="36"/>
    </row>
    <row r="193" spans="1:1" ht="15.75" customHeight="1" x14ac:dyDescent="0.25">
      <c r="A193" s="36"/>
    </row>
    <row r="194" spans="1:1" ht="15.75" customHeight="1" x14ac:dyDescent="0.25">
      <c r="A194" s="36"/>
    </row>
    <row r="195" spans="1:1" ht="15.75" customHeight="1" x14ac:dyDescent="0.25">
      <c r="A195" s="36"/>
    </row>
    <row r="196" spans="1:1" ht="15.75" customHeight="1" x14ac:dyDescent="0.25">
      <c r="A196" s="36"/>
    </row>
    <row r="197" spans="1:1" ht="15.75" customHeight="1" x14ac:dyDescent="0.25">
      <c r="A197" s="36"/>
    </row>
    <row r="198" spans="1:1" ht="15.75" customHeight="1" x14ac:dyDescent="0.25">
      <c r="A198" s="36"/>
    </row>
    <row r="199" spans="1:1" ht="15.75" customHeight="1" x14ac:dyDescent="0.25">
      <c r="A199" s="36"/>
    </row>
    <row r="200" spans="1:1" ht="15.75" customHeight="1" x14ac:dyDescent="0.25">
      <c r="A200" s="36"/>
    </row>
    <row r="201" spans="1:1" ht="15.75" customHeight="1" x14ac:dyDescent="0.25">
      <c r="A201" s="36"/>
    </row>
    <row r="202" spans="1:1" ht="15.75" customHeight="1" x14ac:dyDescent="0.25">
      <c r="A202" s="36"/>
    </row>
    <row r="203" spans="1:1" ht="15.75" customHeight="1" x14ac:dyDescent="0.25">
      <c r="A203" s="36"/>
    </row>
    <row r="204" spans="1:1" ht="15.75" customHeight="1" x14ac:dyDescent="0.25">
      <c r="A204" s="36"/>
    </row>
    <row r="205" spans="1:1" ht="15.75" customHeight="1" x14ac:dyDescent="0.25">
      <c r="A205" s="36"/>
    </row>
    <row r="206" spans="1:1" ht="15.75" customHeight="1" x14ac:dyDescent="0.25">
      <c r="A206" s="36"/>
    </row>
    <row r="207" spans="1:1" ht="15.75" customHeight="1" x14ac:dyDescent="0.25">
      <c r="A207" s="36"/>
    </row>
    <row r="208" spans="1:1" ht="15.75" customHeight="1" x14ac:dyDescent="0.25">
      <c r="A208" s="36"/>
    </row>
    <row r="209" spans="1:1" ht="15.75" customHeight="1" x14ac:dyDescent="0.25">
      <c r="A209" s="36"/>
    </row>
    <row r="210" spans="1:1" ht="15.75" customHeight="1" x14ac:dyDescent="0.25">
      <c r="A210" s="36"/>
    </row>
    <row r="211" spans="1:1" ht="15.75" customHeight="1" x14ac:dyDescent="0.25">
      <c r="A211" s="36"/>
    </row>
    <row r="212" spans="1:1" ht="15.75" customHeight="1" x14ac:dyDescent="0.25">
      <c r="A212" s="36"/>
    </row>
    <row r="213" spans="1:1" ht="15.75" customHeight="1" x14ac:dyDescent="0.25">
      <c r="A213" s="36"/>
    </row>
    <row r="214" spans="1:1" ht="15.75" customHeight="1" x14ac:dyDescent="0.25">
      <c r="A214" s="36"/>
    </row>
    <row r="215" spans="1:1" ht="15.75" customHeight="1" x14ac:dyDescent="0.25">
      <c r="A215" s="36"/>
    </row>
    <row r="216" spans="1:1" ht="15.75" customHeight="1" x14ac:dyDescent="0.25">
      <c r="A216" s="36"/>
    </row>
    <row r="217" spans="1:1" ht="15.75" customHeight="1" x14ac:dyDescent="0.25">
      <c r="A217" s="36"/>
    </row>
    <row r="218" spans="1:1" ht="15.75" customHeight="1" x14ac:dyDescent="0.25">
      <c r="A218" s="36"/>
    </row>
    <row r="219" spans="1:1" ht="15.75" customHeight="1" x14ac:dyDescent="0.25">
      <c r="A219" s="36"/>
    </row>
    <row r="220" spans="1:1" ht="15.75" customHeight="1" x14ac:dyDescent="0.25">
      <c r="A220" s="36"/>
    </row>
    <row r="221" spans="1:1" ht="15.75" customHeight="1" x14ac:dyDescent="0.25">
      <c r="A221" s="36"/>
    </row>
    <row r="222" spans="1:1" ht="15.75" customHeight="1" x14ac:dyDescent="0.25">
      <c r="A222" s="36"/>
    </row>
    <row r="223" spans="1:1" ht="15.75" customHeight="1" x14ac:dyDescent="0.25">
      <c r="A223" s="36"/>
    </row>
    <row r="224" spans="1:1" ht="15.75" customHeight="1" x14ac:dyDescent="0.25">
      <c r="A224" s="36"/>
    </row>
    <row r="225" spans="1:1" ht="15.75" customHeight="1" x14ac:dyDescent="0.25">
      <c r="A225" s="36"/>
    </row>
    <row r="226" spans="1:1" ht="15.75" customHeight="1" x14ac:dyDescent="0.25">
      <c r="A226" s="36"/>
    </row>
    <row r="227" spans="1:1" ht="15.75" customHeight="1" x14ac:dyDescent="0.25">
      <c r="A227" s="36"/>
    </row>
    <row r="228" spans="1:1" ht="15.75" customHeight="1" x14ac:dyDescent="0.25">
      <c r="A228" s="36"/>
    </row>
    <row r="229" spans="1:1" ht="15.75" customHeight="1" x14ac:dyDescent="0.25">
      <c r="A229" s="36"/>
    </row>
    <row r="230" spans="1:1" ht="15.75" customHeight="1" x14ac:dyDescent="0.25">
      <c r="A230" s="36"/>
    </row>
    <row r="231" spans="1:1" ht="15.75" customHeight="1" x14ac:dyDescent="0.25">
      <c r="A231" s="36"/>
    </row>
    <row r="232" spans="1:1" ht="15.75" customHeight="1" x14ac:dyDescent="0.25">
      <c r="A232" s="36"/>
    </row>
    <row r="233" spans="1:1" ht="15.75" customHeight="1" x14ac:dyDescent="0.25">
      <c r="A233" s="36"/>
    </row>
    <row r="234" spans="1:1" ht="15.75" customHeight="1" x14ac:dyDescent="0.25">
      <c r="A234" s="36"/>
    </row>
    <row r="235" spans="1:1" ht="15.75" customHeight="1" x14ac:dyDescent="0.25">
      <c r="A235" s="36"/>
    </row>
    <row r="236" spans="1:1" ht="15.75" customHeight="1" x14ac:dyDescent="0.25">
      <c r="A236" s="36"/>
    </row>
    <row r="237" spans="1:1" ht="15.75" customHeight="1" x14ac:dyDescent="0.25">
      <c r="A237" s="36"/>
    </row>
    <row r="238" spans="1:1" ht="15.75" customHeight="1" x14ac:dyDescent="0.25">
      <c r="A238" s="36"/>
    </row>
    <row r="239" spans="1:1" ht="15.75" customHeight="1" x14ac:dyDescent="0.25">
      <c r="A239" s="36"/>
    </row>
    <row r="240" spans="1:1" ht="15.75" customHeight="1" x14ac:dyDescent="0.25">
      <c r="A240" s="36"/>
    </row>
    <row r="241" spans="1:1" ht="15.75" customHeight="1" x14ac:dyDescent="0.25">
      <c r="A241" s="36"/>
    </row>
    <row r="242" spans="1:1" ht="15.75" customHeight="1" x14ac:dyDescent="0.25">
      <c r="A242" s="36"/>
    </row>
    <row r="243" spans="1:1" ht="15.75" customHeight="1" x14ac:dyDescent="0.25">
      <c r="A243" s="36"/>
    </row>
    <row r="244" spans="1:1" ht="15.75" customHeight="1" x14ac:dyDescent="0.25">
      <c r="A244" s="36"/>
    </row>
    <row r="245" spans="1:1" ht="15.75" customHeight="1" x14ac:dyDescent="0.25">
      <c r="A245" s="36"/>
    </row>
    <row r="246" spans="1:1" ht="15.75" customHeight="1" x14ac:dyDescent="0.25">
      <c r="A246" s="36"/>
    </row>
    <row r="247" spans="1:1" ht="15.75" customHeight="1" x14ac:dyDescent="0.25">
      <c r="A247" s="36"/>
    </row>
    <row r="248" spans="1:1" ht="15.75" customHeight="1" x14ac:dyDescent="0.25">
      <c r="A248" s="36"/>
    </row>
    <row r="249" spans="1:1" ht="15.75" customHeight="1" x14ac:dyDescent="0.25">
      <c r="A249" s="36"/>
    </row>
    <row r="250" spans="1:1" ht="15.75" customHeight="1" x14ac:dyDescent="0.25">
      <c r="A250" s="36"/>
    </row>
    <row r="251" spans="1:1" ht="15.75" customHeight="1" x14ac:dyDescent="0.25">
      <c r="A251" s="36"/>
    </row>
    <row r="252" spans="1:1" ht="15.75" customHeight="1" x14ac:dyDescent="0.25">
      <c r="A252" s="36"/>
    </row>
    <row r="253" spans="1:1" ht="15.75" customHeight="1" x14ac:dyDescent="0.25">
      <c r="A253" s="36"/>
    </row>
    <row r="254" spans="1:1" ht="15.75" customHeight="1" x14ac:dyDescent="0.25">
      <c r="A254" s="36"/>
    </row>
    <row r="255" spans="1:1" ht="15.75" customHeight="1" x14ac:dyDescent="0.25">
      <c r="A255" s="36"/>
    </row>
    <row r="256" spans="1:1" ht="15.75" customHeight="1" x14ac:dyDescent="0.25">
      <c r="A256" s="36"/>
    </row>
    <row r="257" spans="1:1" ht="15.75" customHeight="1" x14ac:dyDescent="0.25">
      <c r="A257" s="36"/>
    </row>
    <row r="258" spans="1:1" ht="15.75" customHeight="1" x14ac:dyDescent="0.25">
      <c r="A258" s="36"/>
    </row>
    <row r="259" spans="1:1" ht="15.75" customHeight="1" x14ac:dyDescent="0.25">
      <c r="A259" s="36"/>
    </row>
    <row r="260" spans="1:1" ht="15.75" customHeight="1" x14ac:dyDescent="0.25">
      <c r="A260" s="36"/>
    </row>
    <row r="261" spans="1:1" ht="15.75" customHeight="1" x14ac:dyDescent="0.25">
      <c r="A261" s="36"/>
    </row>
    <row r="262" spans="1:1" ht="15.75" customHeight="1" x14ac:dyDescent="0.25">
      <c r="A262" s="36"/>
    </row>
    <row r="263" spans="1:1" ht="15.75" customHeight="1" x14ac:dyDescent="0.25">
      <c r="A263" s="36"/>
    </row>
    <row r="264" spans="1:1" ht="15.75" customHeight="1" x14ac:dyDescent="0.25">
      <c r="A264" s="36"/>
    </row>
    <row r="265" spans="1:1" ht="15.75" customHeight="1" x14ac:dyDescent="0.25">
      <c r="A265" s="36"/>
    </row>
    <row r="266" spans="1:1" ht="15.75" customHeight="1" x14ac:dyDescent="0.25">
      <c r="A266" s="36"/>
    </row>
    <row r="267" spans="1:1" ht="15.75" customHeight="1" x14ac:dyDescent="0.25">
      <c r="A267" s="36"/>
    </row>
    <row r="268" spans="1:1" ht="15.75" customHeight="1" x14ac:dyDescent="0.25">
      <c r="A268" s="36"/>
    </row>
    <row r="269" spans="1:1" ht="15.75" customHeight="1" x14ac:dyDescent="0.25">
      <c r="A269" s="36"/>
    </row>
    <row r="270" spans="1:1" ht="15.75" customHeight="1" x14ac:dyDescent="0.25">
      <c r="A270" s="36"/>
    </row>
    <row r="271" spans="1:1" ht="15.75" customHeight="1" x14ac:dyDescent="0.25">
      <c r="A271" s="36"/>
    </row>
    <row r="272" spans="1:1" ht="15.75" customHeight="1" x14ac:dyDescent="0.25">
      <c r="A272" s="36"/>
    </row>
    <row r="273" spans="1:1" ht="15.75" customHeight="1" x14ac:dyDescent="0.25">
      <c r="A273" s="36"/>
    </row>
    <row r="274" spans="1:1" ht="15.75" customHeight="1" x14ac:dyDescent="0.25">
      <c r="A274" s="36"/>
    </row>
    <row r="275" spans="1:1" ht="15.75" customHeight="1" x14ac:dyDescent="0.25">
      <c r="A275" s="36"/>
    </row>
    <row r="276" spans="1:1" ht="15.75" customHeight="1" x14ac:dyDescent="0.25">
      <c r="A276" s="36"/>
    </row>
    <row r="277" spans="1:1" ht="15.75" customHeight="1" x14ac:dyDescent="0.25">
      <c r="A277" s="36"/>
    </row>
    <row r="278" spans="1:1" ht="15.75" customHeight="1" x14ac:dyDescent="0.25">
      <c r="A278" s="36"/>
    </row>
    <row r="279" spans="1:1" ht="15.75" customHeight="1" x14ac:dyDescent="0.25">
      <c r="A279" s="36"/>
    </row>
    <row r="280" spans="1:1" ht="15.75" customHeight="1" x14ac:dyDescent="0.25">
      <c r="A280" s="36"/>
    </row>
    <row r="281" spans="1:1" ht="15.75" customHeight="1" x14ac:dyDescent="0.25">
      <c r="A281" s="36"/>
    </row>
    <row r="282" spans="1:1" ht="15.75" customHeight="1" x14ac:dyDescent="0.25">
      <c r="A282" s="36"/>
    </row>
    <row r="283" spans="1:1" ht="15.75" customHeight="1" x14ac:dyDescent="0.25">
      <c r="A283" s="36"/>
    </row>
    <row r="284" spans="1:1" ht="15.75" customHeight="1" x14ac:dyDescent="0.25">
      <c r="A284" s="36"/>
    </row>
    <row r="285" spans="1:1" ht="15.75" customHeight="1" x14ac:dyDescent="0.25">
      <c r="A285" s="36"/>
    </row>
    <row r="286" spans="1:1" ht="15.75" customHeight="1" x14ac:dyDescent="0.25">
      <c r="A286" s="36"/>
    </row>
    <row r="287" spans="1:1" ht="15.75" customHeight="1" x14ac:dyDescent="0.25">
      <c r="A287" s="36"/>
    </row>
    <row r="288" spans="1:1" ht="15.75" customHeight="1" x14ac:dyDescent="0.25">
      <c r="A288" s="36"/>
    </row>
    <row r="289" spans="1:1" ht="15.75" customHeight="1" x14ac:dyDescent="0.25">
      <c r="A289" s="36"/>
    </row>
    <row r="290" spans="1:1" ht="15.75" customHeight="1" x14ac:dyDescent="0.25">
      <c r="A290" s="36"/>
    </row>
    <row r="291" spans="1:1" ht="15.75" customHeight="1" x14ac:dyDescent="0.25">
      <c r="A291" s="36"/>
    </row>
    <row r="292" spans="1:1" ht="15.75" customHeight="1" x14ac:dyDescent="0.25">
      <c r="A292" s="36"/>
    </row>
    <row r="293" spans="1:1" ht="15.75" customHeight="1" x14ac:dyDescent="0.25">
      <c r="A293" s="36"/>
    </row>
    <row r="294" spans="1:1" ht="15.75" customHeight="1" x14ac:dyDescent="0.25">
      <c r="A294" s="36"/>
    </row>
    <row r="295" spans="1:1" ht="15.75" customHeight="1" x14ac:dyDescent="0.25">
      <c r="A295" s="36"/>
    </row>
    <row r="296" spans="1:1" ht="15.75" customHeight="1" x14ac:dyDescent="0.25">
      <c r="A296" s="36"/>
    </row>
    <row r="297" spans="1:1" ht="15.75" customHeight="1" x14ac:dyDescent="0.25">
      <c r="A297" s="36"/>
    </row>
    <row r="298" spans="1:1" ht="15.75" customHeight="1" x14ac:dyDescent="0.25">
      <c r="A298" s="36"/>
    </row>
    <row r="299" spans="1:1" ht="15.75" customHeight="1" x14ac:dyDescent="0.25">
      <c r="A299" s="36"/>
    </row>
    <row r="300" spans="1:1" ht="15.75" customHeight="1" x14ac:dyDescent="0.25">
      <c r="A300" s="36"/>
    </row>
    <row r="301" spans="1:1" ht="15.75" customHeight="1" x14ac:dyDescent="0.25">
      <c r="A301" s="36"/>
    </row>
    <row r="302" spans="1:1" ht="15.75" customHeight="1" x14ac:dyDescent="0.25">
      <c r="A302" s="36"/>
    </row>
    <row r="303" spans="1:1" ht="15.75" customHeight="1" x14ac:dyDescent="0.25">
      <c r="A303" s="36"/>
    </row>
    <row r="304" spans="1:1" ht="15.75" customHeight="1" x14ac:dyDescent="0.25">
      <c r="A304" s="36"/>
    </row>
    <row r="305" spans="1:1" ht="15.75" customHeight="1" x14ac:dyDescent="0.25">
      <c r="A305" s="36"/>
    </row>
    <row r="306" spans="1:1" ht="15.75" customHeight="1" x14ac:dyDescent="0.25">
      <c r="A306" s="36"/>
    </row>
    <row r="307" spans="1:1" ht="15.75" customHeight="1" x14ac:dyDescent="0.25">
      <c r="A307" s="36"/>
    </row>
    <row r="308" spans="1:1" ht="15.75" customHeight="1" x14ac:dyDescent="0.25">
      <c r="A308" s="36"/>
    </row>
    <row r="309" spans="1:1" ht="15.75" customHeight="1" x14ac:dyDescent="0.25">
      <c r="A309" s="36"/>
    </row>
    <row r="310" spans="1:1" ht="15.75" customHeight="1" x14ac:dyDescent="0.25">
      <c r="A310" s="36"/>
    </row>
    <row r="311" spans="1:1" ht="15.75" customHeight="1" x14ac:dyDescent="0.25">
      <c r="A311" s="36"/>
    </row>
    <row r="312" spans="1:1" ht="15.75" customHeight="1" x14ac:dyDescent="0.25">
      <c r="A312" s="36"/>
    </row>
    <row r="313" spans="1:1" ht="15.75" customHeight="1" x14ac:dyDescent="0.25">
      <c r="A313" s="36"/>
    </row>
    <row r="314" spans="1:1" ht="15.75" customHeight="1" x14ac:dyDescent="0.25">
      <c r="A314" s="36"/>
    </row>
    <row r="315" spans="1:1" ht="15.75" customHeight="1" x14ac:dyDescent="0.25">
      <c r="A315" s="36"/>
    </row>
    <row r="316" spans="1:1" ht="15.75" customHeight="1" x14ac:dyDescent="0.25">
      <c r="A316" s="36"/>
    </row>
    <row r="317" spans="1:1" ht="15.75" customHeight="1" x14ac:dyDescent="0.25">
      <c r="A317" s="36"/>
    </row>
    <row r="318" spans="1:1" ht="15.75" customHeight="1" x14ac:dyDescent="0.25">
      <c r="A318" s="36"/>
    </row>
    <row r="319" spans="1:1" ht="15.75" customHeight="1" x14ac:dyDescent="0.25">
      <c r="A319" s="36"/>
    </row>
    <row r="320" spans="1:1" ht="15.75" customHeight="1" x14ac:dyDescent="0.25">
      <c r="A320" s="36"/>
    </row>
    <row r="321" spans="1:1" ht="15.75" customHeight="1" x14ac:dyDescent="0.25">
      <c r="A321" s="36"/>
    </row>
    <row r="322" spans="1:1" ht="15.75" customHeight="1" x14ac:dyDescent="0.25">
      <c r="A322" s="36"/>
    </row>
    <row r="323" spans="1:1" ht="15.75" customHeight="1" x14ac:dyDescent="0.25">
      <c r="A323" s="36"/>
    </row>
    <row r="324" spans="1:1" ht="15.75" customHeight="1" x14ac:dyDescent="0.25">
      <c r="A324" s="36"/>
    </row>
    <row r="325" spans="1:1" ht="15.75" customHeight="1" x14ac:dyDescent="0.25">
      <c r="A325" s="36"/>
    </row>
    <row r="326" spans="1:1" ht="15.75" customHeight="1" x14ac:dyDescent="0.25">
      <c r="A326" s="36"/>
    </row>
    <row r="327" spans="1:1" ht="15.75" customHeight="1" x14ac:dyDescent="0.25">
      <c r="A327" s="36"/>
    </row>
    <row r="328" spans="1:1" ht="15.75" customHeight="1" x14ac:dyDescent="0.25">
      <c r="A328" s="36"/>
    </row>
    <row r="329" spans="1:1" ht="15.75" customHeight="1" x14ac:dyDescent="0.25">
      <c r="A329" s="36"/>
    </row>
    <row r="330" spans="1:1" ht="15.75" customHeight="1" x14ac:dyDescent="0.25">
      <c r="A330" s="36"/>
    </row>
    <row r="331" spans="1:1" ht="15.75" customHeight="1" x14ac:dyDescent="0.25">
      <c r="A331" s="36"/>
    </row>
    <row r="332" spans="1:1" ht="15.75" customHeight="1" x14ac:dyDescent="0.25">
      <c r="A332" s="36"/>
    </row>
    <row r="333" spans="1:1" ht="15.75" customHeight="1" x14ac:dyDescent="0.25">
      <c r="A333" s="36"/>
    </row>
    <row r="334" spans="1:1" ht="15.75" customHeight="1" x14ac:dyDescent="0.25">
      <c r="A334" s="36"/>
    </row>
    <row r="335" spans="1:1" ht="15.75" customHeight="1" x14ac:dyDescent="0.25">
      <c r="A335" s="36"/>
    </row>
    <row r="336" spans="1:1" ht="15.75" customHeight="1" x14ac:dyDescent="0.25">
      <c r="A336" s="36"/>
    </row>
    <row r="337" spans="1:1" ht="15.75" customHeight="1" x14ac:dyDescent="0.25">
      <c r="A337" s="36"/>
    </row>
    <row r="338" spans="1:1" ht="15.75" customHeight="1" x14ac:dyDescent="0.25">
      <c r="A338" s="36"/>
    </row>
    <row r="339" spans="1:1" ht="15.75" customHeight="1" x14ac:dyDescent="0.25">
      <c r="A339" s="36"/>
    </row>
    <row r="340" spans="1:1" ht="15.75" customHeight="1" x14ac:dyDescent="0.25">
      <c r="A340" s="36"/>
    </row>
    <row r="341" spans="1:1" ht="15.75" customHeight="1" x14ac:dyDescent="0.25">
      <c r="A341" s="36"/>
    </row>
    <row r="342" spans="1:1" ht="15.75" customHeight="1" x14ac:dyDescent="0.25">
      <c r="A342" s="36"/>
    </row>
    <row r="343" spans="1:1" ht="15.75" customHeight="1" x14ac:dyDescent="0.25">
      <c r="A343" s="36"/>
    </row>
    <row r="344" spans="1:1" ht="15.75" customHeight="1" x14ac:dyDescent="0.25">
      <c r="A344" s="36"/>
    </row>
    <row r="345" spans="1:1" ht="15.75" customHeight="1" x14ac:dyDescent="0.25">
      <c r="A345" s="36"/>
    </row>
    <row r="346" spans="1:1" ht="15.75" customHeight="1" x14ac:dyDescent="0.25">
      <c r="A346" s="36"/>
    </row>
    <row r="347" spans="1:1" ht="15.75" customHeight="1" x14ac:dyDescent="0.25">
      <c r="A347" s="36"/>
    </row>
    <row r="348" spans="1:1" ht="15.75" customHeight="1" x14ac:dyDescent="0.25">
      <c r="A348" s="36"/>
    </row>
    <row r="349" spans="1:1" ht="15.75" customHeight="1" x14ac:dyDescent="0.25">
      <c r="A349" s="36"/>
    </row>
    <row r="350" spans="1:1" ht="15.75" customHeight="1" x14ac:dyDescent="0.25">
      <c r="A350" s="36"/>
    </row>
    <row r="351" spans="1:1" ht="15.75" customHeight="1" x14ac:dyDescent="0.25">
      <c r="A351" s="36"/>
    </row>
    <row r="352" spans="1:1" ht="15.75" customHeight="1" x14ac:dyDescent="0.25">
      <c r="A352" s="36"/>
    </row>
    <row r="353" spans="1:1" ht="15.75" customHeight="1" x14ac:dyDescent="0.25">
      <c r="A353" s="36"/>
    </row>
    <row r="354" spans="1:1" ht="15.75" customHeight="1" x14ac:dyDescent="0.25">
      <c r="A354" s="36"/>
    </row>
    <row r="355" spans="1:1" ht="15.75" customHeight="1" x14ac:dyDescent="0.25">
      <c r="A355" s="36"/>
    </row>
    <row r="356" spans="1:1" ht="15.75" customHeight="1" x14ac:dyDescent="0.25">
      <c r="A356" s="36"/>
    </row>
    <row r="357" spans="1:1" ht="15.75" customHeight="1" x14ac:dyDescent="0.25">
      <c r="A357" s="36"/>
    </row>
    <row r="358" spans="1:1" ht="15.75" customHeight="1" x14ac:dyDescent="0.25">
      <c r="A358" s="36"/>
    </row>
    <row r="359" spans="1:1" ht="15.75" customHeight="1" x14ac:dyDescent="0.25">
      <c r="A359" s="36"/>
    </row>
    <row r="360" spans="1:1" ht="15.75" customHeight="1" x14ac:dyDescent="0.25">
      <c r="A360" s="36"/>
    </row>
    <row r="361" spans="1:1" ht="15.75" customHeight="1" x14ac:dyDescent="0.25">
      <c r="A361" s="36"/>
    </row>
    <row r="362" spans="1:1" ht="15.75" customHeight="1" x14ac:dyDescent="0.25">
      <c r="A362" s="36"/>
    </row>
    <row r="363" spans="1:1" ht="15.75" customHeight="1" x14ac:dyDescent="0.25">
      <c r="A363" s="36"/>
    </row>
    <row r="364" spans="1:1" ht="15.75" customHeight="1" x14ac:dyDescent="0.25">
      <c r="A364" s="36"/>
    </row>
    <row r="365" spans="1:1" ht="15.75" customHeight="1" x14ac:dyDescent="0.25">
      <c r="A365" s="36"/>
    </row>
    <row r="366" spans="1:1" ht="15.75" customHeight="1" x14ac:dyDescent="0.25">
      <c r="A366" s="36"/>
    </row>
    <row r="367" spans="1:1" ht="15.75" customHeight="1" x14ac:dyDescent="0.25">
      <c r="A367" s="36"/>
    </row>
    <row r="368" spans="1:1" ht="15.75" customHeight="1" x14ac:dyDescent="0.25">
      <c r="A368" s="36"/>
    </row>
    <row r="369" spans="1:1" ht="15.75" customHeight="1" x14ac:dyDescent="0.25">
      <c r="A369" s="36"/>
    </row>
    <row r="370" spans="1:1" ht="15.75" customHeight="1" x14ac:dyDescent="0.25">
      <c r="A370" s="36"/>
    </row>
    <row r="371" spans="1:1" ht="15.75" customHeight="1" x14ac:dyDescent="0.25">
      <c r="A371" s="36"/>
    </row>
    <row r="372" spans="1:1" ht="15.75" customHeight="1" x14ac:dyDescent="0.25">
      <c r="A372" s="36"/>
    </row>
    <row r="373" spans="1:1" ht="15.75" customHeight="1" x14ac:dyDescent="0.25">
      <c r="A373" s="36"/>
    </row>
    <row r="374" spans="1:1" ht="15.75" customHeight="1" x14ac:dyDescent="0.25">
      <c r="A374" s="36"/>
    </row>
    <row r="375" spans="1:1" ht="15.75" customHeight="1" x14ac:dyDescent="0.25">
      <c r="A375" s="36"/>
    </row>
    <row r="376" spans="1:1" ht="15.75" customHeight="1" x14ac:dyDescent="0.25">
      <c r="A376" s="36"/>
    </row>
    <row r="377" spans="1:1" ht="15.75" customHeight="1" x14ac:dyDescent="0.25">
      <c r="A377" s="36"/>
    </row>
    <row r="378" spans="1:1" ht="15.75" customHeight="1" x14ac:dyDescent="0.25">
      <c r="A378" s="36"/>
    </row>
    <row r="379" spans="1:1" ht="15.75" customHeight="1" x14ac:dyDescent="0.25">
      <c r="A379" s="36"/>
    </row>
    <row r="380" spans="1:1" ht="15.75" customHeight="1" x14ac:dyDescent="0.25">
      <c r="A380" s="36"/>
    </row>
    <row r="381" spans="1:1" ht="15.75" customHeight="1" x14ac:dyDescent="0.25">
      <c r="A381" s="36"/>
    </row>
    <row r="382" spans="1:1" ht="15.75" customHeight="1" x14ac:dyDescent="0.25">
      <c r="A382" s="36"/>
    </row>
    <row r="383" spans="1:1" ht="15.75" customHeight="1" x14ac:dyDescent="0.25">
      <c r="A383" s="36"/>
    </row>
    <row r="384" spans="1:1" ht="15.75" customHeight="1" x14ac:dyDescent="0.25">
      <c r="A384" s="36"/>
    </row>
    <row r="385" spans="1:1" ht="15.75" customHeight="1" x14ac:dyDescent="0.25">
      <c r="A385" s="36"/>
    </row>
    <row r="386" spans="1:1" ht="15.75" customHeight="1" x14ac:dyDescent="0.25">
      <c r="A386" s="36"/>
    </row>
    <row r="387" spans="1:1" ht="15.75" customHeight="1" x14ac:dyDescent="0.25">
      <c r="A387" s="36"/>
    </row>
    <row r="388" spans="1:1" ht="15.75" customHeight="1" x14ac:dyDescent="0.25">
      <c r="A388" s="36"/>
    </row>
    <row r="389" spans="1:1" ht="15.75" customHeight="1" x14ac:dyDescent="0.25">
      <c r="A389" s="36"/>
    </row>
    <row r="390" spans="1:1" ht="15.75" customHeight="1" x14ac:dyDescent="0.25">
      <c r="A390" s="36"/>
    </row>
    <row r="391" spans="1:1" ht="15.75" customHeight="1" x14ac:dyDescent="0.25">
      <c r="A391" s="36"/>
    </row>
    <row r="392" spans="1:1" ht="15.75" customHeight="1" x14ac:dyDescent="0.25">
      <c r="A392" s="36"/>
    </row>
    <row r="393" spans="1:1" ht="15.75" customHeight="1" x14ac:dyDescent="0.25">
      <c r="A393" s="36"/>
    </row>
    <row r="394" spans="1:1" ht="15.75" customHeight="1" x14ac:dyDescent="0.25">
      <c r="A394" s="36"/>
    </row>
    <row r="395" spans="1:1" ht="15.75" customHeight="1" x14ac:dyDescent="0.25">
      <c r="A395" s="36"/>
    </row>
    <row r="396" spans="1:1" ht="15.75" customHeight="1" x14ac:dyDescent="0.25">
      <c r="A396" s="36"/>
    </row>
    <row r="397" spans="1:1" ht="15.75" customHeight="1" x14ac:dyDescent="0.25">
      <c r="A397" s="36"/>
    </row>
    <row r="398" spans="1:1" ht="15.75" customHeight="1" x14ac:dyDescent="0.25">
      <c r="A398" s="36"/>
    </row>
    <row r="399" spans="1:1" ht="15.75" customHeight="1" x14ac:dyDescent="0.25">
      <c r="A399" s="36"/>
    </row>
    <row r="400" spans="1:1" ht="15.75" customHeight="1" x14ac:dyDescent="0.25">
      <c r="A400" s="36"/>
    </row>
    <row r="401" spans="1:1" ht="15.75" customHeight="1" x14ac:dyDescent="0.25">
      <c r="A401" s="36"/>
    </row>
    <row r="402" spans="1:1" ht="15.75" customHeight="1" x14ac:dyDescent="0.25">
      <c r="A402" s="36"/>
    </row>
    <row r="403" spans="1:1" ht="15.75" customHeight="1" x14ac:dyDescent="0.25">
      <c r="A403" s="36"/>
    </row>
    <row r="404" spans="1:1" ht="15.75" customHeight="1" x14ac:dyDescent="0.25">
      <c r="A404" s="36"/>
    </row>
    <row r="405" spans="1:1" ht="15.75" customHeight="1" x14ac:dyDescent="0.25">
      <c r="A405" s="36"/>
    </row>
    <row r="406" spans="1:1" ht="15.75" customHeight="1" x14ac:dyDescent="0.25">
      <c r="A406" s="36"/>
    </row>
    <row r="407" spans="1:1" ht="15.75" customHeight="1" x14ac:dyDescent="0.25">
      <c r="A407" s="36"/>
    </row>
    <row r="408" spans="1:1" ht="15.75" customHeight="1" x14ac:dyDescent="0.25">
      <c r="A408" s="36"/>
    </row>
    <row r="409" spans="1:1" ht="15.75" customHeight="1" x14ac:dyDescent="0.25">
      <c r="A409" s="36"/>
    </row>
    <row r="410" spans="1:1" ht="15.75" customHeight="1" x14ac:dyDescent="0.25">
      <c r="A410" s="36"/>
    </row>
    <row r="411" spans="1:1" ht="15.75" customHeight="1" x14ac:dyDescent="0.25">
      <c r="A411" s="36"/>
    </row>
    <row r="412" spans="1:1" ht="15.75" customHeight="1" x14ac:dyDescent="0.25">
      <c r="A412" s="36"/>
    </row>
    <row r="413" spans="1:1" ht="15.75" customHeight="1" x14ac:dyDescent="0.25">
      <c r="A413" s="36"/>
    </row>
    <row r="414" spans="1:1" ht="15.75" customHeight="1" x14ac:dyDescent="0.25">
      <c r="A414" s="36"/>
    </row>
    <row r="415" spans="1:1" ht="15.75" customHeight="1" x14ac:dyDescent="0.25">
      <c r="A415" s="36"/>
    </row>
    <row r="416" spans="1:1" ht="15.75" customHeight="1" x14ac:dyDescent="0.25">
      <c r="A416" s="36"/>
    </row>
    <row r="417" spans="1:1" ht="15.75" customHeight="1" x14ac:dyDescent="0.25">
      <c r="A417" s="36"/>
    </row>
    <row r="418" spans="1:1" ht="15.75" customHeight="1" x14ac:dyDescent="0.25">
      <c r="A418" s="36"/>
    </row>
    <row r="419" spans="1:1" ht="15.75" customHeight="1" x14ac:dyDescent="0.25">
      <c r="A419" s="36"/>
    </row>
    <row r="420" spans="1:1" ht="15.75" customHeight="1" x14ac:dyDescent="0.25">
      <c r="A420" s="36"/>
    </row>
    <row r="421" spans="1:1" ht="15.75" customHeight="1" x14ac:dyDescent="0.25">
      <c r="A421" s="36"/>
    </row>
    <row r="422" spans="1:1" ht="15.75" customHeight="1" x14ac:dyDescent="0.25">
      <c r="A422" s="36"/>
    </row>
    <row r="423" spans="1:1" ht="15.75" customHeight="1" x14ac:dyDescent="0.25">
      <c r="A423" s="36"/>
    </row>
    <row r="424" spans="1:1" ht="15.75" customHeight="1" x14ac:dyDescent="0.25">
      <c r="A424" s="36"/>
    </row>
    <row r="425" spans="1:1" ht="15.75" customHeight="1" x14ac:dyDescent="0.25">
      <c r="A425" s="36"/>
    </row>
    <row r="426" spans="1:1" ht="15.75" customHeight="1" x14ac:dyDescent="0.25">
      <c r="A426" s="36"/>
    </row>
    <row r="427" spans="1:1" ht="15.75" customHeight="1" x14ac:dyDescent="0.25">
      <c r="A427" s="36"/>
    </row>
    <row r="428" spans="1:1" ht="15.75" customHeight="1" x14ac:dyDescent="0.25">
      <c r="A428" s="36"/>
    </row>
    <row r="429" spans="1:1" ht="15.75" customHeight="1" x14ac:dyDescent="0.25">
      <c r="A429" s="36"/>
    </row>
    <row r="430" spans="1:1" ht="15.75" customHeight="1" x14ac:dyDescent="0.25">
      <c r="A430" s="36"/>
    </row>
    <row r="431" spans="1:1" ht="15.75" customHeight="1" x14ac:dyDescent="0.25">
      <c r="A431" s="36"/>
    </row>
    <row r="432" spans="1:1" ht="15.75" customHeight="1" x14ac:dyDescent="0.25">
      <c r="A432" s="36"/>
    </row>
    <row r="433" spans="1:1" ht="15.75" customHeight="1" x14ac:dyDescent="0.25">
      <c r="A433" s="36"/>
    </row>
    <row r="434" spans="1:1" ht="15.75" customHeight="1" x14ac:dyDescent="0.25">
      <c r="A434" s="36"/>
    </row>
    <row r="435" spans="1:1" ht="15.75" customHeight="1" x14ac:dyDescent="0.25">
      <c r="A435" s="36"/>
    </row>
    <row r="436" spans="1:1" ht="15.75" customHeight="1" x14ac:dyDescent="0.25">
      <c r="A436" s="36"/>
    </row>
    <row r="437" spans="1:1" ht="15.75" customHeight="1" x14ac:dyDescent="0.25">
      <c r="A437" s="36"/>
    </row>
    <row r="438" spans="1:1" ht="15.75" customHeight="1" x14ac:dyDescent="0.25">
      <c r="A438" s="36"/>
    </row>
    <row r="439" spans="1:1" ht="15.75" customHeight="1" x14ac:dyDescent="0.25">
      <c r="A439" s="36"/>
    </row>
    <row r="440" spans="1:1" ht="15.75" customHeight="1" x14ac:dyDescent="0.25">
      <c r="A440" s="36"/>
    </row>
    <row r="441" spans="1:1" ht="15.75" customHeight="1" x14ac:dyDescent="0.25">
      <c r="A441" s="36"/>
    </row>
    <row r="442" spans="1:1" ht="15.75" customHeight="1" x14ac:dyDescent="0.25">
      <c r="A442" s="36"/>
    </row>
    <row r="443" spans="1:1" ht="15.75" customHeight="1" x14ac:dyDescent="0.25">
      <c r="A443" s="36"/>
    </row>
    <row r="444" spans="1:1" ht="15.75" customHeight="1" x14ac:dyDescent="0.25">
      <c r="A444" s="36"/>
    </row>
    <row r="445" spans="1:1" ht="15.75" customHeight="1" x14ac:dyDescent="0.25">
      <c r="A445" s="36"/>
    </row>
    <row r="446" spans="1:1" ht="15.75" customHeight="1" x14ac:dyDescent="0.25">
      <c r="A446" s="36"/>
    </row>
    <row r="447" spans="1:1" ht="15.75" customHeight="1" x14ac:dyDescent="0.25">
      <c r="A447" s="36"/>
    </row>
    <row r="448" spans="1:1" ht="15.75" customHeight="1" x14ac:dyDescent="0.25">
      <c r="A448" s="36"/>
    </row>
    <row r="449" spans="1:1" ht="15.75" customHeight="1" x14ac:dyDescent="0.25">
      <c r="A449" s="36"/>
    </row>
    <row r="450" spans="1:1" ht="15.75" customHeight="1" x14ac:dyDescent="0.25">
      <c r="A450" s="36"/>
    </row>
    <row r="451" spans="1:1" ht="15.75" customHeight="1" x14ac:dyDescent="0.25">
      <c r="A451" s="36"/>
    </row>
    <row r="452" spans="1:1" ht="15.75" customHeight="1" x14ac:dyDescent="0.25">
      <c r="A452" s="36"/>
    </row>
    <row r="453" spans="1:1" ht="15.75" customHeight="1" x14ac:dyDescent="0.25">
      <c r="A453" s="36"/>
    </row>
    <row r="454" spans="1:1" ht="15.75" customHeight="1" x14ac:dyDescent="0.25">
      <c r="A454" s="36"/>
    </row>
    <row r="455" spans="1:1" ht="15.75" customHeight="1" x14ac:dyDescent="0.25">
      <c r="A455" s="36"/>
    </row>
    <row r="456" spans="1:1" ht="15.75" customHeight="1" x14ac:dyDescent="0.25">
      <c r="A456" s="36"/>
    </row>
    <row r="457" spans="1:1" ht="15.75" customHeight="1" x14ac:dyDescent="0.25">
      <c r="A457" s="36"/>
    </row>
    <row r="458" spans="1:1" ht="15.75" customHeight="1" x14ac:dyDescent="0.25">
      <c r="A458" s="36"/>
    </row>
    <row r="459" spans="1:1" ht="15.75" customHeight="1" x14ac:dyDescent="0.25">
      <c r="A459" s="36"/>
    </row>
    <row r="460" spans="1:1" ht="15.75" customHeight="1" x14ac:dyDescent="0.25">
      <c r="A460" s="36"/>
    </row>
    <row r="461" spans="1:1" ht="15.75" customHeight="1" x14ac:dyDescent="0.25">
      <c r="A461" s="36"/>
    </row>
    <row r="462" spans="1:1" ht="15.75" customHeight="1" x14ac:dyDescent="0.25">
      <c r="A462" s="36"/>
    </row>
    <row r="463" spans="1:1" ht="15.75" customHeight="1" x14ac:dyDescent="0.25">
      <c r="A463" s="36"/>
    </row>
    <row r="464" spans="1:1" ht="15.75" customHeight="1" x14ac:dyDescent="0.25">
      <c r="A464" s="36"/>
    </row>
    <row r="465" spans="1:1" ht="15.75" customHeight="1" x14ac:dyDescent="0.25">
      <c r="A465" s="36"/>
    </row>
    <row r="466" spans="1:1" ht="15.75" customHeight="1" x14ac:dyDescent="0.25">
      <c r="A466" s="36"/>
    </row>
    <row r="467" spans="1:1" ht="15.75" customHeight="1" x14ac:dyDescent="0.25">
      <c r="A467" s="36"/>
    </row>
    <row r="468" spans="1:1" ht="15.75" customHeight="1" x14ac:dyDescent="0.25">
      <c r="A468" s="36"/>
    </row>
    <row r="469" spans="1:1" ht="15.75" customHeight="1" x14ac:dyDescent="0.25">
      <c r="A469" s="36"/>
    </row>
    <row r="470" spans="1:1" ht="15.75" customHeight="1" x14ac:dyDescent="0.25">
      <c r="A470" s="36"/>
    </row>
    <row r="471" spans="1:1" ht="15.75" customHeight="1" x14ac:dyDescent="0.25">
      <c r="A471" s="36"/>
    </row>
    <row r="472" spans="1:1" ht="15.75" customHeight="1" x14ac:dyDescent="0.25">
      <c r="A472" s="36"/>
    </row>
    <row r="473" spans="1:1" ht="15.75" customHeight="1" x14ac:dyDescent="0.25">
      <c r="A473" s="36"/>
    </row>
    <row r="474" spans="1:1" ht="15.75" customHeight="1" x14ac:dyDescent="0.25">
      <c r="A474" s="36"/>
    </row>
    <row r="475" spans="1:1" ht="15.75" customHeight="1" x14ac:dyDescent="0.25">
      <c r="A475" s="36"/>
    </row>
    <row r="476" spans="1:1" ht="15.75" customHeight="1" x14ac:dyDescent="0.25">
      <c r="A476" s="36"/>
    </row>
    <row r="477" spans="1:1" ht="15.75" customHeight="1" x14ac:dyDescent="0.25">
      <c r="A477" s="36"/>
    </row>
    <row r="478" spans="1:1" ht="15.75" customHeight="1" x14ac:dyDescent="0.25">
      <c r="A478" s="36"/>
    </row>
    <row r="479" spans="1:1" ht="15.75" customHeight="1" x14ac:dyDescent="0.25">
      <c r="A479" s="36"/>
    </row>
    <row r="480" spans="1:1" ht="15.75" customHeight="1" x14ac:dyDescent="0.25">
      <c r="A480" s="36"/>
    </row>
    <row r="481" spans="1:1" ht="15.75" customHeight="1" x14ac:dyDescent="0.25">
      <c r="A481" s="36"/>
    </row>
    <row r="482" spans="1:1" ht="15.75" customHeight="1" x14ac:dyDescent="0.25">
      <c r="A482" s="36"/>
    </row>
    <row r="483" spans="1:1" ht="15.75" customHeight="1" x14ac:dyDescent="0.25">
      <c r="A483" s="36"/>
    </row>
    <row r="484" spans="1:1" ht="15.75" customHeight="1" x14ac:dyDescent="0.25">
      <c r="A484" s="36"/>
    </row>
    <row r="485" spans="1:1" ht="15.75" customHeight="1" x14ac:dyDescent="0.25">
      <c r="A485" s="36"/>
    </row>
    <row r="486" spans="1:1" ht="15.75" customHeight="1" x14ac:dyDescent="0.25">
      <c r="A486" s="36"/>
    </row>
    <row r="487" spans="1:1" ht="15.75" customHeight="1" x14ac:dyDescent="0.25">
      <c r="A487" s="36"/>
    </row>
    <row r="488" spans="1:1" ht="15.75" customHeight="1" x14ac:dyDescent="0.25">
      <c r="A488" s="36"/>
    </row>
    <row r="489" spans="1:1" ht="15.75" customHeight="1" x14ac:dyDescent="0.25">
      <c r="A489" s="36"/>
    </row>
    <row r="490" spans="1:1" ht="15.75" customHeight="1" x14ac:dyDescent="0.25">
      <c r="A490" s="36"/>
    </row>
    <row r="491" spans="1:1" ht="15.75" customHeight="1" x14ac:dyDescent="0.25">
      <c r="A491" s="36"/>
    </row>
    <row r="492" spans="1:1" ht="15.75" customHeight="1" x14ac:dyDescent="0.25">
      <c r="A492" s="36"/>
    </row>
    <row r="493" spans="1:1" ht="15.75" customHeight="1" x14ac:dyDescent="0.25">
      <c r="A493" s="36"/>
    </row>
    <row r="494" spans="1:1" ht="15.75" customHeight="1" x14ac:dyDescent="0.25">
      <c r="A494" s="36"/>
    </row>
    <row r="495" spans="1:1" ht="15.75" customHeight="1" x14ac:dyDescent="0.25">
      <c r="A495" s="36"/>
    </row>
    <row r="496" spans="1:1" ht="15.75" customHeight="1" x14ac:dyDescent="0.25">
      <c r="A496" s="36"/>
    </row>
    <row r="497" spans="1:1" ht="15.75" customHeight="1" x14ac:dyDescent="0.25">
      <c r="A497" s="36"/>
    </row>
    <row r="498" spans="1:1" ht="15.75" customHeight="1" x14ac:dyDescent="0.25">
      <c r="A498" s="36"/>
    </row>
    <row r="499" spans="1:1" ht="15.75" customHeight="1" x14ac:dyDescent="0.25">
      <c r="A499" s="36"/>
    </row>
    <row r="500" spans="1:1" ht="15.75" customHeight="1" x14ac:dyDescent="0.25">
      <c r="A500" s="36"/>
    </row>
    <row r="501" spans="1:1" ht="15.75" customHeight="1" x14ac:dyDescent="0.25">
      <c r="A501" s="36"/>
    </row>
    <row r="502" spans="1:1" ht="15.75" customHeight="1" x14ac:dyDescent="0.25">
      <c r="A502" s="36"/>
    </row>
    <row r="503" spans="1:1" ht="15.75" customHeight="1" x14ac:dyDescent="0.25">
      <c r="A503" s="36"/>
    </row>
    <row r="504" spans="1:1" ht="15.75" customHeight="1" x14ac:dyDescent="0.25">
      <c r="A504" s="36"/>
    </row>
    <row r="505" spans="1:1" ht="15.75" customHeight="1" x14ac:dyDescent="0.25">
      <c r="A505" s="36"/>
    </row>
    <row r="506" spans="1:1" ht="15.75" customHeight="1" x14ac:dyDescent="0.25">
      <c r="A506" s="36"/>
    </row>
    <row r="507" spans="1:1" ht="15.75" customHeight="1" x14ac:dyDescent="0.25">
      <c r="A507" s="36"/>
    </row>
    <row r="508" spans="1:1" ht="15.75" customHeight="1" x14ac:dyDescent="0.25">
      <c r="A508" s="36"/>
    </row>
    <row r="509" spans="1:1" ht="15.75" customHeight="1" x14ac:dyDescent="0.25">
      <c r="A509" s="36"/>
    </row>
    <row r="510" spans="1:1" ht="15.75" customHeight="1" x14ac:dyDescent="0.25">
      <c r="A510" s="36"/>
    </row>
    <row r="511" spans="1:1" ht="15.75" customHeight="1" x14ac:dyDescent="0.25">
      <c r="A511" s="36"/>
    </row>
    <row r="512" spans="1:1" ht="15.75" customHeight="1" x14ac:dyDescent="0.25">
      <c r="A512" s="36"/>
    </row>
    <row r="513" spans="1:1" ht="15.75" customHeight="1" x14ac:dyDescent="0.25">
      <c r="A513" s="36"/>
    </row>
    <row r="514" spans="1:1" ht="15.75" customHeight="1" x14ac:dyDescent="0.25">
      <c r="A514" s="36"/>
    </row>
    <row r="515" spans="1:1" ht="15.75" customHeight="1" x14ac:dyDescent="0.25">
      <c r="A515" s="36"/>
    </row>
    <row r="516" spans="1:1" ht="15.75" customHeight="1" x14ac:dyDescent="0.25">
      <c r="A516" s="36"/>
    </row>
    <row r="517" spans="1:1" ht="15.75" customHeight="1" x14ac:dyDescent="0.25">
      <c r="A517" s="36"/>
    </row>
    <row r="518" spans="1:1" ht="15.75" customHeight="1" x14ac:dyDescent="0.25">
      <c r="A518" s="36"/>
    </row>
    <row r="519" spans="1:1" ht="15.75" customHeight="1" x14ac:dyDescent="0.25">
      <c r="A519" s="36"/>
    </row>
    <row r="520" spans="1:1" ht="15.75" customHeight="1" x14ac:dyDescent="0.25">
      <c r="A520" s="36"/>
    </row>
    <row r="521" spans="1:1" ht="15.75" customHeight="1" x14ac:dyDescent="0.25">
      <c r="A521" s="36"/>
    </row>
    <row r="522" spans="1:1" ht="15.75" customHeight="1" x14ac:dyDescent="0.25">
      <c r="A522" s="36"/>
    </row>
    <row r="523" spans="1:1" ht="15.75" customHeight="1" x14ac:dyDescent="0.25">
      <c r="A523" s="36"/>
    </row>
    <row r="524" spans="1:1" ht="15.75" customHeight="1" x14ac:dyDescent="0.25">
      <c r="A524" s="36"/>
    </row>
    <row r="525" spans="1:1" ht="15.75" customHeight="1" x14ac:dyDescent="0.25">
      <c r="A525" s="36"/>
    </row>
    <row r="526" spans="1:1" ht="15.75" customHeight="1" x14ac:dyDescent="0.25">
      <c r="A526" s="36"/>
    </row>
    <row r="527" spans="1:1" ht="15.75" customHeight="1" x14ac:dyDescent="0.25">
      <c r="A527" s="36"/>
    </row>
    <row r="528" spans="1:1" ht="15.75" customHeight="1" x14ac:dyDescent="0.25">
      <c r="A528" s="36"/>
    </row>
    <row r="529" spans="1:1" ht="15.75" customHeight="1" x14ac:dyDescent="0.25">
      <c r="A529" s="36"/>
    </row>
    <row r="530" spans="1:1" ht="15.75" customHeight="1" x14ac:dyDescent="0.25">
      <c r="A530" s="36"/>
    </row>
    <row r="531" spans="1:1" ht="15.75" customHeight="1" x14ac:dyDescent="0.25">
      <c r="A531" s="36"/>
    </row>
    <row r="532" spans="1:1" ht="15.75" customHeight="1" x14ac:dyDescent="0.25">
      <c r="A532" s="36"/>
    </row>
    <row r="533" spans="1:1" ht="15.75" customHeight="1" x14ac:dyDescent="0.25">
      <c r="A533" s="36"/>
    </row>
    <row r="534" spans="1:1" ht="15.75" customHeight="1" x14ac:dyDescent="0.25">
      <c r="A534" s="36"/>
    </row>
    <row r="535" spans="1:1" ht="15.75" customHeight="1" x14ac:dyDescent="0.25">
      <c r="A535" s="36"/>
    </row>
    <row r="536" spans="1:1" ht="15.75" customHeight="1" x14ac:dyDescent="0.25">
      <c r="A536" s="36"/>
    </row>
    <row r="537" spans="1:1" ht="15.75" customHeight="1" x14ac:dyDescent="0.25">
      <c r="A537" s="36"/>
    </row>
    <row r="538" spans="1:1" ht="15.75" customHeight="1" x14ac:dyDescent="0.25">
      <c r="A538" s="36"/>
    </row>
    <row r="539" spans="1:1" ht="15.75" customHeight="1" x14ac:dyDescent="0.25">
      <c r="A539" s="36"/>
    </row>
    <row r="540" spans="1:1" ht="15.75" customHeight="1" x14ac:dyDescent="0.25">
      <c r="A540" s="36"/>
    </row>
    <row r="541" spans="1:1" ht="15.75" customHeight="1" x14ac:dyDescent="0.25">
      <c r="A541" s="36"/>
    </row>
    <row r="542" spans="1:1" ht="15.75" customHeight="1" x14ac:dyDescent="0.25">
      <c r="A542" s="36"/>
    </row>
    <row r="543" spans="1:1" ht="15.75" customHeight="1" x14ac:dyDescent="0.25">
      <c r="A543" s="36"/>
    </row>
    <row r="544" spans="1:1" ht="15.75" customHeight="1" x14ac:dyDescent="0.25">
      <c r="A544" s="36"/>
    </row>
    <row r="545" spans="1:1" ht="15.75" customHeight="1" x14ac:dyDescent="0.25">
      <c r="A545" s="36"/>
    </row>
    <row r="546" spans="1:1" ht="15.75" customHeight="1" x14ac:dyDescent="0.25">
      <c r="A546" s="36"/>
    </row>
    <row r="547" spans="1:1" ht="15.75" customHeight="1" x14ac:dyDescent="0.25">
      <c r="A547" s="36"/>
    </row>
    <row r="548" spans="1:1" ht="15.75" customHeight="1" x14ac:dyDescent="0.25">
      <c r="A548" s="36"/>
    </row>
    <row r="549" spans="1:1" ht="15.75" customHeight="1" x14ac:dyDescent="0.25">
      <c r="A549" s="36"/>
    </row>
    <row r="550" spans="1:1" ht="15.75" customHeight="1" x14ac:dyDescent="0.25">
      <c r="A550" s="36"/>
    </row>
    <row r="551" spans="1:1" ht="15.75" customHeight="1" x14ac:dyDescent="0.25">
      <c r="A551" s="36"/>
    </row>
    <row r="552" spans="1:1" ht="15.75" customHeight="1" x14ac:dyDescent="0.25">
      <c r="A552" s="36"/>
    </row>
    <row r="553" spans="1:1" ht="15.75" customHeight="1" x14ac:dyDescent="0.25">
      <c r="A553" s="36"/>
    </row>
    <row r="554" spans="1:1" ht="15.75" customHeight="1" x14ac:dyDescent="0.25">
      <c r="A554" s="36"/>
    </row>
    <row r="555" spans="1:1" ht="15.75" customHeight="1" x14ac:dyDescent="0.25">
      <c r="A555" s="36"/>
    </row>
    <row r="556" spans="1:1" ht="15.75" customHeight="1" x14ac:dyDescent="0.25">
      <c r="A556" s="36"/>
    </row>
    <row r="557" spans="1:1" ht="15.75" customHeight="1" x14ac:dyDescent="0.25">
      <c r="A557" s="36"/>
    </row>
    <row r="558" spans="1:1" ht="15.75" customHeight="1" x14ac:dyDescent="0.25">
      <c r="A558" s="36"/>
    </row>
    <row r="559" spans="1:1" ht="15.75" customHeight="1" x14ac:dyDescent="0.25">
      <c r="A559" s="36"/>
    </row>
    <row r="560" spans="1:1" ht="15.75" customHeight="1" x14ac:dyDescent="0.25">
      <c r="A560" s="36"/>
    </row>
    <row r="561" spans="1:1" ht="15.75" customHeight="1" x14ac:dyDescent="0.25">
      <c r="A561" s="36"/>
    </row>
    <row r="562" spans="1:1" ht="15.75" customHeight="1" x14ac:dyDescent="0.25">
      <c r="A562" s="36"/>
    </row>
    <row r="563" spans="1:1" ht="15.75" customHeight="1" x14ac:dyDescent="0.25">
      <c r="A563" s="36"/>
    </row>
    <row r="564" spans="1:1" ht="15.75" customHeight="1" x14ac:dyDescent="0.25">
      <c r="A564" s="36"/>
    </row>
    <row r="565" spans="1:1" ht="15.75" customHeight="1" x14ac:dyDescent="0.25">
      <c r="A565" s="36"/>
    </row>
    <row r="566" spans="1:1" ht="15.75" customHeight="1" x14ac:dyDescent="0.25">
      <c r="A566" s="36"/>
    </row>
    <row r="567" spans="1:1" ht="15.75" customHeight="1" x14ac:dyDescent="0.25">
      <c r="A567" s="36"/>
    </row>
    <row r="568" spans="1:1" ht="15.75" customHeight="1" x14ac:dyDescent="0.25">
      <c r="A568" s="36"/>
    </row>
    <row r="569" spans="1:1" ht="15.75" customHeight="1" x14ac:dyDescent="0.25">
      <c r="A569" s="36"/>
    </row>
    <row r="570" spans="1:1" ht="15.75" customHeight="1" x14ac:dyDescent="0.25">
      <c r="A570" s="36"/>
    </row>
    <row r="571" spans="1:1" ht="15.75" customHeight="1" x14ac:dyDescent="0.25">
      <c r="A571" s="36"/>
    </row>
    <row r="572" spans="1:1" ht="15.75" customHeight="1" x14ac:dyDescent="0.25">
      <c r="A572" s="36"/>
    </row>
    <row r="573" spans="1:1" ht="15.75" customHeight="1" x14ac:dyDescent="0.25">
      <c r="A573" s="36"/>
    </row>
    <row r="574" spans="1:1" ht="15.75" customHeight="1" x14ac:dyDescent="0.25">
      <c r="A574" s="36"/>
    </row>
    <row r="575" spans="1:1" ht="15.75" customHeight="1" x14ac:dyDescent="0.25">
      <c r="A575" s="36"/>
    </row>
    <row r="576" spans="1:1" ht="15.75" customHeight="1" x14ac:dyDescent="0.25">
      <c r="A576" s="36"/>
    </row>
    <row r="577" spans="1:1" ht="15.75" customHeight="1" x14ac:dyDescent="0.25">
      <c r="A577" s="36"/>
    </row>
    <row r="578" spans="1:1" ht="15.75" customHeight="1" x14ac:dyDescent="0.25">
      <c r="A578" s="36"/>
    </row>
    <row r="579" spans="1:1" ht="15.75" customHeight="1" x14ac:dyDescent="0.25">
      <c r="A579" s="36"/>
    </row>
    <row r="580" spans="1:1" ht="15.75" customHeight="1" x14ac:dyDescent="0.25">
      <c r="A580" s="36"/>
    </row>
    <row r="581" spans="1:1" ht="15.75" customHeight="1" x14ac:dyDescent="0.25">
      <c r="A581" s="36"/>
    </row>
    <row r="582" spans="1:1" ht="15.75" customHeight="1" x14ac:dyDescent="0.25">
      <c r="A582" s="36"/>
    </row>
    <row r="583" spans="1:1" ht="15.75" customHeight="1" x14ac:dyDescent="0.25">
      <c r="A583" s="36"/>
    </row>
    <row r="584" spans="1:1" ht="15.75" customHeight="1" x14ac:dyDescent="0.25">
      <c r="A584" s="36"/>
    </row>
    <row r="585" spans="1:1" ht="15.75" customHeight="1" x14ac:dyDescent="0.25">
      <c r="A585" s="36"/>
    </row>
    <row r="586" spans="1:1" ht="15.75" customHeight="1" x14ac:dyDescent="0.25">
      <c r="A586" s="36"/>
    </row>
    <row r="587" spans="1:1" ht="15.75" customHeight="1" x14ac:dyDescent="0.25">
      <c r="A587" s="36"/>
    </row>
    <row r="588" spans="1:1" ht="15.75" customHeight="1" x14ac:dyDescent="0.25">
      <c r="A588" s="36"/>
    </row>
    <row r="589" spans="1:1" ht="15.75" customHeight="1" x14ac:dyDescent="0.25">
      <c r="A589" s="36"/>
    </row>
    <row r="590" spans="1:1" ht="15.75" customHeight="1" x14ac:dyDescent="0.25">
      <c r="A590" s="36"/>
    </row>
    <row r="591" spans="1:1" ht="15.75" customHeight="1" x14ac:dyDescent="0.25">
      <c r="A591" s="36"/>
    </row>
    <row r="592" spans="1:1" ht="15.75" customHeight="1" x14ac:dyDescent="0.25">
      <c r="A592" s="36"/>
    </row>
    <row r="593" spans="1:1" ht="15.75" customHeight="1" x14ac:dyDescent="0.25">
      <c r="A593" s="36"/>
    </row>
    <row r="594" spans="1:1" ht="15.75" customHeight="1" x14ac:dyDescent="0.25">
      <c r="A594" s="36"/>
    </row>
    <row r="595" spans="1:1" ht="15.75" customHeight="1" x14ac:dyDescent="0.25">
      <c r="A595" s="36"/>
    </row>
    <row r="596" spans="1:1" ht="15.75" customHeight="1" x14ac:dyDescent="0.25">
      <c r="A596" s="36"/>
    </row>
    <row r="597" spans="1:1" ht="15.75" customHeight="1" x14ac:dyDescent="0.25">
      <c r="A597" s="36"/>
    </row>
    <row r="598" spans="1:1" ht="15.75" customHeight="1" x14ac:dyDescent="0.25">
      <c r="A598" s="36"/>
    </row>
    <row r="599" spans="1:1" ht="15.75" customHeight="1" x14ac:dyDescent="0.25">
      <c r="A599" s="36"/>
    </row>
    <row r="600" spans="1:1" ht="15.75" customHeight="1" x14ac:dyDescent="0.25">
      <c r="A600" s="36"/>
    </row>
    <row r="601" spans="1:1" ht="15.75" customHeight="1" x14ac:dyDescent="0.25">
      <c r="A601" s="36"/>
    </row>
    <row r="602" spans="1:1" ht="15.75" customHeight="1" x14ac:dyDescent="0.25">
      <c r="A602" s="36"/>
    </row>
    <row r="603" spans="1:1" ht="15.75" customHeight="1" x14ac:dyDescent="0.25">
      <c r="A603" s="36"/>
    </row>
    <row r="604" spans="1:1" ht="15.75" customHeight="1" x14ac:dyDescent="0.25">
      <c r="A604" s="36"/>
    </row>
    <row r="605" spans="1:1" ht="15.75" customHeight="1" x14ac:dyDescent="0.25">
      <c r="A605" s="36"/>
    </row>
    <row r="606" spans="1:1" ht="15.75" customHeight="1" x14ac:dyDescent="0.25">
      <c r="A606" s="36"/>
    </row>
    <row r="607" spans="1:1" ht="15.75" customHeight="1" x14ac:dyDescent="0.25">
      <c r="A607" s="36"/>
    </row>
    <row r="608" spans="1:1" ht="15.75" customHeight="1" x14ac:dyDescent="0.25">
      <c r="A608" s="36"/>
    </row>
    <row r="609" spans="1:1" ht="15.75" customHeight="1" x14ac:dyDescent="0.25">
      <c r="A609" s="36"/>
    </row>
    <row r="610" spans="1:1" ht="15.75" customHeight="1" x14ac:dyDescent="0.25">
      <c r="A610" s="36"/>
    </row>
    <row r="611" spans="1:1" ht="15.75" customHeight="1" x14ac:dyDescent="0.25">
      <c r="A611" s="36"/>
    </row>
    <row r="612" spans="1:1" ht="15.75" customHeight="1" x14ac:dyDescent="0.25">
      <c r="A612" s="36"/>
    </row>
    <row r="613" spans="1:1" ht="15.75" customHeight="1" x14ac:dyDescent="0.25">
      <c r="A613" s="36"/>
    </row>
    <row r="614" spans="1:1" ht="15.75" customHeight="1" x14ac:dyDescent="0.25">
      <c r="A614" s="36"/>
    </row>
    <row r="615" spans="1:1" ht="15.75" customHeight="1" x14ac:dyDescent="0.25">
      <c r="A615" s="36"/>
    </row>
    <row r="616" spans="1:1" ht="15.75" customHeight="1" x14ac:dyDescent="0.25">
      <c r="A616" s="36"/>
    </row>
    <row r="617" spans="1:1" ht="15.75" customHeight="1" x14ac:dyDescent="0.25">
      <c r="A617" s="36"/>
    </row>
    <row r="618" spans="1:1" ht="15.75" customHeight="1" x14ac:dyDescent="0.25">
      <c r="A618" s="36"/>
    </row>
    <row r="619" spans="1:1" ht="15.75" customHeight="1" x14ac:dyDescent="0.25">
      <c r="A619" s="36"/>
    </row>
    <row r="620" spans="1:1" ht="15.75" customHeight="1" x14ac:dyDescent="0.25">
      <c r="A620" s="36"/>
    </row>
    <row r="621" spans="1:1" ht="15.75" customHeight="1" x14ac:dyDescent="0.25">
      <c r="A621" s="36"/>
    </row>
    <row r="622" spans="1:1" ht="15.75" customHeight="1" x14ac:dyDescent="0.25">
      <c r="A622" s="36"/>
    </row>
    <row r="623" spans="1:1" ht="15.75" customHeight="1" x14ac:dyDescent="0.25">
      <c r="A623" s="36"/>
    </row>
    <row r="624" spans="1:1" ht="15.75" customHeight="1" x14ac:dyDescent="0.25">
      <c r="A624" s="36"/>
    </row>
    <row r="625" spans="1:1" ht="15.75" customHeight="1" x14ac:dyDescent="0.25">
      <c r="A625" s="36"/>
    </row>
    <row r="626" spans="1:1" ht="15.75" customHeight="1" x14ac:dyDescent="0.25">
      <c r="A626" s="36"/>
    </row>
    <row r="627" spans="1:1" ht="15.75" customHeight="1" x14ac:dyDescent="0.25">
      <c r="A627" s="36"/>
    </row>
    <row r="628" spans="1:1" ht="15.75" customHeight="1" x14ac:dyDescent="0.25">
      <c r="A628" s="36"/>
    </row>
    <row r="629" spans="1:1" ht="15.75" customHeight="1" x14ac:dyDescent="0.25">
      <c r="A629" s="36"/>
    </row>
    <row r="630" spans="1:1" ht="15.75" customHeight="1" x14ac:dyDescent="0.25">
      <c r="A630" s="36"/>
    </row>
    <row r="631" spans="1:1" ht="15.75" customHeight="1" x14ac:dyDescent="0.25">
      <c r="A631" s="36"/>
    </row>
    <row r="632" spans="1:1" ht="15.75" customHeight="1" x14ac:dyDescent="0.25">
      <c r="A632" s="36"/>
    </row>
    <row r="633" spans="1:1" ht="15.75" customHeight="1" x14ac:dyDescent="0.25">
      <c r="A633" s="36"/>
    </row>
    <row r="634" spans="1:1" ht="15.75" customHeight="1" x14ac:dyDescent="0.25">
      <c r="A634" s="36"/>
    </row>
    <row r="635" spans="1:1" ht="15.75" customHeight="1" x14ac:dyDescent="0.25">
      <c r="A635" s="36"/>
    </row>
    <row r="636" spans="1:1" ht="15.75" customHeight="1" x14ac:dyDescent="0.25">
      <c r="A636" s="36"/>
    </row>
    <row r="637" spans="1:1" ht="15.75" customHeight="1" x14ac:dyDescent="0.25">
      <c r="A637" s="36"/>
    </row>
    <row r="638" spans="1:1" ht="15.75" customHeight="1" x14ac:dyDescent="0.25">
      <c r="A638" s="36"/>
    </row>
    <row r="639" spans="1:1" ht="15.75" customHeight="1" x14ac:dyDescent="0.25">
      <c r="A639" s="36"/>
    </row>
    <row r="640" spans="1:1" ht="15.75" customHeight="1" x14ac:dyDescent="0.25">
      <c r="A640" s="36"/>
    </row>
    <row r="641" spans="1:1" ht="15.75" customHeight="1" x14ac:dyDescent="0.25">
      <c r="A641" s="36"/>
    </row>
    <row r="642" spans="1:1" ht="15.75" customHeight="1" x14ac:dyDescent="0.25">
      <c r="A642" s="36"/>
    </row>
    <row r="643" spans="1:1" ht="15.75" customHeight="1" x14ac:dyDescent="0.25">
      <c r="A643" s="36"/>
    </row>
    <row r="644" spans="1:1" ht="15.75" customHeight="1" x14ac:dyDescent="0.25">
      <c r="A644" s="36"/>
    </row>
    <row r="645" spans="1:1" ht="15.75" customHeight="1" x14ac:dyDescent="0.25">
      <c r="A645" s="36"/>
    </row>
    <row r="646" spans="1:1" ht="15.75" customHeight="1" x14ac:dyDescent="0.25">
      <c r="A646" s="36"/>
    </row>
    <row r="647" spans="1:1" ht="15.75" customHeight="1" x14ac:dyDescent="0.25">
      <c r="A647" s="36"/>
    </row>
    <row r="648" spans="1:1" ht="15.75" customHeight="1" x14ac:dyDescent="0.25">
      <c r="A648" s="36"/>
    </row>
    <row r="649" spans="1:1" ht="15.75" customHeight="1" x14ac:dyDescent="0.25">
      <c r="A649" s="36"/>
    </row>
    <row r="650" spans="1:1" ht="15.75" customHeight="1" x14ac:dyDescent="0.25">
      <c r="A650" s="36"/>
    </row>
    <row r="651" spans="1:1" ht="15.75" customHeight="1" x14ac:dyDescent="0.25">
      <c r="A651" s="36"/>
    </row>
    <row r="652" spans="1:1" ht="15.75" customHeight="1" x14ac:dyDescent="0.25">
      <c r="A652" s="36"/>
    </row>
    <row r="653" spans="1:1" ht="15.75" customHeight="1" x14ac:dyDescent="0.25">
      <c r="A653" s="36"/>
    </row>
    <row r="654" spans="1:1" ht="15.75" customHeight="1" x14ac:dyDescent="0.25">
      <c r="A654" s="36"/>
    </row>
    <row r="655" spans="1:1" ht="15.75" customHeight="1" x14ac:dyDescent="0.25">
      <c r="A655" s="36"/>
    </row>
    <row r="656" spans="1:1" ht="15.75" customHeight="1" x14ac:dyDescent="0.25">
      <c r="A656" s="36"/>
    </row>
    <row r="657" spans="1:1" ht="15.75" customHeight="1" x14ac:dyDescent="0.25">
      <c r="A657" s="36"/>
    </row>
    <row r="658" spans="1:1" ht="15.75" customHeight="1" x14ac:dyDescent="0.25">
      <c r="A658" s="36"/>
    </row>
    <row r="659" spans="1:1" ht="15.75" customHeight="1" x14ac:dyDescent="0.25">
      <c r="A659" s="36"/>
    </row>
    <row r="660" spans="1:1" ht="15.75" customHeight="1" x14ac:dyDescent="0.25">
      <c r="A660" s="36"/>
    </row>
    <row r="661" spans="1:1" ht="15.75" customHeight="1" x14ac:dyDescent="0.25">
      <c r="A661" s="36"/>
    </row>
    <row r="662" spans="1:1" ht="15.75" customHeight="1" x14ac:dyDescent="0.25">
      <c r="A662" s="36"/>
    </row>
    <row r="663" spans="1:1" ht="15.75" customHeight="1" x14ac:dyDescent="0.25">
      <c r="A663" s="36"/>
    </row>
    <row r="664" spans="1:1" ht="15.75" customHeight="1" x14ac:dyDescent="0.25">
      <c r="A664" s="36"/>
    </row>
    <row r="665" spans="1:1" ht="15.75" customHeight="1" x14ac:dyDescent="0.25">
      <c r="A665" s="36"/>
    </row>
    <row r="666" spans="1:1" ht="15.75" customHeight="1" x14ac:dyDescent="0.25">
      <c r="A666" s="36"/>
    </row>
    <row r="667" spans="1:1" ht="15.75" customHeight="1" x14ac:dyDescent="0.25">
      <c r="A667" s="36"/>
    </row>
    <row r="668" spans="1:1" ht="15.75" customHeight="1" x14ac:dyDescent="0.25">
      <c r="A668" s="36"/>
    </row>
    <row r="669" spans="1:1" ht="15.75" customHeight="1" x14ac:dyDescent="0.25">
      <c r="A669" s="36"/>
    </row>
    <row r="670" spans="1:1" ht="15.75" customHeight="1" x14ac:dyDescent="0.25">
      <c r="A670" s="36"/>
    </row>
    <row r="671" spans="1:1" ht="15.75" customHeight="1" x14ac:dyDescent="0.25">
      <c r="A671" s="36"/>
    </row>
    <row r="672" spans="1:1" ht="15.75" customHeight="1" x14ac:dyDescent="0.25">
      <c r="A672" s="36"/>
    </row>
    <row r="673" spans="1:1" ht="15.75" customHeight="1" x14ac:dyDescent="0.25">
      <c r="A673" s="36"/>
    </row>
    <row r="674" spans="1:1" ht="15.75" customHeight="1" x14ac:dyDescent="0.25">
      <c r="A674" s="36"/>
    </row>
    <row r="675" spans="1:1" ht="15.75" customHeight="1" x14ac:dyDescent="0.25">
      <c r="A675" s="36"/>
    </row>
    <row r="676" spans="1:1" ht="15.75" customHeight="1" x14ac:dyDescent="0.25">
      <c r="A676" s="36"/>
    </row>
    <row r="677" spans="1:1" ht="15.75" customHeight="1" x14ac:dyDescent="0.25">
      <c r="A677" s="36"/>
    </row>
    <row r="678" spans="1:1" ht="15.75" customHeight="1" x14ac:dyDescent="0.25">
      <c r="A678" s="36"/>
    </row>
    <row r="679" spans="1:1" ht="15.75" customHeight="1" x14ac:dyDescent="0.25">
      <c r="A679" s="36"/>
    </row>
    <row r="680" spans="1:1" ht="15.75" customHeight="1" x14ac:dyDescent="0.25">
      <c r="A680" s="36"/>
    </row>
    <row r="681" spans="1:1" ht="15.75" customHeight="1" x14ac:dyDescent="0.25">
      <c r="A681" s="36"/>
    </row>
    <row r="682" spans="1:1" ht="15.75" customHeight="1" x14ac:dyDescent="0.25">
      <c r="A682" s="36"/>
    </row>
    <row r="683" spans="1:1" ht="15.75" customHeight="1" x14ac:dyDescent="0.25">
      <c r="A683" s="36"/>
    </row>
    <row r="684" spans="1:1" ht="15.75" customHeight="1" x14ac:dyDescent="0.25">
      <c r="A684" s="36"/>
    </row>
    <row r="685" spans="1:1" ht="15.75" customHeight="1" x14ac:dyDescent="0.25">
      <c r="A685" s="36"/>
    </row>
    <row r="686" spans="1:1" ht="15.75" customHeight="1" x14ac:dyDescent="0.25">
      <c r="A686" s="36"/>
    </row>
    <row r="687" spans="1:1" ht="15.75" customHeight="1" x14ac:dyDescent="0.25">
      <c r="A687" s="36"/>
    </row>
    <row r="688" spans="1:1" ht="15.75" customHeight="1" x14ac:dyDescent="0.25">
      <c r="A688" s="36"/>
    </row>
    <row r="689" spans="1:1" ht="15.75" customHeight="1" x14ac:dyDescent="0.25">
      <c r="A689" s="36"/>
    </row>
    <row r="690" spans="1:1" ht="15.75" customHeight="1" x14ac:dyDescent="0.25">
      <c r="A690" s="36"/>
    </row>
    <row r="691" spans="1:1" ht="15.75" customHeight="1" x14ac:dyDescent="0.25">
      <c r="A691" s="36"/>
    </row>
    <row r="692" spans="1:1" ht="15.75" customHeight="1" x14ac:dyDescent="0.25">
      <c r="A692" s="36"/>
    </row>
    <row r="693" spans="1:1" ht="15.75" customHeight="1" x14ac:dyDescent="0.25">
      <c r="A693" s="36"/>
    </row>
    <row r="694" spans="1:1" ht="15.75" customHeight="1" x14ac:dyDescent="0.25">
      <c r="A694" s="36"/>
    </row>
    <row r="695" spans="1:1" ht="15.75" customHeight="1" x14ac:dyDescent="0.25">
      <c r="A695" s="36"/>
    </row>
    <row r="696" spans="1:1" ht="15.75" customHeight="1" x14ac:dyDescent="0.25">
      <c r="A696" s="36"/>
    </row>
    <row r="697" spans="1:1" ht="15.75" customHeight="1" x14ac:dyDescent="0.25">
      <c r="A697" s="36"/>
    </row>
    <row r="698" spans="1:1" ht="15.75" customHeight="1" x14ac:dyDescent="0.25">
      <c r="A698" s="36"/>
    </row>
    <row r="699" spans="1:1" ht="15.75" customHeight="1" x14ac:dyDescent="0.25">
      <c r="A699" s="36"/>
    </row>
    <row r="700" spans="1:1" ht="15.75" customHeight="1" x14ac:dyDescent="0.25">
      <c r="A700" s="36"/>
    </row>
    <row r="701" spans="1:1" ht="15.75" customHeight="1" x14ac:dyDescent="0.25">
      <c r="A701" s="36"/>
    </row>
    <row r="702" spans="1:1" ht="15.75" customHeight="1" x14ac:dyDescent="0.25">
      <c r="A702" s="36"/>
    </row>
    <row r="703" spans="1:1" ht="15.75" customHeight="1" x14ac:dyDescent="0.25">
      <c r="A703" s="36"/>
    </row>
    <row r="704" spans="1:1" ht="15.75" customHeight="1" x14ac:dyDescent="0.25">
      <c r="A704" s="36"/>
    </row>
    <row r="705" spans="1:1" ht="15.75" customHeight="1" x14ac:dyDescent="0.25">
      <c r="A705" s="36"/>
    </row>
    <row r="706" spans="1:1" ht="15.75" customHeight="1" x14ac:dyDescent="0.25">
      <c r="A706" s="36"/>
    </row>
    <row r="707" spans="1:1" ht="15.75" customHeight="1" x14ac:dyDescent="0.25">
      <c r="A707" s="36"/>
    </row>
    <row r="708" spans="1:1" ht="15.75" customHeight="1" x14ac:dyDescent="0.25">
      <c r="A708" s="36"/>
    </row>
    <row r="709" spans="1:1" ht="15.75" customHeight="1" x14ac:dyDescent="0.25">
      <c r="A709" s="36"/>
    </row>
    <row r="710" spans="1:1" ht="15.75" customHeight="1" x14ac:dyDescent="0.25">
      <c r="A710" s="36"/>
    </row>
    <row r="711" spans="1:1" ht="15.75" customHeight="1" x14ac:dyDescent="0.25">
      <c r="A711" s="36"/>
    </row>
    <row r="712" spans="1:1" ht="15.75" customHeight="1" x14ac:dyDescent="0.25">
      <c r="A712" s="36"/>
    </row>
    <row r="713" spans="1:1" ht="15.75" customHeight="1" x14ac:dyDescent="0.25">
      <c r="A713" s="36"/>
    </row>
    <row r="714" spans="1:1" ht="15.75" customHeight="1" x14ac:dyDescent="0.25">
      <c r="A714" s="36"/>
    </row>
    <row r="715" spans="1:1" ht="15.75" customHeight="1" x14ac:dyDescent="0.25">
      <c r="A715" s="36"/>
    </row>
    <row r="716" spans="1:1" ht="15.75" customHeight="1" x14ac:dyDescent="0.25">
      <c r="A716" s="36"/>
    </row>
    <row r="717" spans="1:1" ht="15.75" customHeight="1" x14ac:dyDescent="0.25">
      <c r="A717" s="36"/>
    </row>
    <row r="718" spans="1:1" ht="15.75" customHeight="1" x14ac:dyDescent="0.25">
      <c r="A718" s="36"/>
    </row>
    <row r="719" spans="1:1" ht="15.75" customHeight="1" x14ac:dyDescent="0.25">
      <c r="A719" s="36"/>
    </row>
    <row r="720" spans="1:1" ht="15.75" customHeight="1" x14ac:dyDescent="0.25">
      <c r="A720" s="36"/>
    </row>
    <row r="721" spans="1:1" ht="15.75" customHeight="1" x14ac:dyDescent="0.25">
      <c r="A721" s="36"/>
    </row>
    <row r="722" spans="1:1" ht="15.75" customHeight="1" x14ac:dyDescent="0.25">
      <c r="A722" s="36"/>
    </row>
    <row r="723" spans="1:1" ht="15.75" customHeight="1" x14ac:dyDescent="0.25">
      <c r="A723" s="36"/>
    </row>
    <row r="724" spans="1:1" ht="15.75" customHeight="1" x14ac:dyDescent="0.25">
      <c r="A724" s="36"/>
    </row>
    <row r="725" spans="1:1" ht="15.75" customHeight="1" x14ac:dyDescent="0.25">
      <c r="A725" s="36"/>
    </row>
    <row r="726" spans="1:1" ht="15.75" customHeight="1" x14ac:dyDescent="0.25">
      <c r="A726" s="36"/>
    </row>
    <row r="727" spans="1:1" ht="15.75" customHeight="1" x14ac:dyDescent="0.25">
      <c r="A727" s="36"/>
    </row>
    <row r="728" spans="1:1" ht="15.75" customHeight="1" x14ac:dyDescent="0.25">
      <c r="A728" s="36"/>
    </row>
    <row r="729" spans="1:1" ht="15.75" customHeight="1" x14ac:dyDescent="0.25">
      <c r="A729" s="36"/>
    </row>
    <row r="730" spans="1:1" ht="15.75" customHeight="1" x14ac:dyDescent="0.25">
      <c r="A730" s="36"/>
    </row>
    <row r="731" spans="1:1" ht="15.75" customHeight="1" x14ac:dyDescent="0.25">
      <c r="A731" s="36"/>
    </row>
    <row r="732" spans="1:1" ht="15.75" customHeight="1" x14ac:dyDescent="0.25">
      <c r="A732" s="36"/>
    </row>
    <row r="733" spans="1:1" ht="15.75" customHeight="1" x14ac:dyDescent="0.25">
      <c r="A733" s="36"/>
    </row>
    <row r="734" spans="1:1" ht="15.75" customHeight="1" x14ac:dyDescent="0.25">
      <c r="A734" s="36"/>
    </row>
    <row r="735" spans="1:1" ht="15.75" customHeight="1" x14ac:dyDescent="0.25">
      <c r="A735" s="36"/>
    </row>
    <row r="736" spans="1:1" ht="15.75" customHeight="1" x14ac:dyDescent="0.25">
      <c r="A736" s="36"/>
    </row>
    <row r="737" spans="1:1" ht="15.75" customHeight="1" x14ac:dyDescent="0.25">
      <c r="A737" s="36"/>
    </row>
    <row r="738" spans="1:1" ht="15.75" customHeight="1" x14ac:dyDescent="0.25">
      <c r="A738" s="36"/>
    </row>
    <row r="739" spans="1:1" ht="15.75" customHeight="1" x14ac:dyDescent="0.25">
      <c r="A739" s="36"/>
    </row>
    <row r="740" spans="1:1" ht="15.75" customHeight="1" x14ac:dyDescent="0.25">
      <c r="A740" s="36"/>
    </row>
    <row r="741" spans="1:1" ht="15.75" customHeight="1" x14ac:dyDescent="0.25">
      <c r="A741" s="36"/>
    </row>
    <row r="742" spans="1:1" ht="15.75" customHeight="1" x14ac:dyDescent="0.25">
      <c r="A742" s="36"/>
    </row>
    <row r="743" spans="1:1" ht="15.75" customHeight="1" x14ac:dyDescent="0.25">
      <c r="A743" s="36"/>
    </row>
    <row r="744" spans="1:1" ht="15.75" customHeight="1" x14ac:dyDescent="0.25">
      <c r="A744" s="36"/>
    </row>
    <row r="745" spans="1:1" ht="15.75" customHeight="1" x14ac:dyDescent="0.25">
      <c r="A745" s="36"/>
    </row>
    <row r="746" spans="1:1" ht="15.75" customHeight="1" x14ac:dyDescent="0.25">
      <c r="A746" s="36"/>
    </row>
    <row r="747" spans="1:1" ht="15.75" customHeight="1" x14ac:dyDescent="0.25">
      <c r="A747" s="36"/>
    </row>
    <row r="748" spans="1:1" ht="15.75" customHeight="1" x14ac:dyDescent="0.25">
      <c r="A748" s="36"/>
    </row>
    <row r="749" spans="1:1" ht="15.75" customHeight="1" x14ac:dyDescent="0.25">
      <c r="A749" s="36"/>
    </row>
    <row r="750" spans="1:1" ht="15.75" customHeight="1" x14ac:dyDescent="0.25">
      <c r="A750" s="36"/>
    </row>
    <row r="751" spans="1:1" ht="15.75" customHeight="1" x14ac:dyDescent="0.25">
      <c r="A751" s="36"/>
    </row>
    <row r="752" spans="1:1" ht="15.75" customHeight="1" x14ac:dyDescent="0.25">
      <c r="A752" s="36"/>
    </row>
    <row r="753" spans="1:1" ht="15.75" customHeight="1" x14ac:dyDescent="0.25">
      <c r="A753" s="36"/>
    </row>
    <row r="754" spans="1:1" ht="15.75" customHeight="1" x14ac:dyDescent="0.25">
      <c r="A754" s="36"/>
    </row>
    <row r="755" spans="1:1" ht="15.75" customHeight="1" x14ac:dyDescent="0.25">
      <c r="A755" s="36"/>
    </row>
    <row r="756" spans="1:1" ht="15.75" customHeight="1" x14ac:dyDescent="0.25">
      <c r="A756" s="36"/>
    </row>
    <row r="757" spans="1:1" ht="15.75" customHeight="1" x14ac:dyDescent="0.25">
      <c r="A757" s="36"/>
    </row>
    <row r="758" spans="1:1" ht="15.75" customHeight="1" x14ac:dyDescent="0.25">
      <c r="A758" s="36"/>
    </row>
    <row r="759" spans="1:1" ht="15.75" customHeight="1" x14ac:dyDescent="0.25">
      <c r="A759" s="36"/>
    </row>
    <row r="760" spans="1:1" ht="15.75" customHeight="1" x14ac:dyDescent="0.25">
      <c r="A760" s="36"/>
    </row>
    <row r="761" spans="1:1" ht="15.75" customHeight="1" x14ac:dyDescent="0.25">
      <c r="A761" s="36"/>
    </row>
    <row r="762" spans="1:1" ht="15.75" customHeight="1" x14ac:dyDescent="0.25">
      <c r="A762" s="36"/>
    </row>
    <row r="763" spans="1:1" ht="15.75" customHeight="1" x14ac:dyDescent="0.25">
      <c r="A763" s="36"/>
    </row>
    <row r="764" spans="1:1" ht="15.75" customHeight="1" x14ac:dyDescent="0.25">
      <c r="A764" s="36"/>
    </row>
    <row r="765" spans="1:1" ht="15.75" customHeight="1" x14ac:dyDescent="0.25">
      <c r="A765" s="36"/>
    </row>
    <row r="766" spans="1:1" ht="15.75" customHeight="1" x14ac:dyDescent="0.25">
      <c r="A766" s="36"/>
    </row>
    <row r="767" spans="1:1" ht="15.75" customHeight="1" x14ac:dyDescent="0.25">
      <c r="A767" s="36"/>
    </row>
    <row r="768" spans="1:1" ht="15.75" customHeight="1" x14ac:dyDescent="0.25">
      <c r="A768" s="36"/>
    </row>
    <row r="769" spans="1:1" ht="15.75" customHeight="1" x14ac:dyDescent="0.25">
      <c r="A769" s="36"/>
    </row>
    <row r="770" spans="1:1" ht="15.75" customHeight="1" x14ac:dyDescent="0.25">
      <c r="A770" s="36"/>
    </row>
    <row r="771" spans="1:1" ht="15.75" customHeight="1" x14ac:dyDescent="0.25">
      <c r="A771" s="36"/>
    </row>
    <row r="772" spans="1:1" ht="15.75" customHeight="1" x14ac:dyDescent="0.25">
      <c r="A772" s="36"/>
    </row>
    <row r="773" spans="1:1" ht="15.75" customHeight="1" x14ac:dyDescent="0.25">
      <c r="A773" s="36"/>
    </row>
    <row r="774" spans="1:1" ht="15.75" customHeight="1" x14ac:dyDescent="0.25">
      <c r="A774" s="36"/>
    </row>
    <row r="775" spans="1:1" ht="15.75" customHeight="1" x14ac:dyDescent="0.25">
      <c r="A775" s="36"/>
    </row>
    <row r="776" spans="1:1" ht="15.75" customHeight="1" x14ac:dyDescent="0.25">
      <c r="A776" s="36"/>
    </row>
    <row r="777" spans="1:1" ht="15.75" customHeight="1" x14ac:dyDescent="0.25">
      <c r="A777" s="36"/>
    </row>
    <row r="778" spans="1:1" ht="15.75" customHeight="1" x14ac:dyDescent="0.25">
      <c r="A778" s="36"/>
    </row>
    <row r="779" spans="1:1" ht="15.75" customHeight="1" x14ac:dyDescent="0.25">
      <c r="A779" s="36"/>
    </row>
    <row r="780" spans="1:1" ht="15.75" customHeight="1" x14ac:dyDescent="0.25">
      <c r="A780" s="36"/>
    </row>
    <row r="781" spans="1:1" ht="15.75" customHeight="1" x14ac:dyDescent="0.25">
      <c r="A781" s="36"/>
    </row>
    <row r="782" spans="1:1" ht="15.75" customHeight="1" x14ac:dyDescent="0.25">
      <c r="A782" s="36"/>
    </row>
    <row r="783" spans="1:1" ht="15.75" customHeight="1" x14ac:dyDescent="0.25">
      <c r="A783" s="36"/>
    </row>
    <row r="784" spans="1:1" ht="15.75" customHeight="1" x14ac:dyDescent="0.25">
      <c r="A784" s="36"/>
    </row>
    <row r="785" spans="1:1" ht="15.75" customHeight="1" x14ac:dyDescent="0.25">
      <c r="A785" s="36"/>
    </row>
    <row r="786" spans="1:1" ht="15.75" customHeight="1" x14ac:dyDescent="0.25">
      <c r="A786" s="36"/>
    </row>
    <row r="787" spans="1:1" ht="15.75" customHeight="1" x14ac:dyDescent="0.25">
      <c r="A787" s="36"/>
    </row>
    <row r="788" spans="1:1" ht="15.75" customHeight="1" x14ac:dyDescent="0.25">
      <c r="A788" s="36"/>
    </row>
    <row r="789" spans="1:1" ht="15.75" customHeight="1" x14ac:dyDescent="0.25">
      <c r="A789" s="36"/>
    </row>
    <row r="790" spans="1:1" ht="15.75" customHeight="1" x14ac:dyDescent="0.25">
      <c r="A790" s="36"/>
    </row>
    <row r="791" spans="1:1" ht="15.75" customHeight="1" x14ac:dyDescent="0.25">
      <c r="A791" s="36"/>
    </row>
    <row r="792" spans="1:1" ht="15.75" customHeight="1" x14ac:dyDescent="0.25">
      <c r="A792" s="36"/>
    </row>
    <row r="793" spans="1:1" ht="15.75" customHeight="1" x14ac:dyDescent="0.25">
      <c r="A793" s="36"/>
    </row>
    <row r="794" spans="1:1" ht="15.75" customHeight="1" x14ac:dyDescent="0.25">
      <c r="A794" s="36"/>
    </row>
    <row r="795" spans="1:1" ht="15.75" customHeight="1" x14ac:dyDescent="0.25">
      <c r="A795" s="36"/>
    </row>
    <row r="796" spans="1:1" ht="15.75" customHeight="1" x14ac:dyDescent="0.25">
      <c r="A796" s="36"/>
    </row>
    <row r="797" spans="1:1" ht="15.75" customHeight="1" x14ac:dyDescent="0.25">
      <c r="A797" s="36"/>
    </row>
    <row r="798" spans="1:1" ht="15.75" customHeight="1" x14ac:dyDescent="0.25">
      <c r="A798" s="36"/>
    </row>
    <row r="799" spans="1:1" ht="15.75" customHeight="1" x14ac:dyDescent="0.25">
      <c r="A799" s="36"/>
    </row>
    <row r="800" spans="1:1" ht="15.75" customHeight="1" x14ac:dyDescent="0.25">
      <c r="A800" s="36"/>
    </row>
    <row r="801" spans="1:1" ht="15.75" customHeight="1" x14ac:dyDescent="0.25">
      <c r="A801" s="36"/>
    </row>
    <row r="802" spans="1:1" ht="15.75" customHeight="1" x14ac:dyDescent="0.25">
      <c r="A802" s="36"/>
    </row>
    <row r="803" spans="1:1" ht="15.75" customHeight="1" x14ac:dyDescent="0.25">
      <c r="A803" s="36"/>
    </row>
    <row r="804" spans="1:1" ht="15.75" customHeight="1" x14ac:dyDescent="0.25">
      <c r="A804" s="36"/>
    </row>
    <row r="805" spans="1:1" ht="15.75" customHeight="1" x14ac:dyDescent="0.25">
      <c r="A805" s="36"/>
    </row>
    <row r="806" spans="1:1" ht="15.75" customHeight="1" x14ac:dyDescent="0.25">
      <c r="A806" s="36"/>
    </row>
    <row r="807" spans="1:1" ht="15.75" customHeight="1" x14ac:dyDescent="0.25">
      <c r="A807" s="36"/>
    </row>
    <row r="808" spans="1:1" ht="15.75" customHeight="1" x14ac:dyDescent="0.25">
      <c r="A808" s="36"/>
    </row>
    <row r="809" spans="1:1" ht="15.75" customHeight="1" x14ac:dyDescent="0.25">
      <c r="A809" s="36"/>
    </row>
    <row r="810" spans="1:1" ht="15.75" customHeight="1" x14ac:dyDescent="0.25">
      <c r="A810" s="36"/>
    </row>
    <row r="811" spans="1:1" ht="15.75" customHeight="1" x14ac:dyDescent="0.25">
      <c r="A811" s="36"/>
    </row>
    <row r="812" spans="1:1" ht="15.75" customHeight="1" x14ac:dyDescent="0.25">
      <c r="A812" s="36"/>
    </row>
    <row r="813" spans="1:1" ht="15.75" customHeight="1" x14ac:dyDescent="0.25">
      <c r="A813" s="36"/>
    </row>
    <row r="814" spans="1:1" ht="15.75" customHeight="1" x14ac:dyDescent="0.25">
      <c r="A814" s="36"/>
    </row>
    <row r="815" spans="1:1" ht="15.75" customHeight="1" x14ac:dyDescent="0.25">
      <c r="A815" s="36"/>
    </row>
    <row r="816" spans="1:1" ht="15.75" customHeight="1" x14ac:dyDescent="0.25">
      <c r="A816" s="36"/>
    </row>
    <row r="817" spans="1:1" ht="15.75" customHeight="1" x14ac:dyDescent="0.25">
      <c r="A817" s="36"/>
    </row>
    <row r="818" spans="1:1" ht="15.75" customHeight="1" x14ac:dyDescent="0.25">
      <c r="A818" s="36"/>
    </row>
    <row r="819" spans="1:1" ht="15.75" customHeight="1" x14ac:dyDescent="0.25">
      <c r="A819" s="36"/>
    </row>
    <row r="820" spans="1:1" ht="15.75" customHeight="1" x14ac:dyDescent="0.25">
      <c r="A820" s="36"/>
    </row>
    <row r="821" spans="1:1" ht="15.75" customHeight="1" x14ac:dyDescent="0.25">
      <c r="A821" s="36"/>
    </row>
    <row r="822" spans="1:1" ht="15.75" customHeight="1" x14ac:dyDescent="0.25">
      <c r="A822" s="36"/>
    </row>
    <row r="823" spans="1:1" ht="15.75" customHeight="1" x14ac:dyDescent="0.25">
      <c r="A823" s="36"/>
    </row>
    <row r="824" spans="1:1" ht="15.75" customHeight="1" x14ac:dyDescent="0.25">
      <c r="A824" s="36"/>
    </row>
    <row r="825" spans="1:1" ht="15.75" customHeight="1" x14ac:dyDescent="0.25">
      <c r="A825" s="36"/>
    </row>
    <row r="826" spans="1:1" ht="15.75" customHeight="1" x14ac:dyDescent="0.25">
      <c r="A826" s="36"/>
    </row>
    <row r="827" spans="1:1" ht="15.75" customHeight="1" x14ac:dyDescent="0.25">
      <c r="A827" s="36"/>
    </row>
    <row r="828" spans="1:1" ht="15.75" customHeight="1" x14ac:dyDescent="0.25">
      <c r="A828" s="36"/>
    </row>
    <row r="829" spans="1:1" ht="15.75" customHeight="1" x14ac:dyDescent="0.25">
      <c r="A829" s="36"/>
    </row>
    <row r="830" spans="1:1" ht="15.75" customHeight="1" x14ac:dyDescent="0.25">
      <c r="A830" s="36"/>
    </row>
    <row r="831" spans="1:1" ht="15.75" customHeight="1" x14ac:dyDescent="0.25">
      <c r="A831" s="36"/>
    </row>
    <row r="832" spans="1:1" ht="15.75" customHeight="1" x14ac:dyDescent="0.25">
      <c r="A832" s="36"/>
    </row>
    <row r="833" spans="1:1" ht="15.75" customHeight="1" x14ac:dyDescent="0.25">
      <c r="A833" s="36"/>
    </row>
    <row r="834" spans="1:1" ht="15.75" customHeight="1" x14ac:dyDescent="0.25">
      <c r="A834" s="36"/>
    </row>
    <row r="835" spans="1:1" ht="15.75" customHeight="1" x14ac:dyDescent="0.25">
      <c r="A835" s="36"/>
    </row>
    <row r="836" spans="1:1" ht="15.75" customHeight="1" x14ac:dyDescent="0.25">
      <c r="A836" s="36"/>
    </row>
    <row r="837" spans="1:1" ht="15.75" customHeight="1" x14ac:dyDescent="0.25">
      <c r="A837" s="36"/>
    </row>
    <row r="838" spans="1:1" ht="15.75" customHeight="1" x14ac:dyDescent="0.25">
      <c r="A838" s="36"/>
    </row>
    <row r="839" spans="1:1" ht="15.75" customHeight="1" x14ac:dyDescent="0.25">
      <c r="A839" s="36"/>
    </row>
    <row r="840" spans="1:1" ht="15.75" customHeight="1" x14ac:dyDescent="0.25">
      <c r="A840" s="36"/>
    </row>
    <row r="841" spans="1:1" ht="15.75" customHeight="1" x14ac:dyDescent="0.25">
      <c r="A841" s="36"/>
    </row>
    <row r="842" spans="1:1" ht="15.75" customHeight="1" x14ac:dyDescent="0.25">
      <c r="A842" s="36"/>
    </row>
    <row r="843" spans="1:1" ht="15.75" customHeight="1" x14ac:dyDescent="0.25">
      <c r="A843" s="36"/>
    </row>
    <row r="844" spans="1:1" ht="15.75" customHeight="1" x14ac:dyDescent="0.25">
      <c r="A844" s="36"/>
    </row>
    <row r="845" spans="1:1" ht="15.75" customHeight="1" x14ac:dyDescent="0.25">
      <c r="A845" s="36"/>
    </row>
    <row r="846" spans="1:1" ht="15.75" customHeight="1" x14ac:dyDescent="0.25">
      <c r="A846" s="36"/>
    </row>
    <row r="847" spans="1:1" ht="15.75" customHeight="1" x14ac:dyDescent="0.25">
      <c r="A847" s="36"/>
    </row>
    <row r="848" spans="1:1" ht="15.75" customHeight="1" x14ac:dyDescent="0.25">
      <c r="A848" s="36"/>
    </row>
    <row r="849" spans="1:1" ht="15.75" customHeight="1" x14ac:dyDescent="0.25">
      <c r="A849" s="36"/>
    </row>
    <row r="850" spans="1:1" ht="15.75" customHeight="1" x14ac:dyDescent="0.25">
      <c r="A850" s="36"/>
    </row>
    <row r="851" spans="1:1" ht="15.75" customHeight="1" x14ac:dyDescent="0.25">
      <c r="A851" s="36"/>
    </row>
    <row r="852" spans="1:1" ht="15.75" customHeight="1" x14ac:dyDescent="0.25">
      <c r="A852" s="36"/>
    </row>
    <row r="853" spans="1:1" ht="15.75" customHeight="1" x14ac:dyDescent="0.25">
      <c r="A853" s="36"/>
    </row>
    <row r="854" spans="1:1" ht="15.75" customHeight="1" x14ac:dyDescent="0.25">
      <c r="A854" s="36"/>
    </row>
    <row r="855" spans="1:1" ht="15.75" customHeight="1" x14ac:dyDescent="0.25">
      <c r="A855" s="36"/>
    </row>
    <row r="856" spans="1:1" ht="15.75" customHeight="1" x14ac:dyDescent="0.25">
      <c r="A856" s="36"/>
    </row>
    <row r="857" spans="1:1" ht="15.75" customHeight="1" x14ac:dyDescent="0.25">
      <c r="A857" s="36"/>
    </row>
    <row r="858" spans="1:1" ht="15.75" customHeight="1" x14ac:dyDescent="0.25">
      <c r="A858" s="36"/>
    </row>
    <row r="859" spans="1:1" ht="15.75" customHeight="1" x14ac:dyDescent="0.25">
      <c r="A859" s="36"/>
    </row>
    <row r="860" spans="1:1" ht="15.75" customHeight="1" x14ac:dyDescent="0.25">
      <c r="A860" s="36"/>
    </row>
    <row r="861" spans="1:1" ht="15.75" customHeight="1" x14ac:dyDescent="0.25">
      <c r="A861" s="36"/>
    </row>
    <row r="862" spans="1:1" ht="15.75" customHeight="1" x14ac:dyDescent="0.25">
      <c r="A862" s="36"/>
    </row>
    <row r="863" spans="1:1" ht="15.75" customHeight="1" x14ac:dyDescent="0.25">
      <c r="A863" s="36"/>
    </row>
    <row r="864" spans="1:1" ht="15.75" customHeight="1" x14ac:dyDescent="0.25">
      <c r="A864" s="36"/>
    </row>
    <row r="865" spans="1:1" ht="15.75" customHeight="1" x14ac:dyDescent="0.25">
      <c r="A865" s="36"/>
    </row>
    <row r="866" spans="1:1" ht="15.75" customHeight="1" x14ac:dyDescent="0.25">
      <c r="A866" s="36"/>
    </row>
    <row r="867" spans="1:1" ht="15.75" customHeight="1" x14ac:dyDescent="0.25">
      <c r="A867" s="36"/>
    </row>
    <row r="868" spans="1:1" ht="15.75" customHeight="1" x14ac:dyDescent="0.25">
      <c r="A868" s="36"/>
    </row>
    <row r="869" spans="1:1" ht="15.75" customHeight="1" x14ac:dyDescent="0.25">
      <c r="A869" s="36"/>
    </row>
    <row r="870" spans="1:1" ht="15.75" customHeight="1" x14ac:dyDescent="0.25">
      <c r="A870" s="36"/>
    </row>
    <row r="871" spans="1:1" ht="15.75" customHeight="1" x14ac:dyDescent="0.25">
      <c r="A871" s="36"/>
    </row>
    <row r="872" spans="1:1" ht="15.75" customHeight="1" x14ac:dyDescent="0.25">
      <c r="A872" s="36"/>
    </row>
    <row r="873" spans="1:1" ht="15.75" customHeight="1" x14ac:dyDescent="0.25">
      <c r="A873" s="36"/>
    </row>
    <row r="874" spans="1:1" ht="15.75" customHeight="1" x14ac:dyDescent="0.25">
      <c r="A874" s="36"/>
    </row>
    <row r="875" spans="1:1" ht="15.75" customHeight="1" x14ac:dyDescent="0.25">
      <c r="A875" s="36"/>
    </row>
    <row r="876" spans="1:1" ht="15.75" customHeight="1" x14ac:dyDescent="0.25">
      <c r="A876" s="36"/>
    </row>
    <row r="877" spans="1:1" ht="15.75" customHeight="1" x14ac:dyDescent="0.25">
      <c r="A877" s="36"/>
    </row>
    <row r="878" spans="1:1" ht="15.75" customHeight="1" x14ac:dyDescent="0.25">
      <c r="A878" s="36"/>
    </row>
    <row r="879" spans="1:1" ht="15.75" customHeight="1" x14ac:dyDescent="0.25">
      <c r="A879" s="36"/>
    </row>
    <row r="880" spans="1:1" ht="15.75" customHeight="1" x14ac:dyDescent="0.25">
      <c r="A880" s="36"/>
    </row>
    <row r="881" spans="1:1" ht="15.75" customHeight="1" x14ac:dyDescent="0.25">
      <c r="A881" s="36"/>
    </row>
    <row r="882" spans="1:1" ht="15.75" customHeight="1" x14ac:dyDescent="0.25">
      <c r="A882" s="36"/>
    </row>
    <row r="883" spans="1:1" ht="15.75" customHeight="1" x14ac:dyDescent="0.25">
      <c r="A883" s="36"/>
    </row>
    <row r="884" spans="1:1" ht="15.75" customHeight="1" x14ac:dyDescent="0.25">
      <c r="A884" s="36"/>
    </row>
    <row r="885" spans="1:1" ht="15.75" customHeight="1" x14ac:dyDescent="0.25">
      <c r="A885" s="36"/>
    </row>
    <row r="886" spans="1:1" ht="15.75" customHeight="1" x14ac:dyDescent="0.25">
      <c r="A886" s="36"/>
    </row>
    <row r="887" spans="1:1" ht="15.75" customHeight="1" x14ac:dyDescent="0.25">
      <c r="A887" s="36"/>
    </row>
    <row r="888" spans="1:1" ht="15.75" customHeight="1" x14ac:dyDescent="0.25">
      <c r="A888" s="36"/>
    </row>
    <row r="889" spans="1:1" ht="15.75" customHeight="1" x14ac:dyDescent="0.25">
      <c r="A889" s="36"/>
    </row>
    <row r="890" spans="1:1" ht="15.75" customHeight="1" x14ac:dyDescent="0.25">
      <c r="A890" s="36"/>
    </row>
    <row r="891" spans="1:1" ht="15.75" customHeight="1" x14ac:dyDescent="0.25">
      <c r="A891" s="36"/>
    </row>
    <row r="892" spans="1:1" ht="15.75" customHeight="1" x14ac:dyDescent="0.25">
      <c r="A892" s="36"/>
    </row>
    <row r="893" spans="1:1" ht="15.75" customHeight="1" x14ac:dyDescent="0.25">
      <c r="A893" s="36"/>
    </row>
    <row r="894" spans="1:1" ht="15.75" customHeight="1" x14ac:dyDescent="0.25">
      <c r="A894" s="36"/>
    </row>
    <row r="895" spans="1:1" ht="15.75" customHeight="1" x14ac:dyDescent="0.25">
      <c r="A895" s="36"/>
    </row>
    <row r="896" spans="1:1" ht="15.75" customHeight="1" x14ac:dyDescent="0.25">
      <c r="A896" s="36"/>
    </row>
    <row r="897" spans="1:1" ht="15.75" customHeight="1" x14ac:dyDescent="0.25">
      <c r="A897" s="36"/>
    </row>
    <row r="898" spans="1:1" ht="15.75" customHeight="1" x14ac:dyDescent="0.25">
      <c r="A898" s="36"/>
    </row>
    <row r="899" spans="1:1" ht="15.75" customHeight="1" x14ac:dyDescent="0.25">
      <c r="A899" s="36"/>
    </row>
    <row r="900" spans="1:1" ht="15.75" customHeight="1" x14ac:dyDescent="0.25">
      <c r="A900" s="36"/>
    </row>
    <row r="901" spans="1:1" ht="15.75" customHeight="1" x14ac:dyDescent="0.25">
      <c r="A901" s="36"/>
    </row>
    <row r="902" spans="1:1" ht="15.75" customHeight="1" x14ac:dyDescent="0.25">
      <c r="A902" s="36"/>
    </row>
    <row r="903" spans="1:1" ht="15.75" customHeight="1" x14ac:dyDescent="0.25">
      <c r="A903" s="36"/>
    </row>
    <row r="904" spans="1:1" ht="15.75" customHeight="1" x14ac:dyDescent="0.25">
      <c r="A904" s="36"/>
    </row>
    <row r="905" spans="1:1" ht="15.75" customHeight="1" x14ac:dyDescent="0.25">
      <c r="A905" s="36"/>
    </row>
    <row r="906" spans="1:1" ht="15.75" customHeight="1" x14ac:dyDescent="0.25">
      <c r="A906" s="36"/>
    </row>
    <row r="907" spans="1:1" ht="15.75" customHeight="1" x14ac:dyDescent="0.25">
      <c r="A907" s="36"/>
    </row>
    <row r="908" spans="1:1" ht="15.75" customHeight="1" x14ac:dyDescent="0.25">
      <c r="A908" s="36"/>
    </row>
    <row r="909" spans="1:1" ht="15.75" customHeight="1" x14ac:dyDescent="0.25">
      <c r="A909" s="36"/>
    </row>
    <row r="910" spans="1:1" ht="15.75" customHeight="1" x14ac:dyDescent="0.25">
      <c r="A910" s="36"/>
    </row>
    <row r="911" spans="1:1" ht="15.75" customHeight="1" x14ac:dyDescent="0.25">
      <c r="A911" s="36"/>
    </row>
    <row r="912" spans="1:1" ht="15.75" customHeight="1" x14ac:dyDescent="0.25">
      <c r="A912" s="36"/>
    </row>
    <row r="913" spans="1:1" ht="15.75" customHeight="1" x14ac:dyDescent="0.25">
      <c r="A913" s="36"/>
    </row>
    <row r="914" spans="1:1" ht="15.75" customHeight="1" x14ac:dyDescent="0.25">
      <c r="A914" s="36"/>
    </row>
    <row r="915" spans="1:1" ht="15.75" customHeight="1" x14ac:dyDescent="0.25">
      <c r="A915" s="36"/>
    </row>
    <row r="916" spans="1:1" ht="15.75" customHeight="1" x14ac:dyDescent="0.25">
      <c r="A916" s="36"/>
    </row>
    <row r="917" spans="1:1" ht="15.75" customHeight="1" x14ac:dyDescent="0.25">
      <c r="A917" s="36"/>
    </row>
    <row r="918" spans="1:1" ht="15.75" customHeight="1" x14ac:dyDescent="0.25">
      <c r="A918" s="36"/>
    </row>
    <row r="919" spans="1:1" ht="15.75" customHeight="1" x14ac:dyDescent="0.25">
      <c r="A919" s="36"/>
    </row>
    <row r="920" spans="1:1" ht="15.75" customHeight="1" x14ac:dyDescent="0.25">
      <c r="A920" s="36"/>
    </row>
    <row r="921" spans="1:1" ht="15.75" customHeight="1" x14ac:dyDescent="0.25">
      <c r="A921" s="36"/>
    </row>
    <row r="922" spans="1:1" ht="15.75" customHeight="1" x14ac:dyDescent="0.25">
      <c r="A922" s="36"/>
    </row>
    <row r="923" spans="1:1" ht="15.75" customHeight="1" x14ac:dyDescent="0.25">
      <c r="A923" s="36"/>
    </row>
    <row r="924" spans="1:1" ht="15.75" customHeight="1" x14ac:dyDescent="0.25">
      <c r="A924" s="36"/>
    </row>
    <row r="925" spans="1:1" ht="15.75" customHeight="1" x14ac:dyDescent="0.25">
      <c r="A925" s="36"/>
    </row>
    <row r="926" spans="1:1" ht="15.75" customHeight="1" x14ac:dyDescent="0.25">
      <c r="A926" s="36"/>
    </row>
    <row r="927" spans="1:1" ht="15.75" customHeight="1" x14ac:dyDescent="0.25">
      <c r="A927" s="36"/>
    </row>
    <row r="928" spans="1:1" ht="15.75" customHeight="1" x14ac:dyDescent="0.25">
      <c r="A928" s="36"/>
    </row>
    <row r="929" spans="1:1" ht="15.75" customHeight="1" x14ac:dyDescent="0.25">
      <c r="A929" s="36"/>
    </row>
    <row r="930" spans="1:1" ht="15.75" customHeight="1" x14ac:dyDescent="0.25">
      <c r="A930" s="36"/>
    </row>
    <row r="931" spans="1:1" ht="15.75" customHeight="1" x14ac:dyDescent="0.25">
      <c r="A931" s="36"/>
    </row>
    <row r="932" spans="1:1" ht="15.75" customHeight="1" x14ac:dyDescent="0.25">
      <c r="A932" s="36"/>
    </row>
    <row r="933" spans="1:1" ht="15.75" customHeight="1" x14ac:dyDescent="0.25">
      <c r="A933" s="36"/>
    </row>
    <row r="934" spans="1:1" ht="15.75" customHeight="1" x14ac:dyDescent="0.25">
      <c r="A934" s="36"/>
    </row>
    <row r="935" spans="1:1" ht="15.75" customHeight="1" x14ac:dyDescent="0.25">
      <c r="A935" s="36"/>
    </row>
    <row r="936" spans="1:1" ht="15.75" customHeight="1" x14ac:dyDescent="0.25">
      <c r="A936" s="36"/>
    </row>
    <row r="937" spans="1:1" ht="15.75" customHeight="1" x14ac:dyDescent="0.25">
      <c r="A937" s="36"/>
    </row>
    <row r="938" spans="1:1" ht="15.75" customHeight="1" x14ac:dyDescent="0.25">
      <c r="A938" s="36"/>
    </row>
    <row r="939" spans="1:1" ht="15.75" customHeight="1" x14ac:dyDescent="0.25">
      <c r="A939" s="36"/>
    </row>
    <row r="940" spans="1:1" ht="15.75" customHeight="1" x14ac:dyDescent="0.25">
      <c r="A940" s="36"/>
    </row>
    <row r="941" spans="1:1" ht="15.75" customHeight="1" x14ac:dyDescent="0.25">
      <c r="A941" s="36"/>
    </row>
    <row r="942" spans="1:1" ht="15.75" customHeight="1" x14ac:dyDescent="0.25">
      <c r="A942" s="36"/>
    </row>
    <row r="943" spans="1:1" ht="15.75" customHeight="1" x14ac:dyDescent="0.25">
      <c r="A943" s="36"/>
    </row>
    <row r="944" spans="1:1" ht="15.75" customHeight="1" x14ac:dyDescent="0.25">
      <c r="A944" s="36"/>
    </row>
    <row r="945" spans="1:1" ht="15.75" customHeight="1" x14ac:dyDescent="0.25">
      <c r="A945" s="36"/>
    </row>
    <row r="946" spans="1:1" ht="15.75" customHeight="1" x14ac:dyDescent="0.25">
      <c r="A946" s="36"/>
    </row>
    <row r="947" spans="1:1" ht="15.75" customHeight="1" x14ac:dyDescent="0.25">
      <c r="A947" s="36"/>
    </row>
    <row r="948" spans="1:1" ht="15.75" customHeight="1" x14ac:dyDescent="0.25">
      <c r="A948" s="36"/>
    </row>
    <row r="949" spans="1:1" ht="15.75" customHeight="1" x14ac:dyDescent="0.25">
      <c r="A949" s="36"/>
    </row>
    <row r="950" spans="1:1" ht="15.75" customHeight="1" x14ac:dyDescent="0.25">
      <c r="A950" s="36"/>
    </row>
    <row r="951" spans="1:1" ht="15.75" customHeight="1" x14ac:dyDescent="0.25">
      <c r="A951" s="36"/>
    </row>
    <row r="952" spans="1:1" ht="15.75" customHeight="1" x14ac:dyDescent="0.25">
      <c r="A952" s="36"/>
    </row>
    <row r="953" spans="1:1" ht="15.75" customHeight="1" x14ac:dyDescent="0.25">
      <c r="A953" s="36"/>
    </row>
    <row r="954" spans="1:1" ht="15.75" customHeight="1" x14ac:dyDescent="0.25">
      <c r="A954" s="36"/>
    </row>
    <row r="955" spans="1:1" ht="15.75" customHeight="1" x14ac:dyDescent="0.25">
      <c r="A955" s="36"/>
    </row>
    <row r="956" spans="1:1" ht="15.75" customHeight="1" x14ac:dyDescent="0.25">
      <c r="A956" s="36"/>
    </row>
    <row r="957" spans="1:1" ht="15.75" customHeight="1" x14ac:dyDescent="0.25">
      <c r="A957" s="36"/>
    </row>
    <row r="958" spans="1:1" ht="15.75" customHeight="1" x14ac:dyDescent="0.25">
      <c r="A958" s="36"/>
    </row>
    <row r="959" spans="1:1" ht="15.75" customHeight="1" x14ac:dyDescent="0.25">
      <c r="A959" s="36"/>
    </row>
    <row r="960" spans="1:1" ht="15.75" customHeight="1" x14ac:dyDescent="0.25">
      <c r="A960" s="36"/>
    </row>
    <row r="961" spans="1:1" ht="15.75" customHeight="1" x14ac:dyDescent="0.25">
      <c r="A961" s="36"/>
    </row>
    <row r="962" spans="1:1" ht="15.75" customHeight="1" x14ac:dyDescent="0.25">
      <c r="A962" s="36"/>
    </row>
    <row r="963" spans="1:1" ht="15.75" customHeight="1" x14ac:dyDescent="0.25">
      <c r="A963" s="36"/>
    </row>
    <row r="964" spans="1:1" ht="15.75" customHeight="1" x14ac:dyDescent="0.25">
      <c r="A964" s="36"/>
    </row>
    <row r="965" spans="1:1" ht="15.75" customHeight="1" x14ac:dyDescent="0.25">
      <c r="A965" s="36"/>
    </row>
    <row r="966" spans="1:1" ht="15.75" customHeight="1" x14ac:dyDescent="0.25">
      <c r="A966" s="36"/>
    </row>
    <row r="967" spans="1:1" ht="15.75" customHeight="1" x14ac:dyDescent="0.25">
      <c r="A967" s="36"/>
    </row>
    <row r="968" spans="1:1" ht="15.75" customHeight="1" x14ac:dyDescent="0.25">
      <c r="A968" s="36"/>
    </row>
    <row r="969" spans="1:1" ht="15.75" customHeight="1" x14ac:dyDescent="0.25">
      <c r="A969" s="36"/>
    </row>
    <row r="970" spans="1:1" ht="15.75" customHeight="1" x14ac:dyDescent="0.25">
      <c r="A970" s="36"/>
    </row>
    <row r="971" spans="1:1" ht="15.75" customHeight="1" x14ac:dyDescent="0.25">
      <c r="A971" s="36"/>
    </row>
    <row r="972" spans="1:1" ht="15.75" customHeight="1" x14ac:dyDescent="0.25">
      <c r="A972" s="36"/>
    </row>
    <row r="973" spans="1:1" ht="15.75" customHeight="1" x14ac:dyDescent="0.25">
      <c r="A973" s="36"/>
    </row>
    <row r="974" spans="1:1" ht="15.75" customHeight="1" x14ac:dyDescent="0.25">
      <c r="A974" s="36"/>
    </row>
    <row r="975" spans="1:1" ht="15.75" customHeight="1" x14ac:dyDescent="0.25">
      <c r="A975" s="36"/>
    </row>
    <row r="976" spans="1:1" ht="15.75" customHeight="1" x14ac:dyDescent="0.25">
      <c r="A976" s="36"/>
    </row>
    <row r="977" spans="1:1" ht="15.75" customHeight="1" x14ac:dyDescent="0.25">
      <c r="A977" s="36"/>
    </row>
    <row r="978" spans="1:1" ht="15.75" customHeight="1" x14ac:dyDescent="0.25">
      <c r="A978" s="36"/>
    </row>
    <row r="979" spans="1:1" ht="15.75" customHeight="1" x14ac:dyDescent="0.25">
      <c r="A979" s="36"/>
    </row>
    <row r="980" spans="1:1" ht="15.75" customHeight="1" x14ac:dyDescent="0.25">
      <c r="A980" s="36"/>
    </row>
    <row r="981" spans="1:1" ht="15.75" customHeight="1" x14ac:dyDescent="0.25">
      <c r="A981" s="36"/>
    </row>
    <row r="982" spans="1:1" ht="15.75" customHeight="1" x14ac:dyDescent="0.25">
      <c r="A982" s="36"/>
    </row>
    <row r="983" spans="1:1" ht="15.75" customHeight="1" x14ac:dyDescent="0.25">
      <c r="A983" s="36"/>
    </row>
    <row r="984" spans="1:1" ht="15.75" customHeight="1" x14ac:dyDescent="0.25">
      <c r="A984" s="36"/>
    </row>
    <row r="985" spans="1:1" ht="15.75" customHeight="1" x14ac:dyDescent="0.25">
      <c r="A985" s="36"/>
    </row>
    <row r="986" spans="1:1" ht="15.75" customHeight="1" x14ac:dyDescent="0.25">
      <c r="A986" s="36"/>
    </row>
    <row r="987" spans="1:1" ht="15.75" customHeight="1" x14ac:dyDescent="0.25">
      <c r="A987" s="36"/>
    </row>
    <row r="988" spans="1:1" ht="15.75" customHeight="1" x14ac:dyDescent="0.25">
      <c r="A988" s="36"/>
    </row>
    <row r="989" spans="1:1" ht="15.75" customHeight="1" x14ac:dyDescent="0.25">
      <c r="A989" s="36"/>
    </row>
    <row r="990" spans="1:1" ht="15.75" customHeight="1" x14ac:dyDescent="0.25">
      <c r="A990" s="36"/>
    </row>
    <row r="991" spans="1:1" ht="15.75" customHeight="1" x14ac:dyDescent="0.25">
      <c r="A991" s="36"/>
    </row>
    <row r="992" spans="1:1" ht="15.75" customHeight="1" x14ac:dyDescent="0.25">
      <c r="A992" s="36"/>
    </row>
    <row r="993" spans="1:1" ht="15.75" customHeight="1" x14ac:dyDescent="0.25">
      <c r="A993" s="36"/>
    </row>
    <row r="994" spans="1:1" ht="15.75" customHeight="1" x14ac:dyDescent="0.25">
      <c r="A994" s="36"/>
    </row>
    <row r="995" spans="1:1" ht="15.75" customHeight="1" x14ac:dyDescent="0.25">
      <c r="A995" s="36"/>
    </row>
    <row r="996" spans="1:1" ht="15.75" customHeight="1" x14ac:dyDescent="0.25">
      <c r="A996" s="36"/>
    </row>
    <row r="997" spans="1:1" ht="15.75" customHeight="1" x14ac:dyDescent="0.25">
      <c r="A997" s="36"/>
    </row>
    <row r="998" spans="1:1" ht="15.75" customHeight="1" x14ac:dyDescent="0.25">
      <c r="A998" s="36"/>
    </row>
    <row r="999" spans="1:1" ht="15.75" customHeight="1" x14ac:dyDescent="0.25">
      <c r="A999" s="36"/>
    </row>
    <row r="1000" spans="1:1" ht="15.75" customHeight="1" x14ac:dyDescent="0.25">
      <c r="A1000" s="36"/>
    </row>
  </sheetData>
  <pageMargins left="0.70866141732283472" right="0.70866141732283472" top="0.74803149606299213" bottom="0.74803149606299213" header="0" footer="0"/>
  <pageSetup paperSize="9" scale="10" orientation="landscape" r:id="rId1"/>
  <headerFooter>
    <oddHeader>&amp;R&amp;F  &amp;A</oddHeader>
    <oddFooter>&amp;L© 2016&amp;CPage &amp;P of</oddFooter>
  </headerFooter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4F002F8CDD7ACF40A6C36B1C9FA62C55" ma:contentTypeVersion="14" ma:contentTypeDescription="Create a new document." ma:contentTypeScope="" ma:versionID="6c89911dbbba69f85380b0cbe19a7a97">
  <xsd:schema xmlns:xsd="http://www.w3.org/2001/XMLSchema" xmlns:xs="http://www.w3.org/2001/XMLSchema" xmlns:p="http://schemas.microsoft.com/office/2006/metadata/properties" xmlns:ns2="69eded41-6c5d-4718-b7b7-dbfd1652bccf" xmlns:ns3="6ea4884f-dd23-4a9e-9674-e0962577458b" targetNamespace="http://schemas.microsoft.com/office/2006/metadata/properties" ma:root="true" ma:fieldsID="293c7e17b22c7855182087285b20e1b3" ns2:_="" ns3:_="">
    <xsd:import namespace="69eded41-6c5d-4718-b7b7-dbfd1652bccf"/>
    <xsd:import namespace="6ea4884f-dd23-4a9e-9674-e0962577458b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DateTaken" minOccurs="0"/>
                <xsd:element ref="ns2:MediaLengthInSeconds" minOccurs="0"/>
                <xsd:element ref="ns3:SharedWithUsers" minOccurs="0"/>
                <xsd:element ref="ns3:SharedWithDetails" minOccurs="0"/>
                <xsd:element ref="ns2:lcf76f155ced4ddcb4097134ff3c332f" minOccurs="0"/>
                <xsd:element ref="ns3:TaxCatchAll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ObjectDetectorVersions" minOccurs="0"/>
                <xsd:element ref="ns2:MediaServiceSearchPropertie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69eded41-6c5d-4718-b7b7-dbfd1652bccf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DateTaken" ma:index="10" nillable="true" ma:displayName="MediaServiceDateTaken" ma:hidden="true" ma:indexed="true" ma:internalName="MediaServiceDateTaken" ma:readOnly="true">
      <xsd:simpleType>
        <xsd:restriction base="dms:Text"/>
      </xsd:simpleType>
    </xsd:element>
    <xsd:element name="MediaLengthInSeconds" ma:index="11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5" nillable="true" ma:taxonomy="true" ma:internalName="lcf76f155ced4ddcb4097134ff3c332f" ma:taxonomyFieldName="MediaServiceImageTags" ma:displayName="Image Tags" ma:readOnly="false" ma:fieldId="{5cf76f15-5ced-4ddc-b409-7134ff3c332f}" ma:taxonomyMulti="true" ma:sspId="c32ff089-c713-41da-a7f8-7725fa36ebb8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GenerationTime" ma:index="17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8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9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ObjectDetectorVersions" ma:index="20" nillable="true" ma:displayName="MediaServiceObjectDetectorVersions" ma:description="" ma:hidden="true" ma:indexed="true" ma:internalName="MediaServiceObjectDetectorVersions" ma:readOnly="true">
      <xsd:simpleType>
        <xsd:restriction base="dms:Text"/>
      </xsd:simple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6ea4884f-dd23-4a9e-9674-e0962577458b" elementFormDefault="qualified">
    <xsd:import namespace="http://schemas.microsoft.com/office/2006/documentManagement/types"/>
    <xsd:import namespace="http://schemas.microsoft.com/office/infopath/2007/PartnerControls"/>
    <xsd:element name="SharedWithUsers" ma:index="1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  <xsd:element name="TaxCatchAll" ma:index="16" nillable="true" ma:displayName="Taxonomy Catch All Column" ma:hidden="true" ma:list="{797a576b-233c-4f6a-bc99-79689ae6a87f}" ma:internalName="TaxCatchAll" ma:showField="CatchAllData" ma:web="6ea4884f-dd23-4a9e-9674-e0962577458b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lcf76f155ced4ddcb4097134ff3c332f xmlns="69eded41-6c5d-4718-b7b7-dbfd1652bccf">
      <Terms xmlns="http://schemas.microsoft.com/office/infopath/2007/PartnerControls"/>
    </lcf76f155ced4ddcb4097134ff3c332f>
    <TaxCatchAll xmlns="6ea4884f-dd23-4a9e-9674-e0962577458b" xsi:nil="true"/>
  </documentManagement>
</p:properties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0324C938-DC16-4ECA-9448-475ACD033FA9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69eded41-6c5d-4718-b7b7-dbfd1652bccf"/>
    <ds:schemaRef ds:uri="6ea4884f-dd23-4a9e-9674-e0962577458b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schemas.openxmlformats.org/officeDocument/2006/customXml" ds:itemID="{9B8203A9-2639-461B-AA8A-803FF057F3C2}">
  <ds:schemaRefs>
    <ds:schemaRef ds:uri="http://schemas.microsoft.com/office/2006/metadata/properties"/>
    <ds:schemaRef ds:uri="http://schemas.microsoft.com/office/infopath/2007/PartnerControls"/>
    <ds:schemaRef ds:uri="69eded41-6c5d-4718-b7b7-dbfd1652bccf"/>
    <ds:schemaRef ds:uri="6ea4884f-dd23-4a9e-9674-e0962577458b"/>
  </ds:schemaRefs>
</ds:datastoreItem>
</file>

<file path=customXml/itemProps3.xml><?xml version="1.0" encoding="utf-8"?>
<ds:datastoreItem xmlns:ds="http://schemas.openxmlformats.org/officeDocument/2006/customXml" ds:itemID="{4120BDEA-458C-42A8-AE59-2332924A9633}">
  <ds:schemaRefs>
    <ds:schemaRef ds:uri="http://schemas.microsoft.com/sharepoint/v3/contenttype/form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8</vt:i4>
      </vt:variant>
      <vt:variant>
        <vt:lpstr>Named Ranges</vt:lpstr>
      </vt:variant>
      <vt:variant>
        <vt:i4>33</vt:i4>
      </vt:variant>
    </vt:vector>
  </HeadingPairs>
  <TitlesOfParts>
    <vt:vector size="41" baseType="lpstr">
      <vt:lpstr>Welcome</vt:lpstr>
      <vt:lpstr>Info</vt:lpstr>
      <vt:lpstr>Base Case</vt:lpstr>
      <vt:lpstr>Add-on</vt:lpstr>
      <vt:lpstr>Add-on case</vt:lpstr>
      <vt:lpstr>Recap</vt:lpstr>
      <vt:lpstr>Recap case</vt:lpstr>
      <vt:lpstr>Factset codes</vt:lpstr>
      <vt:lpstr>AddonSwitch</vt:lpstr>
      <vt:lpstr>AddonYear</vt:lpstr>
      <vt:lpstr>CircSwitch</vt:lpstr>
      <vt:lpstr>'Factset codes'!COMP_CALENDARIZE_PERCENTAGES</vt:lpstr>
      <vt:lpstr>'Factset codes'!COMP_EQ_VALUE</vt:lpstr>
      <vt:lpstr>'Factset codes'!COMP_EV</vt:lpstr>
      <vt:lpstr>'Factset codes'!Comp_MTR</vt:lpstr>
      <vt:lpstr>'Factset codes'!COMP_SHAREPRICE</vt:lpstr>
      <vt:lpstr>'Factset codes'!EBIT_LTM</vt:lpstr>
      <vt:lpstr>'Factset codes'!EBITDA_LTM</vt:lpstr>
      <vt:lpstr>'Factset codes'!EV_EBIT_CY1</vt:lpstr>
      <vt:lpstr>'Factset codes'!EV_EBIT_CY2</vt:lpstr>
      <vt:lpstr>'Factset codes'!EV_EBIT_CY3</vt:lpstr>
      <vt:lpstr>'Factset codes'!EV_EBIT_CY4</vt:lpstr>
      <vt:lpstr>'Factset codes'!EV_EBIT_LTM</vt:lpstr>
      <vt:lpstr>'Factset codes'!EV_EBITDA_CY1</vt:lpstr>
      <vt:lpstr>'Factset codes'!EV_EBITDA_CY2</vt:lpstr>
      <vt:lpstr>'Factset codes'!EV_EBITDA_CY3</vt:lpstr>
      <vt:lpstr>'Factset codes'!EV_EBITDA_CY4</vt:lpstr>
      <vt:lpstr>'Factset codes'!EV_EBITDA_LMT</vt:lpstr>
      <vt:lpstr>'Factset codes'!EV_REVENUE_CY1</vt:lpstr>
      <vt:lpstr>'Factset codes'!EV_REVENUE_CY2</vt:lpstr>
      <vt:lpstr>'Factset codes'!EV_REVENUE_CY3</vt:lpstr>
      <vt:lpstr>'Factset codes'!EV_REVENUE_CY4</vt:lpstr>
      <vt:lpstr>'Factset codes'!EV_REVENUE_LTM</vt:lpstr>
      <vt:lpstr>'Factset codes'!FCF_LTM</vt:lpstr>
      <vt:lpstr>'Factset codes'!PE_CY1</vt:lpstr>
      <vt:lpstr>'Factset codes'!PE_CY2</vt:lpstr>
      <vt:lpstr>'Factset codes'!PE_CY3</vt:lpstr>
      <vt:lpstr>'Factset codes'!PE_CY4</vt:lpstr>
      <vt:lpstr>RecapSwitch</vt:lpstr>
      <vt:lpstr>RecapYear</vt:lpstr>
      <vt:lpstr>'Factset codes'!SALES_LTM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Alastair Matchett</dc:creator>
  <cp:lastModifiedBy>Oliver Sealey</cp:lastModifiedBy>
  <cp:lastPrinted>2022-05-09T16:07:09Z</cp:lastPrinted>
  <dcterms:created xsi:type="dcterms:W3CDTF">2016-02-03T14:06:14Z</dcterms:created>
  <dcterms:modified xsi:type="dcterms:W3CDTF">2025-12-02T16:47:37Z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=fdsSearchOrder">
    <vt:i4>0</vt:i4>
  </property>
  <property fmtid="{D5CDD505-2E9C-101B-9397-08002B2CF9AE}" pid="3" name="ContentTypeId">
    <vt:lpwstr>0x0101004F002F8CDD7ACF40A6C36B1C9FA62C55</vt:lpwstr>
  </property>
  <property fmtid="{D5CDD505-2E9C-101B-9397-08002B2CF9AE}" pid="4" name="MediaServiceImageTags">
    <vt:lpwstr/>
  </property>
</Properties>
</file>