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phil_sparks_fe_training/Documents/Documents/Phil Sparks own files/MAIN PREP/7020 Private Equity Analysis/"/>
    </mc:Choice>
  </mc:AlternateContent>
  <xr:revisionPtr revIDLastSave="41" documentId="8_{E9543D86-C7F5-43EF-8166-92114F1CCC18}" xr6:coauthVersionLast="47" xr6:coauthVersionMax="47" xr10:uidLastSave="{6656D574-62F9-4450-AB02-06EDDA2E0D0E}"/>
  <bookViews>
    <workbookView xWindow="42360" yWindow="-9530" windowWidth="24320" windowHeight="18310" activeTab="2" xr2:uid="{00000000-000D-0000-FFFF-FFFF00000000}"/>
  </bookViews>
  <sheets>
    <sheet name="Welcome" sheetId="1" r:id="rId1"/>
    <sheet name="Info" sheetId="6" r:id="rId2"/>
    <sheet name="LBO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LBO!$A$1:$S$144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" l="1"/>
  <c r="C43" i="2"/>
  <c r="C41" i="2"/>
  <c r="C37" i="2"/>
  <c r="C36" i="2"/>
  <c r="C27" i="2"/>
  <c r="C21" i="2"/>
  <c r="C20" i="2"/>
  <c r="C17" i="2"/>
  <c r="D43" i="2"/>
  <c r="D37" i="2"/>
  <c r="D36" i="2"/>
  <c r="D27" i="2"/>
  <c r="D20" i="2"/>
  <c r="D21" i="2"/>
  <c r="D17" i="2"/>
  <c r="C70" i="2" l="1"/>
  <c r="C35" i="2" l="1"/>
  <c r="B126" i="2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C76" i="2" l="1"/>
  <c r="C67" i="2" s="1"/>
  <c r="C75" i="2"/>
  <c r="C74" i="2"/>
  <c r="C18" i="2"/>
  <c r="D10" i="2"/>
  <c r="D8" i="2"/>
  <c r="C63" i="2"/>
  <c r="F62" i="2"/>
  <c r="G62" i="2"/>
  <c r="E62" i="2"/>
  <c r="F61" i="2"/>
  <c r="G61" i="2"/>
  <c r="E61" i="2"/>
  <c r="E60" i="2"/>
  <c r="F60" i="2" s="1"/>
  <c r="G60" i="2" s="1"/>
  <c r="H60" i="2" s="1"/>
  <c r="I60" i="2" s="1"/>
  <c r="J60" i="2" s="1"/>
  <c r="K60" i="2" s="1"/>
  <c r="L60" i="2" s="1"/>
  <c r="C66" i="2" l="1"/>
  <c r="C65" i="2"/>
  <c r="E7" i="2" l="1"/>
  <c r="F7" i="2" s="1"/>
  <c r="G7" i="2" s="1"/>
  <c r="A1" i="6"/>
  <c r="A1" i="2"/>
  <c r="A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Weber</author>
    <author>FE</author>
  </authors>
  <commentList>
    <comment ref="D8" authorId="0" shapeId="0" xr:uid="{90BABE5E-C5A6-4817-A527-C2B774DC6F99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Calculated using pro-forma numbers on p12 of half-year 2025 report and p7 of Q4 2024 press release.
</t>
        </r>
      </text>
    </comment>
    <comment ref="D10" authorId="0" shapeId="0" xr:uid="{BBD93520-A49D-4CF2-97A6-E54AC5AE7E59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740*43% adj EBITDA margin per p7 of Q4 press release plus pro-forma EBITDA numbers p12 of half-year 2025 report. 
</t>
        </r>
      </text>
    </comment>
    <comment ref="C22" authorId="1" shapeId="0" xr:uid="{3AE65A6B-4411-4259-87A4-A177E29B566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Nominal value of loans and promissory notes, note 9a p34 half-year 2025 report.</t>
        </r>
      </text>
    </comment>
    <comment ref="C33" authorId="1" shapeId="0" xr:uid="{692C51CA-2068-46E4-B516-D096A961AC72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10-year bund. Source: Felix
</t>
        </r>
      </text>
    </comment>
    <comment ref="C34" authorId="1" shapeId="0" xr:uid="{B8DBB36C-FE46-4B6E-BA2E-C12A2222ACC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European BB 10-year credit spread. Source: Felix</t>
        </r>
      </text>
    </comment>
    <comment ref="C72" authorId="1" shapeId="0" xr:uid="{35761E0B-A568-46FE-A05E-75B1B86549A5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Note 22 p186 Annual Report 2024.</t>
        </r>
      </text>
    </comment>
    <comment ref="C74" authorId="0" shapeId="0" xr:uid="{AD555754-DFEB-451E-9D30-26463432965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Capex from CFS plus new lease assets p164 of 2024 Annual Report. </t>
        </r>
      </text>
    </comment>
    <comment ref="C75" authorId="0" shapeId="0" xr:uid="{3B1FA82E-634A-46BD-A308-20CF8C739C2E}">
      <text>
        <r>
          <rPr>
            <b/>
            <sz val="9"/>
            <color indexed="81"/>
            <rFont val="Tahoma"/>
            <family val="2"/>
          </rPr>
          <t xml:space="preserve">FE:
</t>
        </r>
        <r>
          <rPr>
            <sz val="9"/>
            <color indexed="81"/>
            <rFont val="Tahoma"/>
            <family val="2"/>
          </rPr>
          <t>Stripped out D&amp;A as result of acquisitions - 'PPA depreciation' of 18.6 disclosed in note 3.3 p40 of 2024 Annual Report.</t>
        </r>
      </text>
    </comment>
    <comment ref="B115" authorId="1" shapeId="0" xr:uid="{EDDA7BAA-3A70-49DC-BE16-71A79B30CE7F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For consistency, add back the stock-based comp as the multiple is calc on this basis.</t>
        </r>
      </text>
    </comment>
  </commentList>
</comments>
</file>

<file path=xl/sharedStrings.xml><?xml version="1.0" encoding="utf-8"?>
<sst xmlns="http://schemas.openxmlformats.org/spreadsheetml/2006/main" count="113" uniqueCount="106">
  <si>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</si>
  <si>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</si>
  <si>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</si>
  <si>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</si>
  <si>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</si>
  <si>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Company name</t>
  </si>
  <si>
    <t>Date</t>
  </si>
  <si>
    <t>Currency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</si>
  <si>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</si>
  <si>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</si>
  <si>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</si>
  <si>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</si>
  <si>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</si>
  <si>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</si>
  <si>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</si>
  <si>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</si>
  <si>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</si>
  <si>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</si>
  <si>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Workout Information</t>
  </si>
  <si>
    <t>LBO Case</t>
  </si>
  <si>
    <t>Deal Structuring</t>
  </si>
  <si>
    <t>LBO</t>
  </si>
  <si>
    <t>Short form LBO analysis</t>
  </si>
  <si>
    <t>TeamViewer SE</t>
  </si>
  <si>
    <t>Eur</t>
  </si>
  <si>
    <t>All amounts in Eur millions except per share amounts</t>
  </si>
  <si>
    <t>Consensus forecasts for TeamViewer</t>
  </si>
  <si>
    <t>Revenue</t>
  </si>
  <si>
    <t>Growth</t>
  </si>
  <si>
    <t>EBITDA</t>
  </si>
  <si>
    <t>Margin</t>
  </si>
  <si>
    <t>Acquisition enterprise value</t>
  </si>
  <si>
    <t>1-month VWAP</t>
  </si>
  <si>
    <t>Acquisition premium</t>
  </si>
  <si>
    <t>Basic shares</t>
  </si>
  <si>
    <t>Dilution adjustment - RSUs</t>
  </si>
  <si>
    <t xml:space="preserve">Fully diluted shares out. </t>
  </si>
  <si>
    <t xml:space="preserve">Acquisition equity value </t>
  </si>
  <si>
    <t>Debt - loans</t>
  </si>
  <si>
    <t>Debt - leases</t>
  </si>
  <si>
    <t>Cash and cash equivalents</t>
  </si>
  <si>
    <t>Investment in associates</t>
  </si>
  <si>
    <t>Fees % acquisition enterprise value</t>
  </si>
  <si>
    <t>Tax rate</t>
  </si>
  <si>
    <t xml:space="preserve">Risk free rate </t>
  </si>
  <si>
    <t>Senior debt spread</t>
  </si>
  <si>
    <t>Junior debt spread</t>
  </si>
  <si>
    <t>Senior debt interest rate</t>
  </si>
  <si>
    <t>Junior debt interest rate</t>
  </si>
  <si>
    <t>Maximum debt/EBITDA</t>
  </si>
  <si>
    <t>Senior debt/EBITDA</t>
  </si>
  <si>
    <t>Junior debt/EBITDA</t>
  </si>
  <si>
    <t>Exit Year</t>
  </si>
  <si>
    <t>Exit EV/EBITDA Multiple</t>
  </si>
  <si>
    <t>Entry EV/EBITDA Multiple</t>
  </si>
  <si>
    <t xml:space="preserve">LBO assumptions </t>
  </si>
  <si>
    <t>Sources and uses</t>
  </si>
  <si>
    <t>Forecast assumptions</t>
  </si>
  <si>
    <t>Revenue growth %</t>
  </si>
  <si>
    <t xml:space="preserve">EBITDA margin % </t>
  </si>
  <si>
    <t>Share-based compensation % revenue</t>
  </si>
  <si>
    <t>Operational improvements % LTM revenue</t>
  </si>
  <si>
    <t xml:space="preserve">Capex % D&amp;A </t>
  </si>
  <si>
    <t>Forecast</t>
  </si>
  <si>
    <t>EBITDA before SBC and operational improvements</t>
  </si>
  <si>
    <t>Share-based compensation expense</t>
  </si>
  <si>
    <t>Operational improvements</t>
  </si>
  <si>
    <t>EBITDA after SBC and operational improvements</t>
  </si>
  <si>
    <t>Capex</t>
  </si>
  <si>
    <t>D&amp;A</t>
  </si>
  <si>
    <t>OWC including deferred revenue</t>
  </si>
  <si>
    <t xml:space="preserve">EBIT </t>
  </si>
  <si>
    <t>Interest expense</t>
  </si>
  <si>
    <t>Profit before tax</t>
  </si>
  <si>
    <t>Tax expense</t>
  </si>
  <si>
    <t>Net income</t>
  </si>
  <si>
    <t>Income statement</t>
  </si>
  <si>
    <t>Capex % revenue</t>
  </si>
  <si>
    <t>OWC including deferred revenue % revenue</t>
  </si>
  <si>
    <t>Debt schedule</t>
  </si>
  <si>
    <t>Beginning senior debt</t>
  </si>
  <si>
    <t>Repayment</t>
  </si>
  <si>
    <t>Ending senior debt</t>
  </si>
  <si>
    <t>Beginning junior debt</t>
  </si>
  <si>
    <t>Ending junior debt</t>
  </si>
  <si>
    <t>Debt repaid % total debt</t>
  </si>
  <si>
    <t>Cash available for debt repayment</t>
  </si>
  <si>
    <t>Ending cash</t>
  </si>
  <si>
    <t>Interest rate on cash</t>
  </si>
  <si>
    <t>Interest income</t>
  </si>
  <si>
    <t>Returns to equity holders</t>
  </si>
  <si>
    <t>Net interest expense</t>
  </si>
  <si>
    <t>Year count</t>
  </si>
  <si>
    <t>Enterprise value</t>
  </si>
  <si>
    <t>Net debt</t>
  </si>
  <si>
    <t>Equity value</t>
  </si>
  <si>
    <t>Cash flow to equity holders</t>
  </si>
  <si>
    <t xml:space="preserve">IRR </t>
  </si>
  <si>
    <t>Valuation range</t>
  </si>
  <si>
    <t>IRR</t>
  </si>
  <si>
    <t>Acquisition share price</t>
  </si>
  <si>
    <t>End</t>
  </si>
  <si>
    <t>LTM (pro-forma to Jun'25)</t>
  </si>
  <si>
    <t>Other financial assets</t>
  </si>
  <si>
    <t>Acquisition equity value</t>
  </si>
  <si>
    <t>Acquisition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</si>
</sst>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mmm\'yy&quot;a&quot;"/>
    <numFmt numFmtId="175" formatCode="mmm\'yy&quot;e&quot;"/>
  </numFmts>
  <fonts count="40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27" fillId="2" borderId="0">
      <alignment horizontal="center"/>
    </xf>
  </cellStyleXfs>
  <cellXfs count="73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5" fillId="0" borderId="0" xfId="50" applyNumberFormat="1" applyFill="1">
      <alignment horizontal="left" vertical="center"/>
    </xf>
    <xf numFmtId="171" fontId="0" fillId="0" borderId="0" xfId="0" quotePrefix="1"/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27" fillId="2" borderId="0" xfId="53" applyNumberFormat="1">
      <alignment horizontal="center"/>
    </xf>
    <xf numFmtId="174" fontId="27" fillId="2" borderId="0" xfId="60" applyNumberFormat="1">
      <alignment horizontal="center"/>
    </xf>
    <xf numFmtId="175" fontId="27" fillId="2" borderId="0" xfId="60" applyNumberFormat="1">
      <alignment horizontal="center"/>
    </xf>
    <xf numFmtId="171" fontId="30" fillId="0" borderId="0" xfId="57" applyNumberFormat="1" applyFill="1"/>
    <xf numFmtId="173" fontId="30" fillId="0" borderId="0" xfId="56" applyFont="1" applyFill="1"/>
    <xf numFmtId="171" fontId="36" fillId="0" borderId="0" xfId="0" applyFont="1"/>
    <xf numFmtId="171" fontId="30" fillId="37" borderId="10" xfId="59" applyNumberFormat="1" applyProtection="1"/>
    <xf numFmtId="173" fontId="30" fillId="37" borderId="10" xfId="56" applyFont="1" applyFill="1" applyBorder="1" applyProtection="1"/>
    <xf numFmtId="173" fontId="0" fillId="0" borderId="0" xfId="56" applyFont="1" applyFill="1"/>
    <xf numFmtId="173" fontId="30" fillId="37" borderId="10" xfId="59" applyNumberFormat="1" applyProtection="1"/>
    <xf numFmtId="173" fontId="30" fillId="0" borderId="0" xfId="57" applyNumberFormat="1" applyFill="1"/>
    <xf numFmtId="172" fontId="0" fillId="0" borderId="0" xfId="55" applyFont="1"/>
    <xf numFmtId="172" fontId="30" fillId="37" borderId="10" xfId="59" applyNumberFormat="1" applyProtection="1"/>
    <xf numFmtId="173" fontId="30" fillId="37" borderId="10" xfId="59" applyNumberFormat="1" applyAlignment="1" applyProtection="1">
      <alignment wrapText="1"/>
    </xf>
    <xf numFmtId="171" fontId="30" fillId="0" borderId="10" xfId="59" applyNumberFormat="1" applyFill="1">
      <protection locked="0"/>
    </xf>
    <xf numFmtId="173" fontId="30" fillId="0" borderId="10" xfId="59" applyNumberFormat="1" applyFill="1" applyAlignment="1" applyProtection="1">
      <alignment wrapText="1"/>
    </xf>
    <xf numFmtId="173" fontId="30" fillId="37" borderId="0" xfId="59" applyNumberFormat="1" applyBorder="1" applyAlignment="1" applyProtection="1">
      <alignment wrapText="1"/>
    </xf>
    <xf numFmtId="171" fontId="36" fillId="0" borderId="0" xfId="0" quotePrefix="1" applyFont="1"/>
    <xf numFmtId="171" fontId="27" fillId="2" borderId="0" xfId="53" applyNumberFormat="1" applyAlignment="1">
      <alignment horizontal="center" wrapText="1"/>
    </xf>
    <xf numFmtId="173" fontId="39" fillId="38" borderId="0" xfId="56" applyFont="1" applyFill="1"/>
    <xf numFmtId="171" fontId="39" fillId="38" borderId="0" xfId="0" applyFont="1" applyFill="1"/>
    <xf numFmtId="171" fontId="1" fillId="0" borderId="0" xfId="0" applyFont="1"/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  <xf numFmtId="171" fontId="0" fillId="4" borderId="0" xfId="51" applyNumberFormat="1" applyFont="1" applyAlignment="1"/>
    <xf numFmtId="168" fontId="29" fillId="4" borderId="0" xfId="51" applyNumberFormat="1" applyFont="1" applyAlignment="1">
      <alignment horizontal="left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60" xr:uid="{D3FD18D4-B737-49F8-97BB-EB62CD7682C6}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F0F8FE"/>
      <color rgb="FF085393"/>
      <color rgb="FF163260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2133599</xdr:colOff>
      <xdr:row>0</xdr:row>
      <xdr:rowOff>123820</xdr:rowOff>
    </xdr:from>
    <xdr:to>
      <xdr:col>17</xdr:col>
      <xdr:colOff>28498</xdr:colOff>
      <xdr:row>0</xdr:row>
      <xdr:rowOff>489515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4" y="123820"/>
          <a:ext cx="428549" cy="365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5" customFormat="1" ht="75" customHeight="1" x14ac:dyDescent="0.45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66"/>
      <c r="D4" s="66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s="6" customFormat="1" ht="15" customHeight="1" x14ac:dyDescent="0.4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s="6" customFormat="1" ht="15" customHeight="1" x14ac:dyDescent="0.45">
      <c r="A7" s="64" t="str">
        <f ca="1">"© "&amp;YEAR(TODAY())&amp;" Financial Edge Training"</f>
        <v>© 2026 Financial Edge Training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4" s="6" customFormat="1" ht="15" customHeight="1" x14ac:dyDescent="0.45">
      <c r="A8" s="63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s="6" customFormat="1" ht="15" customHeight="1" thickBot="1" x14ac:dyDescent="0.5">
      <c r="A9" s="31"/>
      <c r="B9" s="32"/>
      <c r="C9" s="31"/>
      <c r="D9" s="31"/>
      <c r="E9" s="33"/>
      <c r="F9" s="34"/>
      <c r="G9" s="34"/>
      <c r="H9" s="34"/>
      <c r="I9" s="34"/>
      <c r="J9" s="34"/>
      <c r="K9" s="34"/>
      <c r="L9" s="33"/>
      <c r="M9" s="33"/>
      <c r="N9" s="33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</cols>
  <sheetData>
    <row r="1" spans="1:18" ht="45" customHeight="1" x14ac:dyDescent="0.85">
      <c r="A1" s="35" t="str">
        <f>Welcome!A2</f>
        <v>LBO Case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0" customHeight="1" x14ac:dyDescent="0.65">
      <c r="A2" s="36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s="3" customFormat="1" ht="7.5" customHeight="1" x14ac:dyDescent="0.45"/>
    <row r="4" spans="1:18" s="3" customFormat="1" ht="22.5" customHeight="1" x14ac:dyDescent="0.5">
      <c r="A4" s="1"/>
      <c r="B4" s="37" t="s">
        <v>2</v>
      </c>
      <c r="C4" s="20"/>
      <c r="D4" s="20"/>
      <c r="E4" s="20"/>
      <c r="F4" s="20"/>
      <c r="G4" s="20"/>
      <c r="H4" s="20"/>
      <c r="I4" s="20"/>
      <c r="K4" s="1"/>
      <c r="L4" s="68" t="s">
        <v>3</v>
      </c>
      <c r="M4" s="68"/>
      <c r="N4" s="68"/>
      <c r="O4" s="68"/>
      <c r="P4" s="68"/>
      <c r="Q4" s="20"/>
      <c r="R4" s="15"/>
    </row>
    <row r="5" spans="1:18" s="3" customFormat="1" ht="15" customHeight="1" x14ac:dyDescent="0.45">
      <c r="A5" s="2"/>
      <c r="B5" s="30" t="s">
        <v>4</v>
      </c>
      <c r="C5" s="20" t="s">
        <v>20</v>
      </c>
      <c r="D5" s="20"/>
      <c r="E5" s="20"/>
      <c r="F5" s="20"/>
      <c r="G5" s="20"/>
      <c r="H5" s="20"/>
      <c r="I5" s="20"/>
      <c r="K5" s="1"/>
      <c r="L5" s="38" t="s">
        <v>5</v>
      </c>
      <c r="M5" s="20"/>
      <c r="N5" s="71" t="s">
        <v>23</v>
      </c>
      <c r="O5" s="71"/>
      <c r="P5" s="71"/>
      <c r="Q5" s="71"/>
      <c r="R5" s="15"/>
    </row>
    <row r="6" spans="1:18" s="3" customFormat="1" ht="15" customHeight="1" x14ac:dyDescent="0.45">
      <c r="A6" s="26"/>
      <c r="B6" s="30"/>
      <c r="C6" s="20"/>
      <c r="D6" s="20"/>
      <c r="E6" s="20"/>
      <c r="F6" s="20"/>
      <c r="G6" s="20"/>
      <c r="H6" s="20"/>
      <c r="I6" s="20"/>
      <c r="K6" s="2"/>
      <c r="L6" s="38" t="s">
        <v>6</v>
      </c>
      <c r="M6" s="20"/>
      <c r="N6" s="72">
        <v>45931</v>
      </c>
      <c r="O6" s="72"/>
      <c r="P6" s="72"/>
      <c r="Q6" s="72"/>
      <c r="R6" s="15"/>
    </row>
    <row r="7" spans="1:18" s="3" customFormat="1" ht="15" customHeight="1" x14ac:dyDescent="0.45">
      <c r="A7" s="21"/>
      <c r="B7" s="30"/>
      <c r="C7" s="20"/>
      <c r="D7" s="20"/>
      <c r="E7" s="20"/>
      <c r="F7" s="20"/>
      <c r="G7" s="20"/>
      <c r="H7" s="20"/>
      <c r="I7" s="20"/>
      <c r="K7" s="26"/>
      <c r="L7" s="38" t="s">
        <v>7</v>
      </c>
      <c r="M7" s="20"/>
      <c r="N7" s="71" t="s">
        <v>24</v>
      </c>
      <c r="O7" s="71"/>
      <c r="P7" s="71"/>
      <c r="Q7" s="71"/>
      <c r="R7" s="15"/>
    </row>
    <row r="8" spans="1:18" s="3" customFormat="1" ht="15" customHeight="1" x14ac:dyDescent="0.45">
      <c r="A8" s="21"/>
      <c r="B8" s="27"/>
      <c r="C8" s="20"/>
      <c r="D8" s="20"/>
      <c r="E8" s="20"/>
      <c r="F8" s="20"/>
      <c r="G8" s="20"/>
      <c r="H8" s="20"/>
      <c r="I8" s="20"/>
      <c r="K8" s="21"/>
      <c r="L8" s="38" t="s">
        <v>8</v>
      </c>
      <c r="M8" s="20"/>
      <c r="N8" s="71" t="s">
        <v>9</v>
      </c>
      <c r="O8" s="71"/>
      <c r="P8" s="71"/>
      <c r="Q8" s="71"/>
      <c r="R8" s="15"/>
    </row>
    <row r="9" spans="1:18" s="3" customFormat="1" ht="15" customHeight="1" x14ac:dyDescent="0.45">
      <c r="A9" s="16"/>
      <c r="B9" s="28"/>
      <c r="C9" s="20"/>
      <c r="D9" s="20"/>
      <c r="E9" s="20"/>
      <c r="F9" s="20"/>
      <c r="G9" s="20"/>
      <c r="H9" s="20"/>
      <c r="I9" s="20"/>
      <c r="K9" s="21"/>
      <c r="L9" s="38" t="s">
        <v>10</v>
      </c>
      <c r="M9" s="20"/>
      <c r="N9" s="71" t="s">
        <v>11</v>
      </c>
      <c r="O9" s="71"/>
      <c r="P9" s="71"/>
      <c r="Q9" s="71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8" t="s">
        <v>12</v>
      </c>
      <c r="M10" s="20"/>
      <c r="N10" s="69">
        <v>0</v>
      </c>
      <c r="O10" s="69"/>
      <c r="P10" s="69"/>
      <c r="Q10" s="69"/>
      <c r="R10" s="17"/>
    </row>
    <row r="11" spans="1:18" s="3" customFormat="1" ht="15" customHeight="1" thickBot="1" x14ac:dyDescent="0.5">
      <c r="A11" s="25"/>
      <c r="B11" s="25"/>
      <c r="C11" s="25"/>
      <c r="D11" s="25"/>
      <c r="E11" s="25"/>
      <c r="F11" s="25"/>
      <c r="G11" s="25"/>
      <c r="H11" s="25"/>
      <c r="I11" s="25"/>
      <c r="K11" s="25"/>
      <c r="L11" s="29"/>
      <c r="M11" s="29"/>
      <c r="N11" s="29"/>
      <c r="O11" s="29"/>
      <c r="P11" s="29"/>
      <c r="Q11" s="29"/>
      <c r="R11" s="25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7" t="s">
        <v>13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70" t="s">
        <v>14</v>
      </c>
      <c r="P13" s="70"/>
      <c r="Q13" s="70"/>
      <c r="R13" s="22"/>
    </row>
    <row r="14" spans="1:18" s="3" customFormat="1" ht="15" customHeight="1" x14ac:dyDescent="0.45">
      <c r="A14" s="21"/>
      <c r="B14" s="20" t="s">
        <v>21</v>
      </c>
      <c r="C14" s="20"/>
      <c r="D14" s="20" t="s">
        <v>22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6"/>
      <c r="O15" s="9"/>
      <c r="P15" s="18" t="s">
        <v>15</v>
      </c>
      <c r="Q15" s="5"/>
      <c r="R15" s="21"/>
    </row>
    <row r="16" spans="1:18" s="3" customFormat="1" ht="15" customHeight="1" x14ac:dyDescent="0.45">
      <c r="A16" s="2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N16" s="21"/>
      <c r="O16" s="9"/>
      <c r="P16" s="11" t="s">
        <v>16</v>
      </c>
      <c r="Q16" s="5"/>
      <c r="R16" s="21"/>
    </row>
    <row r="17" spans="1:18" s="3" customFormat="1" ht="15" customHeight="1" x14ac:dyDescent="0.45">
      <c r="A17" s="2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N17" s="21"/>
      <c r="O17" s="9"/>
      <c r="P17" t="s">
        <v>17</v>
      </c>
      <c r="Q17" s="5"/>
      <c r="R17" s="21"/>
    </row>
    <row r="18" spans="1:18" s="3" customFormat="1" ht="15" customHeight="1" x14ac:dyDescent="0.45">
      <c r="A18" s="14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N18" s="14"/>
      <c r="O18" s="19"/>
      <c r="P18" s="19"/>
      <c r="Q18" s="19"/>
      <c r="R18" s="14"/>
    </row>
    <row r="19" spans="1:18" ht="14.65" thickBot="1" x14ac:dyDescent="0.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N19" s="25"/>
      <c r="O19" s="25"/>
      <c r="P19" s="25"/>
      <c r="Q19" s="25"/>
      <c r="R19" s="25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4"/>
  <sheetViews>
    <sheetView tabSelected="1" topLeftCell="A3" zoomScaleNormal="100" workbookViewId="0">
      <selection activeCell="D43" sqref="D43:D44"/>
    </sheetView>
  </sheetViews>
  <sheetFormatPr defaultColWidth="9.1328125" defaultRowHeight="15" customHeight="1" x14ac:dyDescent="0.45"/>
  <cols>
    <col min="1" max="1" width="1.53125" style="4" customWidth="1"/>
    <col min="2" max="2" width="45.19921875" bestFit="1" customWidth="1"/>
    <col min="3" max="3" width="11.53125" customWidth="1"/>
    <col min="4" max="4" width="15.6640625" customWidth="1"/>
    <col min="5" max="10" width="11.53125" customWidth="1"/>
    <col min="11" max="12" width="9.1328125" customWidth="1"/>
    <col min="13" max="13" width="16" bestFit="1" customWidth="1"/>
  </cols>
  <sheetData>
    <row r="1" spans="1:12" ht="45" customHeight="1" x14ac:dyDescent="0.85">
      <c r="A1" s="35" t="str">
        <f>Welcome!A2</f>
        <v>LBO Case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30" customHeight="1" x14ac:dyDescent="0.65">
      <c r="A2" s="36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" customHeight="1" x14ac:dyDescent="0.45">
      <c r="A3" s="4" t="s">
        <v>25</v>
      </c>
    </row>
    <row r="5" spans="1:12" ht="15" customHeight="1" x14ac:dyDescent="0.45">
      <c r="A5" s="4" t="s">
        <v>26</v>
      </c>
      <c r="E5" s="24"/>
    </row>
    <row r="6" spans="1:12" ht="15" customHeight="1" x14ac:dyDescent="0.45">
      <c r="D6" s="46"/>
    </row>
    <row r="7" spans="1:12" ht="28.5" x14ac:dyDescent="0.45">
      <c r="B7" s="41"/>
      <c r="C7" s="42">
        <v>45657</v>
      </c>
      <c r="D7" s="59" t="s">
        <v>102</v>
      </c>
      <c r="E7" s="43">
        <f>EOMONTH(C7,12)</f>
        <v>46022</v>
      </c>
      <c r="F7" s="43">
        <f>EOMONTH(E7,12)</f>
        <v>46387</v>
      </c>
      <c r="G7" s="43">
        <f>EOMONTH(F7,12)</f>
        <v>46752</v>
      </c>
      <c r="H7" s="62"/>
    </row>
    <row r="8" spans="1:12" ht="15" customHeight="1" x14ac:dyDescent="0.45">
      <c r="A8" s="23"/>
      <c r="B8" t="s">
        <v>27</v>
      </c>
      <c r="C8" s="44">
        <v>671.4</v>
      </c>
      <c r="D8" s="55">
        <f>740+380.9-357.9</f>
        <v>763.00000000000011</v>
      </c>
      <c r="E8" s="44">
        <v>773.2</v>
      </c>
      <c r="F8" s="44">
        <v>838.8</v>
      </c>
      <c r="G8" s="44">
        <v>910.5</v>
      </c>
      <c r="H8" s="62"/>
    </row>
    <row r="9" spans="1:12" ht="15" customHeight="1" x14ac:dyDescent="0.45">
      <c r="B9" t="s">
        <v>28</v>
      </c>
      <c r="C9" s="45">
        <v>7.0999999999999994E-2</v>
      </c>
      <c r="D9" s="45"/>
      <c r="E9" s="45">
        <v>0.15160000000000001</v>
      </c>
      <c r="F9" s="45">
        <v>8.48E-2</v>
      </c>
      <c r="G9" s="45">
        <v>8.5500000000000007E-2</v>
      </c>
      <c r="H9" s="62"/>
    </row>
    <row r="10" spans="1:12" ht="15" customHeight="1" x14ac:dyDescent="0.45">
      <c r="B10" t="s">
        <v>29</v>
      </c>
      <c r="C10" s="44">
        <v>296.7</v>
      </c>
      <c r="D10" s="55">
        <f>43%*740+165.6-139.7</f>
        <v>344.09999999999997</v>
      </c>
      <c r="E10" s="44">
        <v>317.60000000000002</v>
      </c>
      <c r="F10" s="44">
        <v>346.6</v>
      </c>
      <c r="G10" s="44">
        <v>375.6</v>
      </c>
      <c r="H10" s="62"/>
    </row>
    <row r="11" spans="1:12" ht="15" customHeight="1" x14ac:dyDescent="0.45">
      <c r="B11" t="s">
        <v>30</v>
      </c>
      <c r="C11" s="45">
        <v>0.442</v>
      </c>
      <c r="E11" s="45">
        <v>0.41099999999999998</v>
      </c>
      <c r="F11" s="45">
        <v>0.41299999999999998</v>
      </c>
      <c r="G11" s="45">
        <v>0.41299999999999998</v>
      </c>
      <c r="H11" s="62"/>
    </row>
    <row r="12" spans="1:12" ht="15" customHeight="1" x14ac:dyDescent="0.45">
      <c r="H12" s="62"/>
    </row>
    <row r="13" spans="1:12" ht="15" customHeight="1" x14ac:dyDescent="0.45">
      <c r="A13" s="4" t="s">
        <v>31</v>
      </c>
    </row>
    <row r="14" spans="1:12" ht="15" customHeight="1" x14ac:dyDescent="0.45">
      <c r="D14" s="62"/>
    </row>
    <row r="15" spans="1:12" ht="15" customHeight="1" x14ac:dyDescent="0.45">
      <c r="B15" t="s">
        <v>32</v>
      </c>
      <c r="C15" s="44">
        <v>8.91</v>
      </c>
      <c r="D15" s="62"/>
    </row>
    <row r="16" spans="1:12" ht="15" customHeight="1" x14ac:dyDescent="0.45">
      <c r="B16" t="s">
        <v>33</v>
      </c>
      <c r="C16" s="48">
        <v>0.3</v>
      </c>
      <c r="D16" s="62"/>
    </row>
    <row r="17" spans="1:6" ht="15" customHeight="1" x14ac:dyDescent="0.45">
      <c r="B17" t="s">
        <v>100</v>
      </c>
      <c r="C17">
        <f>(1+C16)*C15</f>
        <v>11.583</v>
      </c>
      <c r="D17" s="62" t="str">
        <f ca="1">IF(ISBLANK(C17),"",_xlfn.FORMULATEXT(C17))</f>
        <v>=(1+C16)*C15</v>
      </c>
    </row>
    <row r="18" spans="1:6" ht="15" customHeight="1" x14ac:dyDescent="0.45">
      <c r="B18" t="s">
        <v>34</v>
      </c>
      <c r="C18" s="44">
        <f>170-13.034</f>
        <v>156.96600000000001</v>
      </c>
      <c r="D18" s="62"/>
    </row>
    <row r="19" spans="1:6" ht="15" customHeight="1" x14ac:dyDescent="0.45">
      <c r="B19" t="s">
        <v>35</v>
      </c>
      <c r="C19" s="44">
        <v>3.3843009999999998</v>
      </c>
      <c r="D19" s="62"/>
    </row>
    <row r="20" spans="1:6" ht="15" customHeight="1" x14ac:dyDescent="0.45">
      <c r="B20" t="s">
        <v>36</v>
      </c>
      <c r="C20">
        <f>SUM(C18:C19)</f>
        <v>160.350301</v>
      </c>
      <c r="D20" s="62" t="str">
        <f t="shared" ref="D20:D21" ca="1" si="0">IF(ISBLANK(C20),"",_xlfn.FORMULATEXT(C20))</f>
        <v>=SUM(C18:C19)</v>
      </c>
    </row>
    <row r="21" spans="1:6" ht="15" customHeight="1" x14ac:dyDescent="0.45">
      <c r="B21" t="s">
        <v>37</v>
      </c>
      <c r="C21">
        <f>C20*C17</f>
        <v>1857.3375364830001</v>
      </c>
      <c r="D21" s="62" t="str">
        <f t="shared" ca="1" si="0"/>
        <v>=C20*C17</v>
      </c>
    </row>
    <row r="22" spans="1:6" ht="15" customHeight="1" x14ac:dyDescent="0.45">
      <c r="B22" t="s">
        <v>38</v>
      </c>
      <c r="C22" s="44">
        <v>1005</v>
      </c>
      <c r="D22" s="62"/>
    </row>
    <row r="23" spans="1:6" ht="15" customHeight="1" x14ac:dyDescent="0.45">
      <c r="B23" t="s">
        <v>39</v>
      </c>
      <c r="C23" s="44">
        <v>30.649000000000001</v>
      </c>
      <c r="D23" s="62"/>
    </row>
    <row r="24" spans="1:6" ht="15" customHeight="1" x14ac:dyDescent="0.45">
      <c r="B24" t="s">
        <v>40</v>
      </c>
      <c r="C24" s="44">
        <v>40.515000000000001</v>
      </c>
      <c r="D24" s="62"/>
      <c r="F24" s="58"/>
    </row>
    <row r="25" spans="1:6" ht="15" customHeight="1" x14ac:dyDescent="0.45">
      <c r="B25" t="s">
        <v>41</v>
      </c>
      <c r="C25" s="44">
        <v>16.370999999999999</v>
      </c>
      <c r="D25" s="62"/>
    </row>
    <row r="26" spans="1:6" ht="15" customHeight="1" x14ac:dyDescent="0.45">
      <c r="B26" t="s">
        <v>103</v>
      </c>
      <c r="C26" s="44">
        <v>4.8479999999999999</v>
      </c>
      <c r="D26" s="62"/>
    </row>
    <row r="27" spans="1:6" ht="15" customHeight="1" x14ac:dyDescent="0.45">
      <c r="B27" t="s">
        <v>31</v>
      </c>
      <c r="C27">
        <f>C21+C22+C23-C24-C25-C26</f>
        <v>2831.2525364829999</v>
      </c>
      <c r="D27" s="62" t="str">
        <f ca="1">IF(ISBLANK(C27),"",_xlfn.FORMULATEXT(C27))</f>
        <v>=C21+C22+C23-C24-C25-C26</v>
      </c>
    </row>
    <row r="28" spans="1:6" ht="15" customHeight="1" x14ac:dyDescent="0.45">
      <c r="D28" s="62"/>
    </row>
    <row r="29" spans="1:6" ht="15" customHeight="1" x14ac:dyDescent="0.45">
      <c r="A29" s="4" t="s">
        <v>55</v>
      </c>
    </row>
    <row r="31" spans="1:6" ht="15" customHeight="1" x14ac:dyDescent="0.45">
      <c r="B31" t="s">
        <v>42</v>
      </c>
      <c r="C31" s="50">
        <v>0.02</v>
      </c>
      <c r="D31" s="46"/>
    </row>
    <row r="32" spans="1:6" ht="15" customHeight="1" x14ac:dyDescent="0.45">
      <c r="B32" t="s">
        <v>43</v>
      </c>
      <c r="C32" s="50">
        <v>0.29499999999999998</v>
      </c>
      <c r="D32" s="62"/>
    </row>
    <row r="33" spans="1:5" ht="15" customHeight="1" x14ac:dyDescent="0.45">
      <c r="B33" t="s">
        <v>44</v>
      </c>
      <c r="C33" s="50">
        <v>2.7099999999999999E-2</v>
      </c>
      <c r="D33" s="62"/>
    </row>
    <row r="34" spans="1:5" ht="15" customHeight="1" x14ac:dyDescent="0.45">
      <c r="B34" t="s">
        <v>45</v>
      </c>
      <c r="C34" s="50">
        <v>1.4800000000000001E-2</v>
      </c>
      <c r="D34" s="62"/>
    </row>
    <row r="35" spans="1:5" ht="15" customHeight="1" x14ac:dyDescent="0.45">
      <c r="B35" t="s">
        <v>46</v>
      </c>
      <c r="C35" s="50">
        <f>C34+2%</f>
        <v>3.4799999999999998E-2</v>
      </c>
      <c r="D35" s="62"/>
    </row>
    <row r="36" spans="1:5" ht="15" customHeight="1" x14ac:dyDescent="0.45">
      <c r="B36" t="s">
        <v>47</v>
      </c>
      <c r="C36" s="49">
        <f>$C$33+C34</f>
        <v>4.19E-2</v>
      </c>
      <c r="D36" t="str">
        <f ca="1">IF(ISBLANK(C36),"",_xlfn.FORMULATEXT(C36))</f>
        <v>=$C$33+C34</v>
      </c>
    </row>
    <row r="37" spans="1:5" ht="15" customHeight="1" x14ac:dyDescent="0.45">
      <c r="B37" t="s">
        <v>48</v>
      </c>
      <c r="C37" s="49">
        <f>$C$33+C35</f>
        <v>6.1899999999999997E-2</v>
      </c>
      <c r="D37" t="str">
        <f ca="1">IF(ISBLANK(C37),"",_xlfn.FORMULATEXT(C37))</f>
        <v>=$C$33+C35</v>
      </c>
    </row>
    <row r="38" spans="1:5" ht="15" customHeight="1" x14ac:dyDescent="0.45">
      <c r="B38" t="s">
        <v>88</v>
      </c>
      <c r="C38" s="50">
        <v>0.01</v>
      </c>
      <c r="E38" s="62"/>
    </row>
    <row r="39" spans="1:5" ht="15" customHeight="1" x14ac:dyDescent="0.45">
      <c r="B39" t="s">
        <v>49</v>
      </c>
      <c r="C39" s="53">
        <v>5</v>
      </c>
      <c r="E39" s="62"/>
    </row>
    <row r="40" spans="1:5" ht="15" customHeight="1" x14ac:dyDescent="0.45">
      <c r="B40" t="s">
        <v>50</v>
      </c>
      <c r="C40" s="53">
        <v>3.5</v>
      </c>
      <c r="E40" s="62"/>
    </row>
    <row r="41" spans="1:5" ht="15" customHeight="1" x14ac:dyDescent="0.45">
      <c r="B41" t="s">
        <v>51</v>
      </c>
      <c r="C41" s="52">
        <f>C39-C40</f>
        <v>1.5</v>
      </c>
      <c r="E41" s="62"/>
    </row>
    <row r="42" spans="1:5" ht="15" customHeight="1" x14ac:dyDescent="0.45">
      <c r="B42" t="s">
        <v>52</v>
      </c>
      <c r="C42" s="47">
        <v>4</v>
      </c>
      <c r="E42" s="62"/>
    </row>
    <row r="43" spans="1:5" ht="15" customHeight="1" x14ac:dyDescent="0.45">
      <c r="B43" t="s">
        <v>54</v>
      </c>
      <c r="C43" s="52">
        <f>C27/D10</f>
        <v>8.227993421920953</v>
      </c>
      <c r="D43" t="str">
        <f ca="1">IF(ISBLANK(C43),"",_xlfn.FORMULATEXT(C43))</f>
        <v>=C27/D10</v>
      </c>
      <c r="E43" s="62"/>
    </row>
    <row r="44" spans="1:5" ht="15" customHeight="1" x14ac:dyDescent="0.45">
      <c r="B44" t="s">
        <v>53</v>
      </c>
      <c r="C44" s="52">
        <f>C43</f>
        <v>8.227993421920953</v>
      </c>
      <c r="E44" s="62"/>
    </row>
    <row r="46" spans="1:5" ht="15" customHeight="1" x14ac:dyDescent="0.45">
      <c r="A46" s="4" t="s">
        <v>56</v>
      </c>
    </row>
    <row r="57" spans="1:13" ht="15" customHeight="1" x14ac:dyDescent="0.45">
      <c r="M57" s="62"/>
    </row>
    <row r="58" spans="1:13" ht="15" customHeight="1" x14ac:dyDescent="0.45">
      <c r="A58" s="4" t="s">
        <v>57</v>
      </c>
      <c r="M58" s="62"/>
    </row>
    <row r="59" spans="1:13" ht="15" customHeight="1" x14ac:dyDescent="0.45"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</row>
    <row r="60" spans="1:13" ht="15" customHeight="1" x14ac:dyDescent="0.45">
      <c r="B60" s="41"/>
      <c r="C60" s="42">
        <v>45657</v>
      </c>
      <c r="D60" s="41"/>
      <c r="E60" s="43">
        <f>EOMONTH(C60,12)</f>
        <v>46022</v>
      </c>
      <c r="F60" s="43">
        <f>EOMONTH(E60,12)</f>
        <v>46387</v>
      </c>
      <c r="G60" s="43">
        <f>EOMONTH(F60,12)</f>
        <v>46752</v>
      </c>
      <c r="H60" s="43">
        <f t="shared" ref="H60:J60" si="1">EOMONTH(G60,12)</f>
        <v>47118</v>
      </c>
      <c r="I60" s="43">
        <f t="shared" si="1"/>
        <v>47483</v>
      </c>
      <c r="J60" s="43">
        <f t="shared" si="1"/>
        <v>47848</v>
      </c>
      <c r="K60" s="43">
        <f t="shared" ref="K60" si="2">EOMONTH(J60,12)</f>
        <v>48213</v>
      </c>
      <c r="L60" s="43">
        <f t="shared" ref="L60" si="3">EOMONTH(K60,12)</f>
        <v>48579</v>
      </c>
      <c r="M60" s="62"/>
    </row>
    <row r="61" spans="1:13" ht="15" customHeight="1" x14ac:dyDescent="0.45">
      <c r="B61" t="s">
        <v>58</v>
      </c>
      <c r="E61" s="49">
        <f>E9</f>
        <v>0.15160000000000001</v>
      </c>
      <c r="F61" s="49">
        <f>F9</f>
        <v>8.48E-2</v>
      </c>
      <c r="G61" s="49">
        <f>G9</f>
        <v>8.5500000000000007E-2</v>
      </c>
      <c r="H61" s="50">
        <v>0.08</v>
      </c>
      <c r="I61" s="50">
        <v>7.0000000000000007E-2</v>
      </c>
      <c r="J61" s="50">
        <v>0.06</v>
      </c>
      <c r="K61" s="50">
        <v>0.05</v>
      </c>
      <c r="L61" s="50">
        <v>0.04</v>
      </c>
      <c r="M61" s="62"/>
    </row>
    <row r="62" spans="1:13" ht="15" customHeight="1" x14ac:dyDescent="0.45">
      <c r="B62" t="s">
        <v>59</v>
      </c>
      <c r="E62" s="49">
        <f>E11</f>
        <v>0.41099999999999998</v>
      </c>
      <c r="F62" s="49">
        <f>F11</f>
        <v>0.41299999999999998</v>
      </c>
      <c r="G62" s="49">
        <f>G11</f>
        <v>0.41299999999999998</v>
      </c>
      <c r="H62" s="50">
        <v>0.41299999999999998</v>
      </c>
      <c r="I62" s="50">
        <v>0.41299999999999998</v>
      </c>
      <c r="J62" s="50">
        <v>0.41299999999999998</v>
      </c>
      <c r="K62" s="50">
        <v>0.41299999999999998</v>
      </c>
      <c r="L62" s="50">
        <v>0.41299999999999998</v>
      </c>
      <c r="M62" s="62"/>
    </row>
    <row r="63" spans="1:13" ht="15" customHeight="1" x14ac:dyDescent="0.45">
      <c r="B63" t="s">
        <v>60</v>
      </c>
      <c r="C63" s="49">
        <f>C72/C70</f>
        <v>2.4700625558534407E-2</v>
      </c>
      <c r="E63" s="56"/>
      <c r="F63" s="54">
        <v>2.5000000000000001E-2</v>
      </c>
      <c r="G63" s="54">
        <v>2.5000000000000001E-2</v>
      </c>
      <c r="H63" s="54">
        <v>2.5000000000000001E-2</v>
      </c>
      <c r="I63" s="54">
        <v>2.5000000000000001E-2</v>
      </c>
      <c r="J63" s="54">
        <v>2.5000000000000001E-2</v>
      </c>
      <c r="K63" s="54">
        <v>2.5000000000000001E-2</v>
      </c>
      <c r="L63" s="54">
        <v>2.5000000000000001E-2</v>
      </c>
      <c r="M63" s="62"/>
    </row>
    <row r="64" spans="1:13" ht="15" customHeight="1" x14ac:dyDescent="0.45">
      <c r="B64" t="s">
        <v>61</v>
      </c>
      <c r="E64" s="56"/>
      <c r="F64" s="54">
        <v>5.0000000000000001E-3</v>
      </c>
      <c r="G64" s="54">
        <v>0.01</v>
      </c>
      <c r="H64" s="54">
        <v>1.4999999999999999E-2</v>
      </c>
      <c r="I64" s="54">
        <v>1.4999999999999999E-2</v>
      </c>
      <c r="J64" s="54">
        <v>1.4999999999999999E-2</v>
      </c>
      <c r="K64" s="54">
        <v>1.4999999999999999E-2</v>
      </c>
      <c r="L64" s="54">
        <v>1.4999999999999999E-2</v>
      </c>
      <c r="M64" s="62"/>
    </row>
    <row r="65" spans="1:14" ht="15" customHeight="1" x14ac:dyDescent="0.45">
      <c r="B65" t="s">
        <v>77</v>
      </c>
      <c r="C65" s="49">
        <f>C74/C70</f>
        <v>2.6026213881441766E-2</v>
      </c>
      <c r="E65" s="56"/>
      <c r="F65" s="54">
        <v>0.03</v>
      </c>
      <c r="G65" s="54">
        <v>0.03</v>
      </c>
      <c r="H65" s="54">
        <v>0.03</v>
      </c>
      <c r="I65" s="54">
        <v>0.03</v>
      </c>
      <c r="J65" s="54">
        <v>0.03</v>
      </c>
      <c r="K65" s="54">
        <v>0.03</v>
      </c>
      <c r="L65" s="54">
        <v>0.03</v>
      </c>
      <c r="M65" s="62"/>
    </row>
    <row r="66" spans="1:14" ht="15" customHeight="1" x14ac:dyDescent="0.45">
      <c r="B66" t="s">
        <v>62</v>
      </c>
      <c r="C66" s="49">
        <f>C74/C75</f>
        <v>0.63382785012151344</v>
      </c>
      <c r="E66" s="56"/>
      <c r="F66" s="54">
        <v>0.75</v>
      </c>
      <c r="G66" s="54">
        <v>0.8</v>
      </c>
      <c r="H66" s="54">
        <v>0.85</v>
      </c>
      <c r="I66" s="54">
        <v>0.9</v>
      </c>
      <c r="J66" s="54">
        <v>0.95</v>
      </c>
      <c r="K66" s="54">
        <v>0.98</v>
      </c>
      <c r="L66" s="54">
        <v>1.01</v>
      </c>
      <c r="M66" s="62"/>
      <c r="N66" s="46"/>
    </row>
    <row r="67" spans="1:14" ht="15" customHeight="1" x14ac:dyDescent="0.45">
      <c r="B67" t="s">
        <v>78</v>
      </c>
      <c r="C67" s="49">
        <f>C76/C70</f>
        <v>-0.54642537980339589</v>
      </c>
      <c r="E67" s="57">
        <v>-0.54600000000000004</v>
      </c>
      <c r="F67" s="57">
        <v>-0.54600000000000004</v>
      </c>
      <c r="G67" s="57">
        <v>-0.54600000000000004</v>
      </c>
      <c r="H67" s="57">
        <v>-0.54600000000000004</v>
      </c>
      <c r="I67" s="57">
        <v>-0.54600000000000004</v>
      </c>
      <c r="J67" s="57">
        <v>-0.54600000000000004</v>
      </c>
      <c r="K67" s="57">
        <v>-0.54600000000000004</v>
      </c>
      <c r="L67" s="57">
        <v>-0.54600000000000004</v>
      </c>
      <c r="M67" s="62"/>
    </row>
    <row r="69" spans="1:14" ht="15" customHeight="1" x14ac:dyDescent="0.45">
      <c r="A69" s="4" t="s">
        <v>63</v>
      </c>
      <c r="N69" s="62"/>
    </row>
    <row r="70" spans="1:14" ht="15" customHeight="1" x14ac:dyDescent="0.45">
      <c r="B70" t="s">
        <v>27</v>
      </c>
      <c r="C70">
        <f>C8</f>
        <v>671.4</v>
      </c>
      <c r="N70" s="62"/>
    </row>
    <row r="71" spans="1:14" ht="15" customHeight="1" x14ac:dyDescent="0.45">
      <c r="B71" t="s">
        <v>64</v>
      </c>
      <c r="N71" s="62"/>
    </row>
    <row r="72" spans="1:14" ht="15" customHeight="1" x14ac:dyDescent="0.45">
      <c r="B72" t="s">
        <v>65</v>
      </c>
      <c r="C72" s="44">
        <v>16.584</v>
      </c>
      <c r="D72" s="46"/>
      <c r="N72" s="62"/>
    </row>
    <row r="73" spans="1:14" ht="15" customHeight="1" x14ac:dyDescent="0.45">
      <c r="B73" t="s">
        <v>66</v>
      </c>
      <c r="N73" s="62"/>
    </row>
    <row r="74" spans="1:14" ht="15" customHeight="1" x14ac:dyDescent="0.45">
      <c r="B74" t="s">
        <v>68</v>
      </c>
      <c r="C74" s="44">
        <f>5.373+12.101</f>
        <v>17.474</v>
      </c>
      <c r="N74" s="62"/>
    </row>
    <row r="75" spans="1:14" ht="15" customHeight="1" x14ac:dyDescent="0.45">
      <c r="B75" t="s">
        <v>69</v>
      </c>
      <c r="C75" s="44">
        <f>46.169-18.6</f>
        <v>27.568999999999996</v>
      </c>
      <c r="N75" s="62"/>
    </row>
    <row r="76" spans="1:14" ht="15" customHeight="1" x14ac:dyDescent="0.45">
      <c r="B76" t="s">
        <v>70</v>
      </c>
      <c r="C76" s="44">
        <f>30.187-15.84-336.39-44.827</f>
        <v>-366.87</v>
      </c>
      <c r="N76" s="62"/>
    </row>
    <row r="77" spans="1:14" ht="15" customHeight="1" x14ac:dyDescent="0.45">
      <c r="C77" s="44"/>
      <c r="N77" s="62"/>
    </row>
    <row r="78" spans="1:14" ht="15" customHeight="1" x14ac:dyDescent="0.45">
      <c r="A78" s="4" t="s">
        <v>76</v>
      </c>
      <c r="C78" s="44"/>
      <c r="N78" s="62"/>
    </row>
    <row r="79" spans="1:14" ht="15" customHeight="1" x14ac:dyDescent="0.45">
      <c r="B79" t="s">
        <v>67</v>
      </c>
      <c r="C79" s="44"/>
    </row>
    <row r="80" spans="1:14" ht="15" customHeight="1" x14ac:dyDescent="0.45">
      <c r="B80" t="s">
        <v>69</v>
      </c>
      <c r="C80" s="44"/>
    </row>
    <row r="81" spans="1:2" ht="15" customHeight="1" x14ac:dyDescent="0.45">
      <c r="B81" t="s">
        <v>71</v>
      </c>
    </row>
    <row r="82" spans="1:2" ht="15" customHeight="1" x14ac:dyDescent="0.45">
      <c r="B82" t="s">
        <v>91</v>
      </c>
    </row>
    <row r="83" spans="1:2" ht="15" customHeight="1" x14ac:dyDescent="0.45">
      <c r="B83" t="s">
        <v>73</v>
      </c>
    </row>
    <row r="84" spans="1:2" ht="15" customHeight="1" x14ac:dyDescent="0.45">
      <c r="B84" t="s">
        <v>74</v>
      </c>
    </row>
    <row r="85" spans="1:2" ht="15" customHeight="1" x14ac:dyDescent="0.45">
      <c r="B85" t="s">
        <v>75</v>
      </c>
    </row>
    <row r="87" spans="1:2" ht="15" customHeight="1" x14ac:dyDescent="0.45">
      <c r="A87" s="4" t="s">
        <v>86</v>
      </c>
    </row>
    <row r="89" spans="1:2" ht="15" customHeight="1" x14ac:dyDescent="0.45">
      <c r="B89" s="24"/>
    </row>
    <row r="90" spans="1:2" ht="15" customHeight="1" x14ac:dyDescent="0.45">
      <c r="B90" s="24"/>
    </row>
    <row r="97" spans="1:13" ht="15" customHeight="1" x14ac:dyDescent="0.45">
      <c r="A97" s="4" t="s">
        <v>79</v>
      </c>
    </row>
    <row r="98" spans="1:13" ht="15" customHeight="1" x14ac:dyDescent="0.45">
      <c r="B98" t="s">
        <v>80</v>
      </c>
    </row>
    <row r="99" spans="1:13" ht="15" customHeight="1" x14ac:dyDescent="0.45">
      <c r="B99" t="s">
        <v>81</v>
      </c>
    </row>
    <row r="100" spans="1:13" ht="15" customHeight="1" x14ac:dyDescent="0.45">
      <c r="B100" t="s">
        <v>82</v>
      </c>
    </row>
    <row r="101" spans="1:13" ht="15" customHeight="1" x14ac:dyDescent="0.45">
      <c r="B101" t="s">
        <v>72</v>
      </c>
    </row>
    <row r="103" spans="1:13" ht="15" customHeight="1" x14ac:dyDescent="0.45">
      <c r="B103" t="s">
        <v>83</v>
      </c>
    </row>
    <row r="104" spans="1:13" ht="15" customHeight="1" x14ac:dyDescent="0.45">
      <c r="B104" t="s">
        <v>81</v>
      </c>
    </row>
    <row r="105" spans="1:13" ht="15" customHeight="1" x14ac:dyDescent="0.45">
      <c r="B105" t="s">
        <v>84</v>
      </c>
    </row>
    <row r="106" spans="1:13" ht="15" customHeight="1" x14ac:dyDescent="0.45">
      <c r="B106" t="s">
        <v>72</v>
      </c>
    </row>
    <row r="108" spans="1:13" ht="15" customHeight="1" x14ac:dyDescent="0.45">
      <c r="B108" t="s">
        <v>87</v>
      </c>
      <c r="E108" s="44">
        <v>0</v>
      </c>
    </row>
    <row r="109" spans="1:13" ht="15" customHeight="1" x14ac:dyDescent="0.45">
      <c r="B109" t="s">
        <v>89</v>
      </c>
      <c r="E109" s="44"/>
    </row>
    <row r="111" spans="1:13" ht="15" customHeight="1" x14ac:dyDescent="0.45">
      <c r="B111" t="s">
        <v>85</v>
      </c>
      <c r="F111" s="49"/>
      <c r="G111" s="49"/>
      <c r="H111" s="49"/>
      <c r="I111" s="49"/>
      <c r="J111" s="49"/>
      <c r="K111" s="49"/>
      <c r="L111" s="49"/>
      <c r="M111" s="49"/>
    </row>
    <row r="113" spans="1:14" ht="15" customHeight="1" x14ac:dyDescent="0.45">
      <c r="A113" s="4" t="s">
        <v>90</v>
      </c>
      <c r="N113" s="62"/>
    </row>
    <row r="114" spans="1:14" ht="15" customHeight="1" x14ac:dyDescent="0.45">
      <c r="B114" t="s">
        <v>92</v>
      </c>
      <c r="F114" s="44">
        <v>1</v>
      </c>
      <c r="N114" s="62"/>
    </row>
    <row r="115" spans="1:14" ht="15" customHeight="1" x14ac:dyDescent="0.45">
      <c r="B115" t="s">
        <v>93</v>
      </c>
      <c r="N115" s="62"/>
    </row>
    <row r="116" spans="1:14" ht="15" customHeight="1" x14ac:dyDescent="0.45">
      <c r="B116" t="s">
        <v>94</v>
      </c>
      <c r="N116" s="62"/>
    </row>
    <row r="117" spans="1:14" ht="15" customHeight="1" x14ac:dyDescent="0.45">
      <c r="B117" t="s">
        <v>95</v>
      </c>
      <c r="N117" s="62"/>
    </row>
    <row r="119" spans="1:14" ht="15" customHeight="1" x14ac:dyDescent="0.45">
      <c r="B119" t="s">
        <v>96</v>
      </c>
    </row>
    <row r="120" spans="1:14" ht="15" customHeight="1" x14ac:dyDescent="0.45">
      <c r="B120" t="s">
        <v>97</v>
      </c>
      <c r="E120" s="49"/>
    </row>
    <row r="122" spans="1:14" ht="15" customHeight="1" x14ac:dyDescent="0.45">
      <c r="A122" s="4" t="s">
        <v>98</v>
      </c>
    </row>
    <row r="123" spans="1:14" ht="28.5" x14ac:dyDescent="0.45">
      <c r="C123" s="41" t="s">
        <v>99</v>
      </c>
      <c r="D123" s="59" t="s">
        <v>100</v>
      </c>
      <c r="E123" s="59" t="s">
        <v>104</v>
      </c>
      <c r="F123" s="59" t="s">
        <v>105</v>
      </c>
    </row>
    <row r="124" spans="1:14" ht="15" customHeight="1" x14ac:dyDescent="0.45">
      <c r="B124" s="41" t="s">
        <v>33</v>
      </c>
      <c r="C124" s="60"/>
      <c r="D124" s="61"/>
      <c r="E124" s="61"/>
      <c r="F124" s="61"/>
    </row>
    <row r="125" spans="1:14" ht="15" customHeight="1" x14ac:dyDescent="0.45">
      <c r="B125" s="51">
        <v>0.16</v>
      </c>
      <c r="C125" s="49"/>
    </row>
    <row r="126" spans="1:14" ht="15" customHeight="1" x14ac:dyDescent="0.45">
      <c r="B126" s="49">
        <f>B125+2%</f>
        <v>0.18</v>
      </c>
      <c r="C126" s="49"/>
    </row>
    <row r="127" spans="1:14" ht="15" customHeight="1" x14ac:dyDescent="0.45">
      <c r="B127" s="49">
        <f t="shared" ref="B127:B142" si="4">B126+2%</f>
        <v>0.19999999999999998</v>
      </c>
      <c r="C127" s="49"/>
    </row>
    <row r="128" spans="1:14" ht="15" customHeight="1" x14ac:dyDescent="0.45">
      <c r="B128" s="49">
        <f t="shared" si="4"/>
        <v>0.21999999999999997</v>
      </c>
      <c r="C128" s="49"/>
    </row>
    <row r="129" spans="1:3" ht="15" customHeight="1" x14ac:dyDescent="0.45">
      <c r="B129" s="49">
        <f t="shared" si="4"/>
        <v>0.23999999999999996</v>
      </c>
      <c r="C129" s="49"/>
    </row>
    <row r="130" spans="1:3" ht="15" customHeight="1" x14ac:dyDescent="0.45">
      <c r="B130" s="49">
        <f t="shared" si="4"/>
        <v>0.25999999999999995</v>
      </c>
      <c r="C130" s="49"/>
    </row>
    <row r="131" spans="1:3" ht="15" customHeight="1" x14ac:dyDescent="0.45">
      <c r="B131" s="49">
        <f t="shared" si="4"/>
        <v>0.27999999999999997</v>
      </c>
      <c r="C131" s="49"/>
    </row>
    <row r="132" spans="1:3" ht="15" customHeight="1" x14ac:dyDescent="0.45">
      <c r="B132" s="49">
        <f t="shared" si="4"/>
        <v>0.3</v>
      </c>
      <c r="C132" s="49"/>
    </row>
    <row r="133" spans="1:3" ht="15" customHeight="1" x14ac:dyDescent="0.45">
      <c r="B133" s="49">
        <f t="shared" si="4"/>
        <v>0.32</v>
      </c>
      <c r="C133" s="49"/>
    </row>
    <row r="134" spans="1:3" ht="15" customHeight="1" x14ac:dyDescent="0.45">
      <c r="B134" s="49">
        <f t="shared" si="4"/>
        <v>0.34</v>
      </c>
      <c r="C134" s="49"/>
    </row>
    <row r="135" spans="1:3" ht="15" customHeight="1" x14ac:dyDescent="0.45">
      <c r="B135" s="49">
        <f t="shared" si="4"/>
        <v>0.36000000000000004</v>
      </c>
      <c r="C135" s="49"/>
    </row>
    <row r="136" spans="1:3" ht="15" customHeight="1" x14ac:dyDescent="0.45">
      <c r="B136" s="49">
        <f t="shared" si="4"/>
        <v>0.38000000000000006</v>
      </c>
      <c r="C136" s="49"/>
    </row>
    <row r="137" spans="1:3" ht="15" customHeight="1" x14ac:dyDescent="0.45">
      <c r="B137" s="49">
        <f t="shared" si="4"/>
        <v>0.40000000000000008</v>
      </c>
      <c r="C137" s="49"/>
    </row>
    <row r="138" spans="1:3" ht="15" customHeight="1" x14ac:dyDescent="0.45">
      <c r="B138" s="49">
        <f t="shared" si="4"/>
        <v>0.4200000000000001</v>
      </c>
      <c r="C138" s="49"/>
    </row>
    <row r="139" spans="1:3" ht="15" customHeight="1" x14ac:dyDescent="0.45">
      <c r="B139" s="49">
        <f t="shared" si="4"/>
        <v>0.44000000000000011</v>
      </c>
      <c r="C139" s="49"/>
    </row>
    <row r="140" spans="1:3" ht="15" customHeight="1" x14ac:dyDescent="0.45">
      <c r="B140" s="49">
        <f t="shared" si="4"/>
        <v>0.46000000000000013</v>
      </c>
      <c r="C140" s="49"/>
    </row>
    <row r="141" spans="1:3" ht="15" customHeight="1" x14ac:dyDescent="0.45">
      <c r="B141" s="49">
        <f t="shared" si="4"/>
        <v>0.48000000000000015</v>
      </c>
      <c r="C141" s="49"/>
    </row>
    <row r="142" spans="1:3" ht="15" customHeight="1" x14ac:dyDescent="0.45">
      <c r="B142" s="49">
        <f t="shared" si="4"/>
        <v>0.50000000000000011</v>
      </c>
      <c r="C142" s="49"/>
    </row>
    <row r="144" spans="1:3" ht="15" customHeight="1" x14ac:dyDescent="0.45">
      <c r="A144" s="4" t="s">
        <v>101</v>
      </c>
    </row>
  </sheetData>
  <conditionalFormatting sqref="B9">
    <cfRule type="colorScale" priority="1">
      <colorScale>
        <cfvo type="min"/>
        <cfvo type="max"/>
        <color theme="4"/>
        <color theme="6"/>
      </colorScale>
    </cfRule>
  </conditionalFormatting>
  <printOptions headings="1" gridLines="1"/>
  <pageMargins left="0.23622047244094491" right="0.23622047244094491" top="0.74803149606299213" bottom="0.74803149606299213" header="0.31496062992125984" footer="0.31496062992125984"/>
  <pageSetup paperSize="9" scale="60" fitToHeight="3" orientation="landscape" verticalDpi="1200" r:id="rId1"/>
  <headerFooter>
    <oddHeader xml:space="preserve">&amp;R&amp;10&amp;F 
&amp;A
</oddHeader>
    <oddFooter>&amp;L&amp;10© 2025&amp;C&amp;10Page &amp;P of &amp;N&amp;R&amp;G</oddFooter>
  </headerFooter>
  <rowBreaks count="2" manualBreakCount="2">
    <brk id="45" max="18" man="1"/>
    <brk id="96" max="18" man="1"/>
  </row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EFB954-5187-4CE6-9AF2-A4F7EB3CF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  <ds:schemaRef ds:uri="7bb7a061-b855-42ef-b5fe-ec99cf5ad9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LBO</vt:lpstr>
      <vt:lpstr>Circswitch</vt:lpstr>
      <vt:lpstr>LBO!Print_Area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Phil Sparks</cp:lastModifiedBy>
  <cp:revision/>
  <cp:lastPrinted>2025-10-08T16:17:04Z</cp:lastPrinted>
  <dcterms:created xsi:type="dcterms:W3CDTF">2016-02-03T14:06:14Z</dcterms:created>
  <dcterms:modified xsi:type="dcterms:W3CDTF">2026-04-27T10:10:00Z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