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maria_weber_fe_training/Documents/Maria Weber/Materials Dev/LBO_Rothschild/Final Files/"/>
    </mc:Choice>
  </mc:AlternateContent>
  <xr:revisionPtr revIDLastSave="44" documentId="8_{B142EA25-04D5-4CD4-839E-D1EA0E8B6B12}" xr6:coauthVersionLast="47" xr6:coauthVersionMax="47" xr10:uidLastSave="{0701E2CC-D126-430F-9F3B-0359C3CCC375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LBO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LBO!$A$1:$S$144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2" l="1"/>
  <c r="C35" i="2" l="1"/>
  <c r="B126" i="2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F119" i="2"/>
  <c r="G114" i="2"/>
  <c r="H114" i="2" s="1"/>
  <c r="F94" i="2"/>
  <c r="G119" i="2" l="1"/>
  <c r="I114" i="2"/>
  <c r="J114" i="2" s="1"/>
  <c r="H119" i="2"/>
  <c r="J119" i="2" l="1"/>
  <c r="K114" i="2"/>
  <c r="C76" i="2"/>
  <c r="C67" i="2" s="1"/>
  <c r="C75" i="2"/>
  <c r="C74" i="2"/>
  <c r="C18" i="2"/>
  <c r="D10" i="2"/>
  <c r="C53" i="2" s="1"/>
  <c r="E100" i="2" s="1"/>
  <c r="F98" i="2" s="1"/>
  <c r="D8" i="2"/>
  <c r="C63" i="2"/>
  <c r="F62" i="2"/>
  <c r="G62" i="2"/>
  <c r="E62" i="2"/>
  <c r="F61" i="2"/>
  <c r="G61" i="2"/>
  <c r="E61" i="2"/>
  <c r="E70" i="2" s="1"/>
  <c r="E60" i="2"/>
  <c r="F60" i="2" s="1"/>
  <c r="G60" i="2" s="1"/>
  <c r="H60" i="2" s="1"/>
  <c r="I60" i="2" s="1"/>
  <c r="J60" i="2" s="1"/>
  <c r="K60" i="2" s="1"/>
  <c r="L60" i="2" s="1"/>
  <c r="C49" i="2"/>
  <c r="L114" i="2" l="1"/>
  <c r="K119" i="2"/>
  <c r="K73" i="2"/>
  <c r="L73" i="2"/>
  <c r="F70" i="2"/>
  <c r="E76" i="2"/>
  <c r="I73" i="2"/>
  <c r="F73" i="2"/>
  <c r="G73" i="2"/>
  <c r="H73" i="2"/>
  <c r="J73" i="2"/>
  <c r="C66" i="2"/>
  <c r="C65" i="2"/>
  <c r="F76" i="2" l="1"/>
  <c r="F91" i="2" s="1"/>
  <c r="F74" i="2"/>
  <c r="F72" i="2"/>
  <c r="G70" i="2"/>
  <c r="G72" i="2" s="1"/>
  <c r="F71" i="2"/>
  <c r="H70" i="2" l="1"/>
  <c r="H71" i="2" s="1"/>
  <c r="H79" i="2" s="1"/>
  <c r="F75" i="2"/>
  <c r="F80" i="2" s="1"/>
  <c r="F89" i="2" s="1"/>
  <c r="F90" i="2"/>
  <c r="F79" i="2"/>
  <c r="G76" i="2"/>
  <c r="G74" i="2"/>
  <c r="G71" i="2"/>
  <c r="G79" i="2" s="1"/>
  <c r="H76" i="2"/>
  <c r="I70" i="2"/>
  <c r="H72" i="2"/>
  <c r="H74" i="2" l="1"/>
  <c r="H75" i="2" s="1"/>
  <c r="H80" i="2" s="1"/>
  <c r="H89" i="2" s="1"/>
  <c r="G75" i="2"/>
  <c r="G80" i="2" s="1"/>
  <c r="G89" i="2" s="1"/>
  <c r="G90" i="2"/>
  <c r="H91" i="2"/>
  <c r="F81" i="2"/>
  <c r="G91" i="2"/>
  <c r="I74" i="2"/>
  <c r="I76" i="2"/>
  <c r="J70" i="2"/>
  <c r="K70" i="2" s="1"/>
  <c r="I72" i="2"/>
  <c r="I71" i="2"/>
  <c r="H90" i="2" l="1"/>
  <c r="L70" i="2"/>
  <c r="K74" i="2"/>
  <c r="K72" i="2"/>
  <c r="K76" i="2"/>
  <c r="K71" i="2"/>
  <c r="K79" i="2" s="1"/>
  <c r="G81" i="2"/>
  <c r="H81" i="2"/>
  <c r="I75" i="2"/>
  <c r="I80" i="2" s="1"/>
  <c r="I89" i="2" s="1"/>
  <c r="I90" i="2"/>
  <c r="I91" i="2"/>
  <c r="J76" i="2"/>
  <c r="J74" i="2"/>
  <c r="J90" i="2" s="1"/>
  <c r="I79" i="2"/>
  <c r="J72" i="2"/>
  <c r="J71" i="2"/>
  <c r="K75" i="2" l="1"/>
  <c r="K80" i="2" s="1"/>
  <c r="K89" i="2" s="1"/>
  <c r="K90" i="2"/>
  <c r="L76" i="2"/>
  <c r="L71" i="2"/>
  <c r="L74" i="2"/>
  <c r="L72" i="2"/>
  <c r="L91" i="2"/>
  <c r="J91" i="2"/>
  <c r="K91" i="2"/>
  <c r="I81" i="2"/>
  <c r="J75" i="2"/>
  <c r="J80" i="2" s="1"/>
  <c r="J79" i="2"/>
  <c r="L90" i="2" l="1"/>
  <c r="L75" i="2"/>
  <c r="L79" i="2"/>
  <c r="K81" i="2"/>
  <c r="J81" i="2"/>
  <c r="J89" i="2"/>
  <c r="L80" i="2" l="1"/>
  <c r="L81" i="2" s="1"/>
  <c r="C41" i="2"/>
  <c r="C37" i="2"/>
  <c r="C36" i="2"/>
  <c r="C20" i="2"/>
  <c r="C17" i="2"/>
  <c r="E7" i="2"/>
  <c r="F7" i="2" s="1"/>
  <c r="G7" i="2" s="1"/>
  <c r="A1" i="6"/>
  <c r="A1" i="2"/>
  <c r="L89" i="2" l="1"/>
  <c r="D124" i="2"/>
  <c r="C21" i="2"/>
  <c r="C27" i="2" s="1"/>
  <c r="C54" i="2"/>
  <c r="A7" i="1"/>
  <c r="E105" i="2" l="1"/>
  <c r="F103" i="2" s="1"/>
  <c r="C48" i="2"/>
  <c r="E124" i="2"/>
  <c r="F124" i="2"/>
  <c r="C50" i="2" l="1"/>
  <c r="C51" i="2" s="1"/>
  <c r="C55" i="2" s="1"/>
  <c r="E119" i="2" s="1"/>
  <c r="C43" i="2"/>
  <c r="C44" i="2" s="1"/>
  <c r="F115" i="2" l="1"/>
  <c r="G115" i="2"/>
  <c r="H115" i="2"/>
  <c r="I115" i="2"/>
  <c r="K115" i="2"/>
  <c r="J115" i="2"/>
  <c r="L115" i="2"/>
  <c r="C56" i="2"/>
  <c r="L119" i="2"/>
  <c r="F82" i="2"/>
  <c r="G82" i="2"/>
  <c r="H82" i="2"/>
  <c r="I82" i="2"/>
  <c r="J82" i="2"/>
  <c r="K82" i="2"/>
  <c r="L82" i="2"/>
  <c r="F83" i="2"/>
  <c r="G83" i="2"/>
  <c r="H83" i="2"/>
  <c r="I83" i="2"/>
  <c r="J83" i="2"/>
  <c r="K83" i="2"/>
  <c r="L83" i="2"/>
  <c r="F84" i="2"/>
  <c r="G84" i="2"/>
  <c r="H84" i="2"/>
  <c r="I84" i="2"/>
  <c r="J84" i="2"/>
  <c r="K84" i="2"/>
  <c r="L84" i="2"/>
  <c r="F85" i="2"/>
  <c r="G85" i="2"/>
  <c r="H85" i="2"/>
  <c r="I85" i="2"/>
  <c r="J85" i="2"/>
  <c r="K85" i="2"/>
  <c r="L85" i="2"/>
  <c r="F88" i="2"/>
  <c r="G88" i="2"/>
  <c r="H88" i="2"/>
  <c r="I88" i="2"/>
  <c r="J88" i="2"/>
  <c r="K88" i="2"/>
  <c r="L88" i="2"/>
  <c r="F92" i="2"/>
  <c r="G92" i="2"/>
  <c r="H92" i="2"/>
  <c r="I92" i="2"/>
  <c r="J92" i="2"/>
  <c r="K92" i="2"/>
  <c r="L92" i="2"/>
  <c r="G94" i="2"/>
  <c r="H94" i="2"/>
  <c r="I94" i="2"/>
  <c r="J94" i="2"/>
  <c r="K94" i="2"/>
  <c r="L94" i="2"/>
  <c r="F95" i="2"/>
  <c r="G95" i="2"/>
  <c r="H95" i="2"/>
  <c r="I95" i="2"/>
  <c r="J95" i="2"/>
  <c r="K95" i="2"/>
  <c r="L95" i="2"/>
  <c r="G98" i="2"/>
  <c r="H98" i="2"/>
  <c r="I98" i="2"/>
  <c r="J98" i="2"/>
  <c r="K98" i="2"/>
  <c r="L98" i="2"/>
  <c r="F99" i="2"/>
  <c r="G99" i="2"/>
  <c r="H99" i="2"/>
  <c r="I99" i="2"/>
  <c r="J99" i="2"/>
  <c r="K99" i="2"/>
  <c r="L99" i="2"/>
  <c r="F100" i="2"/>
  <c r="G100" i="2"/>
  <c r="H100" i="2"/>
  <c r="I100" i="2"/>
  <c r="J100" i="2"/>
  <c r="K100" i="2"/>
  <c r="L100" i="2"/>
  <c r="F101" i="2"/>
  <c r="G101" i="2"/>
  <c r="H101" i="2"/>
  <c r="I101" i="2"/>
  <c r="J101" i="2"/>
  <c r="K101" i="2"/>
  <c r="L101" i="2"/>
  <c r="G103" i="2"/>
  <c r="H103" i="2"/>
  <c r="I103" i="2"/>
  <c r="J103" i="2"/>
  <c r="K103" i="2"/>
  <c r="L103" i="2"/>
  <c r="F104" i="2"/>
  <c r="G104" i="2"/>
  <c r="H104" i="2"/>
  <c r="I104" i="2"/>
  <c r="J104" i="2"/>
  <c r="K104" i="2"/>
  <c r="L104" i="2"/>
  <c r="F105" i="2"/>
  <c r="G105" i="2"/>
  <c r="H105" i="2"/>
  <c r="I105" i="2"/>
  <c r="J105" i="2"/>
  <c r="K105" i="2"/>
  <c r="L105" i="2"/>
  <c r="F106" i="2"/>
  <c r="G106" i="2"/>
  <c r="H106" i="2"/>
  <c r="I106" i="2"/>
  <c r="J106" i="2"/>
  <c r="K106" i="2"/>
  <c r="L106" i="2"/>
  <c r="F108" i="2"/>
  <c r="G108" i="2"/>
  <c r="H108" i="2"/>
  <c r="I108" i="2"/>
  <c r="J108" i="2"/>
  <c r="K108" i="2"/>
  <c r="L108" i="2"/>
  <c r="F109" i="2"/>
  <c r="G109" i="2"/>
  <c r="H109" i="2"/>
  <c r="I109" i="2"/>
  <c r="J109" i="2"/>
  <c r="K109" i="2"/>
  <c r="L109" i="2"/>
  <c r="F111" i="2"/>
  <c r="G111" i="2"/>
  <c r="H111" i="2"/>
  <c r="I111" i="2"/>
  <c r="J111" i="2"/>
  <c r="K111" i="2"/>
  <c r="L111" i="2"/>
  <c r="F116" i="2"/>
  <c r="G116" i="2"/>
  <c r="H116" i="2"/>
  <c r="I116" i="2"/>
  <c r="J116" i="2"/>
  <c r="K116" i="2"/>
  <c r="L116" i="2"/>
  <c r="F117" i="2"/>
  <c r="G117" i="2"/>
  <c r="H117" i="2"/>
  <c r="I117" i="2"/>
  <c r="J117" i="2"/>
  <c r="K117" i="2"/>
  <c r="L117" i="2"/>
  <c r="I119" i="2"/>
  <c r="E120" i="2"/>
  <c r="C1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Weber</author>
    <author>FE</author>
  </authors>
  <commentList>
    <comment ref="D8" authorId="0" shapeId="0" xr:uid="{90BABE5E-C5A6-4817-A527-C2B774DC6F99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Calculated using pro-forma numbers on p12 of half-year 2025 report and p7 of Q4 2024 press release.
</t>
        </r>
      </text>
    </comment>
    <comment ref="D10" authorId="0" shapeId="0" xr:uid="{BBD93520-A49D-4CF2-97A6-E54AC5AE7E59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740*43% adj EBITDA margin per p7 of Q4 press release plus pro-forma EBITDA numbers p12 of half-year 2025 report. 
</t>
        </r>
      </text>
    </comment>
    <comment ref="C22" authorId="1" shapeId="0" xr:uid="{3AE65A6B-4411-4259-87A4-A177E29B5661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Nominal value of loans and promissory notes, note 9a p34 half-year 2025 report.</t>
        </r>
      </text>
    </comment>
    <comment ref="C33" authorId="1" shapeId="0" xr:uid="{692C51CA-2068-46E4-B516-D096A961AC72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10-year bund. Source: Felix
</t>
        </r>
      </text>
    </comment>
    <comment ref="C34" authorId="1" shapeId="0" xr:uid="{B8DBB36C-FE46-4B6E-BA2E-C12A2222ACCB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European BB 10-year credit spread. Source: Felix</t>
        </r>
      </text>
    </comment>
    <comment ref="C72" authorId="1" shapeId="0" xr:uid="{35761E0B-A568-46FE-A05E-75B1B86549A5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Note 22 p186 Annual Report 2024.</t>
        </r>
      </text>
    </comment>
    <comment ref="C74" authorId="0" shapeId="0" xr:uid="{AD555754-DFEB-451E-9D30-26463432965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Capex from CFS plus new lease assets p164 of 2024 Annual Report. </t>
        </r>
      </text>
    </comment>
    <comment ref="C75" authorId="0" shapeId="0" xr:uid="{3B1FA82E-634A-46BD-A308-20CF8C739C2E}">
      <text>
        <r>
          <rPr>
            <b/>
            <sz val="9"/>
            <color indexed="81"/>
            <rFont val="Tahoma"/>
            <family val="2"/>
          </rPr>
          <t xml:space="preserve">FE:
</t>
        </r>
        <r>
          <rPr>
            <sz val="9"/>
            <color indexed="81"/>
            <rFont val="Tahoma"/>
            <family val="2"/>
          </rPr>
          <t>Stripped out D&amp;A as result of acquisitions - 'PPA depreciation' of 18.6 disclosed in note 3.3 p40 of 2024 Annual Report.</t>
        </r>
      </text>
    </comment>
    <comment ref="B115" authorId="1" shapeId="0" xr:uid="{EDDA7BAA-3A70-49DC-BE16-71A79B30CE7F}">
      <text>
        <r>
          <rPr>
            <b/>
            <sz val="9"/>
            <color indexed="81"/>
            <rFont val="Tahoma"/>
            <charset val="1"/>
          </rPr>
          <t>FE:</t>
        </r>
        <r>
          <rPr>
            <sz val="9"/>
            <color indexed="81"/>
            <rFont val="Tahoma"/>
            <charset val="1"/>
          </rPr>
          <t xml:space="preserve">
For consistency, add back the stock-based comp as the multiple is calc on this basis.</t>
        </r>
      </text>
    </comment>
  </commentList>
</comments>
</file>

<file path=xl/sharedStrings.xml><?xml version="1.0" encoding="utf-8"?>
<sst xmlns="http://schemas.openxmlformats.org/spreadsheetml/2006/main" count="128" uniqueCount="119">
  <si>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</si>
  <si>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</si>
  <si>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</si>
  <si>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</si>
  <si>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</si>
  <si>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Company name</t>
  </si>
  <si>
    <t>Date</t>
  </si>
  <si>
    <t>Currency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</si>
  <si>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</si>
  <si>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</si>
  <si>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</si>
  <si>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</si>
  <si>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</si>
  <si>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</si>
  <si>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</si>
  <si>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</si>
  <si>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</si>
  <si>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</si>
  <si>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Workout Information</t>
  </si>
  <si>
    <t>LBO Case</t>
  </si>
  <si>
    <t>Deal Structuring</t>
  </si>
  <si>
    <t>LBO</t>
  </si>
  <si>
    <t>Short form LBO analysis</t>
  </si>
  <si>
    <t>TeamViewer SE</t>
  </si>
  <si>
    <t>Eur</t>
  </si>
  <si>
    <t>All amounts in Eur millions except per share amounts</t>
  </si>
  <si>
    <t>Consensus forecasts for TeamViewer</t>
  </si>
  <si>
    <t>Revenue</t>
  </si>
  <si>
    <t>Growth</t>
  </si>
  <si>
    <t>EBITDA</t>
  </si>
  <si>
    <t>Margin</t>
  </si>
  <si>
    <t>Acquisition enterprise value</t>
  </si>
  <si>
    <t>1-month VWAP</t>
  </si>
  <si>
    <t>Acquisition premium</t>
  </si>
  <si>
    <t>Basic shares</t>
  </si>
  <si>
    <t>Dilution adjustment - RSUs</t>
  </si>
  <si>
    <t xml:space="preserve">Fully diluted shares out. </t>
  </si>
  <si>
    <t xml:space="preserve">Acquisition equity value </t>
  </si>
  <si>
    <t>Debt - loans</t>
  </si>
  <si>
    <t>Debt - leases</t>
  </si>
  <si>
    <t>Cash and cash equivalents</t>
  </si>
  <si>
    <t>Investment in associates</t>
  </si>
  <si>
    <t>Fees % acquisition enterprise value</t>
  </si>
  <si>
    <t>Tax rate</t>
  </si>
  <si>
    <t xml:space="preserve">Risk free rate </t>
  </si>
  <si>
    <t>Senior debt spread</t>
  </si>
  <si>
    <t>Junior debt spread</t>
  </si>
  <si>
    <t>Senior debt interest rate</t>
  </si>
  <si>
    <t>Junior debt interest rate</t>
  </si>
  <si>
    <t>Maximum debt/EBITDA</t>
  </si>
  <si>
    <t>Senior debt/EBITDA</t>
  </si>
  <si>
    <t>Junior debt/EBITDA</t>
  </si>
  <si>
    <t>Exit Year</t>
  </si>
  <si>
    <t>Exit EV/EBITDA Multiple</t>
  </si>
  <si>
    <t>Fees</t>
  </si>
  <si>
    <t>Senior debt</t>
  </si>
  <si>
    <t>Junior debt</t>
  </si>
  <si>
    <t>Common equity</t>
  </si>
  <si>
    <t>Total uses of funds</t>
  </si>
  <si>
    <t>Total sources of funds</t>
  </si>
  <si>
    <t>Equity purchase price</t>
  </si>
  <si>
    <t>Net debt refinancing</t>
  </si>
  <si>
    <t>Entry EV/EBITDA Multiple</t>
  </si>
  <si>
    <t xml:space="preserve">LBO assumptions </t>
  </si>
  <si>
    <t>Sources and uses</t>
  </si>
  <si>
    <t>Forecast assumptions</t>
  </si>
  <si>
    <t>Revenue growth %</t>
  </si>
  <si>
    <t xml:space="preserve">EBITDA margin % </t>
  </si>
  <si>
    <t>Share-based compensation % revenue</t>
  </si>
  <si>
    <t>Operational improvements % LTM revenue</t>
  </si>
  <si>
    <t xml:space="preserve">Capex % D&amp;A </t>
  </si>
  <si>
    <t>Forecast</t>
  </si>
  <si>
    <t>EBITDA before SBC and operational improvements</t>
  </si>
  <si>
    <t>Share-based compensation expense</t>
  </si>
  <si>
    <t>Operational improvements</t>
  </si>
  <si>
    <t>EBITDA after SBC and operational improvements</t>
  </si>
  <si>
    <t>Capex</t>
  </si>
  <si>
    <t>D&amp;A</t>
  </si>
  <si>
    <t>OWC including deferred revenue</t>
  </si>
  <si>
    <t xml:space="preserve">EBIT </t>
  </si>
  <si>
    <t>Interest expense</t>
  </si>
  <si>
    <t>Profit before tax</t>
  </si>
  <si>
    <t>Tax expense</t>
  </si>
  <si>
    <t>Net income</t>
  </si>
  <si>
    <t>Income statement</t>
  </si>
  <si>
    <t>Capex % revenue</t>
  </si>
  <si>
    <t>OWC including deferred revenue % revenue</t>
  </si>
  <si>
    <t>+ D&amp;A</t>
  </si>
  <si>
    <t>- Capex</t>
  </si>
  <si>
    <t>Cash flow available for debt repayment</t>
  </si>
  <si>
    <t>Debt schedule</t>
  </si>
  <si>
    <t>Beginning senior debt</t>
  </si>
  <si>
    <t>Repayment</t>
  </si>
  <si>
    <t>Ending senior debt</t>
  </si>
  <si>
    <t>Beginning junior debt</t>
  </si>
  <si>
    <t>Ending junior debt</t>
  </si>
  <si>
    <t>Debt repaid % total debt</t>
  </si>
  <si>
    <t>Beginning cash</t>
  </si>
  <si>
    <t>Cash available for debt repayment</t>
  </si>
  <si>
    <t>Ending cash</t>
  </si>
  <si>
    <t>Interest rate on cash</t>
  </si>
  <si>
    <t>Interest income</t>
  </si>
  <si>
    <t>Returns to equity holders</t>
  </si>
  <si>
    <t>Net interest expense</t>
  </si>
  <si>
    <t>Year count</t>
  </si>
  <si>
    <t>Enterprise value</t>
  </si>
  <si>
    <t>Net debt</t>
  </si>
  <si>
    <t>Equity value</t>
  </si>
  <si>
    <t>Cash flow to equity holders</t>
  </si>
  <si>
    <t xml:space="preserve">IRR </t>
  </si>
  <si>
    <t>Valuation range</t>
  </si>
  <si>
    <t>IRR</t>
  </si>
  <si>
    <t>Acquisition share price</t>
  </si>
  <si>
    <t>End</t>
  </si>
  <si>
    <t>LTM (pro-forma to Jun'25)</t>
  </si>
  <si>
    <t>Other financial assets</t>
  </si>
  <si>
    <t>Acquisition equity value</t>
  </si>
  <si>
    <t>Acquisition EV</t>
  </si>
  <si>
    <t>(Increase)/decrease in OWC including deferred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</si>
</sst>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mmm\'yy&quot;a&quot;"/>
    <numFmt numFmtId="175" formatCode="mmm\'yy&quot;e&quot;"/>
  </numFmts>
  <fonts count="42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27" fillId="2" borderId="0">
      <alignment horizontal="center"/>
    </xf>
  </cellStyleXfs>
  <cellXfs count="73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5" fillId="0" borderId="0" xfId="50" applyNumberFormat="1" applyFill="1">
      <alignment horizontal="left" vertical="center"/>
    </xf>
    <xf numFmtId="171" fontId="0" fillId="0" borderId="0" xfId="0" quotePrefix="1"/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27" fillId="2" borderId="0" xfId="53" applyNumberFormat="1">
      <alignment horizontal="center"/>
    </xf>
    <xf numFmtId="174" fontId="27" fillId="2" borderId="0" xfId="60" applyNumberFormat="1">
      <alignment horizontal="center"/>
    </xf>
    <xf numFmtId="175" fontId="27" fillId="2" borderId="0" xfId="60" applyNumberFormat="1">
      <alignment horizontal="center"/>
    </xf>
    <xf numFmtId="171" fontId="30" fillId="0" borderId="0" xfId="57" applyNumberFormat="1" applyFill="1"/>
    <xf numFmtId="173" fontId="30" fillId="0" borderId="0" xfId="56" applyFont="1" applyFill="1"/>
    <xf numFmtId="171" fontId="36" fillId="0" borderId="0" xfId="0" applyFont="1"/>
    <xf numFmtId="171" fontId="30" fillId="37" borderId="10" xfId="59" applyNumberFormat="1" applyProtection="1"/>
    <xf numFmtId="173" fontId="30" fillId="37" borderId="10" xfId="56" applyFont="1" applyFill="1" applyBorder="1" applyProtection="1"/>
    <xf numFmtId="173" fontId="0" fillId="0" borderId="0" xfId="56" applyFont="1" applyFill="1"/>
    <xf numFmtId="173" fontId="30" fillId="37" borderId="10" xfId="59" applyNumberFormat="1" applyProtection="1"/>
    <xf numFmtId="173" fontId="30" fillId="0" borderId="0" xfId="57" applyNumberFormat="1" applyFill="1"/>
    <xf numFmtId="172" fontId="0" fillId="0" borderId="0" xfId="55" applyFont="1"/>
    <xf numFmtId="172" fontId="30" fillId="37" borderId="10" xfId="59" applyNumberFormat="1" applyProtection="1"/>
    <xf numFmtId="173" fontId="30" fillId="37" borderId="10" xfId="59" applyNumberFormat="1" applyAlignment="1" applyProtection="1">
      <alignment wrapText="1"/>
    </xf>
    <xf numFmtId="171" fontId="30" fillId="0" borderId="10" xfId="59" applyNumberFormat="1" applyFill="1">
      <protection locked="0"/>
    </xf>
    <xf numFmtId="173" fontId="30" fillId="0" borderId="10" xfId="59" applyNumberFormat="1" applyFill="1" applyAlignment="1" applyProtection="1">
      <alignment wrapText="1"/>
    </xf>
    <xf numFmtId="173" fontId="30" fillId="37" borderId="0" xfId="59" applyNumberFormat="1" applyBorder="1" applyAlignment="1" applyProtection="1">
      <alignment wrapText="1"/>
    </xf>
    <xf numFmtId="171" fontId="36" fillId="0" borderId="0" xfId="0" quotePrefix="1" applyFont="1"/>
    <xf numFmtId="171" fontId="27" fillId="2" borderId="0" xfId="53" applyNumberFormat="1" applyAlignment="1">
      <alignment horizontal="center" wrapText="1"/>
    </xf>
    <xf numFmtId="173" fontId="41" fillId="38" borderId="0" xfId="56" applyFont="1" applyFill="1"/>
    <xf numFmtId="171" fontId="41" fillId="38" borderId="0" xfId="0" applyFont="1" applyFill="1"/>
    <xf numFmtId="171" fontId="1" fillId="0" borderId="0" xfId="0" applyFont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  <xf numFmtId="171" fontId="0" fillId="4" borderId="0" xfId="51" applyNumberFormat="1" applyFont="1" applyAlignment="1"/>
    <xf numFmtId="168" fontId="29" fillId="4" borderId="0" xfId="51" applyNumberFormat="1" applyFont="1" applyAlignment="1">
      <alignment horizontal="left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st Proj Title" xfId="60" xr:uid="{D3FD18D4-B737-49F8-97BB-EB62CD7682C6}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F0F8FE"/>
      <color rgb="FF085393"/>
      <color rgb="FF163260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2133599</xdr:colOff>
      <xdr:row>0</xdr:row>
      <xdr:rowOff>123820</xdr:rowOff>
    </xdr:from>
    <xdr:to>
      <xdr:col>17</xdr:col>
      <xdr:colOff>28498</xdr:colOff>
      <xdr:row>0</xdr:row>
      <xdr:rowOff>489515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4" y="123820"/>
          <a:ext cx="428549" cy="3656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5" customFormat="1" ht="75" customHeight="1" x14ac:dyDescent="0.45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66"/>
      <c r="D4" s="66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64" t="s">
        <v>0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4" s="6" customFormat="1" ht="15" customHeight="1" x14ac:dyDescent="0.4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4" s="6" customFormat="1" ht="15" customHeight="1" x14ac:dyDescent="0.45">
      <c r="A7" s="64" t="str">
        <f ca="1">"© "&amp;YEAR(TODAY())&amp;" Financial Edge Training"</f>
        <v>© 2025 Financial Edge Training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</row>
    <row r="8" spans="1:14" s="6" customFormat="1" ht="15" customHeight="1" x14ac:dyDescent="0.45">
      <c r="A8" s="63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s="6" customFormat="1" ht="15" customHeight="1" thickBot="1" x14ac:dyDescent="0.5">
      <c r="A9" s="31"/>
      <c r="B9" s="32"/>
      <c r="C9" s="31"/>
      <c r="D9" s="31"/>
      <c r="E9" s="33"/>
      <c r="F9" s="34"/>
      <c r="G9" s="34"/>
      <c r="H9" s="34"/>
      <c r="I9" s="34"/>
      <c r="J9" s="34"/>
      <c r="K9" s="34"/>
      <c r="L9" s="33"/>
      <c r="M9" s="33"/>
      <c r="N9" s="33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</cols>
  <sheetData>
    <row r="1" spans="1:18" ht="45" customHeight="1" x14ac:dyDescent="0.85">
      <c r="A1" s="35" t="str">
        <f>Welcome!A2</f>
        <v>LBO Case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30" customHeight="1" x14ac:dyDescent="0.65">
      <c r="A2" s="36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s="3" customFormat="1" ht="7.5" customHeight="1" x14ac:dyDescent="0.45"/>
    <row r="4" spans="1:18" s="3" customFormat="1" ht="22.5" customHeight="1" x14ac:dyDescent="0.5">
      <c r="A4" s="1"/>
      <c r="B4" s="37" t="s">
        <v>2</v>
      </c>
      <c r="C4" s="20"/>
      <c r="D4" s="20"/>
      <c r="E4" s="20"/>
      <c r="F4" s="20"/>
      <c r="G4" s="20"/>
      <c r="H4" s="20"/>
      <c r="I4" s="20"/>
      <c r="K4" s="1"/>
      <c r="L4" s="68" t="s">
        <v>3</v>
      </c>
      <c r="M4" s="68"/>
      <c r="N4" s="68"/>
      <c r="O4" s="68"/>
      <c r="P4" s="68"/>
      <c r="Q4" s="20"/>
      <c r="R4" s="15"/>
    </row>
    <row r="5" spans="1:18" s="3" customFormat="1" ht="15" customHeight="1" x14ac:dyDescent="0.45">
      <c r="A5" s="2"/>
      <c r="B5" s="30" t="s">
        <v>4</v>
      </c>
      <c r="C5" s="20" t="s">
        <v>20</v>
      </c>
      <c r="D5" s="20"/>
      <c r="E5" s="20"/>
      <c r="F5" s="20"/>
      <c r="G5" s="20"/>
      <c r="H5" s="20"/>
      <c r="I5" s="20"/>
      <c r="K5" s="1"/>
      <c r="L5" s="38" t="s">
        <v>5</v>
      </c>
      <c r="M5" s="20"/>
      <c r="N5" s="71" t="s">
        <v>23</v>
      </c>
      <c r="O5" s="71"/>
      <c r="P5" s="71"/>
      <c r="Q5" s="71"/>
      <c r="R5" s="15"/>
    </row>
    <row r="6" spans="1:18" s="3" customFormat="1" ht="15" customHeight="1" x14ac:dyDescent="0.45">
      <c r="A6" s="26"/>
      <c r="B6" s="30"/>
      <c r="C6" s="20"/>
      <c r="D6" s="20"/>
      <c r="E6" s="20"/>
      <c r="F6" s="20"/>
      <c r="G6" s="20"/>
      <c r="H6" s="20"/>
      <c r="I6" s="20"/>
      <c r="K6" s="2"/>
      <c r="L6" s="38" t="s">
        <v>6</v>
      </c>
      <c r="M6" s="20"/>
      <c r="N6" s="72">
        <v>45931</v>
      </c>
      <c r="O6" s="72"/>
      <c r="P6" s="72"/>
      <c r="Q6" s="72"/>
      <c r="R6" s="15"/>
    </row>
    <row r="7" spans="1:18" s="3" customFormat="1" ht="15" customHeight="1" x14ac:dyDescent="0.45">
      <c r="A7" s="21"/>
      <c r="B7" s="30"/>
      <c r="C7" s="20"/>
      <c r="D7" s="20"/>
      <c r="E7" s="20"/>
      <c r="F7" s="20"/>
      <c r="G7" s="20"/>
      <c r="H7" s="20"/>
      <c r="I7" s="20"/>
      <c r="K7" s="26"/>
      <c r="L7" s="38" t="s">
        <v>7</v>
      </c>
      <c r="M7" s="20"/>
      <c r="N7" s="71" t="s">
        <v>24</v>
      </c>
      <c r="O7" s="71"/>
      <c r="P7" s="71"/>
      <c r="Q7" s="71"/>
      <c r="R7" s="15"/>
    </row>
    <row r="8" spans="1:18" s="3" customFormat="1" ht="15" customHeight="1" x14ac:dyDescent="0.45">
      <c r="A8" s="21"/>
      <c r="B8" s="27"/>
      <c r="C8" s="20"/>
      <c r="D8" s="20"/>
      <c r="E8" s="20"/>
      <c r="F8" s="20"/>
      <c r="G8" s="20"/>
      <c r="H8" s="20"/>
      <c r="I8" s="20"/>
      <c r="K8" s="21"/>
      <c r="L8" s="38" t="s">
        <v>8</v>
      </c>
      <c r="M8" s="20"/>
      <c r="N8" s="71" t="s">
        <v>9</v>
      </c>
      <c r="O8" s="71"/>
      <c r="P8" s="71"/>
      <c r="Q8" s="71"/>
      <c r="R8" s="15"/>
    </row>
    <row r="9" spans="1:18" s="3" customFormat="1" ht="15" customHeight="1" x14ac:dyDescent="0.45">
      <c r="A9" s="16"/>
      <c r="B9" s="28"/>
      <c r="C9" s="20"/>
      <c r="D9" s="20"/>
      <c r="E9" s="20"/>
      <c r="F9" s="20"/>
      <c r="G9" s="20"/>
      <c r="H9" s="20"/>
      <c r="I9" s="20"/>
      <c r="K9" s="21"/>
      <c r="L9" s="38" t="s">
        <v>10</v>
      </c>
      <c r="M9" s="20"/>
      <c r="N9" s="71" t="s">
        <v>11</v>
      </c>
      <c r="O9" s="71"/>
      <c r="P9" s="71"/>
      <c r="Q9" s="71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8" t="s">
        <v>12</v>
      </c>
      <c r="M10" s="20"/>
      <c r="N10" s="69">
        <v>1</v>
      </c>
      <c r="O10" s="69"/>
      <c r="P10" s="69"/>
      <c r="Q10" s="69"/>
      <c r="R10" s="17"/>
    </row>
    <row r="11" spans="1:18" s="3" customFormat="1" ht="15" customHeight="1" thickBot="1" x14ac:dyDescent="0.5">
      <c r="A11" s="25"/>
      <c r="B11" s="25"/>
      <c r="C11" s="25"/>
      <c r="D11" s="25"/>
      <c r="E11" s="25"/>
      <c r="F11" s="25"/>
      <c r="G11" s="25"/>
      <c r="H11" s="25"/>
      <c r="I11" s="25"/>
      <c r="K11" s="25"/>
      <c r="L11" s="29"/>
      <c r="M11" s="29"/>
      <c r="N11" s="29"/>
      <c r="O11" s="29"/>
      <c r="P11" s="29"/>
      <c r="Q11" s="29"/>
      <c r="R11" s="25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7" t="s">
        <v>13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70" t="s">
        <v>14</v>
      </c>
      <c r="P13" s="70"/>
      <c r="Q13" s="70"/>
      <c r="R13" s="22"/>
    </row>
    <row r="14" spans="1:18" s="3" customFormat="1" ht="15" customHeight="1" x14ac:dyDescent="0.45">
      <c r="A14" s="21"/>
      <c r="B14" s="20" t="s">
        <v>21</v>
      </c>
      <c r="C14" s="20"/>
      <c r="D14" s="20" t="s">
        <v>22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6"/>
      <c r="O15" s="9"/>
      <c r="P15" s="18" t="s">
        <v>15</v>
      </c>
      <c r="Q15" s="5"/>
      <c r="R15" s="21"/>
    </row>
    <row r="16" spans="1:18" s="3" customFormat="1" ht="15" customHeight="1" x14ac:dyDescent="0.45">
      <c r="A16" s="2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N16" s="21"/>
      <c r="O16" s="9"/>
      <c r="P16" s="11" t="s">
        <v>16</v>
      </c>
      <c r="Q16" s="5"/>
      <c r="R16" s="21"/>
    </row>
    <row r="17" spans="1:18" s="3" customFormat="1" ht="15" customHeight="1" x14ac:dyDescent="0.45">
      <c r="A17" s="2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N17" s="21"/>
      <c r="O17" s="9"/>
      <c r="P17" t="s">
        <v>17</v>
      </c>
      <c r="Q17" s="5"/>
      <c r="R17" s="21"/>
    </row>
    <row r="18" spans="1:18" s="3" customFormat="1" ht="15" customHeight="1" x14ac:dyDescent="0.45">
      <c r="A18" s="14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N18" s="14"/>
      <c r="O18" s="19"/>
      <c r="P18" s="19"/>
      <c r="Q18" s="19"/>
      <c r="R18" s="14"/>
    </row>
    <row r="19" spans="1:18" ht="14.65" thickBot="1" x14ac:dyDescent="0.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N19" s="25"/>
      <c r="O19" s="25"/>
      <c r="P19" s="25"/>
      <c r="Q19" s="25"/>
      <c r="R19" s="25"/>
    </row>
  </sheetData>
  <mergeCells count="14">
    <mergeCell ref="B16:C16"/>
    <mergeCell ref="B17:C17"/>
    <mergeCell ref="B18:C18"/>
    <mergeCell ref="D16:L16"/>
    <mergeCell ref="D17:L17"/>
    <mergeCell ref="D18:L18"/>
    <mergeCell ref="L4:P4"/>
    <mergeCell ref="N10:Q10"/>
    <mergeCell ref="O13:Q13"/>
    <mergeCell ref="N5:Q5"/>
    <mergeCell ref="N6:Q6"/>
    <mergeCell ref="N7:Q7"/>
    <mergeCell ref="N8:Q8"/>
    <mergeCell ref="N9:Q9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4"/>
  <sheetViews>
    <sheetView zoomScaleNormal="100" workbookViewId="0"/>
  </sheetViews>
  <sheetFormatPr defaultColWidth="9.1328125" defaultRowHeight="15" customHeight="1" x14ac:dyDescent="0.45"/>
  <cols>
    <col min="1" max="1" width="1.53125" style="4" customWidth="1"/>
    <col min="2" max="2" width="45.19921875" bestFit="1" customWidth="1"/>
    <col min="3" max="3" width="11.53125" customWidth="1"/>
    <col min="4" max="4" width="15.6640625" customWidth="1"/>
    <col min="5" max="10" width="11.53125" customWidth="1"/>
    <col min="11" max="12" width="9.1328125" customWidth="1"/>
    <col min="13" max="13" width="16" bestFit="1" customWidth="1"/>
  </cols>
  <sheetData>
    <row r="1" spans="1:12" ht="45" customHeight="1" x14ac:dyDescent="0.85">
      <c r="A1" s="35" t="str">
        <f>Welcome!A2</f>
        <v>LBO Case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30" customHeight="1" x14ac:dyDescent="0.65">
      <c r="A2" s="36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5" customHeight="1" x14ac:dyDescent="0.45">
      <c r="A3" s="4" t="s">
        <v>25</v>
      </c>
    </row>
    <row r="5" spans="1:12" ht="15" customHeight="1" x14ac:dyDescent="0.45">
      <c r="A5" s="4" t="s">
        <v>26</v>
      </c>
      <c r="E5" s="24"/>
    </row>
    <row r="6" spans="1:12" ht="15" customHeight="1" x14ac:dyDescent="0.45">
      <c r="D6" s="46"/>
    </row>
    <row r="7" spans="1:12" ht="28.5" x14ac:dyDescent="0.45">
      <c r="B7" s="41"/>
      <c r="C7" s="42">
        <v>45657</v>
      </c>
      <c r="D7" s="59" t="s">
        <v>114</v>
      </c>
      <c r="E7" s="43">
        <f>EOMONTH(C7,12)</f>
        <v>46022</v>
      </c>
      <c r="F7" s="43">
        <f>EOMONTH(E7,12)</f>
        <v>46387</v>
      </c>
      <c r="G7" s="43">
        <f>EOMONTH(F7,12)</f>
        <v>46752</v>
      </c>
      <c r="H7" s="62"/>
    </row>
    <row r="8" spans="1:12" ht="15" customHeight="1" x14ac:dyDescent="0.45">
      <c r="A8" s="23"/>
      <c r="B8" t="s">
        <v>27</v>
      </c>
      <c r="C8" s="44">
        <v>671.4</v>
      </c>
      <c r="D8" s="55">
        <f>740+380.9-357.9</f>
        <v>763.00000000000011</v>
      </c>
      <c r="E8" s="44">
        <v>773.2</v>
      </c>
      <c r="F8" s="44">
        <v>838.8</v>
      </c>
      <c r="G8" s="44">
        <v>910.5</v>
      </c>
      <c r="H8" s="62"/>
    </row>
    <row r="9" spans="1:12" ht="15" customHeight="1" x14ac:dyDescent="0.45">
      <c r="B9" t="s">
        <v>28</v>
      </c>
      <c r="C9" s="45">
        <v>7.0999999999999994E-2</v>
      </c>
      <c r="D9" s="45"/>
      <c r="E9" s="45">
        <v>0.15160000000000001</v>
      </c>
      <c r="F9" s="45">
        <v>8.48E-2</v>
      </c>
      <c r="G9" s="45">
        <v>8.5500000000000007E-2</v>
      </c>
      <c r="H9" s="62"/>
    </row>
    <row r="10" spans="1:12" ht="15" customHeight="1" x14ac:dyDescent="0.45">
      <c r="B10" t="s">
        <v>29</v>
      </c>
      <c r="C10" s="44">
        <v>296.7</v>
      </c>
      <c r="D10" s="55">
        <f>43%*740+165.6-139.7</f>
        <v>344.09999999999997</v>
      </c>
      <c r="E10" s="44">
        <v>317.60000000000002</v>
      </c>
      <c r="F10" s="44">
        <v>346.6</v>
      </c>
      <c r="G10" s="44">
        <v>375.6</v>
      </c>
      <c r="H10" s="62"/>
    </row>
    <row r="11" spans="1:12" ht="15" customHeight="1" x14ac:dyDescent="0.45">
      <c r="B11" t="s">
        <v>30</v>
      </c>
      <c r="C11" s="45">
        <v>0.442</v>
      </c>
      <c r="E11" s="45">
        <v>0.41099999999999998</v>
      </c>
      <c r="F11" s="45">
        <v>0.41299999999999998</v>
      </c>
      <c r="G11" s="45">
        <v>0.41299999999999998</v>
      </c>
      <c r="H11" s="62"/>
    </row>
    <row r="12" spans="1:12" ht="15" customHeight="1" x14ac:dyDescent="0.45">
      <c r="H12" s="62"/>
    </row>
    <row r="13" spans="1:12" ht="15" customHeight="1" x14ac:dyDescent="0.45">
      <c r="A13" s="4" t="s">
        <v>31</v>
      </c>
    </row>
    <row r="14" spans="1:12" ht="15" customHeight="1" x14ac:dyDescent="0.45">
      <c r="D14" s="62"/>
    </row>
    <row r="15" spans="1:12" ht="15" customHeight="1" x14ac:dyDescent="0.45">
      <c r="B15" t="s">
        <v>32</v>
      </c>
      <c r="C15" s="44">
        <v>8.91</v>
      </c>
      <c r="D15" s="62"/>
    </row>
    <row r="16" spans="1:12" ht="15" customHeight="1" x14ac:dyDescent="0.45">
      <c r="B16" t="s">
        <v>33</v>
      </c>
      <c r="C16" s="48">
        <v>0.3</v>
      </c>
      <c r="D16" s="62"/>
    </row>
    <row r="17" spans="1:6" ht="15" customHeight="1" x14ac:dyDescent="0.45">
      <c r="B17" t="s">
        <v>112</v>
      </c>
      <c r="C17">
        <f>C15*(1+C16)</f>
        <v>11.583</v>
      </c>
      <c r="D17" s="62"/>
    </row>
    <row r="18" spans="1:6" ht="15" customHeight="1" x14ac:dyDescent="0.45">
      <c r="B18" t="s">
        <v>34</v>
      </c>
      <c r="C18" s="44">
        <f>170-13.034</f>
        <v>156.96600000000001</v>
      </c>
      <c r="D18" s="62"/>
    </row>
    <row r="19" spans="1:6" ht="15" customHeight="1" x14ac:dyDescent="0.45">
      <c r="B19" t="s">
        <v>35</v>
      </c>
      <c r="C19" s="44">
        <v>3.3843009999999998</v>
      </c>
      <c r="D19" s="62"/>
    </row>
    <row r="20" spans="1:6" ht="15" customHeight="1" x14ac:dyDescent="0.45">
      <c r="B20" t="s">
        <v>36</v>
      </c>
      <c r="C20">
        <f>C18+C19</f>
        <v>160.350301</v>
      </c>
      <c r="D20" s="62"/>
    </row>
    <row r="21" spans="1:6" ht="15" customHeight="1" x14ac:dyDescent="0.45">
      <c r="B21" t="s">
        <v>37</v>
      </c>
      <c r="C21">
        <f>C20*C17</f>
        <v>1857.3375364830001</v>
      </c>
      <c r="D21" s="62"/>
    </row>
    <row r="22" spans="1:6" ht="15" customHeight="1" x14ac:dyDescent="0.45">
      <c r="B22" t="s">
        <v>38</v>
      </c>
      <c r="C22" s="44">
        <v>1005</v>
      </c>
      <c r="D22" s="62"/>
    </row>
    <row r="23" spans="1:6" ht="15" customHeight="1" x14ac:dyDescent="0.45">
      <c r="B23" t="s">
        <v>39</v>
      </c>
      <c r="C23" s="44">
        <v>30.649000000000001</v>
      </c>
      <c r="D23" s="62"/>
    </row>
    <row r="24" spans="1:6" ht="15" customHeight="1" x14ac:dyDescent="0.45">
      <c r="B24" t="s">
        <v>40</v>
      </c>
      <c r="C24" s="44">
        <v>40.515000000000001</v>
      </c>
      <c r="D24" s="62"/>
      <c r="F24" s="58"/>
    </row>
    <row r="25" spans="1:6" ht="15" customHeight="1" x14ac:dyDescent="0.45">
      <c r="B25" t="s">
        <v>41</v>
      </c>
      <c r="C25" s="44">
        <v>16.370999999999999</v>
      </c>
      <c r="D25" s="62"/>
    </row>
    <row r="26" spans="1:6" ht="15" customHeight="1" x14ac:dyDescent="0.45">
      <c r="B26" t="s">
        <v>115</v>
      </c>
      <c r="C26" s="44">
        <v>4.8479999999999999</v>
      </c>
      <c r="D26" s="62"/>
    </row>
    <row r="27" spans="1:6" ht="15" customHeight="1" x14ac:dyDescent="0.45">
      <c r="B27" t="s">
        <v>31</v>
      </c>
      <c r="C27">
        <f>C21+C22+C23-C24-C25-C26</f>
        <v>2831.2525364829999</v>
      </c>
      <c r="D27" s="62"/>
    </row>
    <row r="28" spans="1:6" ht="15" customHeight="1" x14ac:dyDescent="0.45">
      <c r="D28" s="62"/>
    </row>
    <row r="29" spans="1:6" ht="15" customHeight="1" x14ac:dyDescent="0.45">
      <c r="A29" s="4" t="s">
        <v>63</v>
      </c>
    </row>
    <row r="31" spans="1:6" ht="15" customHeight="1" x14ac:dyDescent="0.45">
      <c r="B31" t="s">
        <v>42</v>
      </c>
      <c r="C31" s="50">
        <v>0.02</v>
      </c>
      <c r="D31" s="46"/>
    </row>
    <row r="32" spans="1:6" ht="15" customHeight="1" x14ac:dyDescent="0.45">
      <c r="B32" t="s">
        <v>43</v>
      </c>
      <c r="C32" s="50">
        <v>0.29499999999999998</v>
      </c>
      <c r="D32" s="62"/>
    </row>
    <row r="33" spans="1:5" ht="15" customHeight="1" x14ac:dyDescent="0.45">
      <c r="B33" t="s">
        <v>44</v>
      </c>
      <c r="C33" s="50">
        <v>2.7099999999999999E-2</v>
      </c>
      <c r="D33" s="62"/>
    </row>
    <row r="34" spans="1:5" ht="15" customHeight="1" x14ac:dyDescent="0.45">
      <c r="B34" t="s">
        <v>45</v>
      </c>
      <c r="C34" s="50">
        <v>1.4800000000000001E-2</v>
      </c>
      <c r="D34" s="62"/>
    </row>
    <row r="35" spans="1:5" ht="15" customHeight="1" x14ac:dyDescent="0.45">
      <c r="B35" t="s">
        <v>46</v>
      </c>
      <c r="C35" s="50">
        <f>C34+2%</f>
        <v>3.4799999999999998E-2</v>
      </c>
      <c r="D35" s="62"/>
    </row>
    <row r="36" spans="1:5" ht="15" customHeight="1" x14ac:dyDescent="0.45">
      <c r="B36" t="s">
        <v>47</v>
      </c>
      <c r="C36" s="49">
        <f>C33+C34</f>
        <v>4.19E-2</v>
      </c>
    </row>
    <row r="37" spans="1:5" ht="15" customHeight="1" x14ac:dyDescent="0.45">
      <c r="B37" t="s">
        <v>48</v>
      </c>
      <c r="C37" s="49">
        <f>C33+C35</f>
        <v>6.1899999999999997E-2</v>
      </c>
    </row>
    <row r="38" spans="1:5" ht="15" customHeight="1" x14ac:dyDescent="0.45">
      <c r="B38" t="s">
        <v>100</v>
      </c>
      <c r="C38" s="50">
        <v>0.01</v>
      </c>
      <c r="E38" s="62"/>
    </row>
    <row r="39" spans="1:5" ht="15" customHeight="1" x14ac:dyDescent="0.45">
      <c r="B39" t="s">
        <v>49</v>
      </c>
      <c r="C39" s="53">
        <v>5</v>
      </c>
      <c r="E39" s="62"/>
    </row>
    <row r="40" spans="1:5" ht="15" customHeight="1" x14ac:dyDescent="0.45">
      <c r="B40" t="s">
        <v>50</v>
      </c>
      <c r="C40" s="53">
        <v>3.5</v>
      </c>
      <c r="E40" s="62"/>
    </row>
    <row r="41" spans="1:5" ht="15" customHeight="1" x14ac:dyDescent="0.45">
      <c r="B41" t="s">
        <v>51</v>
      </c>
      <c r="C41" s="52">
        <f>C39-C40</f>
        <v>1.5</v>
      </c>
      <c r="E41" s="62"/>
    </row>
    <row r="42" spans="1:5" ht="15" customHeight="1" x14ac:dyDescent="0.45">
      <c r="B42" t="s">
        <v>52</v>
      </c>
      <c r="C42" s="47">
        <v>4</v>
      </c>
      <c r="E42" s="62"/>
    </row>
    <row r="43" spans="1:5" ht="15" customHeight="1" x14ac:dyDescent="0.45">
      <c r="B43" t="s">
        <v>62</v>
      </c>
      <c r="C43" s="52">
        <f>C27/D10</f>
        <v>8.227993421920953</v>
      </c>
      <c r="E43" s="62"/>
    </row>
    <row r="44" spans="1:5" ht="15" customHeight="1" x14ac:dyDescent="0.45">
      <c r="B44" t="s">
        <v>53</v>
      </c>
      <c r="C44" s="52">
        <f>C43</f>
        <v>8.227993421920953</v>
      </c>
      <c r="E44" s="62"/>
    </row>
    <row r="46" spans="1:5" ht="15" customHeight="1" x14ac:dyDescent="0.45">
      <c r="A46" s="4" t="s">
        <v>64</v>
      </c>
    </row>
    <row r="48" spans="1:5" ht="15" customHeight="1" x14ac:dyDescent="0.45">
      <c r="B48" t="s">
        <v>60</v>
      </c>
      <c r="C48">
        <f>C21</f>
        <v>1857.3375364830001</v>
      </c>
    </row>
    <row r="49" spans="1:13" ht="15" customHeight="1" x14ac:dyDescent="0.45">
      <c r="B49" t="s">
        <v>61</v>
      </c>
      <c r="C49">
        <f>C22+C23-C24</f>
        <v>995.1339999999999</v>
      </c>
    </row>
    <row r="50" spans="1:13" ht="15" customHeight="1" x14ac:dyDescent="0.45">
      <c r="B50" t="s">
        <v>54</v>
      </c>
      <c r="C50">
        <f>C31*C27</f>
        <v>56.625050729659996</v>
      </c>
    </row>
    <row r="51" spans="1:13" ht="15" customHeight="1" x14ac:dyDescent="0.45">
      <c r="B51" t="s">
        <v>58</v>
      </c>
      <c r="C51">
        <f>SUM(C48:C50)</f>
        <v>2909.0965872126599</v>
      </c>
    </row>
    <row r="53" spans="1:13" ht="15" customHeight="1" x14ac:dyDescent="0.45">
      <c r="B53" t="s">
        <v>55</v>
      </c>
      <c r="C53">
        <f>C40*D10</f>
        <v>1204.3499999999999</v>
      </c>
    </row>
    <row r="54" spans="1:13" ht="15" customHeight="1" x14ac:dyDescent="0.45">
      <c r="B54" t="s">
        <v>56</v>
      </c>
      <c r="C54">
        <f>C41*D10</f>
        <v>516.15</v>
      </c>
    </row>
    <row r="55" spans="1:13" ht="15" customHeight="1" x14ac:dyDescent="0.45">
      <c r="B55" t="s">
        <v>57</v>
      </c>
      <c r="C55">
        <f>C51-C53-C54</f>
        <v>1188.5965872126599</v>
      </c>
    </row>
    <row r="56" spans="1:13" ht="15" customHeight="1" x14ac:dyDescent="0.45">
      <c r="B56" t="s">
        <v>59</v>
      </c>
      <c r="C56">
        <f>SUM(C53:C55)</f>
        <v>2909.0965872126599</v>
      </c>
    </row>
    <row r="57" spans="1:13" ht="15" customHeight="1" x14ac:dyDescent="0.45">
      <c r="M57" s="62"/>
    </row>
    <row r="58" spans="1:13" ht="15" customHeight="1" x14ac:dyDescent="0.45">
      <c r="A58" s="4" t="s">
        <v>65</v>
      </c>
      <c r="M58" s="62"/>
    </row>
    <row r="59" spans="1:13" ht="15" customHeight="1" x14ac:dyDescent="0.45"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</row>
    <row r="60" spans="1:13" ht="15" customHeight="1" x14ac:dyDescent="0.45">
      <c r="B60" s="41"/>
      <c r="C60" s="42">
        <v>45657</v>
      </c>
      <c r="D60" s="41"/>
      <c r="E60" s="43">
        <f>EOMONTH(C60,12)</f>
        <v>46022</v>
      </c>
      <c r="F60" s="43">
        <f>EOMONTH(E60,12)</f>
        <v>46387</v>
      </c>
      <c r="G60" s="43">
        <f>EOMONTH(F60,12)</f>
        <v>46752</v>
      </c>
      <c r="H60" s="43">
        <f t="shared" ref="H60:J60" si="0">EOMONTH(G60,12)</f>
        <v>47118</v>
      </c>
      <c r="I60" s="43">
        <f t="shared" si="0"/>
        <v>47483</v>
      </c>
      <c r="J60" s="43">
        <f t="shared" si="0"/>
        <v>47848</v>
      </c>
      <c r="K60" s="43">
        <f t="shared" ref="K60" si="1">EOMONTH(J60,12)</f>
        <v>48213</v>
      </c>
      <c r="L60" s="43">
        <f t="shared" ref="L60" si="2">EOMONTH(K60,12)</f>
        <v>48579</v>
      </c>
      <c r="M60" s="62"/>
    </row>
    <row r="61" spans="1:13" ht="15" customHeight="1" x14ac:dyDescent="0.45">
      <c r="B61" t="s">
        <v>66</v>
      </c>
      <c r="E61" s="49">
        <f>E9</f>
        <v>0.15160000000000001</v>
      </c>
      <c r="F61" s="49">
        <f>F9</f>
        <v>8.48E-2</v>
      </c>
      <c r="G61" s="49">
        <f>G9</f>
        <v>8.5500000000000007E-2</v>
      </c>
      <c r="H61" s="50">
        <v>0.08</v>
      </c>
      <c r="I61" s="50">
        <v>7.0000000000000007E-2</v>
      </c>
      <c r="J61" s="50">
        <v>0.06</v>
      </c>
      <c r="K61" s="50">
        <v>0.05</v>
      </c>
      <c r="L61" s="50">
        <v>0.04</v>
      </c>
      <c r="M61" s="62"/>
    </row>
    <row r="62" spans="1:13" ht="15" customHeight="1" x14ac:dyDescent="0.45">
      <c r="B62" t="s">
        <v>67</v>
      </c>
      <c r="E62" s="49">
        <f>E11</f>
        <v>0.41099999999999998</v>
      </c>
      <c r="F62" s="49">
        <f>F11</f>
        <v>0.41299999999999998</v>
      </c>
      <c r="G62" s="49">
        <f>G11</f>
        <v>0.41299999999999998</v>
      </c>
      <c r="H62" s="50">
        <v>0.41299999999999998</v>
      </c>
      <c r="I62" s="50">
        <v>0.41299999999999998</v>
      </c>
      <c r="J62" s="50">
        <v>0.41299999999999998</v>
      </c>
      <c r="K62" s="50">
        <v>0.41299999999999998</v>
      </c>
      <c r="L62" s="50">
        <v>0.41299999999999998</v>
      </c>
      <c r="M62" s="62"/>
    </row>
    <row r="63" spans="1:13" ht="15" customHeight="1" x14ac:dyDescent="0.45">
      <c r="B63" t="s">
        <v>68</v>
      </c>
      <c r="C63" s="49">
        <f>C72/C70</f>
        <v>2.4700625558534407E-2</v>
      </c>
      <c r="E63" s="56"/>
      <c r="F63" s="54">
        <v>2.5000000000000001E-2</v>
      </c>
      <c r="G63" s="54">
        <v>2.5000000000000001E-2</v>
      </c>
      <c r="H63" s="54">
        <v>2.5000000000000001E-2</v>
      </c>
      <c r="I63" s="54">
        <v>2.5000000000000001E-2</v>
      </c>
      <c r="J63" s="54">
        <v>2.5000000000000001E-2</v>
      </c>
      <c r="K63" s="54">
        <v>2.5000000000000001E-2</v>
      </c>
      <c r="L63" s="54">
        <v>2.5000000000000001E-2</v>
      </c>
      <c r="M63" s="62"/>
    </row>
    <row r="64" spans="1:13" ht="15" customHeight="1" x14ac:dyDescent="0.45">
      <c r="B64" t="s">
        <v>69</v>
      </c>
      <c r="E64" s="56"/>
      <c r="F64" s="54">
        <v>5.0000000000000001E-3</v>
      </c>
      <c r="G64" s="54">
        <v>0.01</v>
      </c>
      <c r="H64" s="54">
        <v>1.4999999999999999E-2</v>
      </c>
      <c r="I64" s="54">
        <v>1.4999999999999999E-2</v>
      </c>
      <c r="J64" s="54">
        <v>1.4999999999999999E-2</v>
      </c>
      <c r="K64" s="54">
        <v>1.4999999999999999E-2</v>
      </c>
      <c r="L64" s="54">
        <v>1.4999999999999999E-2</v>
      </c>
      <c r="M64" s="62"/>
    </row>
    <row r="65" spans="1:14" ht="15" customHeight="1" x14ac:dyDescent="0.45">
      <c r="B65" t="s">
        <v>85</v>
      </c>
      <c r="C65" s="49">
        <f>C74/C70</f>
        <v>2.6026213881441766E-2</v>
      </c>
      <c r="E65" s="56"/>
      <c r="F65" s="54">
        <v>0.03</v>
      </c>
      <c r="G65" s="54">
        <v>0.03</v>
      </c>
      <c r="H65" s="54">
        <v>0.03</v>
      </c>
      <c r="I65" s="54">
        <v>0.03</v>
      </c>
      <c r="J65" s="54">
        <v>0.03</v>
      </c>
      <c r="K65" s="54">
        <v>0.03</v>
      </c>
      <c r="L65" s="54">
        <v>0.03</v>
      </c>
      <c r="M65" s="62"/>
    </row>
    <row r="66" spans="1:14" ht="15" customHeight="1" x14ac:dyDescent="0.45">
      <c r="B66" t="s">
        <v>70</v>
      </c>
      <c r="C66" s="49">
        <f>C74/C75</f>
        <v>0.63382785012151344</v>
      </c>
      <c r="E66" s="56"/>
      <c r="F66" s="54">
        <v>0.75</v>
      </c>
      <c r="G66" s="54">
        <v>0.8</v>
      </c>
      <c r="H66" s="54">
        <v>0.85</v>
      </c>
      <c r="I66" s="54">
        <v>0.9</v>
      </c>
      <c r="J66" s="54">
        <v>0.95</v>
      </c>
      <c r="K66" s="54">
        <v>0.98</v>
      </c>
      <c r="L66" s="54">
        <v>1.01</v>
      </c>
      <c r="M66" s="62"/>
      <c r="N66" s="46"/>
    </row>
    <row r="67" spans="1:14" ht="15" customHeight="1" x14ac:dyDescent="0.45">
      <c r="B67" t="s">
        <v>86</v>
      </c>
      <c r="C67" s="49">
        <f>C76/C70</f>
        <v>-0.54642537980339589</v>
      </c>
      <c r="E67" s="57">
        <v>-0.54600000000000004</v>
      </c>
      <c r="F67" s="57">
        <v>-0.54600000000000004</v>
      </c>
      <c r="G67" s="57">
        <v>-0.54600000000000004</v>
      </c>
      <c r="H67" s="57">
        <v>-0.54600000000000004</v>
      </c>
      <c r="I67" s="57">
        <v>-0.54600000000000004</v>
      </c>
      <c r="J67" s="57">
        <v>-0.54600000000000004</v>
      </c>
      <c r="K67" s="57">
        <v>-0.54600000000000004</v>
      </c>
      <c r="L67" s="57">
        <v>-0.54600000000000004</v>
      </c>
      <c r="M67" s="62"/>
    </row>
    <row r="69" spans="1:14" ht="15" customHeight="1" x14ac:dyDescent="0.45">
      <c r="A69" s="4" t="s">
        <v>71</v>
      </c>
      <c r="N69" s="62"/>
    </row>
    <row r="70" spans="1:14" ht="15" customHeight="1" x14ac:dyDescent="0.45">
      <c r="B70" t="s">
        <v>27</v>
      </c>
      <c r="C70">
        <f>C8</f>
        <v>671.4</v>
      </c>
      <c r="E70">
        <f>C70*(1+E61)</f>
        <v>773.18423999999993</v>
      </c>
      <c r="F70">
        <f>E70*(1+F61)</f>
        <v>838.75026355199986</v>
      </c>
      <c r="G70">
        <f t="shared" ref="G70:J70" si="3">F70*(1+G61)</f>
        <v>910.46341108569572</v>
      </c>
      <c r="H70">
        <f t="shared" si="3"/>
        <v>983.30048397255143</v>
      </c>
      <c r="I70">
        <f t="shared" si="3"/>
        <v>1052.1315178506302</v>
      </c>
      <c r="J70">
        <f t="shared" si="3"/>
        <v>1115.259408921668</v>
      </c>
      <c r="K70">
        <f t="shared" ref="K70" si="4">J70*(1+K61)</f>
        <v>1171.0223793677515</v>
      </c>
      <c r="L70">
        <f t="shared" ref="L70" si="5">K70*(1+L61)</f>
        <v>1217.8632745424616</v>
      </c>
      <c r="N70" s="62"/>
    </row>
    <row r="71" spans="1:14" ht="15" customHeight="1" x14ac:dyDescent="0.45">
      <c r="B71" t="s">
        <v>72</v>
      </c>
      <c r="F71">
        <f>F62*F70</f>
        <v>346.40385884697594</v>
      </c>
      <c r="G71">
        <f t="shared" ref="G71:J71" si="6">G62*G70</f>
        <v>376.02138877839229</v>
      </c>
      <c r="H71">
        <f t="shared" si="6"/>
        <v>406.10309988066371</v>
      </c>
      <c r="I71">
        <f t="shared" si="6"/>
        <v>434.53031687231027</v>
      </c>
      <c r="J71">
        <f t="shared" si="6"/>
        <v>460.60213588464882</v>
      </c>
      <c r="K71">
        <f t="shared" ref="K71:L71" si="7">K62*K70</f>
        <v>483.63224267888131</v>
      </c>
      <c r="L71">
        <f t="shared" si="7"/>
        <v>502.97753238603661</v>
      </c>
      <c r="N71" s="62"/>
    </row>
    <row r="72" spans="1:14" ht="15" customHeight="1" x14ac:dyDescent="0.45">
      <c r="B72" t="s">
        <v>73</v>
      </c>
      <c r="C72" s="44">
        <v>16.584</v>
      </c>
      <c r="D72" s="46"/>
      <c r="F72">
        <f>F63*F70</f>
        <v>20.968756588799998</v>
      </c>
      <c r="G72">
        <f t="shared" ref="G72:J72" si="8">G63*G70</f>
        <v>22.761585277142395</v>
      </c>
      <c r="H72">
        <f t="shared" si="8"/>
        <v>24.582512099313789</v>
      </c>
      <c r="I72">
        <f t="shared" si="8"/>
        <v>26.303287946265755</v>
      </c>
      <c r="J72">
        <f t="shared" si="8"/>
        <v>27.8814852230417</v>
      </c>
      <c r="K72">
        <f t="shared" ref="K72:L72" si="9">K63*K70</f>
        <v>29.275559484193789</v>
      </c>
      <c r="L72">
        <f t="shared" si="9"/>
        <v>30.446581863561541</v>
      </c>
      <c r="N72" s="62"/>
    </row>
    <row r="73" spans="1:14" ht="15" customHeight="1" x14ac:dyDescent="0.45">
      <c r="B73" t="s">
        <v>74</v>
      </c>
      <c r="F73">
        <f>F64*$D$8</f>
        <v>3.8150000000000008</v>
      </c>
      <c r="G73">
        <f t="shared" ref="G73:J73" si="10">G64*$D$8</f>
        <v>7.6300000000000017</v>
      </c>
      <c r="H73">
        <f t="shared" si="10"/>
        <v>11.445000000000002</v>
      </c>
      <c r="I73">
        <f t="shared" si="10"/>
        <v>11.445000000000002</v>
      </c>
      <c r="J73">
        <f t="shared" si="10"/>
        <v>11.445000000000002</v>
      </c>
      <c r="K73">
        <f t="shared" ref="K73:L73" si="11">K64*$D$8</f>
        <v>11.445000000000002</v>
      </c>
      <c r="L73">
        <f t="shared" si="11"/>
        <v>11.445000000000002</v>
      </c>
      <c r="N73" s="62"/>
    </row>
    <row r="74" spans="1:14" ht="15" customHeight="1" x14ac:dyDescent="0.45">
      <c r="B74" t="s">
        <v>76</v>
      </c>
      <c r="C74" s="44">
        <f>5.373+12.101</f>
        <v>17.474</v>
      </c>
      <c r="F74">
        <f>F65*F70</f>
        <v>25.162507906559995</v>
      </c>
      <c r="G74">
        <f t="shared" ref="G74:J74" si="12">G65*G70</f>
        <v>27.313902332570869</v>
      </c>
      <c r="H74">
        <f t="shared" si="12"/>
        <v>29.499014519176541</v>
      </c>
      <c r="I74">
        <f t="shared" si="12"/>
        <v>31.563945535518904</v>
      </c>
      <c r="J74">
        <f t="shared" si="12"/>
        <v>33.457782267650039</v>
      </c>
      <c r="K74">
        <f t="shared" ref="K74:L74" si="13">K65*K70</f>
        <v>35.130671381032542</v>
      </c>
      <c r="L74">
        <f t="shared" si="13"/>
        <v>36.535898236273844</v>
      </c>
      <c r="N74" s="62"/>
    </row>
    <row r="75" spans="1:14" ht="15" customHeight="1" x14ac:dyDescent="0.45">
      <c r="B75" t="s">
        <v>77</v>
      </c>
      <c r="C75" s="44">
        <f>46.169-18.6</f>
        <v>27.568999999999996</v>
      </c>
      <c r="F75">
        <f>F74/F66</f>
        <v>33.550010542079995</v>
      </c>
      <c r="G75">
        <f t="shared" ref="G75:J75" si="14">G74/G66</f>
        <v>34.142377915713581</v>
      </c>
      <c r="H75">
        <f t="shared" si="14"/>
        <v>34.704722963737105</v>
      </c>
      <c r="I75">
        <f t="shared" si="14"/>
        <v>35.071050595021006</v>
      </c>
      <c r="J75">
        <f t="shared" si="14"/>
        <v>35.218718176473729</v>
      </c>
      <c r="K75">
        <f t="shared" ref="K75:L75" si="15">K74/K66</f>
        <v>35.847623858196471</v>
      </c>
      <c r="L75">
        <f t="shared" si="15"/>
        <v>36.174156669578061</v>
      </c>
      <c r="N75" s="62"/>
    </row>
    <row r="76" spans="1:14" ht="15" customHeight="1" x14ac:dyDescent="0.45">
      <c r="B76" t="s">
        <v>78</v>
      </c>
      <c r="C76" s="44">
        <f>30.187-15.84-336.39-44.827</f>
        <v>-366.87</v>
      </c>
      <c r="E76">
        <f>E67*E70</f>
        <v>-422.15859503999997</v>
      </c>
      <c r="F76">
        <f>F67*F70</f>
        <v>-457.95764389939194</v>
      </c>
      <c r="G76">
        <f t="shared" ref="G76:J76" si="16">G67*G70</f>
        <v>-497.11302245278989</v>
      </c>
      <c r="H76">
        <f t="shared" si="16"/>
        <v>-536.88206424901307</v>
      </c>
      <c r="I76">
        <f t="shared" si="16"/>
        <v>-574.4638087464441</v>
      </c>
      <c r="J76">
        <f t="shared" si="16"/>
        <v>-608.93163727123078</v>
      </c>
      <c r="K76">
        <f t="shared" ref="K76:L76" si="17">K67*K70</f>
        <v>-639.37821913479229</v>
      </c>
      <c r="L76">
        <f t="shared" si="17"/>
        <v>-664.9533479001841</v>
      </c>
      <c r="N76" s="62"/>
    </row>
    <row r="77" spans="1:14" ht="15" customHeight="1" x14ac:dyDescent="0.45">
      <c r="C77" s="44"/>
      <c r="N77" s="62"/>
    </row>
    <row r="78" spans="1:14" ht="15" customHeight="1" x14ac:dyDescent="0.45">
      <c r="A78" s="4" t="s">
        <v>84</v>
      </c>
      <c r="C78" s="44"/>
      <c r="N78" s="62"/>
    </row>
    <row r="79" spans="1:14" ht="15" customHeight="1" x14ac:dyDescent="0.45">
      <c r="B79" t="s">
        <v>75</v>
      </c>
      <c r="C79" s="44"/>
      <c r="F79">
        <f>F71-F72+F73</f>
        <v>329.25010225817596</v>
      </c>
      <c r="G79">
        <f t="shared" ref="G79:J79" si="18">G71-G72+G73</f>
        <v>360.8898035012499</v>
      </c>
      <c r="H79">
        <f t="shared" si="18"/>
        <v>392.96558778134994</v>
      </c>
      <c r="I79">
        <f t="shared" si="18"/>
        <v>419.6720289260445</v>
      </c>
      <c r="J79">
        <f t="shared" si="18"/>
        <v>444.16565066160712</v>
      </c>
      <c r="K79">
        <f t="shared" ref="K79:L79" si="19">K71-K72+K73</f>
        <v>465.80168319468754</v>
      </c>
      <c r="L79">
        <f t="shared" si="19"/>
        <v>483.97595052247505</v>
      </c>
    </row>
    <row r="80" spans="1:14" ht="15" customHeight="1" x14ac:dyDescent="0.45">
      <c r="B80" t="s">
        <v>77</v>
      </c>
      <c r="C80" s="44"/>
      <c r="F80">
        <f>F75</f>
        <v>33.550010542079995</v>
      </c>
      <c r="G80">
        <f t="shared" ref="G80:J80" si="20">G75</f>
        <v>34.142377915713581</v>
      </c>
      <c r="H80">
        <f t="shared" si="20"/>
        <v>34.704722963737105</v>
      </c>
      <c r="I80">
        <f t="shared" si="20"/>
        <v>35.071050595021006</v>
      </c>
      <c r="J80">
        <f t="shared" si="20"/>
        <v>35.218718176473729</v>
      </c>
      <c r="K80">
        <f t="shared" ref="K80:L80" si="21">K75</f>
        <v>35.847623858196471</v>
      </c>
      <c r="L80">
        <f t="shared" si="21"/>
        <v>36.174156669578061</v>
      </c>
    </row>
    <row r="81" spans="1:12" ht="15" customHeight="1" x14ac:dyDescent="0.45">
      <c r="B81" t="s">
        <v>79</v>
      </c>
      <c r="F81">
        <f>F79-F80</f>
        <v>295.70009171609598</v>
      </c>
      <c r="G81">
        <f t="shared" ref="G81:J81" si="22">G79-G80</f>
        <v>326.74742558553635</v>
      </c>
      <c r="H81">
        <f t="shared" si="22"/>
        <v>358.26086481761286</v>
      </c>
      <c r="I81">
        <f t="shared" si="22"/>
        <v>384.6009783310235</v>
      </c>
      <c r="J81">
        <f t="shared" si="22"/>
        <v>408.9469324851334</v>
      </c>
      <c r="K81">
        <f t="shared" ref="K81:L81" si="23">K79-K80</f>
        <v>429.95405933649107</v>
      </c>
      <c r="L81">
        <f t="shared" si="23"/>
        <v>447.80179385289699</v>
      </c>
    </row>
    <row r="82" spans="1:12" ht="15" customHeight="1" x14ac:dyDescent="0.45">
      <c r="B82" t="s">
        <v>103</v>
      </c>
      <c r="F82">
        <f t="shared" ref="F82:L82" ca="1" si="24">IF(Circswitch=1,F101+F106-F109,0)</f>
        <v>78.274926410915384</v>
      </c>
      <c r="G82">
        <f t="shared" ca="1" si="24"/>
        <v>69.373187931073261</v>
      </c>
      <c r="H82">
        <f t="shared" ca="1" si="24"/>
        <v>59.249935347226071</v>
      </c>
      <c r="I82">
        <f t="shared" ca="1" si="24"/>
        <v>48.05995954368435</v>
      </c>
      <c r="J82">
        <f t="shared" ca="1" si="24"/>
        <v>35.40994030859386</v>
      </c>
      <c r="K82">
        <f t="shared" ca="1" si="24"/>
        <v>18.652347264118816</v>
      </c>
      <c r="L82">
        <f t="shared" ca="1" si="24"/>
        <v>3.3677944216161975</v>
      </c>
    </row>
    <row r="83" spans="1:12" ht="15" customHeight="1" x14ac:dyDescent="0.45">
      <c r="B83" t="s">
        <v>81</v>
      </c>
      <c r="F83">
        <f ca="1">F81-F82</f>
        <v>217.4251653051806</v>
      </c>
      <c r="G83">
        <f t="shared" ref="G83:J83" ca="1" si="25">G81-G82</f>
        <v>257.37423765446306</v>
      </c>
      <c r="H83">
        <f t="shared" ca="1" si="25"/>
        <v>299.01092947038677</v>
      </c>
      <c r="I83">
        <f t="shared" ca="1" si="25"/>
        <v>336.54101878733917</v>
      </c>
      <c r="J83">
        <f t="shared" ca="1" si="25"/>
        <v>373.53699217653957</v>
      </c>
      <c r="K83">
        <f t="shared" ref="K83:L83" ca="1" si="26">K81-K82</f>
        <v>411.30171207237225</v>
      </c>
      <c r="L83">
        <f t="shared" ca="1" si="26"/>
        <v>444.43399943128077</v>
      </c>
    </row>
    <row r="84" spans="1:12" ht="15" customHeight="1" x14ac:dyDescent="0.45">
      <c r="B84" t="s">
        <v>82</v>
      </c>
      <c r="F84">
        <f ca="1">$C$32*F83</f>
        <v>64.140423765028274</v>
      </c>
      <c r="G84">
        <f t="shared" ref="G84:J84" ca="1" si="27">$C$32*G83</f>
        <v>75.925400108066597</v>
      </c>
      <c r="H84">
        <f t="shared" ca="1" si="27"/>
        <v>88.208224193764096</v>
      </c>
      <c r="I84">
        <f t="shared" ca="1" si="27"/>
        <v>99.279600542265044</v>
      </c>
      <c r="J84">
        <f t="shared" ca="1" si="27"/>
        <v>110.19341269207916</v>
      </c>
      <c r="K84">
        <f t="shared" ref="K84:L84" ca="1" si="28">$C$32*K83</f>
        <v>121.33400506134981</v>
      </c>
      <c r="L84">
        <f t="shared" ca="1" si="28"/>
        <v>131.10802983222783</v>
      </c>
    </row>
    <row r="85" spans="1:12" ht="15" customHeight="1" x14ac:dyDescent="0.45">
      <c r="B85" t="s">
        <v>83</v>
      </c>
      <c r="F85">
        <f ca="1">F83-F84</f>
        <v>153.28474154015231</v>
      </c>
      <c r="G85">
        <f t="shared" ref="G85:J85" ca="1" si="29">G83-G84</f>
        <v>181.44883754639648</v>
      </c>
      <c r="H85">
        <f t="shared" ca="1" si="29"/>
        <v>210.80270527662267</v>
      </c>
      <c r="I85">
        <f t="shared" ca="1" si="29"/>
        <v>237.26141824507414</v>
      </c>
      <c r="J85">
        <f t="shared" ca="1" si="29"/>
        <v>263.34357948446041</v>
      </c>
      <c r="K85">
        <f t="shared" ref="K85:L85" ca="1" si="30">K83-K84</f>
        <v>289.96770701102241</v>
      </c>
      <c r="L85">
        <f t="shared" ca="1" si="30"/>
        <v>313.32596959905294</v>
      </c>
    </row>
    <row r="87" spans="1:12" ht="15" customHeight="1" x14ac:dyDescent="0.45">
      <c r="A87" s="4" t="s">
        <v>98</v>
      </c>
    </row>
    <row r="88" spans="1:12" ht="15" customHeight="1" x14ac:dyDescent="0.45">
      <c r="B88" t="s">
        <v>83</v>
      </c>
      <c r="F88">
        <f ca="1">F85</f>
        <v>153.28474154015231</v>
      </c>
      <c r="G88">
        <f t="shared" ref="G88:J88" ca="1" si="31">G85</f>
        <v>181.44883754639648</v>
      </c>
      <c r="H88">
        <f t="shared" ca="1" si="31"/>
        <v>210.80270527662267</v>
      </c>
      <c r="I88">
        <f t="shared" ca="1" si="31"/>
        <v>237.26141824507414</v>
      </c>
      <c r="J88">
        <f t="shared" ca="1" si="31"/>
        <v>263.34357948446041</v>
      </c>
      <c r="K88">
        <f t="shared" ref="K88:L88" ca="1" si="32">K85</f>
        <v>289.96770701102241</v>
      </c>
      <c r="L88">
        <f t="shared" ca="1" si="32"/>
        <v>313.32596959905294</v>
      </c>
    </row>
    <row r="89" spans="1:12" ht="15" customHeight="1" x14ac:dyDescent="0.45">
      <c r="B89" s="24" t="s">
        <v>87</v>
      </c>
      <c r="F89">
        <f>F80</f>
        <v>33.550010542079995</v>
      </c>
      <c r="G89">
        <f t="shared" ref="G89:J89" si="33">G80</f>
        <v>34.142377915713581</v>
      </c>
      <c r="H89">
        <f t="shared" si="33"/>
        <v>34.704722963737105</v>
      </c>
      <c r="I89">
        <f t="shared" si="33"/>
        <v>35.071050595021006</v>
      </c>
      <c r="J89">
        <f t="shared" si="33"/>
        <v>35.218718176473729</v>
      </c>
      <c r="K89">
        <f t="shared" ref="K89:L89" si="34">K80</f>
        <v>35.847623858196471</v>
      </c>
      <c r="L89">
        <f t="shared" si="34"/>
        <v>36.174156669578061</v>
      </c>
    </row>
    <row r="90" spans="1:12" ht="15" customHeight="1" x14ac:dyDescent="0.45">
      <c r="B90" s="24" t="s">
        <v>88</v>
      </c>
      <c r="F90">
        <f>F74*-1</f>
        <v>-25.162507906559995</v>
      </c>
      <c r="G90">
        <f t="shared" ref="G90:J90" si="35">G74*-1</f>
        <v>-27.313902332570869</v>
      </c>
      <c r="H90">
        <f t="shared" si="35"/>
        <v>-29.499014519176541</v>
      </c>
      <c r="I90">
        <f t="shared" si="35"/>
        <v>-31.563945535518904</v>
      </c>
      <c r="J90">
        <f t="shared" si="35"/>
        <v>-33.457782267650039</v>
      </c>
      <c r="K90">
        <f t="shared" ref="K90:L90" si="36">K74*-1</f>
        <v>-35.130671381032542</v>
      </c>
      <c r="L90">
        <f t="shared" si="36"/>
        <v>-36.535898236273844</v>
      </c>
    </row>
    <row r="91" spans="1:12" ht="15" customHeight="1" x14ac:dyDescent="0.45">
      <c r="B91" t="s">
        <v>118</v>
      </c>
      <c r="F91">
        <f>E76-F76</f>
        <v>35.799048859391974</v>
      </c>
      <c r="G91">
        <f t="shared" ref="G91:J91" si="37">F76-G76</f>
        <v>39.155378553397952</v>
      </c>
      <c r="H91">
        <f t="shared" si="37"/>
        <v>39.769041796223178</v>
      </c>
      <c r="I91">
        <f t="shared" si="37"/>
        <v>37.581744497431032</v>
      </c>
      <c r="J91">
        <f t="shared" si="37"/>
        <v>34.467828524786682</v>
      </c>
      <c r="K91">
        <f t="shared" ref="K91" si="38">J76-K76</f>
        <v>30.446581863561505</v>
      </c>
      <c r="L91">
        <f t="shared" ref="L91" si="39">K76-L76</f>
        <v>25.57512876539181</v>
      </c>
    </row>
    <row r="92" spans="1:12" ht="15" customHeight="1" x14ac:dyDescent="0.45">
      <c r="B92" t="s">
        <v>89</v>
      </c>
      <c r="F92">
        <f ca="1">SUM(F88:F91)</f>
        <v>197.47129303506429</v>
      </c>
      <c r="G92">
        <f t="shared" ref="G92:J92" ca="1" si="40">SUM(G88:G91)</f>
        <v>227.43269168293713</v>
      </c>
      <c r="H92">
        <f t="shared" ca="1" si="40"/>
        <v>255.77745551740642</v>
      </c>
      <c r="I92">
        <f t="shared" ca="1" si="40"/>
        <v>278.35026780200724</v>
      </c>
      <c r="J92">
        <f t="shared" ca="1" si="40"/>
        <v>299.57234391807077</v>
      </c>
      <c r="K92">
        <f t="shared" ref="K92:L92" ca="1" si="41">SUM(K88:K91)</f>
        <v>321.13124135174786</v>
      </c>
      <c r="L92">
        <f t="shared" ca="1" si="41"/>
        <v>338.53935679774895</v>
      </c>
    </row>
    <row r="94" spans="1:12" ht="15" customHeight="1" x14ac:dyDescent="0.45">
      <c r="B94" t="s">
        <v>97</v>
      </c>
      <c r="F94">
        <f>E108</f>
        <v>0</v>
      </c>
      <c r="G94">
        <f t="shared" ref="G94:J94" ca="1" si="42">F108</f>
        <v>0</v>
      </c>
      <c r="H94">
        <f t="shared" ca="1" si="42"/>
        <v>0</v>
      </c>
      <c r="I94">
        <f t="shared" ca="1" si="42"/>
        <v>0</v>
      </c>
      <c r="J94">
        <f t="shared" ca="1" si="42"/>
        <v>0</v>
      </c>
      <c r="K94">
        <f t="shared" ref="K94" ca="1" si="43">J108</f>
        <v>0</v>
      </c>
      <c r="L94">
        <f t="shared" ref="L94" ca="1" si="44">K108</f>
        <v>0</v>
      </c>
    </row>
    <row r="95" spans="1:12" ht="15" customHeight="1" x14ac:dyDescent="0.45">
      <c r="B95" t="s">
        <v>98</v>
      </c>
      <c r="F95">
        <f ca="1">F92+F94</f>
        <v>197.47129303506429</v>
      </c>
      <c r="G95">
        <f t="shared" ref="G95:J95" ca="1" si="45">G92+G94</f>
        <v>227.43269168293713</v>
      </c>
      <c r="H95">
        <f t="shared" ca="1" si="45"/>
        <v>255.77745551740642</v>
      </c>
      <c r="I95">
        <f t="shared" ca="1" si="45"/>
        <v>278.35026780200724</v>
      </c>
      <c r="J95">
        <f t="shared" ca="1" si="45"/>
        <v>299.57234391807077</v>
      </c>
      <c r="K95">
        <f t="shared" ref="K95:L95" ca="1" si="46">K92+K94</f>
        <v>321.13124135174786</v>
      </c>
      <c r="L95">
        <f t="shared" ca="1" si="46"/>
        <v>338.53935679774895</v>
      </c>
    </row>
    <row r="97" spans="1:13" ht="15" customHeight="1" x14ac:dyDescent="0.45">
      <c r="A97" s="4" t="s">
        <v>90</v>
      </c>
    </row>
    <row r="98" spans="1:13" ht="15" customHeight="1" x14ac:dyDescent="0.45">
      <c r="B98" t="s">
        <v>91</v>
      </c>
      <c r="F98">
        <f>E100</f>
        <v>1204.3499999999999</v>
      </c>
      <c r="G98">
        <f t="shared" ref="G98:J98" ca="1" si="47">F100</f>
        <v>1006.8787069649356</v>
      </c>
      <c r="H98">
        <f t="shared" ca="1" si="47"/>
        <v>779.44601528199848</v>
      </c>
      <c r="I98">
        <f t="shared" ca="1" si="47"/>
        <v>523.66855976459203</v>
      </c>
      <c r="J98">
        <f t="shared" ca="1" si="47"/>
        <v>245.31829196258479</v>
      </c>
      <c r="K98">
        <f t="shared" ref="K98" ca="1" si="48">J100</f>
        <v>0</v>
      </c>
      <c r="L98">
        <f t="shared" ref="L98" ca="1" si="49">K100</f>
        <v>0</v>
      </c>
    </row>
    <row r="99" spans="1:13" ht="15" customHeight="1" x14ac:dyDescent="0.45">
      <c r="B99" t="s">
        <v>92</v>
      </c>
      <c r="F99">
        <f ca="1">MIN(F95,F98)*-1</f>
        <v>-197.47129303506429</v>
      </c>
      <c r="G99">
        <f t="shared" ref="G99:J99" ca="1" si="50">MIN(G95,G98)*-1</f>
        <v>-227.43269168293713</v>
      </c>
      <c r="H99">
        <f t="shared" ca="1" si="50"/>
        <v>-255.77745551740642</v>
      </c>
      <c r="I99">
        <f t="shared" ca="1" si="50"/>
        <v>-278.35026780200724</v>
      </c>
      <c r="J99">
        <f t="shared" ca="1" si="50"/>
        <v>-245.31829196258479</v>
      </c>
      <c r="K99">
        <f t="shared" ref="K99:L99" ca="1" si="51">MIN(K95,K98)*-1</f>
        <v>0</v>
      </c>
      <c r="L99">
        <f t="shared" ca="1" si="51"/>
        <v>0</v>
      </c>
    </row>
    <row r="100" spans="1:13" ht="15" customHeight="1" x14ac:dyDescent="0.45">
      <c r="B100" t="s">
        <v>93</v>
      </c>
      <c r="E100">
        <f>C53</f>
        <v>1204.3499999999999</v>
      </c>
      <c r="F100">
        <f ca="1">SUM(F98:F99)</f>
        <v>1006.8787069649356</v>
      </c>
      <c r="G100">
        <f t="shared" ref="G100:J100" ca="1" si="52">SUM(G98:G99)</f>
        <v>779.44601528199848</v>
      </c>
      <c r="H100">
        <f t="shared" ca="1" si="52"/>
        <v>523.66855976459203</v>
      </c>
      <c r="I100">
        <f t="shared" ca="1" si="52"/>
        <v>245.31829196258479</v>
      </c>
      <c r="J100">
        <f t="shared" ca="1" si="52"/>
        <v>0</v>
      </c>
      <c r="K100">
        <f t="shared" ref="K100:L100" ca="1" si="53">SUM(K98:K99)</f>
        <v>0</v>
      </c>
      <c r="L100">
        <f t="shared" ca="1" si="53"/>
        <v>0</v>
      </c>
    </row>
    <row r="101" spans="1:13" ht="15" customHeight="1" x14ac:dyDescent="0.45">
      <c r="B101" t="s">
        <v>80</v>
      </c>
      <c r="F101">
        <f ca="1">$C$36*AVERAGE(E100:F100)</f>
        <v>46.325241410915396</v>
      </c>
      <c r="G101">
        <f t="shared" ref="G101:J101" ca="1" si="54">$C$36*AVERAGE(F100:G100)</f>
        <v>37.423502931073266</v>
      </c>
      <c r="H101">
        <f t="shared" ca="1" si="54"/>
        <v>27.300250347226072</v>
      </c>
      <c r="I101">
        <f t="shared" ca="1" si="54"/>
        <v>16.110274543684355</v>
      </c>
      <c r="J101">
        <f t="shared" ca="1" si="54"/>
        <v>5.1394182166161517</v>
      </c>
      <c r="K101">
        <f t="shared" ref="K101" ca="1" si="55">$C$36*AVERAGE(J100:K100)</f>
        <v>0</v>
      </c>
      <c r="L101">
        <f t="shared" ref="L101" ca="1" si="56">$C$36*AVERAGE(K100:L100)</f>
        <v>0</v>
      </c>
    </row>
    <row r="103" spans="1:13" ht="15" customHeight="1" x14ac:dyDescent="0.45">
      <c r="B103" t="s">
        <v>94</v>
      </c>
      <c r="F103">
        <f>E105</f>
        <v>516.15</v>
      </c>
      <c r="G103">
        <f t="shared" ref="G103:J103" ca="1" si="57">F105</f>
        <v>516.15</v>
      </c>
      <c r="H103">
        <f t="shared" ca="1" si="57"/>
        <v>516.15</v>
      </c>
      <c r="I103">
        <f t="shared" ca="1" si="57"/>
        <v>516.15</v>
      </c>
      <c r="J103">
        <f t="shared" ca="1" si="57"/>
        <v>516.15</v>
      </c>
      <c r="K103">
        <f t="shared" ref="K103" ca="1" si="58">J105</f>
        <v>461.895948044514</v>
      </c>
      <c r="L103">
        <f t="shared" ref="L103" ca="1" si="59">K105</f>
        <v>140.76470669276614</v>
      </c>
    </row>
    <row r="104" spans="1:13" ht="15" customHeight="1" x14ac:dyDescent="0.45">
      <c r="B104" t="s">
        <v>92</v>
      </c>
      <c r="F104">
        <f ca="1">MIN(F95+F99,F103)*-1</f>
        <v>0</v>
      </c>
      <c r="G104">
        <f t="shared" ref="G104:J104" ca="1" si="60">MIN(G95+G99,G103)*-1</f>
        <v>0</v>
      </c>
      <c r="H104">
        <f t="shared" ca="1" si="60"/>
        <v>0</v>
      </c>
      <c r="I104">
        <f t="shared" ca="1" si="60"/>
        <v>0</v>
      </c>
      <c r="J104">
        <f t="shared" ca="1" si="60"/>
        <v>-54.254051955485977</v>
      </c>
      <c r="K104">
        <f t="shared" ref="K104:L104" ca="1" si="61">MIN(K95+K99,K103)*-1</f>
        <v>-321.13124135174786</v>
      </c>
      <c r="L104">
        <f t="shared" ca="1" si="61"/>
        <v>-140.76470669276614</v>
      </c>
    </row>
    <row r="105" spans="1:13" ht="15" customHeight="1" x14ac:dyDescent="0.45">
      <c r="B105" t="s">
        <v>95</v>
      </c>
      <c r="E105">
        <f>C54</f>
        <v>516.15</v>
      </c>
      <c r="F105">
        <f ca="1">SUM(F103:F104)</f>
        <v>516.15</v>
      </c>
      <c r="G105">
        <f t="shared" ref="G105:J105" ca="1" si="62">SUM(G103:G104)</f>
        <v>516.15</v>
      </c>
      <c r="H105">
        <f t="shared" ca="1" si="62"/>
        <v>516.15</v>
      </c>
      <c r="I105">
        <f t="shared" ca="1" si="62"/>
        <v>516.15</v>
      </c>
      <c r="J105">
        <f t="shared" ca="1" si="62"/>
        <v>461.895948044514</v>
      </c>
      <c r="K105">
        <f t="shared" ref="K105:L105" ca="1" si="63">SUM(K103:K104)</f>
        <v>140.76470669276614</v>
      </c>
      <c r="L105">
        <f t="shared" ca="1" si="63"/>
        <v>0</v>
      </c>
    </row>
    <row r="106" spans="1:13" ht="15" customHeight="1" x14ac:dyDescent="0.45">
      <c r="B106" t="s">
        <v>80</v>
      </c>
      <c r="F106">
        <f ca="1">$C$37*AVERAGE(E105:F105)</f>
        <v>31.949684999999995</v>
      </c>
      <c r="G106">
        <f t="shared" ref="G106:J106" ca="1" si="64">$C$37*AVERAGE(F105:G105)</f>
        <v>31.949684999999995</v>
      </c>
      <c r="H106">
        <f t="shared" ca="1" si="64"/>
        <v>31.949684999999995</v>
      </c>
      <c r="I106">
        <f t="shared" ca="1" si="64"/>
        <v>31.949684999999995</v>
      </c>
      <c r="J106">
        <f t="shared" ca="1" si="64"/>
        <v>30.270522091977707</v>
      </c>
      <c r="K106">
        <f t="shared" ref="K106" ca="1" si="65">$C$37*AVERAGE(J105:K105)</f>
        <v>18.652347264118816</v>
      </c>
      <c r="L106">
        <f t="shared" ref="L106" ca="1" si="66">$C$37*AVERAGE(K105:L105)</f>
        <v>4.3566676721411115</v>
      </c>
    </row>
    <row r="108" spans="1:13" ht="15" customHeight="1" x14ac:dyDescent="0.45">
      <c r="B108" t="s">
        <v>99</v>
      </c>
      <c r="E108" s="44">
        <v>0</v>
      </c>
      <c r="F108">
        <f ca="1">F95+F99+F104</f>
        <v>0</v>
      </c>
      <c r="G108">
        <f t="shared" ref="G108:J108" ca="1" si="67">G95+G99+G104</f>
        <v>0</v>
      </c>
      <c r="H108">
        <f t="shared" ca="1" si="67"/>
        <v>0</v>
      </c>
      <c r="I108">
        <f t="shared" ca="1" si="67"/>
        <v>0</v>
      </c>
      <c r="J108">
        <f t="shared" ca="1" si="67"/>
        <v>0</v>
      </c>
      <c r="K108">
        <f t="shared" ref="K108:L108" ca="1" si="68">K95+K99+K104</f>
        <v>0</v>
      </c>
      <c r="L108">
        <f t="shared" ca="1" si="68"/>
        <v>197.77465010498281</v>
      </c>
    </row>
    <row r="109" spans="1:13" ht="15" customHeight="1" x14ac:dyDescent="0.45">
      <c r="B109" t="s">
        <v>101</v>
      </c>
      <c r="E109" s="44"/>
      <c r="F109">
        <f ca="1">$C$38*AVERAGE(E108:F108)</f>
        <v>0</v>
      </c>
      <c r="G109">
        <f t="shared" ref="G109:J109" ca="1" si="69">$C$38*AVERAGE(F108:G108)</f>
        <v>0</v>
      </c>
      <c r="H109">
        <f t="shared" ca="1" si="69"/>
        <v>0</v>
      </c>
      <c r="I109">
        <f t="shared" ca="1" si="69"/>
        <v>0</v>
      </c>
      <c r="J109">
        <f t="shared" ca="1" si="69"/>
        <v>0</v>
      </c>
      <c r="K109">
        <f t="shared" ref="K109" ca="1" si="70">$C$38*AVERAGE(J108:K108)</f>
        <v>0</v>
      </c>
      <c r="L109">
        <f t="shared" ref="L109" ca="1" si="71">$C$38*AVERAGE(K108:L108)</f>
        <v>0.98887325052491404</v>
      </c>
    </row>
    <row r="111" spans="1:13" ht="15" customHeight="1" x14ac:dyDescent="0.45">
      <c r="B111" t="s">
        <v>96</v>
      </c>
      <c r="F111" s="49">
        <f ca="1">1-(F100+F105)/($E$100+$E$105)</f>
        <v>0.11477552632087429</v>
      </c>
      <c r="G111" s="49">
        <f t="shared" ref="G111:J111" ca="1" si="72">1-(G100+G105)/($E$100+$E$105)</f>
        <v>0.24696540814763235</v>
      </c>
      <c r="H111" s="49">
        <f t="shared" ca="1" si="72"/>
        <v>0.39563001466748504</v>
      </c>
      <c r="I111" s="49">
        <f t="shared" ca="1" si="72"/>
        <v>0.55741453533124985</v>
      </c>
      <c r="J111" s="49">
        <f t="shared" ca="1" si="72"/>
        <v>0.73153388663498164</v>
      </c>
      <c r="K111" s="49">
        <f t="shared" ref="K111:L111" ca="1" si="73">1-(K100+K105)/($E$100+$E$105)</f>
        <v>0.91818383801641024</v>
      </c>
      <c r="L111" s="49">
        <f t="shared" ca="1" si="73"/>
        <v>1</v>
      </c>
      <c r="M111" s="49"/>
    </row>
    <row r="113" spans="1:14" ht="15" customHeight="1" x14ac:dyDescent="0.45">
      <c r="A113" s="4" t="s">
        <v>102</v>
      </c>
      <c r="N113" s="62"/>
    </row>
    <row r="114" spans="1:14" ht="15" customHeight="1" x14ac:dyDescent="0.45">
      <c r="B114" t="s">
        <v>104</v>
      </c>
      <c r="F114" s="44">
        <v>1</v>
      </c>
      <c r="G114">
        <f>F114+1</f>
        <v>2</v>
      </c>
      <c r="H114">
        <f t="shared" ref="H114:J114" si="74">G114+1</f>
        <v>3</v>
      </c>
      <c r="I114">
        <f t="shared" si="74"/>
        <v>4</v>
      </c>
      <c r="J114">
        <f t="shared" si="74"/>
        <v>5</v>
      </c>
      <c r="K114">
        <f t="shared" ref="K114" si="75">J114+1</f>
        <v>6</v>
      </c>
      <c r="L114">
        <f t="shared" ref="L114" si="76">K114+1</f>
        <v>7</v>
      </c>
      <c r="N114" s="62"/>
    </row>
    <row r="115" spans="1:14" ht="15" customHeight="1" x14ac:dyDescent="0.45">
      <c r="B115" t="s">
        <v>105</v>
      </c>
      <c r="F115">
        <f>(F79+F72)*$C$44</f>
        <v>2881.5984668255805</v>
      </c>
      <c r="G115">
        <f t="shared" ref="G115:J115" si="77">(G79+G72)*$C$44</f>
        <v>3156.68110317945</v>
      </c>
      <c r="H115">
        <f t="shared" si="77"/>
        <v>3435.5830191536938</v>
      </c>
      <c r="I115">
        <f t="shared" si="77"/>
        <v>3669.4819735644815</v>
      </c>
      <c r="J115">
        <f t="shared" si="77"/>
        <v>3884.0007288955167</v>
      </c>
      <c r="K115">
        <f t="shared" ref="K115:L115" si="78">(K79+K72)*$C$44</f>
        <v>4073.4922961045986</v>
      </c>
      <c r="L115">
        <f t="shared" si="78"/>
        <v>4232.6652125602268</v>
      </c>
      <c r="N115" s="62"/>
    </row>
    <row r="116" spans="1:14" ht="15" customHeight="1" x14ac:dyDescent="0.45">
      <c r="B116" t="s">
        <v>106</v>
      </c>
      <c r="F116">
        <f ca="1">F100+F105-F108</f>
        <v>1523.0287069649357</v>
      </c>
      <c r="G116">
        <f t="shared" ref="G116:J116" ca="1" si="79">G100+G105-G108</f>
        <v>1295.5960152819985</v>
      </c>
      <c r="H116">
        <f t="shared" ca="1" si="79"/>
        <v>1039.818559764592</v>
      </c>
      <c r="I116">
        <f t="shared" ca="1" si="79"/>
        <v>761.46829196258477</v>
      </c>
      <c r="J116">
        <f t="shared" ca="1" si="79"/>
        <v>461.895948044514</v>
      </c>
      <c r="K116">
        <f t="shared" ref="K116:L116" ca="1" si="80">K100+K105-K108</f>
        <v>140.76470669276614</v>
      </c>
      <c r="L116">
        <f t="shared" ca="1" si="80"/>
        <v>-197.77465010498281</v>
      </c>
      <c r="N116" s="62"/>
    </row>
    <row r="117" spans="1:14" ht="15" customHeight="1" x14ac:dyDescent="0.45">
      <c r="B117" t="s">
        <v>107</v>
      </c>
      <c r="F117">
        <f ca="1">F115-F116</f>
        <v>1358.5697598606448</v>
      </c>
      <c r="G117">
        <f t="shared" ref="G117:J117" ca="1" si="81">G115-G116</f>
        <v>1861.0850878974516</v>
      </c>
      <c r="H117">
        <f t="shared" ca="1" si="81"/>
        <v>2395.7644593891018</v>
      </c>
      <c r="I117">
        <f t="shared" ca="1" si="81"/>
        <v>2908.0136816018967</v>
      </c>
      <c r="J117">
        <f t="shared" ca="1" si="81"/>
        <v>3422.1047808510025</v>
      </c>
      <c r="K117">
        <f t="shared" ref="K117:L117" ca="1" si="82">K115-K116</f>
        <v>3932.7275894118325</v>
      </c>
      <c r="L117">
        <f t="shared" ca="1" si="82"/>
        <v>4430.4398626652091</v>
      </c>
      <c r="N117" s="62"/>
    </row>
    <row r="119" spans="1:14" ht="15" customHeight="1" x14ac:dyDescent="0.45">
      <c r="B119" t="s">
        <v>108</v>
      </c>
      <c r="E119">
        <f>C55*-1</f>
        <v>-1188.5965872126599</v>
      </c>
      <c r="F119">
        <f>IF($C$42=F114,F117,0)</f>
        <v>0</v>
      </c>
      <c r="G119">
        <f t="shared" ref="G119:J119" si="83">IF($C$42=G114,G117,0)</f>
        <v>0</v>
      </c>
      <c r="H119">
        <f t="shared" si="83"/>
        <v>0</v>
      </c>
      <c r="I119">
        <f t="shared" ca="1" si="83"/>
        <v>2908.0136816018967</v>
      </c>
      <c r="J119">
        <f t="shared" si="83"/>
        <v>0</v>
      </c>
      <c r="K119">
        <f t="shared" ref="K119:L119" si="84">IF($C$42=K114,K117,0)</f>
        <v>0</v>
      </c>
      <c r="L119">
        <f t="shared" si="84"/>
        <v>0</v>
      </c>
    </row>
    <row r="120" spans="1:14" ht="15" customHeight="1" x14ac:dyDescent="0.45">
      <c r="B120" t="s">
        <v>109</v>
      </c>
      <c r="E120" s="49">
        <f ca="1">IRR(E119:L119)</f>
        <v>0.25066354684874881</v>
      </c>
    </row>
    <row r="122" spans="1:14" ht="15" customHeight="1" x14ac:dyDescent="0.45">
      <c r="A122" s="4" t="s">
        <v>110</v>
      </c>
    </row>
    <row r="123" spans="1:14" ht="28.5" x14ac:dyDescent="0.45">
      <c r="C123" s="41" t="s">
        <v>111</v>
      </c>
      <c r="D123" s="59" t="s">
        <v>112</v>
      </c>
      <c r="E123" s="59" t="s">
        <v>116</v>
      </c>
      <c r="F123" s="59" t="s">
        <v>117</v>
      </c>
    </row>
    <row r="124" spans="1:14" ht="15" customHeight="1" x14ac:dyDescent="0.45">
      <c r="B124" s="41" t="s">
        <v>33</v>
      </c>
      <c r="C124" s="60">
        <f ca="1">E120</f>
        <v>0.25066354684874881</v>
      </c>
      <c r="D124" s="61">
        <f>C17</f>
        <v>11.583</v>
      </c>
      <c r="E124" s="61">
        <f>C21</f>
        <v>1857.3375364830001</v>
      </c>
      <c r="F124" s="61">
        <f>C27</f>
        <v>2831.2525364829999</v>
      </c>
    </row>
    <row r="125" spans="1:14" ht="15" customHeight="1" x14ac:dyDescent="0.45">
      <c r="B125" s="51">
        <v>0.16</v>
      </c>
      <c r="C125" s="49">
        <f t="dataTable" ref="C125:F142" dt2D="0" dtr="0" r1="C16" ca="1"/>
        <v>0.28070468488126465</v>
      </c>
      <c r="D125">
        <v>10.335599999999999</v>
      </c>
      <c r="E125">
        <v>1657.3165710155999</v>
      </c>
      <c r="F125">
        <v>2631.2315710155999</v>
      </c>
    </row>
    <row r="126" spans="1:14" ht="15" customHeight="1" x14ac:dyDescent="0.45">
      <c r="B126" s="49">
        <f>B125+2%</f>
        <v>0.18</v>
      </c>
      <c r="C126" s="49">
        <v>0.2758191701131163</v>
      </c>
      <c r="D126">
        <v>10.5138</v>
      </c>
      <c r="E126">
        <v>1685.8909946537999</v>
      </c>
      <c r="F126">
        <v>2659.8059946537996</v>
      </c>
    </row>
    <row r="127" spans="1:14" ht="15" customHeight="1" x14ac:dyDescent="0.45">
      <c r="B127" s="49">
        <f t="shared" ref="B127:B142" si="85">B126+2%</f>
        <v>0.19999999999999998</v>
      </c>
      <c r="C127" s="49">
        <v>0.27115465483162038</v>
      </c>
      <c r="D127">
        <v>10.692</v>
      </c>
      <c r="E127">
        <v>1714.4654182920001</v>
      </c>
      <c r="F127">
        <v>2688.3804182920003</v>
      </c>
    </row>
    <row r="128" spans="1:14" ht="15" customHeight="1" x14ac:dyDescent="0.45">
      <c r="B128" s="49">
        <f t="shared" si="85"/>
        <v>0.21999999999999997</v>
      </c>
      <c r="C128" s="49">
        <v>0.26669603602198033</v>
      </c>
      <c r="D128">
        <v>10.870200000000001</v>
      </c>
      <c r="E128">
        <v>1743.0398419302001</v>
      </c>
      <c r="F128">
        <v>2716.9548419302</v>
      </c>
    </row>
    <row r="129" spans="1:6" ht="15" customHeight="1" x14ac:dyDescent="0.45">
      <c r="B129" s="49">
        <f t="shared" si="85"/>
        <v>0.23999999999999996</v>
      </c>
      <c r="C129" s="49">
        <v>0.26242958849647935</v>
      </c>
      <c r="D129">
        <v>11.048400000000001</v>
      </c>
      <c r="E129">
        <v>1771.6142655684002</v>
      </c>
      <c r="F129">
        <v>2745.5292655684002</v>
      </c>
    </row>
    <row r="130" spans="1:6" ht="15" customHeight="1" x14ac:dyDescent="0.45">
      <c r="B130" s="49">
        <f t="shared" si="85"/>
        <v>0.25999999999999995</v>
      </c>
      <c r="C130" s="49">
        <v>0.25834280835874357</v>
      </c>
      <c r="D130">
        <v>11.226599999999999</v>
      </c>
      <c r="E130">
        <v>1800.1886892066</v>
      </c>
      <c r="F130">
        <v>2774.1036892065999</v>
      </c>
    </row>
    <row r="131" spans="1:6" ht="15" customHeight="1" x14ac:dyDescent="0.45">
      <c r="B131" s="49">
        <f t="shared" si="85"/>
        <v>0.27999999999999997</v>
      </c>
      <c r="C131" s="49">
        <v>0.25442427764705777</v>
      </c>
      <c r="D131">
        <v>11.4048</v>
      </c>
      <c r="E131">
        <v>1828.7631128447999</v>
      </c>
      <c r="F131">
        <v>2802.6781128448001</v>
      </c>
    </row>
    <row r="132" spans="1:6" ht="15" customHeight="1" x14ac:dyDescent="0.45">
      <c r="B132" s="49">
        <f t="shared" si="85"/>
        <v>0.3</v>
      </c>
      <c r="C132" s="49">
        <v>0.25066354684874881</v>
      </c>
      <c r="D132">
        <v>11.583</v>
      </c>
      <c r="E132">
        <v>1857.3375364830001</v>
      </c>
      <c r="F132">
        <v>2831.2525364829999</v>
      </c>
    </row>
    <row r="133" spans="1:6" ht="15" customHeight="1" x14ac:dyDescent="0.45">
      <c r="B133" s="49">
        <f t="shared" si="85"/>
        <v>0.32</v>
      </c>
      <c r="C133" s="49">
        <v>0.24705103256068428</v>
      </c>
      <c r="D133">
        <v>11.761200000000001</v>
      </c>
      <c r="E133">
        <v>1885.9119601212001</v>
      </c>
      <c r="F133">
        <v>2859.8269601212</v>
      </c>
    </row>
    <row r="134" spans="1:6" ht="15" customHeight="1" x14ac:dyDescent="0.45">
      <c r="B134" s="49">
        <f t="shared" si="85"/>
        <v>0.34</v>
      </c>
      <c r="C134" s="49">
        <v>0.2435779280399939</v>
      </c>
      <c r="D134">
        <v>11.939400000000001</v>
      </c>
      <c r="E134">
        <v>1914.4863837594003</v>
      </c>
      <c r="F134">
        <v>2888.4013837594002</v>
      </c>
    </row>
    <row r="135" spans="1:6" ht="15" customHeight="1" x14ac:dyDescent="0.45">
      <c r="B135" s="49">
        <f t="shared" si="85"/>
        <v>0.36000000000000004</v>
      </c>
      <c r="C135" s="49">
        <v>0.24023612476858869</v>
      </c>
      <c r="D135">
        <v>12.117600000000001</v>
      </c>
      <c r="E135">
        <v>1943.0608073976002</v>
      </c>
      <c r="F135">
        <v>2916.9758073976</v>
      </c>
    </row>
    <row r="136" spans="1:6" ht="15" customHeight="1" x14ac:dyDescent="0.45">
      <c r="B136" s="49">
        <f t="shared" si="85"/>
        <v>0.38000000000000006</v>
      </c>
      <c r="C136" s="49">
        <v>0.23701814346367867</v>
      </c>
      <c r="D136">
        <v>12.295800000000002</v>
      </c>
      <c r="E136">
        <v>1971.6352310358002</v>
      </c>
      <c r="F136">
        <v>2945.5502310358002</v>
      </c>
    </row>
    <row r="137" spans="1:6" ht="15" customHeight="1" x14ac:dyDescent="0.45">
      <c r="B137" s="49">
        <f t="shared" si="85"/>
        <v>0.40000000000000008</v>
      </c>
      <c r="C137" s="49">
        <v>0.23391707321873101</v>
      </c>
      <c r="D137">
        <v>12.474000000000002</v>
      </c>
      <c r="E137">
        <v>2000.2096546740004</v>
      </c>
      <c r="F137">
        <v>2974.1246546740003</v>
      </c>
    </row>
    <row r="138" spans="1:6" ht="15" customHeight="1" x14ac:dyDescent="0.45">
      <c r="B138" s="49">
        <f t="shared" si="85"/>
        <v>0.4200000000000001</v>
      </c>
      <c r="C138" s="49">
        <v>0.23092651766646854</v>
      </c>
      <c r="D138">
        <v>12.652200000000002</v>
      </c>
      <c r="E138">
        <v>2028.7840783122003</v>
      </c>
      <c r="F138">
        <v>3002.6990783122001</v>
      </c>
    </row>
    <row r="139" spans="1:6" ht="15" customHeight="1" x14ac:dyDescent="0.45">
      <c r="B139" s="49">
        <f t="shared" si="85"/>
        <v>0.44000000000000011</v>
      </c>
      <c r="C139" s="49">
        <v>0.2280405472264222</v>
      </c>
      <c r="D139">
        <v>12.830400000000001</v>
      </c>
      <c r="E139">
        <v>2057.3585019504003</v>
      </c>
      <c r="F139">
        <v>3031.2735019504003</v>
      </c>
    </row>
    <row r="140" spans="1:6" ht="15" customHeight="1" x14ac:dyDescent="0.45">
      <c r="B140" s="49">
        <f t="shared" si="85"/>
        <v>0.46000000000000013</v>
      </c>
      <c r="C140" s="49">
        <v>0.22525365664114538</v>
      </c>
      <c r="D140">
        <v>13.008600000000001</v>
      </c>
      <c r="E140">
        <v>2085.9329255886</v>
      </c>
      <c r="F140">
        <v>3059.8479255886</v>
      </c>
    </row>
    <row r="141" spans="1:6" ht="15" customHeight="1" x14ac:dyDescent="0.45">
      <c r="B141" s="49">
        <f t="shared" si="85"/>
        <v>0.48000000000000015</v>
      </c>
      <c r="C141" s="49">
        <v>0.22256072712302943</v>
      </c>
      <c r="D141">
        <v>13.186800000000002</v>
      </c>
      <c r="E141">
        <v>2114.5073492268002</v>
      </c>
      <c r="F141">
        <v>3088.4223492268002</v>
      </c>
    </row>
    <row r="142" spans="1:6" ht="15" customHeight="1" x14ac:dyDescent="0.45">
      <c r="B142" s="49">
        <f t="shared" si="85"/>
        <v>0.50000000000000011</v>
      </c>
      <c r="C142" s="49">
        <v>0.2199569925320648</v>
      </c>
      <c r="D142">
        <v>13.365</v>
      </c>
      <c r="E142">
        <v>2143.0817728649999</v>
      </c>
      <c r="F142">
        <v>3116.9967728649999</v>
      </c>
    </row>
    <row r="144" spans="1:6" ht="15" customHeight="1" x14ac:dyDescent="0.45">
      <c r="A144" s="4" t="s">
        <v>113</v>
      </c>
    </row>
  </sheetData>
  <conditionalFormatting sqref="B9">
    <cfRule type="colorScale" priority="1">
      <colorScale>
        <cfvo type="min"/>
        <cfvo type="max"/>
        <color theme="4"/>
        <color theme="6"/>
      </colorScale>
    </cfRule>
  </conditionalFormatting>
  <printOptions headings="1" gridLines="1"/>
  <pageMargins left="0.23622047244094491" right="0.23622047244094491" top="0.74803149606299213" bottom="0.74803149606299213" header="0.31496062992125984" footer="0.31496062992125984"/>
  <pageSetup paperSize="9" scale="60" fitToHeight="3" orientation="landscape" verticalDpi="1200" r:id="rId1"/>
  <headerFooter>
    <oddHeader xml:space="preserve">&amp;R&amp;10&amp;F 
&amp;A
</oddHeader>
    <oddFooter>&amp;L&amp;10© 2025&amp;C&amp;10Page &amp;P of &amp;N&amp;R&amp;G</oddFooter>
  </headerFooter>
  <rowBreaks count="2" manualBreakCount="2">
    <brk id="45" max="18" man="1"/>
    <brk id="96" max="18" man="1"/>
  </rowBreaks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  <ds:schemaRef ds:uri="7bb7a061-b855-42ef-b5fe-ec99cf5ad9b1"/>
  </ds:schemaRefs>
</ds:datastoreItem>
</file>

<file path=customXml/itemProps2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6C9D79-6259-42FD-80D3-B30E50563E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LBO</vt:lpstr>
      <vt:lpstr>Circswitch</vt:lpstr>
      <vt:lpstr>LBO!Print_Area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cp:lastPrinted>2025-10-08T16:17:04Z</cp:lastPrinted>
  <dcterms:created xsi:type="dcterms:W3CDTF">2016-02-03T14:06:14Z</dcterms:created>
  <dcterms:modified xsi:type="dcterms:W3CDTF">2025-10-08T21:00:33Z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