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C/2025/Gleacher S TC Proforma 160925/"/>
    </mc:Choice>
  </mc:AlternateContent>
  <xr:revisionPtr revIDLastSave="6" documentId="8_{FC690E2E-7208-4779-B627-C920C2CFD2E2}" xr6:coauthVersionLast="47" xr6:coauthVersionMax="47" xr10:uidLastSave="{D64ABC75-EE54-40B4-8FEF-E58CA97B2613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Acquisitions" sheetId="9" r:id="rId3"/>
    <sheet name="Disposals" sheetId="10" r:id="rId4"/>
    <sheet name="Financing" sheetId="11" r:id="rId5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Acquisitions!$A$1:$K$177</definedName>
    <definedName name="_xlnm.Print_Area" localSheetId="3">Disposals!$A$1:$K$73</definedName>
    <definedName name="_xlnm.Print_Area" localSheetId="4">Financing!$A$1:$K$236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9" i="11" l="1"/>
  <c r="C170" i="11"/>
  <c r="C138" i="11"/>
  <c r="C133" i="11"/>
  <c r="C132" i="11"/>
  <c r="C217" i="11" s="1"/>
  <c r="C220" i="11" s="1"/>
  <c r="C131" i="11"/>
  <c r="C130" i="11"/>
  <c r="C128" i="11"/>
  <c r="C127" i="11"/>
  <c r="C126" i="11"/>
  <c r="D162" i="9"/>
  <c r="C218" i="11"/>
  <c r="C216" i="11"/>
  <c r="C214" i="11"/>
  <c r="C213" i="11"/>
  <c r="C212" i="11"/>
  <c r="C211" i="11"/>
  <c r="B218" i="11"/>
  <c r="B217" i="11"/>
  <c r="B216" i="11"/>
  <c r="B215" i="11"/>
  <c r="B214" i="11"/>
  <c r="B213" i="11"/>
  <c r="B212" i="11"/>
  <c r="B211" i="11"/>
  <c r="C174" i="11"/>
  <c r="C215" i="11"/>
  <c r="C234" i="11"/>
  <c r="C205" i="11"/>
  <c r="C202" i="11"/>
  <c r="C206" i="11" s="1"/>
  <c r="C197" i="11"/>
  <c r="C199" i="11" s="1"/>
  <c r="C137" i="11"/>
  <c r="C136" i="11"/>
  <c r="C125" i="11"/>
  <c r="C134" i="11" l="1"/>
  <c r="C169" i="11" s="1"/>
  <c r="C171" i="11" s="1"/>
  <c r="C207" i="11"/>
  <c r="C203" i="11"/>
  <c r="C219" i="11" s="1"/>
  <c r="C208" i="11"/>
  <c r="C139" i="11"/>
  <c r="C173" i="11" s="1"/>
  <c r="C175" i="11" s="1"/>
  <c r="C209" i="11" l="1"/>
  <c r="C177" i="11"/>
  <c r="C141" i="11"/>
  <c r="D62" i="10" l="1"/>
  <c r="D69" i="10" s="1"/>
  <c r="C37" i="10"/>
  <c r="D63" i="10"/>
  <c r="C39" i="10"/>
  <c r="C35" i="10"/>
  <c r="D65" i="10" s="1"/>
  <c r="C27" i="10"/>
  <c r="C23" i="10"/>
  <c r="C30" i="10" s="1"/>
  <c r="C19" i="10"/>
  <c r="C38" i="10" s="1"/>
  <c r="D68" i="10" s="1"/>
  <c r="C18" i="10"/>
  <c r="C14" i="10"/>
  <c r="C36" i="10" s="1"/>
  <c r="D66" i="10" s="1"/>
  <c r="E171" i="9"/>
  <c r="F171" i="9" s="1"/>
  <c r="D171" i="9"/>
  <c r="E170" i="9"/>
  <c r="D170" i="9"/>
  <c r="C171" i="9"/>
  <c r="C170" i="9"/>
  <c r="C163" i="9"/>
  <c r="C153" i="9"/>
  <c r="C162" i="9"/>
  <c r="C164" i="9" s="1"/>
  <c r="D152" i="9"/>
  <c r="D151" i="9"/>
  <c r="C154" i="9"/>
  <c r="C155" i="9" s="1"/>
  <c r="D84" i="9"/>
  <c r="C84" i="9"/>
  <c r="C85" i="9" s="1"/>
  <c r="D83" i="9"/>
  <c r="C83" i="9"/>
  <c r="C80" i="9"/>
  <c r="C173" i="9" s="1"/>
  <c r="F76" i="9"/>
  <c r="C156" i="9" l="1"/>
  <c r="D155" i="9"/>
  <c r="D165" i="9"/>
  <c r="D153" i="9"/>
  <c r="D163" i="9" s="1"/>
  <c r="D164" i="9" s="1"/>
  <c r="D166" i="9" s="1"/>
  <c r="E172" i="9" s="1"/>
  <c r="C165" i="9"/>
  <c r="C166" i="9" s="1"/>
  <c r="D172" i="9" s="1"/>
  <c r="C40" i="10"/>
  <c r="C41" i="10" s="1"/>
  <c r="D70" i="10"/>
  <c r="D71" i="10" s="1"/>
  <c r="C15" i="10"/>
  <c r="C20" i="10" s="1"/>
  <c r="D156" i="9"/>
  <c r="C172" i="9" s="1"/>
  <c r="D85" i="9"/>
  <c r="D86" i="9" s="1"/>
  <c r="C175" i="9" s="1"/>
  <c r="C86" i="9"/>
  <c r="F172" i="9" l="1"/>
  <c r="C174" i="9" s="1"/>
  <c r="F21" i="9"/>
  <c r="E21" i="9"/>
  <c r="D21" i="9"/>
  <c r="C21" i="9"/>
  <c r="F20" i="9"/>
  <c r="E20" i="9"/>
  <c r="D20" i="9"/>
  <c r="C20" i="9"/>
  <c r="C19" i="9"/>
  <c r="C22" i="9" l="1"/>
  <c r="F22" i="9"/>
  <c r="D22" i="9"/>
  <c r="E22" i="9"/>
  <c r="C39" i="9" l="1"/>
  <c r="A7" i="1" l="1"/>
  <c r="C58" i="9" l="1"/>
  <c r="C57" i="9"/>
  <c r="C48" i="9"/>
  <c r="C50" i="9" s="1"/>
  <c r="C54" i="9" s="1"/>
  <c r="C41" i="9"/>
  <c r="C53" i="9" s="1"/>
  <c r="C59" i="9" l="1"/>
  <c r="C55" i="9"/>
  <c r="C60" i="9" l="1"/>
  <c r="A1" i="6" l="1"/>
</calcChain>
</file>

<file path=xl/sharedStrings.xml><?xml version="1.0" encoding="utf-8"?>
<sst xmlns="http://schemas.openxmlformats.org/spreadsheetml/2006/main" count="245" uniqueCount="184">
  <si>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</si>
  <si>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</si>
  <si>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</si>
  <si>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</si>
  <si>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</si>
  <si>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</si>
  <si>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</si>
  <si>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</si>
  <si>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</si>
  <si>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</si>
  <si>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</si>
  <si>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</si>
  <si>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</si>
  <si>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</si>
  <si>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</si>
  <si>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1</t>
  </si>
  <si>
    <t>NA</t>
  </si>
  <si>
    <t>EV</t>
  </si>
  <si>
    <t>EV/EBITDA</t>
  </si>
  <si>
    <t>Workout 2</t>
  </si>
  <si>
    <t>Workout 3</t>
  </si>
  <si>
    <t>Workout 4</t>
  </si>
  <si>
    <t>Equity</t>
  </si>
  <si>
    <t>Equity value</t>
  </si>
  <si>
    <t>Enterprise value</t>
  </si>
  <si>
    <t>EBIT</t>
  </si>
  <si>
    <t>EBITDA</t>
  </si>
  <si>
    <t>Share price</t>
  </si>
  <si>
    <t>EV/EBIT</t>
  </si>
  <si>
    <t>Net debt</t>
  </si>
  <si>
    <t>Shares outstanding</t>
  </si>
  <si>
    <t>Market capitalization</t>
  </si>
  <si>
    <t>End</t>
  </si>
  <si>
    <t>Trading Comparables Valuation</t>
  </si>
  <si>
    <t>Sales</t>
  </si>
  <si>
    <t>Operating profit</t>
  </si>
  <si>
    <t>Depreciation and amortization</t>
  </si>
  <si>
    <t>Operating income</t>
  </si>
  <si>
    <t>COGS</t>
  </si>
  <si>
    <t>Gross profit</t>
  </si>
  <si>
    <t>Total debt</t>
  </si>
  <si>
    <t>Cash</t>
  </si>
  <si>
    <t>Revenues</t>
  </si>
  <si>
    <t>SG&amp;A costs</t>
  </si>
  <si>
    <t>Reported EBITDA</t>
  </si>
  <si>
    <t>Add half year of target EBITDA</t>
  </si>
  <si>
    <t>EV / Pro-forma EBITDA</t>
  </si>
  <si>
    <t>Pro-forma EBITDA</t>
  </si>
  <si>
    <t>LTM</t>
  </si>
  <si>
    <t>Target</t>
  </si>
  <si>
    <t>Combo</t>
  </si>
  <si>
    <t>Acquisitions</t>
  </si>
  <si>
    <t>Health Inc. has recently completed the acquisition of Target Co.</t>
  </si>
  <si>
    <t>Yr 1</t>
  </si>
  <si>
    <t>Yr 2</t>
  </si>
  <si>
    <t>Yr 3</t>
  </si>
  <si>
    <t>The following data is available. Please calculate the EBITDA multiples for Health Inc.</t>
  </si>
  <si>
    <t>Health Inc enterprise value</t>
  </si>
  <si>
    <t>What do you notice?</t>
  </si>
  <si>
    <t>Last reported</t>
  </si>
  <si>
    <t>financial year</t>
  </si>
  <si>
    <t>Health Inc. closed the acquisition halfway through the last reported financial year. Assume the acquisition had no seasonality in its numbers.</t>
  </si>
  <si>
    <t>Both companies have the same year end.</t>
  </si>
  <si>
    <t>Using the information below calculate Health Inc.'s pro-forma LTM EV/EBITDA multiple.</t>
  </si>
  <si>
    <t>You are updating your luxury products comps in May 2018.</t>
  </si>
  <si>
    <t>Tapestry share price on 11 May 2018 (analysis date)</t>
  </si>
  <si>
    <t>Fully diluted shares outstanding at the above price</t>
  </si>
  <si>
    <t>As reported in 10K and 10Q</t>
  </si>
  <si>
    <t>Net sales</t>
  </si>
  <si>
    <t>Depreciation &amp; amortization</t>
  </si>
  <si>
    <t>FYE</t>
  </si>
  <si>
    <t>Restructuring charge in SG&amp;A</t>
  </si>
  <si>
    <t>Net debt as per latest 10Q</t>
  </si>
  <si>
    <t>What do you notice from the financials above?</t>
  </si>
  <si>
    <t>Tapestry's latest fiscal year end is 1 July 2017</t>
  </si>
  <si>
    <t>in the bond prospectus.</t>
  </si>
  <si>
    <t>You further review the notes to Tapestry's accounts and find the following information in the notes.</t>
  </si>
  <si>
    <t>CY+1</t>
  </si>
  <si>
    <t>9 months to</t>
  </si>
  <si>
    <t>Enterprise Value</t>
  </si>
  <si>
    <t>You have been asked to calculate the LTM and CY+1 EBITDA multiples of Tapestry following the publication of the most recent 10Q.</t>
  </si>
  <si>
    <t>Proforma FY 2017 results</t>
  </si>
  <si>
    <t>Using the bond document information, we can gross up for 12 months</t>
  </si>
  <si>
    <t>Implied D&amp;A</t>
  </si>
  <si>
    <t>12 months to</t>
  </si>
  <si>
    <t>Proforma sales given in the latest 10Q</t>
  </si>
  <si>
    <t>Operating income margin</t>
  </si>
  <si>
    <t>Assumed operating margin from bond documentation</t>
  </si>
  <si>
    <t>Implied operating income</t>
  </si>
  <si>
    <t>Implied EBITDA</t>
  </si>
  <si>
    <t>Step 2 - Proforma quarterly results</t>
  </si>
  <si>
    <t>LTM to</t>
  </si>
  <si>
    <t>Step 3 - Recalculate LTM multiple</t>
  </si>
  <si>
    <t>LTM EBITDA multiple</t>
  </si>
  <si>
    <t>CY+1 (2018) multiple</t>
  </si>
  <si>
    <t>Disposals</t>
  </si>
  <si>
    <t>Net income continuing operations</t>
  </si>
  <si>
    <t>Assets</t>
  </si>
  <si>
    <t>Cash &amp; short term investments</t>
  </si>
  <si>
    <t>Assets held for sale</t>
  </si>
  <si>
    <t>LT operating assets</t>
  </si>
  <si>
    <t>LT financial assets</t>
  </si>
  <si>
    <t>Total assets</t>
  </si>
  <si>
    <t>ST financial liabilities</t>
  </si>
  <si>
    <t>ST operating assets</t>
  </si>
  <si>
    <t>Liabilities held for sale</t>
  </si>
  <si>
    <t>LT financial liabilities</t>
  </si>
  <si>
    <t>LT operating liabilities</t>
  </si>
  <si>
    <t>Total liabilities &amp; equity</t>
  </si>
  <si>
    <t>Fully diluted shares at current share price</t>
  </si>
  <si>
    <t>Premier Inc has the following financials. Please calculate the EBIT multiple.</t>
  </si>
  <si>
    <t>Non operating assets</t>
  </si>
  <si>
    <t>Net assets held for sale</t>
  </si>
  <si>
    <t>Your senior banker asks you to review the multiple of question 1 as Premier Inc is clearly considering the sale of a business.</t>
  </si>
  <si>
    <t>What numbers would you investigate further?</t>
  </si>
  <si>
    <t>Answer</t>
  </si>
  <si>
    <t>1. Identify if EBIT stated only represents the earning of continuing operations.</t>
  </si>
  <si>
    <t>2. Net assets held for sale - this is a book value and the potential market value could be substantially different.</t>
  </si>
  <si>
    <t>After digging through the financials of Premier Inc. you find the following information in the notes:</t>
  </si>
  <si>
    <t>EBIT of discontinued operations included in consolidated EBIT</t>
  </si>
  <si>
    <t>The discontinued operations relate to the sale of MDL Inc.</t>
  </si>
  <si>
    <t>On 7 July in the prior year the Group sold 24.8% of MDL to ABP for a total amount of USD 10.4bn.</t>
  </si>
  <si>
    <t>Noncontrolling interest</t>
  </si>
  <si>
    <t>The agreement further included the option for ABP to acquire Premier's remaining shareholding</t>
  </si>
  <si>
    <t>183.5 million shares.</t>
  </si>
  <si>
    <t>EBIT adjusted for discontinued operations</t>
  </si>
  <si>
    <t>Assets held for sale - market value</t>
  </si>
  <si>
    <t>Non controlling interest</t>
  </si>
  <si>
    <t>This resulted in the creation of the entire noncontrolling interest.</t>
  </si>
  <si>
    <t>EV/EBIT proforma</t>
  </si>
  <si>
    <t>All financials are in USD million except for share information.</t>
  </si>
  <si>
    <t>Financing</t>
  </si>
  <si>
    <t>Share price on 25 Feb 2021</t>
  </si>
  <si>
    <t>from the data below.</t>
  </si>
  <si>
    <t>Long term obligations</t>
  </si>
  <si>
    <t>Current portion of long term obligations</t>
  </si>
  <si>
    <t>Redeemable noncontrolling interest</t>
  </si>
  <si>
    <t>The 10K of American Tower Corp has just been published. Please calculate the EV/EBITDA multiple</t>
  </si>
  <si>
    <t>D&amp;A</t>
  </si>
  <si>
    <t>Ignore any impact from options. Treat operating leases as financial obligations.</t>
  </si>
  <si>
    <t>Long term obligations are all interest bearing and include finance leases.</t>
  </si>
  <si>
    <t>Operating lease expense</t>
  </si>
  <si>
    <t>EV from workout 1</t>
  </si>
  <si>
    <t>EBITDA from workout 1</t>
  </si>
  <si>
    <t>Proforma EBITDA</t>
  </si>
  <si>
    <t>Proforma EV</t>
  </si>
  <si>
    <t>Proforma EV/EBITDA multiple</t>
  </si>
  <si>
    <t>Following your work on American Tower you have put the company on your watch list for updates.</t>
  </si>
  <si>
    <t>Please recalculate your Enterprise Value assuming that the deal terms are the same.</t>
  </si>
  <si>
    <t xml:space="preserve">The share price of American Tower on May 4 was </t>
  </si>
  <si>
    <t>Pre offer share price</t>
  </si>
  <si>
    <t>Assume that the overallotment option was exercised.</t>
  </si>
  <si>
    <t>Discount</t>
  </si>
  <si>
    <t>Offer price</t>
  </si>
  <si>
    <t>Assume a 2% discount to the closing price on May 4.</t>
  </si>
  <si>
    <t>Proceeds raised</t>
  </si>
  <si>
    <t>No of shares</t>
  </si>
  <si>
    <t>Ignore any dilution from share options.</t>
  </si>
  <si>
    <t>Existing number of shares</t>
  </si>
  <si>
    <t>New shares from offering</t>
  </si>
  <si>
    <t>Total proforma shares</t>
  </si>
  <si>
    <t>Acquisition debt</t>
  </si>
  <si>
    <t>Proforma Enterprise Value</t>
  </si>
  <si>
    <t>One day later, the issue is priced and American Tower announces the following:</t>
  </si>
  <si>
    <t>What is the change to the acquisition debt, assuming the greenshoe exercise?</t>
  </si>
  <si>
    <t xml:space="preserve">Financing </t>
  </si>
  <si>
    <t>As Tapestry issued debt in connection with the transaction, the following proforma financial information is given</t>
  </si>
  <si>
    <t>Step 1 - proforma FY 2017 results</t>
  </si>
  <si>
    <t>Proforma combined sales</t>
  </si>
  <si>
    <t>Implied proforma EBITDA</t>
  </si>
  <si>
    <t>Proforma combined operating income</t>
  </si>
  <si>
    <t>No further information is available. Consider how to calculate a proforma LTM multiple.</t>
  </si>
  <si>
    <t>D&amp;A/sales pre acquisition margin</t>
  </si>
  <si>
    <t>Implied D&amp;A based on bond document margin</t>
  </si>
  <si>
    <t>in MDL at a price of $181 per share. On 4 Jan, ABP exercised its option to acquire the remaining</t>
  </si>
  <si>
    <t>After checking your numbers, press runs and the 10K, you note that the company discloses subsequent events  at the end of the 10K.</t>
  </si>
  <si>
    <t>Current portion of operating lease liability</t>
  </si>
  <si>
    <t>Long term operating lease</t>
  </si>
  <si>
    <t>Accrued interest</t>
  </si>
  <si>
    <t>In Telefonica's annual report you find the following information. Assume an exchange rate of 0.8200.</t>
  </si>
  <si>
    <t>Trading Comps Pro Forma Adjustments</t>
  </si>
  <si>
    <t>Calculate proforma financials for the transaction. Assume that adjusted EBITDA is pre operating lease expense.</t>
  </si>
  <si>
    <t>Acquisition price of Telxius</t>
  </si>
  <si>
    <t>EBITDA Telxius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</si>
</sst>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0_);\(#,##0.00\);0.00_);@_)"/>
    <numFmt numFmtId="176" formatCode="0.0%"/>
    <numFmt numFmtId="177" formatCode="0.0%_);\(0.0%\);0.0%_);@_)"/>
  </numFmts>
  <fonts count="34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rgb="FF085393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93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5" fontId="30" fillId="0" borderId="0" xfId="58" applyNumberFormat="1" applyFill="1"/>
    <xf numFmtId="175" fontId="0" fillId="0" borderId="0" xfId="0" applyNumberFormat="1"/>
    <xf numFmtId="171" fontId="30" fillId="0" borderId="0" xfId="56" applyFont="1" applyFill="1"/>
    <xf numFmtId="172" fontId="30" fillId="0" borderId="0" xfId="57" applyFont="1" applyFill="1"/>
    <xf numFmtId="171" fontId="0" fillId="0" borderId="0" xfId="56" applyFont="1"/>
    <xf numFmtId="9" fontId="0" fillId="0" borderId="0" xfId="0" applyNumberFormat="1"/>
    <xf numFmtId="176" fontId="0" fillId="0" borderId="0" xfId="0" applyNumberFormat="1"/>
    <xf numFmtId="170" fontId="33" fillId="0" borderId="0" xfId="54" applyFont="1">
      <alignment vertical="top"/>
    </xf>
    <xf numFmtId="174" fontId="3" fillId="0" borderId="0" xfId="59" applyNumberFormat="1" applyFont="1" applyAlignment="1">
      <alignment horizontal="center"/>
    </xf>
    <xf numFmtId="168" fontId="0" fillId="0" borderId="0" xfId="55" applyFont="1"/>
    <xf numFmtId="174" fontId="3" fillId="0" borderId="0" xfId="59" quotePrefix="1" applyNumberFormat="1" applyFont="1" applyAlignment="1">
      <alignment horizontal="center"/>
    </xf>
    <xf numFmtId="174" fontId="0" fillId="0" borderId="0" xfId="0" applyAlignment="1">
      <alignment horizontal="center"/>
    </xf>
    <xf numFmtId="174" fontId="29" fillId="0" borderId="0" xfId="58" applyNumberFormat="1" applyFont="1" applyFill="1"/>
    <xf numFmtId="174" fontId="29" fillId="0" borderId="0" xfId="58" applyNumberFormat="1" applyFont="1" applyFill="1" applyAlignment="1">
      <alignment horizontal="center"/>
    </xf>
    <xf numFmtId="177" fontId="0" fillId="0" borderId="0" xfId="0" applyNumberFormat="1"/>
    <xf numFmtId="175" fontId="29" fillId="0" borderId="0" xfId="58" applyNumberFormat="1" applyFont="1" applyFill="1"/>
    <xf numFmtId="171" fontId="29" fillId="0" borderId="0" xfId="56" applyFont="1"/>
    <xf numFmtId="171" fontId="29" fillId="0" borderId="0" xfId="56" applyFont="1" applyFill="1"/>
    <xf numFmtId="177" fontId="30" fillId="0" borderId="0" xfId="58" applyNumberFormat="1" applyFill="1"/>
    <xf numFmtId="170" fontId="30" fillId="0" borderId="0" xfId="58" applyFill="1" applyAlignment="1">
      <alignment vertical="top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 cent" xfId="6" builtinId="5" hidden="1"/>
    <cellStyle name="Per 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93</xdr:row>
      <xdr:rowOff>145042</xdr:rowOff>
    </xdr:from>
    <xdr:to>
      <xdr:col>5</xdr:col>
      <xdr:colOff>581025</xdr:colOff>
      <xdr:row>102</xdr:row>
      <xdr:rowOff>76672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6EEC68-0768-4D31-8B13-5FC2BB0DA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5766042"/>
          <a:ext cx="6124575" cy="164613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103</xdr:row>
      <xdr:rowOff>95250</xdr:rowOff>
    </xdr:from>
    <xdr:to>
      <xdr:col>5</xdr:col>
      <xdr:colOff>600075</xdr:colOff>
      <xdr:row>114</xdr:row>
      <xdr:rowOff>77622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CF9F07-A5B4-4CE6-A7E5-3E92C1E7B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6" y="17621250"/>
          <a:ext cx="6181724" cy="2077872"/>
        </a:xfrm>
        <a:prstGeom prst="rect">
          <a:avLst/>
        </a:prstGeom>
      </xdr:spPr>
    </xdr:pic>
    <xdr:clientData/>
  </xdr:twoCellAnchor>
  <xdr:twoCellAnchor editAs="oneCell">
    <xdr:from>
      <xdr:col>1</xdr:col>
      <xdr:colOff>604838</xdr:colOff>
      <xdr:row>117</xdr:row>
      <xdr:rowOff>161925</xdr:rowOff>
    </xdr:from>
    <xdr:to>
      <xdr:col>6</xdr:col>
      <xdr:colOff>632975</xdr:colOff>
      <xdr:row>140</xdr:row>
      <xdr:rowOff>119063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1BEA9A-EE50-4F87-BF5F-00B7B195B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1" y="21307425"/>
          <a:ext cx="6438462" cy="43386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7</xdr:col>
      <xdr:colOff>62926</xdr:colOff>
      <xdr:row>51</xdr:row>
      <xdr:rowOff>20063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4F2D9-308D-48C0-99A0-2634B8F7C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3" y="2286000"/>
          <a:ext cx="7259063" cy="7259063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</xdr:colOff>
      <xdr:row>51</xdr:row>
      <xdr:rowOff>80963</xdr:rowOff>
    </xdr:from>
    <xdr:to>
      <xdr:col>6</xdr:col>
      <xdr:colOff>777288</xdr:colOff>
      <xdr:row>65</xdr:row>
      <xdr:rowOff>100388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51E385-5F81-41DA-B445-8DBEB6EC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986963"/>
          <a:ext cx="7173326" cy="26864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65</xdr:row>
      <xdr:rowOff>171450</xdr:rowOff>
    </xdr:from>
    <xdr:to>
      <xdr:col>7</xdr:col>
      <xdr:colOff>86738</xdr:colOff>
      <xdr:row>94</xdr:row>
      <xdr:rowOff>134116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488809-DF34-4075-99B4-AC7C8579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12744450"/>
          <a:ext cx="7259063" cy="54871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33340</xdr:rowOff>
    </xdr:from>
    <xdr:to>
      <xdr:col>7</xdr:col>
      <xdr:colOff>101031</xdr:colOff>
      <xdr:row>122</xdr:row>
      <xdr:rowOff>129295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30554B-3C46-47F1-9842-9FE9FC029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3" y="18892840"/>
          <a:ext cx="7297168" cy="50489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7</xdr:col>
      <xdr:colOff>120084</xdr:colOff>
      <xdr:row>152</xdr:row>
      <xdr:rowOff>143081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0076B0-7910-4813-977A-E941E9361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013" y="28194000"/>
          <a:ext cx="7316221" cy="147658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114304</xdr:colOff>
      <xdr:row>156</xdr:row>
      <xdr:rowOff>130664</xdr:rowOff>
    </xdr:from>
    <xdr:to>
      <xdr:col>7</xdr:col>
      <xdr:colOff>104779</xdr:colOff>
      <xdr:row>164</xdr:row>
      <xdr:rowOff>171657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35F99D9-ADDD-4DE8-AF99-B80891304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4317" y="30420164"/>
          <a:ext cx="7186612" cy="156499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181</xdr:row>
      <xdr:rowOff>85725</xdr:rowOff>
    </xdr:from>
    <xdr:to>
      <xdr:col>7</xdr:col>
      <xdr:colOff>117253</xdr:colOff>
      <xdr:row>189</xdr:row>
      <xdr:rowOff>124027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869171A-5867-4342-841C-1290020DA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1" y="35137725"/>
          <a:ext cx="7318152" cy="15623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223</xdr:row>
      <xdr:rowOff>90488</xdr:rowOff>
    </xdr:from>
    <xdr:to>
      <xdr:col>6</xdr:col>
      <xdr:colOff>486736</xdr:colOff>
      <xdr:row>230</xdr:row>
      <xdr:rowOff>128779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1FFD614-9E57-437B-A0B2-83FD0B9C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9064" y="43143488"/>
          <a:ext cx="6878010" cy="1371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992187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22" customFormat="1" ht="75" customHeight="1" x14ac:dyDescent="0.45">
      <c r="A2" s="84" t="s">
        <v>180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83"/>
      <c r="D4" s="83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5" t="s">
        <v>10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s="23" customFormat="1" ht="15" customHeight="1" x14ac:dyDescent="0.4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s="23" customFormat="1" ht="15" customHeight="1" x14ac:dyDescent="0.45">
      <c r="A7" s="85" t="str">
        <f ca="1">"© "&amp;YEAR(TODAY())&amp;" Financial Edge Training"</f>
        <v>© 2025 Financial Edge Training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6"/>
      <c r="H9" s="86"/>
      <c r="I9" s="86"/>
      <c r="J9" s="86"/>
      <c r="K9" s="28"/>
    </row>
    <row r="10" spans="1:14" s="23" customFormat="1" ht="15" customHeight="1" x14ac:dyDescent="0.45">
      <c r="B10" s="24"/>
      <c r="C10" s="24"/>
      <c r="F10" s="28"/>
      <c r="G10" s="86"/>
      <c r="H10" s="86"/>
      <c r="I10" s="86"/>
      <c r="J10" s="86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82"/>
      <c r="H12" s="82"/>
      <c r="I12" s="82"/>
      <c r="J12" s="82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82"/>
      <c r="H13" s="82"/>
      <c r="I13" s="82"/>
      <c r="J13" s="82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82"/>
      <c r="H14" s="82"/>
      <c r="I14" s="82"/>
      <c r="J14" s="82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82"/>
      <c r="H16" s="82"/>
      <c r="I16" s="82"/>
      <c r="J16" s="82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9921875" customWidth="1"/>
    <col min="4" max="4" width="2.86328125" customWidth="1"/>
    <col min="5" max="7" width="1.46484375" customWidth="1"/>
    <col min="8" max="8" width="2.86328125" customWidth="1"/>
    <col min="9" max="9" width="42.79687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796875" bestFit="1" customWidth="1"/>
  </cols>
  <sheetData>
    <row r="1" spans="1:18" s="34" customFormat="1" ht="45" customHeight="1" x14ac:dyDescent="0.85">
      <c r="A1" s="13" t="str">
        <f>Welcome!A2</f>
        <v>Trading Comps Pro Forma Adjustments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33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91" t="s">
        <v>0</v>
      </c>
      <c r="C4" s="91"/>
      <c r="D4" s="91"/>
      <c r="E4" s="91"/>
      <c r="F4" s="91"/>
      <c r="G4" s="91"/>
      <c r="H4" s="91"/>
      <c r="I4" s="91"/>
      <c r="K4" s="1"/>
      <c r="L4" s="91" t="s">
        <v>2</v>
      </c>
      <c r="M4" s="91"/>
      <c r="N4" s="91"/>
      <c r="O4" s="91"/>
      <c r="P4" s="91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51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8" t="s">
        <v>16</v>
      </c>
      <c r="O5" s="88"/>
      <c r="P5" s="88"/>
      <c r="Q5" s="88"/>
      <c r="R5" s="40"/>
    </row>
    <row r="6" spans="1:18" s="2" customFormat="1" ht="15" customHeight="1" x14ac:dyDescent="0.45">
      <c r="A6" s="3"/>
      <c r="B6" s="8" t="s">
        <v>1</v>
      </c>
      <c r="C6" s="18" t="s">
        <v>95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9"/>
      <c r="O6" s="89"/>
      <c r="P6" s="89"/>
      <c r="Q6" s="89"/>
      <c r="R6" s="40"/>
    </row>
    <row r="7" spans="1:18" s="2" customFormat="1" ht="15" customHeight="1" x14ac:dyDescent="0.45">
      <c r="A7" s="18"/>
      <c r="B7" s="8" t="s">
        <v>1</v>
      </c>
      <c r="C7" s="18" t="s">
        <v>165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8"/>
      <c r="O7" s="88"/>
      <c r="P7" s="88"/>
      <c r="Q7" s="88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88"/>
      <c r="O8" s="88"/>
      <c r="P8" s="88"/>
      <c r="Q8" s="88"/>
      <c r="R8" s="40"/>
    </row>
    <row r="9" spans="1:18" s="2" customFormat="1" ht="15" customHeight="1" x14ac:dyDescent="0.45">
      <c r="A9" s="41"/>
      <c r="B9" s="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88" t="s">
        <v>9</v>
      </c>
      <c r="O9" s="88"/>
      <c r="P9" s="88"/>
      <c r="Q9" s="88"/>
      <c r="R9" s="40"/>
    </row>
    <row r="10" spans="1:18" s="2" customFormat="1" ht="15" customHeight="1" x14ac:dyDescent="0.45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90"/>
      <c r="O10" s="90"/>
      <c r="P10" s="90"/>
      <c r="Q10" s="90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N13" s="1"/>
      <c r="O13" s="91" t="s">
        <v>11</v>
      </c>
      <c r="P13" s="91"/>
      <c r="Q13" s="91"/>
      <c r="R13" s="58"/>
    </row>
    <row r="14" spans="1:18" s="2" customFormat="1" ht="15" customHeight="1" x14ac:dyDescent="0.45">
      <c r="A14" s="56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N15" s="3"/>
      <c r="O15" s="27"/>
      <c r="P15" s="52" t="s">
        <v>12</v>
      </c>
      <c r="Q15" s="22"/>
      <c r="R15" s="56"/>
    </row>
    <row r="16" spans="1:18" s="2" customFormat="1" ht="15" customHeight="1" x14ac:dyDescent="0.45">
      <c r="A16" s="5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N16" s="18"/>
      <c r="O16" s="27"/>
      <c r="P16" s="36" t="s">
        <v>13</v>
      </c>
      <c r="Q16" s="22"/>
      <c r="R16" s="56"/>
    </row>
    <row r="17" spans="1:18" s="2" customFormat="1" ht="15" customHeight="1" x14ac:dyDescent="0.45">
      <c r="A17" s="56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N17" s="18"/>
      <c r="O17" s="27"/>
      <c r="P17" t="s">
        <v>14</v>
      </c>
      <c r="Q17" s="22"/>
      <c r="R17" s="56"/>
    </row>
    <row r="18" spans="1:18" s="2" customFormat="1" ht="15" customHeight="1" x14ac:dyDescent="0.45">
      <c r="A18" s="39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55"/>
  <sheetViews>
    <sheetView zoomScaleNormal="100" workbookViewId="0"/>
  </sheetViews>
  <sheetFormatPr defaultColWidth="9.1328125" defaultRowHeight="15" customHeight="1" x14ac:dyDescent="0.45"/>
  <cols>
    <col min="1" max="1" width="1.46484375" style="15" customWidth="1"/>
    <col min="2" max="2" width="45.796875" style="16" customWidth="1"/>
    <col min="3" max="10" width="11" customWidth="1"/>
    <col min="11" max="11" width="9.1328125" customWidth="1"/>
    <col min="12" max="12" width="9.19921875" customWidth="1"/>
  </cols>
  <sheetData>
    <row r="1" spans="1:11" s="46" customFormat="1" ht="45" customHeight="1" x14ac:dyDescent="0.85">
      <c r="A1" s="5" t="s">
        <v>51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4" spans="1:11" ht="15" customHeight="1" x14ac:dyDescent="0.45">
      <c r="A4" s="15" t="s">
        <v>15</v>
      </c>
    </row>
    <row r="5" spans="1:11" ht="15" customHeight="1" x14ac:dyDescent="0.45">
      <c r="B5" s="16" t="s">
        <v>52</v>
      </c>
    </row>
    <row r="6" spans="1:11" ht="15" customHeight="1" x14ac:dyDescent="0.45">
      <c r="B6" s="16" t="s">
        <v>56</v>
      </c>
    </row>
    <row r="7" spans="1:11" ht="15" customHeight="1" x14ac:dyDescent="0.45">
      <c r="B7" s="16" t="s">
        <v>58</v>
      </c>
    </row>
    <row r="9" spans="1:11" ht="15" customHeight="1" x14ac:dyDescent="0.45">
      <c r="B9" s="16" t="s">
        <v>27</v>
      </c>
      <c r="C9" s="60">
        <v>50</v>
      </c>
    </row>
    <row r="10" spans="1:11" ht="15" customHeight="1" x14ac:dyDescent="0.45">
      <c r="B10" s="16" t="s">
        <v>30</v>
      </c>
      <c r="C10" s="60">
        <v>100</v>
      </c>
    </row>
    <row r="11" spans="1:11" ht="15" customHeight="1" x14ac:dyDescent="0.45">
      <c r="B11" s="16" t="s">
        <v>40</v>
      </c>
      <c r="C11" s="60">
        <v>250</v>
      </c>
    </row>
    <row r="12" spans="1:11" ht="15" customHeight="1" x14ac:dyDescent="0.45">
      <c r="B12" s="16" t="s">
        <v>41</v>
      </c>
      <c r="C12" s="60">
        <v>45</v>
      </c>
    </row>
    <row r="13" spans="1:11" ht="15" customHeight="1" x14ac:dyDescent="0.45">
      <c r="C13" s="60"/>
    </row>
    <row r="14" spans="1:11" ht="15" customHeight="1" x14ac:dyDescent="0.45">
      <c r="C14" s="72" t="s">
        <v>48</v>
      </c>
      <c r="D14" s="72" t="s">
        <v>53</v>
      </c>
      <c r="E14" s="72" t="s">
        <v>54</v>
      </c>
      <c r="F14" s="72" t="s">
        <v>55</v>
      </c>
    </row>
    <row r="15" spans="1:11" ht="15" customHeight="1" x14ac:dyDescent="0.45">
      <c r="B15" s="16" t="s">
        <v>35</v>
      </c>
      <c r="C15" s="60">
        <v>200</v>
      </c>
      <c r="D15" s="60">
        <v>300</v>
      </c>
      <c r="E15" s="60">
        <v>350</v>
      </c>
      <c r="F15" s="60">
        <v>400</v>
      </c>
    </row>
    <row r="16" spans="1:11" ht="15" customHeight="1" x14ac:dyDescent="0.45">
      <c r="B16" s="16" t="s">
        <v>36</v>
      </c>
      <c r="C16" s="60">
        <v>100</v>
      </c>
      <c r="D16" s="60">
        <v>150</v>
      </c>
      <c r="E16" s="60">
        <v>175</v>
      </c>
      <c r="F16" s="60">
        <v>200</v>
      </c>
    </row>
    <row r="17" spans="1:6" ht="15" customHeight="1" x14ac:dyDescent="0.45">
      <c r="C17" s="60"/>
    </row>
    <row r="19" spans="1:6" ht="15" customHeight="1" x14ac:dyDescent="0.45">
      <c r="B19" s="16" t="s">
        <v>57</v>
      </c>
      <c r="C19">
        <f>+C9*C10+C11-C12</f>
        <v>5205</v>
      </c>
    </row>
    <row r="20" spans="1:6" ht="15" customHeight="1" x14ac:dyDescent="0.45">
      <c r="C20" s="72" t="str">
        <f>+C14</f>
        <v>LTM</v>
      </c>
      <c r="D20" s="72" t="str">
        <f>+D14</f>
        <v>Yr 1</v>
      </c>
      <c r="E20" s="72" t="str">
        <f>+E14</f>
        <v>Yr 2</v>
      </c>
      <c r="F20" s="72" t="str">
        <f>+F14</f>
        <v>Yr 3</v>
      </c>
    </row>
    <row r="21" spans="1:6" ht="15" customHeight="1" x14ac:dyDescent="0.45">
      <c r="B21" s="16" t="s">
        <v>26</v>
      </c>
      <c r="C21">
        <f>+SUM(C15:C16)</f>
        <v>300</v>
      </c>
      <c r="D21">
        <f>+SUM(D15:D16)</f>
        <v>450</v>
      </c>
      <c r="E21">
        <f>+SUM(E15:E16)</f>
        <v>525</v>
      </c>
      <c r="F21">
        <f>+SUM(F15:F16)</f>
        <v>600</v>
      </c>
    </row>
    <row r="22" spans="1:6" ht="15" customHeight="1" x14ac:dyDescent="0.45">
      <c r="B22" s="16" t="s">
        <v>18</v>
      </c>
      <c r="C22">
        <f>+$C$19/C21</f>
        <v>17.350000000000001</v>
      </c>
      <c r="D22">
        <f>+$C$19/D21</f>
        <v>11.566666666666666</v>
      </c>
      <c r="E22">
        <f>+$C$19/E21</f>
        <v>9.9142857142857146</v>
      </c>
      <c r="F22">
        <f>+$C$19/F21</f>
        <v>8.6750000000000007</v>
      </c>
    </row>
    <row r="24" spans="1:6" ht="15" customHeight="1" x14ac:dyDescent="0.45">
      <c r="A24" s="15" t="s">
        <v>19</v>
      </c>
    </row>
    <row r="25" spans="1:6" ht="15" customHeight="1" x14ac:dyDescent="0.45">
      <c r="B25" s="16" t="s">
        <v>63</v>
      </c>
      <c r="C25" s="61"/>
    </row>
    <row r="26" spans="1:6" ht="15" customHeight="1" x14ac:dyDescent="0.45">
      <c r="B26" s="16" t="s">
        <v>61</v>
      </c>
      <c r="C26" s="60"/>
    </row>
    <row r="27" spans="1:6" ht="15" customHeight="1" x14ac:dyDescent="0.45">
      <c r="B27" s="16" t="s">
        <v>62</v>
      </c>
      <c r="C27" s="60"/>
    </row>
    <row r="28" spans="1:6" ht="15" customHeight="1" x14ac:dyDescent="0.45">
      <c r="C28" s="60"/>
    </row>
    <row r="29" spans="1:6" ht="15" customHeight="1" x14ac:dyDescent="0.45">
      <c r="B29" s="16" t="s">
        <v>27</v>
      </c>
      <c r="C29" s="60">
        <v>50</v>
      </c>
    </row>
    <row r="30" spans="1:6" ht="15" customHeight="1" x14ac:dyDescent="0.45">
      <c r="B30" s="16" t="s">
        <v>30</v>
      </c>
      <c r="C30" s="60">
        <v>100</v>
      </c>
    </row>
    <row r="31" spans="1:6" ht="15" customHeight="1" x14ac:dyDescent="0.45">
      <c r="B31" s="16" t="s">
        <v>40</v>
      </c>
      <c r="C31" s="60">
        <v>250</v>
      </c>
    </row>
    <row r="32" spans="1:6" ht="15" customHeight="1" x14ac:dyDescent="0.45">
      <c r="B32" s="16" t="s">
        <v>41</v>
      </c>
      <c r="C32" s="60">
        <v>45</v>
      </c>
    </row>
    <row r="33" spans="2:3" ht="15" customHeight="1" x14ac:dyDescent="0.45">
      <c r="C33" s="60"/>
    </row>
    <row r="34" spans="2:3" ht="15" customHeight="1" x14ac:dyDescent="0.45">
      <c r="C34" s="60"/>
    </row>
    <row r="35" spans="2:3" ht="15" customHeight="1" x14ac:dyDescent="0.45">
      <c r="C35" s="69" t="s">
        <v>59</v>
      </c>
    </row>
    <row r="36" spans="2:3" ht="15" customHeight="1" x14ac:dyDescent="0.45">
      <c r="B36" s="68" t="s">
        <v>50</v>
      </c>
      <c r="C36" s="71" t="s">
        <v>60</v>
      </c>
    </row>
    <row r="37" spans="2:3" ht="15" customHeight="1" x14ac:dyDescent="0.45">
      <c r="B37" s="16" t="s">
        <v>42</v>
      </c>
      <c r="C37" s="60">
        <v>500</v>
      </c>
    </row>
    <row r="38" spans="2:3" ht="15" customHeight="1" x14ac:dyDescent="0.45">
      <c r="B38" s="16" t="s">
        <v>38</v>
      </c>
      <c r="C38" s="60">
        <v>-200</v>
      </c>
    </row>
    <row r="39" spans="2:3" ht="15" customHeight="1" x14ac:dyDescent="0.45">
      <c r="B39" s="16" t="s">
        <v>39</v>
      </c>
      <c r="C39">
        <f>SUM(C37:C38)</f>
        <v>300</v>
      </c>
    </row>
    <row r="40" spans="2:3" ht="15" customHeight="1" x14ac:dyDescent="0.45">
      <c r="B40" s="16" t="s">
        <v>43</v>
      </c>
      <c r="C40" s="60">
        <v>-100</v>
      </c>
    </row>
    <row r="41" spans="2:3" ht="15" customHeight="1" x14ac:dyDescent="0.45">
      <c r="B41" s="16" t="s">
        <v>35</v>
      </c>
      <c r="C41">
        <f>C40+C39</f>
        <v>200</v>
      </c>
    </row>
    <row r="42" spans="2:3" ht="15" customHeight="1" x14ac:dyDescent="0.45">
      <c r="B42" s="16" t="s">
        <v>36</v>
      </c>
      <c r="C42" s="60">
        <v>100</v>
      </c>
    </row>
    <row r="44" spans="2:3" ht="15" customHeight="1" x14ac:dyDescent="0.45">
      <c r="C44" s="69" t="s">
        <v>59</v>
      </c>
    </row>
    <row r="45" spans="2:3" ht="15" customHeight="1" x14ac:dyDescent="0.45">
      <c r="B45" s="68" t="s">
        <v>49</v>
      </c>
      <c r="C45" s="71" t="s">
        <v>60</v>
      </c>
    </row>
    <row r="46" spans="2:3" ht="15" customHeight="1" x14ac:dyDescent="0.45">
      <c r="B46" s="16" t="s">
        <v>42</v>
      </c>
      <c r="C46" s="60">
        <v>270</v>
      </c>
    </row>
    <row r="47" spans="2:3" ht="15" customHeight="1" x14ac:dyDescent="0.45">
      <c r="B47" s="16" t="s">
        <v>38</v>
      </c>
      <c r="C47" s="61">
        <v>-50</v>
      </c>
    </row>
    <row r="48" spans="2:3" ht="15" customHeight="1" x14ac:dyDescent="0.45">
      <c r="B48" s="16" t="s">
        <v>39</v>
      </c>
      <c r="C48">
        <f>SUM(C46:C47)</f>
        <v>220</v>
      </c>
    </row>
    <row r="49" spans="1:3" ht="15" customHeight="1" x14ac:dyDescent="0.45">
      <c r="B49" s="16" t="s">
        <v>43</v>
      </c>
      <c r="C49" s="60">
        <v>-30</v>
      </c>
    </row>
    <row r="50" spans="1:3" ht="15" customHeight="1" x14ac:dyDescent="0.45">
      <c r="B50" s="16" t="s">
        <v>35</v>
      </c>
      <c r="C50">
        <f>C49+C48</f>
        <v>190</v>
      </c>
    </row>
    <row r="51" spans="1:3" ht="15" customHeight="1" x14ac:dyDescent="0.45">
      <c r="B51" s="16" t="s">
        <v>36</v>
      </c>
      <c r="C51" s="60">
        <v>10</v>
      </c>
    </row>
    <row r="52" spans="1:3" ht="15" customHeight="1" x14ac:dyDescent="0.45">
      <c r="C52" s="60"/>
    </row>
    <row r="53" spans="1:3" ht="15" customHeight="1" x14ac:dyDescent="0.45">
      <c r="B53" s="16" t="s">
        <v>44</v>
      </c>
      <c r="C53">
        <f>C41+C42</f>
        <v>300</v>
      </c>
    </row>
    <row r="54" spans="1:3" ht="15" customHeight="1" x14ac:dyDescent="0.45">
      <c r="B54" s="16" t="s">
        <v>45</v>
      </c>
      <c r="C54" s="60">
        <f>0.5*(C50+C51)</f>
        <v>100</v>
      </c>
    </row>
    <row r="55" spans="1:3" ht="15" customHeight="1" x14ac:dyDescent="0.45">
      <c r="B55" s="16" t="s">
        <v>47</v>
      </c>
      <c r="C55">
        <f>SUM(C53:C54)</f>
        <v>400</v>
      </c>
    </row>
    <row r="57" spans="1:3" ht="15" customHeight="1" x14ac:dyDescent="0.45">
      <c r="B57" s="16" t="s">
        <v>31</v>
      </c>
      <c r="C57">
        <f>C29*C30</f>
        <v>5000</v>
      </c>
    </row>
    <row r="58" spans="1:3" ht="15" customHeight="1" x14ac:dyDescent="0.45">
      <c r="B58" s="16" t="s">
        <v>29</v>
      </c>
      <c r="C58">
        <f>C31-C32</f>
        <v>205</v>
      </c>
    </row>
    <row r="59" spans="1:3" ht="15" customHeight="1" x14ac:dyDescent="0.45">
      <c r="B59" s="16" t="s">
        <v>17</v>
      </c>
      <c r="C59">
        <f>C58+C57</f>
        <v>5205</v>
      </c>
    </row>
    <row r="60" spans="1:3" ht="15" customHeight="1" x14ac:dyDescent="0.45">
      <c r="B60" s="16" t="s">
        <v>46</v>
      </c>
      <c r="C60" s="65">
        <f>C59/C55</f>
        <v>13.012499999999999</v>
      </c>
    </row>
    <row r="61" spans="1:3" ht="15" customHeight="1" x14ac:dyDescent="0.45">
      <c r="C61" s="65"/>
    </row>
    <row r="62" spans="1:3" ht="15" customHeight="1" x14ac:dyDescent="0.45">
      <c r="A62" s="15" t="s">
        <v>20</v>
      </c>
      <c r="C62" s="65"/>
    </row>
    <row r="63" spans="1:3" ht="15" customHeight="1" x14ac:dyDescent="0.45">
      <c r="B63" s="16" t="s">
        <v>64</v>
      </c>
      <c r="C63" s="65"/>
    </row>
    <row r="64" spans="1:3" ht="15" customHeight="1" x14ac:dyDescent="0.45">
      <c r="C64" s="65"/>
    </row>
    <row r="65" spans="2:6" ht="15" customHeight="1" x14ac:dyDescent="0.45">
      <c r="B65" s="16" t="s">
        <v>80</v>
      </c>
      <c r="C65" s="65"/>
    </row>
    <row r="66" spans="2:6" ht="15" customHeight="1" x14ac:dyDescent="0.45">
      <c r="B66" s="16" t="s">
        <v>74</v>
      </c>
    </row>
    <row r="67" spans="2:6" ht="15" customHeight="1" x14ac:dyDescent="0.45">
      <c r="B67" s="16" t="s">
        <v>65</v>
      </c>
      <c r="C67" s="60">
        <v>46</v>
      </c>
    </row>
    <row r="68" spans="2:6" ht="15" customHeight="1" x14ac:dyDescent="0.45">
      <c r="B68" s="16" t="s">
        <v>66</v>
      </c>
      <c r="C68" s="60">
        <v>294.7</v>
      </c>
    </row>
    <row r="69" spans="2:6" ht="15" customHeight="1" x14ac:dyDescent="0.45">
      <c r="B69" s="16" t="s">
        <v>72</v>
      </c>
      <c r="C69" s="61">
        <v>561.9</v>
      </c>
    </row>
    <row r="70" spans="2:6" ht="15" customHeight="1" x14ac:dyDescent="0.45">
      <c r="C70" s="60"/>
    </row>
    <row r="71" spans="2:6" ht="15" customHeight="1" x14ac:dyDescent="0.45">
      <c r="C71" s="74" t="s">
        <v>70</v>
      </c>
      <c r="D71" s="72" t="s">
        <v>78</v>
      </c>
      <c r="E71" s="72" t="s">
        <v>78</v>
      </c>
      <c r="F71" s="72" t="s">
        <v>77</v>
      </c>
    </row>
    <row r="72" spans="2:6" ht="15" customHeight="1" x14ac:dyDescent="0.45">
      <c r="C72" s="70">
        <v>42917</v>
      </c>
      <c r="D72" s="70">
        <v>43190</v>
      </c>
      <c r="E72" s="70">
        <v>42825</v>
      </c>
      <c r="F72" s="70">
        <v>43465</v>
      </c>
    </row>
    <row r="73" spans="2:6" ht="15" customHeight="1" x14ac:dyDescent="0.45">
      <c r="B73" s="16" t="s">
        <v>67</v>
      </c>
    </row>
    <row r="74" spans="2:6" ht="15" customHeight="1" x14ac:dyDescent="0.45">
      <c r="B74" s="16" t="s">
        <v>68</v>
      </c>
      <c r="C74" s="60">
        <v>4488.3</v>
      </c>
      <c r="D74" s="60">
        <v>4396.3</v>
      </c>
      <c r="E74" s="60">
        <v>3345.5</v>
      </c>
      <c r="F74" s="60">
        <v>5983.3</v>
      </c>
    </row>
    <row r="75" spans="2:6" ht="15" customHeight="1" x14ac:dyDescent="0.45">
      <c r="B75" s="16" t="s">
        <v>37</v>
      </c>
      <c r="C75" s="61">
        <v>787.4</v>
      </c>
      <c r="D75" s="60">
        <v>453.6</v>
      </c>
      <c r="E75" s="60">
        <v>594.4</v>
      </c>
      <c r="F75" s="60">
        <v>1054.7</v>
      </c>
    </row>
    <row r="76" spans="2:6" ht="15" customHeight="1" x14ac:dyDescent="0.45">
      <c r="B76" s="16" t="s">
        <v>69</v>
      </c>
      <c r="C76" s="60">
        <v>212.8</v>
      </c>
      <c r="D76" s="60">
        <v>188.6</v>
      </c>
      <c r="E76" s="60">
        <v>148.69999999999999</v>
      </c>
      <c r="F76" s="60">
        <f>1318.7-1054.7</f>
        <v>264</v>
      </c>
    </row>
    <row r="77" spans="2:6" ht="15" customHeight="1" x14ac:dyDescent="0.45">
      <c r="B77" s="16" t="s">
        <v>71</v>
      </c>
      <c r="C77" s="60">
        <v>24</v>
      </c>
      <c r="D77" s="60">
        <v>9.5</v>
      </c>
      <c r="E77" s="60">
        <v>17.2</v>
      </c>
      <c r="F77" s="60"/>
    </row>
    <row r="78" spans="2:6" ht="15" customHeight="1" x14ac:dyDescent="0.45">
      <c r="C78" s="60"/>
    </row>
    <row r="79" spans="2:6" ht="15" customHeight="1" x14ac:dyDescent="0.45">
      <c r="B79" s="16" t="s">
        <v>73</v>
      </c>
      <c r="C79" s="60"/>
    </row>
    <row r="80" spans="2:6" ht="15" customHeight="1" x14ac:dyDescent="0.45">
      <c r="B80" s="16" t="s">
        <v>79</v>
      </c>
      <c r="C80" s="73">
        <f>+C67*C68+C69</f>
        <v>14118.099999999999</v>
      </c>
    </row>
    <row r="81" spans="1:4" ht="15" customHeight="1" x14ac:dyDescent="0.45">
      <c r="C81" s="73"/>
    </row>
    <row r="82" spans="1:4" ht="15" customHeight="1" x14ac:dyDescent="0.45">
      <c r="C82" s="74" t="s">
        <v>48</v>
      </c>
      <c r="D82" s="72" t="s">
        <v>77</v>
      </c>
    </row>
    <row r="83" spans="1:4" ht="15" customHeight="1" x14ac:dyDescent="0.45">
      <c r="B83" s="16" t="s">
        <v>34</v>
      </c>
      <c r="C83" s="73">
        <f>+C74+D74-E74</f>
        <v>5539.1</v>
      </c>
      <c r="D83">
        <f>+F74</f>
        <v>5983.3</v>
      </c>
    </row>
    <row r="84" spans="1:4" ht="15" customHeight="1" x14ac:dyDescent="0.45">
      <c r="B84" s="16" t="s">
        <v>25</v>
      </c>
      <c r="C84" s="73">
        <f>+C75+C77+D75+D77-E75-E77</f>
        <v>662.9</v>
      </c>
      <c r="D84">
        <f>+F75</f>
        <v>1054.7</v>
      </c>
    </row>
    <row r="85" spans="1:4" ht="15" customHeight="1" x14ac:dyDescent="0.45">
      <c r="B85" s="16" t="s">
        <v>26</v>
      </c>
      <c r="C85" s="73">
        <f>+C84+C76+D76-E76</f>
        <v>915.59999999999991</v>
      </c>
      <c r="D85">
        <f>+D84+F76</f>
        <v>1318.7</v>
      </c>
    </row>
    <row r="86" spans="1:4" ht="15" customHeight="1" x14ac:dyDescent="0.45">
      <c r="B86" s="16" t="s">
        <v>18</v>
      </c>
      <c r="C86" s="78">
        <f>$C$80/C85</f>
        <v>15.41950633464395</v>
      </c>
      <c r="D86" s="78">
        <f>$C$80/D85</f>
        <v>10.706074163949342</v>
      </c>
    </row>
    <row r="87" spans="1:4" ht="15" customHeight="1" x14ac:dyDescent="0.45">
      <c r="C87" s="60"/>
    </row>
    <row r="89" spans="1:4" ht="15" customHeight="1" x14ac:dyDescent="0.45">
      <c r="C89" s="60"/>
    </row>
    <row r="90" spans="1:4" ht="15" customHeight="1" x14ac:dyDescent="0.45">
      <c r="C90" s="60"/>
    </row>
    <row r="91" spans="1:4" ht="15" customHeight="1" x14ac:dyDescent="0.45">
      <c r="A91" s="15" t="s">
        <v>21</v>
      </c>
      <c r="C91" s="60"/>
    </row>
    <row r="92" spans="1:4" ht="15" customHeight="1" x14ac:dyDescent="0.45">
      <c r="B92" s="16" t="s">
        <v>76</v>
      </c>
      <c r="C92" s="60"/>
    </row>
    <row r="93" spans="1:4" ht="15" customHeight="1" x14ac:dyDescent="0.45">
      <c r="C93" s="60"/>
    </row>
    <row r="94" spans="1:4" ht="15" customHeight="1" x14ac:dyDescent="0.45">
      <c r="C94" s="60"/>
    </row>
    <row r="96" spans="1:4" ht="15" customHeight="1" x14ac:dyDescent="0.45">
      <c r="C96" s="65"/>
    </row>
    <row r="97" spans="3:3" ht="15" customHeight="1" x14ac:dyDescent="0.45">
      <c r="C97" s="65"/>
    </row>
    <row r="98" spans="3:3" ht="15" customHeight="1" x14ac:dyDescent="0.45">
      <c r="C98" s="65"/>
    </row>
    <row r="103" spans="3:3" ht="15" customHeight="1" x14ac:dyDescent="0.45">
      <c r="C103" s="60"/>
    </row>
    <row r="104" spans="3:3" ht="15" customHeight="1" x14ac:dyDescent="0.45">
      <c r="C104" s="60"/>
    </row>
    <row r="105" spans="3:3" ht="15" customHeight="1" x14ac:dyDescent="0.45">
      <c r="C105" s="60"/>
    </row>
    <row r="106" spans="3:3" ht="15" customHeight="1" x14ac:dyDescent="0.45">
      <c r="C106" s="60"/>
    </row>
    <row r="108" spans="3:3" ht="15" customHeight="1" x14ac:dyDescent="0.45">
      <c r="C108" s="60"/>
    </row>
    <row r="109" spans="3:3" ht="15" customHeight="1" x14ac:dyDescent="0.45">
      <c r="C109" s="60"/>
    </row>
    <row r="110" spans="3:3" ht="15" customHeight="1" x14ac:dyDescent="0.45">
      <c r="C110" s="60"/>
    </row>
    <row r="111" spans="3:3" ht="15" customHeight="1" x14ac:dyDescent="0.45">
      <c r="C111" s="60"/>
    </row>
    <row r="112" spans="3:3" ht="15" customHeight="1" x14ac:dyDescent="0.45">
      <c r="C112" s="61"/>
    </row>
    <row r="113" spans="2:3" ht="15" customHeight="1" x14ac:dyDescent="0.45">
      <c r="C113" s="60"/>
    </row>
    <row r="116" spans="2:3" ht="15" customHeight="1" x14ac:dyDescent="0.45">
      <c r="B116" s="16" t="s">
        <v>166</v>
      </c>
    </row>
    <row r="117" spans="2:3" ht="15" customHeight="1" x14ac:dyDescent="0.45">
      <c r="B117" s="16" t="s">
        <v>75</v>
      </c>
    </row>
    <row r="130" spans="2:3" ht="15" customHeight="1" x14ac:dyDescent="0.45">
      <c r="C130" s="62"/>
    </row>
    <row r="143" spans="2:3" ht="15" customHeight="1" x14ac:dyDescent="0.45">
      <c r="B143" s="16" t="s">
        <v>171</v>
      </c>
    </row>
    <row r="145" spans="2:4" ht="15" customHeight="1" x14ac:dyDescent="0.45">
      <c r="B145" s="16" t="s">
        <v>167</v>
      </c>
    </row>
    <row r="146" spans="2:4" ht="15" customHeight="1" x14ac:dyDescent="0.45">
      <c r="B146" s="16" t="s">
        <v>81</v>
      </c>
    </row>
    <row r="147" spans="2:4" ht="15" customHeight="1" x14ac:dyDescent="0.45">
      <c r="B147" s="16" t="s">
        <v>82</v>
      </c>
    </row>
    <row r="149" spans="2:4" ht="15" customHeight="1" x14ac:dyDescent="0.45">
      <c r="C149" t="s">
        <v>78</v>
      </c>
      <c r="D149" t="s">
        <v>84</v>
      </c>
    </row>
    <row r="150" spans="2:4" ht="15" customHeight="1" x14ac:dyDescent="0.45">
      <c r="C150" s="70">
        <v>42826</v>
      </c>
      <c r="D150" s="70">
        <v>42917</v>
      </c>
    </row>
    <row r="151" spans="2:4" ht="15" customHeight="1" x14ac:dyDescent="0.45">
      <c r="B151" s="16" t="s">
        <v>168</v>
      </c>
      <c r="C151">
        <v>4414</v>
      </c>
      <c r="D151">
        <f>+C151/9*12</f>
        <v>5885.3333333333339</v>
      </c>
    </row>
    <row r="152" spans="2:4" ht="15" customHeight="1" x14ac:dyDescent="0.45">
      <c r="B152" s="16" t="s">
        <v>170</v>
      </c>
      <c r="C152">
        <v>739</v>
      </c>
      <c r="D152">
        <f>+C152/9*12</f>
        <v>985.33333333333337</v>
      </c>
    </row>
    <row r="153" spans="2:4" ht="15" customHeight="1" x14ac:dyDescent="0.45">
      <c r="B153" s="16" t="s">
        <v>86</v>
      </c>
      <c r="C153" s="75">
        <f>+C152/C151</f>
        <v>0.16742183960126869</v>
      </c>
      <c r="D153" s="75">
        <f>+D152/D151</f>
        <v>0.16742183960126869</v>
      </c>
    </row>
    <row r="154" spans="2:4" ht="15" customHeight="1" x14ac:dyDescent="0.45">
      <c r="B154" s="16" t="s">
        <v>172</v>
      </c>
      <c r="C154" s="75">
        <f>+C76/C74</f>
        <v>4.7412160506205024E-2</v>
      </c>
      <c r="D154" s="75"/>
    </row>
    <row r="155" spans="2:4" ht="15" customHeight="1" x14ac:dyDescent="0.45">
      <c r="B155" s="16" t="s">
        <v>83</v>
      </c>
      <c r="C155">
        <f>+C154*C151</f>
        <v>209.27727647438897</v>
      </c>
      <c r="D155">
        <f>+C155/9*12</f>
        <v>279.03636863251864</v>
      </c>
    </row>
    <row r="156" spans="2:4" ht="15" customHeight="1" x14ac:dyDescent="0.45">
      <c r="B156" s="16" t="s">
        <v>169</v>
      </c>
      <c r="C156">
        <f>+C152+C155</f>
        <v>948.27727647438894</v>
      </c>
      <c r="D156">
        <f>+D152+D155</f>
        <v>1264.3697019658521</v>
      </c>
    </row>
    <row r="159" spans="2:4" ht="15" customHeight="1" x14ac:dyDescent="0.45">
      <c r="B159" s="16" t="s">
        <v>90</v>
      </c>
    </row>
    <row r="160" spans="2:4" ht="15" customHeight="1" x14ac:dyDescent="0.45">
      <c r="C160" t="s">
        <v>78</v>
      </c>
      <c r="D160" t="s">
        <v>78</v>
      </c>
    </row>
    <row r="161" spans="2:6" ht="15" customHeight="1" x14ac:dyDescent="0.45">
      <c r="C161" s="70">
        <v>42826</v>
      </c>
      <c r="D161" s="70">
        <v>43191</v>
      </c>
    </row>
    <row r="162" spans="2:6" ht="15" customHeight="1" x14ac:dyDescent="0.45">
      <c r="B162" s="16" t="s">
        <v>85</v>
      </c>
      <c r="C162">
        <f>4404.8</f>
        <v>4404.8</v>
      </c>
      <c r="D162">
        <f>4429.2</f>
        <v>4429.2</v>
      </c>
    </row>
    <row r="163" spans="2:6" ht="15" customHeight="1" x14ac:dyDescent="0.45">
      <c r="B163" s="16" t="s">
        <v>87</v>
      </c>
      <c r="C163" s="75">
        <f>+C153</f>
        <v>0.16742183960126869</v>
      </c>
      <c r="D163" s="75">
        <f>+D153</f>
        <v>0.16742183960126869</v>
      </c>
    </row>
    <row r="164" spans="2:6" ht="15" customHeight="1" x14ac:dyDescent="0.45">
      <c r="B164" s="16" t="s">
        <v>88</v>
      </c>
      <c r="C164">
        <f>+C162*C163</f>
        <v>737.45971907566832</v>
      </c>
      <c r="D164">
        <f>+D162*D163</f>
        <v>741.54481196193922</v>
      </c>
    </row>
    <row r="165" spans="2:6" ht="15" customHeight="1" x14ac:dyDescent="0.45">
      <c r="B165" s="16" t="s">
        <v>173</v>
      </c>
      <c r="C165">
        <f>+$C$154*C162</f>
        <v>208.84108459773191</v>
      </c>
      <c r="D165">
        <f>+$C$154*D162</f>
        <v>209.99794131408328</v>
      </c>
    </row>
    <row r="166" spans="2:6" ht="15" customHeight="1" x14ac:dyDescent="0.45">
      <c r="B166" s="16" t="s">
        <v>89</v>
      </c>
      <c r="C166">
        <f>+C164+C165</f>
        <v>946.3008036734002</v>
      </c>
      <c r="D166">
        <f>+D164+D165</f>
        <v>951.54275327602249</v>
      </c>
    </row>
    <row r="169" spans="2:6" ht="15" customHeight="1" x14ac:dyDescent="0.45">
      <c r="B169" s="16" t="s">
        <v>92</v>
      </c>
    </row>
    <row r="170" spans="2:6" ht="15" customHeight="1" x14ac:dyDescent="0.45">
      <c r="C170" s="72" t="str">
        <f>+C71</f>
        <v>FYE</v>
      </c>
      <c r="D170" s="72" t="str">
        <f>+C160</f>
        <v>9 months to</v>
      </c>
      <c r="E170" s="72" t="str">
        <f>+D160</f>
        <v>9 months to</v>
      </c>
      <c r="F170" s="72" t="s">
        <v>91</v>
      </c>
    </row>
    <row r="171" spans="2:6" ht="15" customHeight="1" x14ac:dyDescent="0.45">
      <c r="C171" s="70">
        <f>+C72</f>
        <v>42917</v>
      </c>
      <c r="D171" s="70">
        <f>+C161</f>
        <v>42826</v>
      </c>
      <c r="E171" s="70">
        <f>+D161</f>
        <v>43191</v>
      </c>
      <c r="F171" s="70">
        <f>+E171</f>
        <v>43191</v>
      </c>
    </row>
    <row r="172" spans="2:6" ht="15" customHeight="1" x14ac:dyDescent="0.45">
      <c r="B172" s="16" t="s">
        <v>26</v>
      </c>
      <c r="C172" s="73">
        <f>+D156</f>
        <v>1264.3697019658521</v>
      </c>
      <c r="D172">
        <f>+C166</f>
        <v>946.3008036734002</v>
      </c>
      <c r="E172">
        <f>+D166</f>
        <v>951.54275327602249</v>
      </c>
      <c r="F172">
        <f>+C172-D172+E172</f>
        <v>1269.6116515684744</v>
      </c>
    </row>
    <row r="173" spans="2:6" ht="15" customHeight="1" x14ac:dyDescent="0.45">
      <c r="B173" s="16" t="s">
        <v>24</v>
      </c>
      <c r="C173" s="76">
        <f>+C80</f>
        <v>14118.099999999999</v>
      </c>
    </row>
    <row r="174" spans="2:6" ht="15" customHeight="1" x14ac:dyDescent="0.45">
      <c r="B174" s="16" t="s">
        <v>93</v>
      </c>
      <c r="C174" s="77">
        <f>+C173/F172</f>
        <v>11.12001451984041</v>
      </c>
    </row>
    <row r="175" spans="2:6" ht="15" customHeight="1" x14ac:dyDescent="0.45">
      <c r="B175" s="16" t="s">
        <v>94</v>
      </c>
      <c r="C175" s="77">
        <f>+D86</f>
        <v>10.706074163949342</v>
      </c>
    </row>
    <row r="177" spans="1:5" ht="15" customHeight="1" x14ac:dyDescent="0.45">
      <c r="A177" s="15" t="s">
        <v>32</v>
      </c>
    </row>
    <row r="178" spans="1:5" ht="15" customHeight="1" x14ac:dyDescent="0.45">
      <c r="C178" s="60"/>
    </row>
    <row r="179" spans="1:5" ht="15" customHeight="1" x14ac:dyDescent="0.45">
      <c r="C179" s="60"/>
    </row>
    <row r="180" spans="1:5" ht="15" customHeight="1" x14ac:dyDescent="0.45">
      <c r="C180" s="60"/>
    </row>
    <row r="184" spans="1:5" ht="15" customHeight="1" x14ac:dyDescent="0.45">
      <c r="C184" s="60"/>
      <c r="D184" s="60"/>
      <c r="E184" s="60"/>
    </row>
    <row r="185" spans="1:5" ht="15" customHeight="1" x14ac:dyDescent="0.45">
      <c r="C185" s="60"/>
      <c r="D185" s="60"/>
      <c r="E185" s="60"/>
    </row>
    <row r="186" spans="1:5" ht="15" customHeight="1" x14ac:dyDescent="0.45">
      <c r="C186" s="60"/>
      <c r="D186" s="60"/>
      <c r="E186" s="60"/>
    </row>
    <row r="187" spans="1:5" ht="15" customHeight="1" x14ac:dyDescent="0.45">
      <c r="C187" s="60"/>
    </row>
    <row r="188" spans="1:5" ht="15" customHeight="1" x14ac:dyDescent="0.45">
      <c r="C188" s="61"/>
      <c r="D188" s="60"/>
      <c r="E188" s="60"/>
    </row>
    <row r="189" spans="1:5" ht="15" customHeight="1" x14ac:dyDescent="0.45">
      <c r="C189" s="61"/>
      <c r="D189" s="62"/>
      <c r="E189" s="62"/>
    </row>
    <row r="190" spans="1:5" ht="15" customHeight="1" x14ac:dyDescent="0.45">
      <c r="C190" s="60"/>
    </row>
    <row r="191" spans="1:5" ht="15" customHeight="1" x14ac:dyDescent="0.45">
      <c r="C191" s="60"/>
    </row>
    <row r="194" spans="3:5" ht="15" customHeight="1" x14ac:dyDescent="0.45">
      <c r="C194" s="60"/>
    </row>
    <row r="195" spans="3:5" ht="15" customHeight="1" x14ac:dyDescent="0.45">
      <c r="C195" s="60"/>
      <c r="D195" s="60"/>
      <c r="E195" s="60"/>
    </row>
    <row r="201" spans="3:5" ht="15" customHeight="1" x14ac:dyDescent="0.45">
      <c r="C201" s="62"/>
      <c r="D201" s="62"/>
      <c r="E201" s="62"/>
    </row>
    <row r="203" spans="3:5" ht="15" customHeight="1" x14ac:dyDescent="0.45">
      <c r="D203" s="65"/>
      <c r="E203" s="65"/>
    </row>
    <row r="204" spans="3:5" ht="15" customHeight="1" x14ac:dyDescent="0.45">
      <c r="C204" s="65"/>
      <c r="D204" s="65"/>
      <c r="E204" s="65"/>
    </row>
    <row r="206" spans="3:5" ht="15" customHeight="1" x14ac:dyDescent="0.45">
      <c r="C206" s="60"/>
    </row>
    <row r="207" spans="3:5" ht="15" customHeight="1" x14ac:dyDescent="0.45">
      <c r="C207" s="60"/>
    </row>
    <row r="208" spans="3:5" ht="15" customHeight="1" x14ac:dyDescent="0.45">
      <c r="C208" s="61"/>
    </row>
    <row r="209" spans="2:3" ht="15" customHeight="1" x14ac:dyDescent="0.45">
      <c r="C209" s="60"/>
    </row>
    <row r="210" spans="2:3" ht="15" customHeight="1" x14ac:dyDescent="0.45">
      <c r="B210" s="68"/>
    </row>
    <row r="212" spans="2:3" ht="15" customHeight="1" x14ac:dyDescent="0.45">
      <c r="C212" s="60"/>
    </row>
    <row r="213" spans="2:3" ht="15" customHeight="1" x14ac:dyDescent="0.45">
      <c r="C213" s="60"/>
    </row>
    <row r="214" spans="2:3" ht="15" customHeight="1" x14ac:dyDescent="0.45">
      <c r="C214" s="60"/>
    </row>
    <row r="256" spans="3:3" ht="15" customHeight="1" x14ac:dyDescent="0.45">
      <c r="C256" s="60"/>
    </row>
    <row r="257" spans="3:4" ht="15" customHeight="1" x14ac:dyDescent="0.45">
      <c r="C257" s="60"/>
    </row>
    <row r="258" spans="3:4" ht="15" customHeight="1" x14ac:dyDescent="0.45">
      <c r="C258" s="60"/>
    </row>
    <row r="261" spans="3:4" ht="15" customHeight="1" x14ac:dyDescent="0.45">
      <c r="C261" s="60"/>
    </row>
    <row r="264" spans="3:4" ht="15" customHeight="1" x14ac:dyDescent="0.45">
      <c r="C264" s="62"/>
    </row>
    <row r="269" spans="3:4" ht="15" customHeight="1" x14ac:dyDescent="0.45">
      <c r="C269" s="61"/>
      <c r="D269" s="62"/>
    </row>
    <row r="270" spans="3:4" ht="15" customHeight="1" x14ac:dyDescent="0.45">
      <c r="C270" s="60"/>
      <c r="D270" s="60"/>
    </row>
    <row r="272" spans="3:4" ht="15" customHeight="1" x14ac:dyDescent="0.45">
      <c r="C272" s="60"/>
      <c r="D272" s="60"/>
    </row>
    <row r="273" spans="3:12" ht="15" customHeight="1" x14ac:dyDescent="0.45">
      <c r="C273" s="60"/>
      <c r="D273" s="60"/>
    </row>
    <row r="274" spans="3:12" ht="15" customHeight="1" x14ac:dyDescent="0.45">
      <c r="C274" s="60"/>
      <c r="D274" s="60"/>
    </row>
    <row r="277" spans="3:12" ht="15" customHeight="1" x14ac:dyDescent="0.45">
      <c r="C277" s="60"/>
      <c r="D277" s="60"/>
    </row>
    <row r="278" spans="3:12" ht="15" customHeight="1" x14ac:dyDescent="0.45">
      <c r="C278" s="65"/>
      <c r="D278" s="65"/>
    </row>
    <row r="280" spans="3:12" ht="15" customHeight="1" x14ac:dyDescent="0.45">
      <c r="C280" s="62"/>
    </row>
    <row r="281" spans="3:12" ht="15" customHeight="1" x14ac:dyDescent="0.45">
      <c r="C281" s="60"/>
    </row>
    <row r="282" spans="3:12" ht="15" customHeight="1" x14ac:dyDescent="0.45">
      <c r="C282" s="60"/>
    </row>
    <row r="283" spans="3:12" ht="15" customHeight="1" x14ac:dyDescent="0.45">
      <c r="C283" s="61"/>
      <c r="D283" s="62"/>
    </row>
    <row r="284" spans="3:12" ht="15" customHeight="1" x14ac:dyDescent="0.45">
      <c r="D284" s="60"/>
      <c r="L284" s="66"/>
    </row>
    <row r="286" spans="3:12" ht="15" customHeight="1" x14ac:dyDescent="0.45">
      <c r="C286" s="60"/>
      <c r="D286" s="60"/>
    </row>
    <row r="287" spans="3:12" ht="15" customHeight="1" x14ac:dyDescent="0.45">
      <c r="C287" s="60"/>
      <c r="D287" s="60"/>
    </row>
    <row r="288" spans="3:12" ht="15" customHeight="1" x14ac:dyDescent="0.45">
      <c r="C288" s="60"/>
      <c r="D288" s="60"/>
    </row>
    <row r="289" spans="3:12" ht="15" customHeight="1" x14ac:dyDescent="0.45">
      <c r="C289" s="60"/>
    </row>
    <row r="291" spans="3:12" ht="15" customHeight="1" x14ac:dyDescent="0.45">
      <c r="C291" s="60"/>
      <c r="D291" s="60"/>
      <c r="L291" s="62"/>
    </row>
    <row r="292" spans="3:12" ht="15" customHeight="1" x14ac:dyDescent="0.45">
      <c r="C292" s="65"/>
      <c r="D292" s="65"/>
    </row>
    <row r="295" spans="3:12" ht="15" customHeight="1" x14ac:dyDescent="0.45">
      <c r="C295" s="61"/>
    </row>
    <row r="298" spans="3:12" ht="15" customHeight="1" x14ac:dyDescent="0.45">
      <c r="D298" s="63"/>
      <c r="E298" s="63"/>
    </row>
    <row r="299" spans="3:12" ht="15" customHeight="1" x14ac:dyDescent="0.45">
      <c r="D299" s="63"/>
      <c r="E299" s="63"/>
    </row>
    <row r="300" spans="3:12" ht="15" customHeight="1" x14ac:dyDescent="0.45">
      <c r="C300" s="60"/>
      <c r="D300" s="65"/>
      <c r="E300" s="65"/>
    </row>
    <row r="308" spans="3:3" ht="15" customHeight="1" x14ac:dyDescent="0.45">
      <c r="C308" s="60"/>
    </row>
    <row r="309" spans="3:3" ht="15" customHeight="1" x14ac:dyDescent="0.45">
      <c r="C309" s="60"/>
    </row>
    <row r="310" spans="3:3" ht="15" customHeight="1" x14ac:dyDescent="0.45">
      <c r="C310" s="60"/>
    </row>
    <row r="313" spans="3:3" ht="15" customHeight="1" x14ac:dyDescent="0.45">
      <c r="C313" s="60"/>
    </row>
    <row r="314" spans="3:3" ht="15" customHeight="1" x14ac:dyDescent="0.45">
      <c r="C314" s="60"/>
    </row>
    <row r="315" spans="3:3" ht="15" customHeight="1" x14ac:dyDescent="0.45">
      <c r="C315" s="60"/>
    </row>
    <row r="317" spans="3:3" ht="15" customHeight="1" x14ac:dyDescent="0.45">
      <c r="C317" s="61"/>
    </row>
    <row r="318" spans="3:3" ht="15" customHeight="1" x14ac:dyDescent="0.45">
      <c r="C318" s="60"/>
    </row>
    <row r="321" spans="3:3" ht="15" customHeight="1" x14ac:dyDescent="0.45">
      <c r="C321" s="65"/>
    </row>
    <row r="322" spans="3:3" ht="15" customHeight="1" x14ac:dyDescent="0.45">
      <c r="C322" s="62"/>
    </row>
    <row r="323" spans="3:3" ht="15" customHeight="1" x14ac:dyDescent="0.45">
      <c r="C323" s="62"/>
    </row>
    <row r="326" spans="3:3" ht="15" customHeight="1" x14ac:dyDescent="0.45">
      <c r="C326" s="65"/>
    </row>
    <row r="331" spans="3:3" ht="15" customHeight="1" x14ac:dyDescent="0.45">
      <c r="C331" s="62"/>
    </row>
    <row r="334" spans="3:3" ht="15" customHeight="1" x14ac:dyDescent="0.45">
      <c r="C334" s="65"/>
    </row>
    <row r="339" spans="3:7" ht="15" customHeight="1" x14ac:dyDescent="0.45">
      <c r="C339" s="62"/>
    </row>
    <row r="345" spans="3:7" ht="15" customHeight="1" x14ac:dyDescent="0.45">
      <c r="C345" s="60"/>
      <c r="D345" s="60"/>
      <c r="E345" s="60"/>
      <c r="F345" s="60"/>
      <c r="G345" s="60"/>
    </row>
    <row r="346" spans="3:7" ht="15" customHeight="1" x14ac:dyDescent="0.45">
      <c r="C346" s="64"/>
      <c r="D346" s="64"/>
      <c r="E346" s="64"/>
      <c r="F346" s="64"/>
      <c r="G346" s="64"/>
    </row>
    <row r="347" spans="3:7" ht="15" customHeight="1" x14ac:dyDescent="0.45">
      <c r="C347" s="64"/>
      <c r="D347" s="64"/>
      <c r="E347" s="64"/>
      <c r="F347" s="64"/>
      <c r="G347" s="64"/>
    </row>
    <row r="348" spans="3:7" ht="15" customHeight="1" x14ac:dyDescent="0.45">
      <c r="C348" s="64"/>
      <c r="D348" s="64"/>
      <c r="E348" s="64"/>
      <c r="F348" s="64"/>
      <c r="G348" s="64"/>
    </row>
    <row r="349" spans="3:7" ht="15" customHeight="1" x14ac:dyDescent="0.45">
      <c r="C349" s="64"/>
      <c r="D349" s="64"/>
      <c r="E349" s="64"/>
      <c r="F349" s="64"/>
      <c r="G349" s="64"/>
    </row>
    <row r="351" spans="3:7" ht="15" customHeight="1" x14ac:dyDescent="0.45">
      <c r="C351" s="67"/>
      <c r="D351" s="67"/>
      <c r="E351" s="67"/>
      <c r="F351" s="67"/>
      <c r="G351" s="67"/>
    </row>
    <row r="355" spans="1:7" ht="15" customHeight="1" x14ac:dyDescent="0.45">
      <c r="A355"/>
      <c r="C355" s="65"/>
      <c r="D355" s="65"/>
      <c r="E355" s="65"/>
      <c r="F355" s="65"/>
      <c r="G355" s="65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440D-4433-426B-9B10-A19E6E660E50}">
  <sheetPr>
    <pageSetUpPr fitToPage="1"/>
  </sheetPr>
  <dimension ref="A1:K73"/>
  <sheetViews>
    <sheetView zoomScaleNormal="100" workbookViewId="0"/>
  </sheetViews>
  <sheetFormatPr defaultColWidth="9.1328125" defaultRowHeight="15" customHeight="1" x14ac:dyDescent="0.45"/>
  <cols>
    <col min="1" max="1" width="1.46484375" style="15" customWidth="1"/>
    <col min="2" max="2" width="45.796875" style="16" customWidth="1"/>
    <col min="3" max="10" width="11" customWidth="1"/>
    <col min="11" max="11" width="9.1328125" customWidth="1"/>
    <col min="12" max="12" width="9.19921875" customWidth="1"/>
  </cols>
  <sheetData>
    <row r="1" spans="1:11" s="46" customFormat="1" ht="45" customHeight="1" x14ac:dyDescent="0.85">
      <c r="A1" s="5" t="s">
        <v>95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4" spans="1:11" ht="15" customHeight="1" x14ac:dyDescent="0.45">
      <c r="A4" s="15" t="s">
        <v>15</v>
      </c>
    </row>
    <row r="5" spans="1:11" ht="15" customHeight="1" x14ac:dyDescent="0.45">
      <c r="B5" s="16" t="s">
        <v>110</v>
      </c>
    </row>
    <row r="6" spans="1:11" ht="15" customHeight="1" x14ac:dyDescent="0.45">
      <c r="B6" s="16" t="s">
        <v>130</v>
      </c>
    </row>
    <row r="8" spans="1:11" ht="15" customHeight="1" x14ac:dyDescent="0.45">
      <c r="B8" s="16" t="s">
        <v>34</v>
      </c>
      <c r="C8" s="60">
        <v>107618</v>
      </c>
    </row>
    <row r="9" spans="1:11" ht="15" customHeight="1" x14ac:dyDescent="0.45">
      <c r="B9" s="16" t="s">
        <v>25</v>
      </c>
      <c r="C9" s="60">
        <v>15699</v>
      </c>
    </row>
    <row r="10" spans="1:11" ht="15" customHeight="1" x14ac:dyDescent="0.45">
      <c r="B10" s="16" t="s">
        <v>96</v>
      </c>
      <c r="C10" s="60">
        <v>9551</v>
      </c>
    </row>
    <row r="11" spans="1:11" ht="15" customHeight="1" x14ac:dyDescent="0.45">
      <c r="C11" s="60"/>
    </row>
    <row r="12" spans="1:11" ht="15" customHeight="1" x14ac:dyDescent="0.45">
      <c r="C12" s="60"/>
    </row>
    <row r="13" spans="1:11" ht="15" customHeight="1" x14ac:dyDescent="0.45">
      <c r="B13" s="16" t="s">
        <v>97</v>
      </c>
      <c r="C13" s="60"/>
    </row>
    <row r="14" spans="1:11" ht="15" customHeight="1" x14ac:dyDescent="0.45">
      <c r="B14" s="16" t="s">
        <v>98</v>
      </c>
      <c r="C14" s="60">
        <f>2734+2585</f>
        <v>5319</v>
      </c>
    </row>
    <row r="15" spans="1:11" ht="15" customHeight="1" x14ac:dyDescent="0.45">
      <c r="B15" s="16" t="s">
        <v>104</v>
      </c>
      <c r="C15" s="60">
        <f>39870-11203-C14</f>
        <v>23348</v>
      </c>
      <c r="D15" s="72"/>
      <c r="E15" s="72"/>
      <c r="F15" s="72"/>
    </row>
    <row r="16" spans="1:11" ht="15" customHeight="1" x14ac:dyDescent="0.45">
      <c r="B16" s="16" t="s">
        <v>99</v>
      </c>
      <c r="C16" s="60">
        <v>11203</v>
      </c>
      <c r="D16" s="60"/>
      <c r="E16" s="60"/>
      <c r="F16" s="60"/>
    </row>
    <row r="17" spans="2:6" ht="15" customHeight="1" x14ac:dyDescent="0.45">
      <c r="C17" s="60"/>
      <c r="D17" s="60"/>
      <c r="E17" s="60"/>
      <c r="F17" s="60"/>
    </row>
    <row r="18" spans="2:6" ht="15" customHeight="1" x14ac:dyDescent="0.45">
      <c r="B18" s="16" t="s">
        <v>100</v>
      </c>
      <c r="C18" s="60">
        <f>71046-8693-4162</f>
        <v>58191</v>
      </c>
    </row>
    <row r="19" spans="2:6" ht="15" customHeight="1" x14ac:dyDescent="0.45">
      <c r="B19" s="16" t="s">
        <v>101</v>
      </c>
      <c r="C19" s="60">
        <f>8693+4162</f>
        <v>12855</v>
      </c>
    </row>
    <row r="20" spans="2:6" ht="15" customHeight="1" x14ac:dyDescent="0.45">
      <c r="B20" s="16" t="s">
        <v>102</v>
      </c>
      <c r="C20">
        <f>+SUM(C14:C16,C18:C19)</f>
        <v>110916</v>
      </c>
    </row>
    <row r="21" spans="2:6" ht="15" customHeight="1" x14ac:dyDescent="0.45">
      <c r="C21" s="72"/>
      <c r="D21" s="72"/>
      <c r="E21" s="72"/>
      <c r="F21" s="72"/>
    </row>
    <row r="22" spans="2:6" ht="15" customHeight="1" x14ac:dyDescent="0.45">
      <c r="B22" s="16" t="s">
        <v>103</v>
      </c>
      <c r="C22" s="60">
        <v>14438</v>
      </c>
      <c r="D22" s="72"/>
      <c r="E22" s="72"/>
      <c r="F22" s="72"/>
    </row>
    <row r="23" spans="2:6" ht="15" customHeight="1" x14ac:dyDescent="0.45">
      <c r="B23" s="16" t="s">
        <v>104</v>
      </c>
      <c r="C23" s="60">
        <f>36083-C22-2890</f>
        <v>18755</v>
      </c>
      <c r="D23" s="72"/>
      <c r="E23" s="72"/>
      <c r="F23" s="72"/>
    </row>
    <row r="24" spans="2:6" ht="15" customHeight="1" x14ac:dyDescent="0.45">
      <c r="B24" s="16" t="s">
        <v>105</v>
      </c>
      <c r="C24" s="60">
        <v>2890</v>
      </c>
      <c r="D24" s="72"/>
      <c r="E24" s="72"/>
      <c r="F24" s="72"/>
    </row>
    <row r="25" spans="2:6" ht="15" customHeight="1" x14ac:dyDescent="0.45">
      <c r="C25" s="72"/>
      <c r="D25" s="72"/>
      <c r="E25" s="72"/>
      <c r="F25" s="72"/>
    </row>
    <row r="26" spans="2:6" ht="15" customHeight="1" x14ac:dyDescent="0.45">
      <c r="B26" s="16" t="s">
        <v>106</v>
      </c>
      <c r="C26" s="60">
        <v>8966</v>
      </c>
      <c r="D26" s="72"/>
      <c r="E26" s="72"/>
      <c r="F26" s="72"/>
    </row>
    <row r="27" spans="2:6" ht="15" customHeight="1" x14ac:dyDescent="0.45">
      <c r="B27" s="16" t="s">
        <v>107</v>
      </c>
      <c r="C27" s="60">
        <f>21202-C26</f>
        <v>12236</v>
      </c>
      <c r="D27" s="72"/>
      <c r="E27" s="72"/>
      <c r="F27" s="72"/>
    </row>
    <row r="28" spans="2:6" ht="15" customHeight="1" x14ac:dyDescent="0.45">
      <c r="B28" s="16" t="s">
        <v>22</v>
      </c>
      <c r="C28" s="60">
        <v>48915</v>
      </c>
    </row>
    <row r="29" spans="2:6" ht="15" customHeight="1" x14ac:dyDescent="0.45">
      <c r="B29" s="16" t="s">
        <v>122</v>
      </c>
      <c r="C29" s="60">
        <v>4716</v>
      </c>
    </row>
    <row r="30" spans="2:6" ht="15" customHeight="1" x14ac:dyDescent="0.45">
      <c r="B30" s="16" t="s">
        <v>108</v>
      </c>
      <c r="C30">
        <f>+SUM(C22:C24,C26:C29)</f>
        <v>110916</v>
      </c>
    </row>
    <row r="32" spans="2:6" ht="15" customHeight="1" x14ac:dyDescent="0.45">
      <c r="B32" s="16" t="s">
        <v>27</v>
      </c>
      <c r="C32" s="60">
        <v>220</v>
      </c>
    </row>
    <row r="33" spans="1:3" ht="15" customHeight="1" x14ac:dyDescent="0.45">
      <c r="B33" s="16" t="s">
        <v>109</v>
      </c>
      <c r="C33" s="60">
        <v>1005</v>
      </c>
    </row>
    <row r="35" spans="1:3" ht="15" customHeight="1" x14ac:dyDescent="0.45">
      <c r="B35" s="16" t="s">
        <v>23</v>
      </c>
      <c r="C35">
        <f>+C33*C32</f>
        <v>221100</v>
      </c>
    </row>
    <row r="36" spans="1:3" ht="15" customHeight="1" x14ac:dyDescent="0.45">
      <c r="B36" s="16" t="s">
        <v>29</v>
      </c>
      <c r="C36">
        <f>+C22+C26-C14</f>
        <v>18085</v>
      </c>
    </row>
    <row r="37" spans="1:3" ht="15" customHeight="1" x14ac:dyDescent="0.45">
      <c r="B37" s="16" t="s">
        <v>122</v>
      </c>
      <c r="C37">
        <f>+C29</f>
        <v>4716</v>
      </c>
    </row>
    <row r="38" spans="1:3" ht="15" customHeight="1" x14ac:dyDescent="0.45">
      <c r="B38" s="16" t="s">
        <v>111</v>
      </c>
      <c r="C38">
        <f>+C19</f>
        <v>12855</v>
      </c>
    </row>
    <row r="39" spans="1:3" ht="15" customHeight="1" x14ac:dyDescent="0.45">
      <c r="B39" s="16" t="s">
        <v>112</v>
      </c>
      <c r="C39">
        <f>+C16-C24</f>
        <v>8313</v>
      </c>
    </row>
    <row r="40" spans="1:3" ht="15" customHeight="1" x14ac:dyDescent="0.45">
      <c r="B40" s="16" t="s">
        <v>24</v>
      </c>
      <c r="C40">
        <f>+C35+C36+C37-C38-C39</f>
        <v>222733</v>
      </c>
    </row>
    <row r="41" spans="1:3" ht="15" customHeight="1" x14ac:dyDescent="0.45">
      <c r="B41" s="16" t="s">
        <v>28</v>
      </c>
      <c r="C41" s="65">
        <f>+C40/C9</f>
        <v>14.187718962991273</v>
      </c>
    </row>
    <row r="43" spans="1:3" ht="15" customHeight="1" x14ac:dyDescent="0.45">
      <c r="A43" s="15" t="s">
        <v>19</v>
      </c>
    </row>
    <row r="44" spans="1:3" ht="15" customHeight="1" x14ac:dyDescent="0.45">
      <c r="B44" s="16" t="s">
        <v>113</v>
      </c>
      <c r="C44" s="61"/>
    </row>
    <row r="45" spans="1:3" ht="15" customHeight="1" x14ac:dyDescent="0.45">
      <c r="B45" s="16" t="s">
        <v>114</v>
      </c>
      <c r="C45" s="60"/>
    </row>
    <row r="46" spans="1:3" ht="15" customHeight="1" x14ac:dyDescent="0.45">
      <c r="C46" s="60"/>
    </row>
    <row r="47" spans="1:3" ht="15" customHeight="1" x14ac:dyDescent="0.45">
      <c r="B47" s="16" t="s">
        <v>115</v>
      </c>
      <c r="C47" s="60"/>
    </row>
    <row r="48" spans="1:3" ht="15" customHeight="1" x14ac:dyDescent="0.45">
      <c r="B48" s="16" t="s">
        <v>116</v>
      </c>
      <c r="C48" s="60"/>
    </row>
    <row r="49" spans="1:4" ht="15" customHeight="1" x14ac:dyDescent="0.45">
      <c r="B49" s="16" t="s">
        <v>117</v>
      </c>
      <c r="C49" s="60"/>
    </row>
    <row r="50" spans="1:4" ht="15" customHeight="1" x14ac:dyDescent="0.45">
      <c r="C50" s="60"/>
    </row>
    <row r="51" spans="1:4" ht="15" customHeight="1" x14ac:dyDescent="0.45">
      <c r="A51" s="15" t="s">
        <v>20</v>
      </c>
      <c r="C51" s="60"/>
    </row>
    <row r="52" spans="1:4" ht="15" customHeight="1" x14ac:dyDescent="0.45">
      <c r="B52" s="16" t="s">
        <v>118</v>
      </c>
      <c r="C52" s="60"/>
    </row>
    <row r="53" spans="1:4" ht="15" customHeight="1" x14ac:dyDescent="0.45">
      <c r="B53" s="16" t="s">
        <v>120</v>
      </c>
      <c r="C53" s="60"/>
    </row>
    <row r="54" spans="1:4" ht="15" customHeight="1" x14ac:dyDescent="0.45">
      <c r="B54" s="16" t="s">
        <v>119</v>
      </c>
      <c r="C54" s="69"/>
      <c r="D54" s="60">
        <v>3477</v>
      </c>
    </row>
    <row r="55" spans="1:4" ht="15" customHeight="1" x14ac:dyDescent="0.45">
      <c r="B55" s="68"/>
      <c r="C55" s="71"/>
    </row>
    <row r="56" spans="1:4" ht="15" customHeight="1" x14ac:dyDescent="0.45">
      <c r="B56" s="16" t="s">
        <v>121</v>
      </c>
      <c r="C56" s="60"/>
    </row>
    <row r="57" spans="1:4" ht="15" customHeight="1" x14ac:dyDescent="0.45">
      <c r="B57" s="16" t="s">
        <v>128</v>
      </c>
      <c r="C57" s="60"/>
    </row>
    <row r="58" spans="1:4" ht="15" customHeight="1" x14ac:dyDescent="0.45">
      <c r="B58" s="16" t="s">
        <v>123</v>
      </c>
      <c r="C58" s="60"/>
    </row>
    <row r="59" spans="1:4" ht="15" customHeight="1" x14ac:dyDescent="0.45">
      <c r="B59" s="16" t="s">
        <v>174</v>
      </c>
    </row>
    <row r="60" spans="1:4" ht="15" customHeight="1" x14ac:dyDescent="0.45">
      <c r="B60" s="16" t="s">
        <v>124</v>
      </c>
      <c r="C60" s="60"/>
    </row>
    <row r="62" spans="1:4" ht="15" customHeight="1" x14ac:dyDescent="0.45">
      <c r="B62" s="16" t="s">
        <v>126</v>
      </c>
      <c r="C62" s="60"/>
      <c r="D62">
        <f>183.5*181</f>
        <v>33213.5</v>
      </c>
    </row>
    <row r="63" spans="1:4" ht="15" customHeight="1" x14ac:dyDescent="0.45">
      <c r="B63" s="16" t="s">
        <v>125</v>
      </c>
      <c r="D63">
        <f>+C9-D54</f>
        <v>12222</v>
      </c>
    </row>
    <row r="64" spans="1:4" ht="15" customHeight="1" x14ac:dyDescent="0.45">
      <c r="C64" s="69"/>
    </row>
    <row r="65" spans="1:4" ht="15" customHeight="1" x14ac:dyDescent="0.45">
      <c r="B65" s="16" t="s">
        <v>23</v>
      </c>
      <c r="C65" s="71"/>
      <c r="D65">
        <f>+C35</f>
        <v>221100</v>
      </c>
    </row>
    <row r="66" spans="1:4" ht="15" customHeight="1" x14ac:dyDescent="0.45">
      <c r="B66" s="16" t="s">
        <v>29</v>
      </c>
      <c r="C66" s="60"/>
      <c r="D66">
        <f>+C36</f>
        <v>18085</v>
      </c>
    </row>
    <row r="67" spans="1:4" ht="15" customHeight="1" x14ac:dyDescent="0.45">
      <c r="B67" s="16" t="s">
        <v>127</v>
      </c>
      <c r="C67" s="60"/>
      <c r="D67" s="80">
        <v>0</v>
      </c>
    </row>
    <row r="68" spans="1:4" ht="15" customHeight="1" x14ac:dyDescent="0.45">
      <c r="B68" s="16" t="s">
        <v>111</v>
      </c>
      <c r="C68" s="61"/>
      <c r="D68">
        <f>+C38</f>
        <v>12855</v>
      </c>
    </row>
    <row r="69" spans="1:4" ht="15" customHeight="1" x14ac:dyDescent="0.45">
      <c r="B69" s="16" t="s">
        <v>126</v>
      </c>
      <c r="D69">
        <f>+D62</f>
        <v>33213.5</v>
      </c>
    </row>
    <row r="70" spans="1:4" ht="15" customHeight="1" x14ac:dyDescent="0.45">
      <c r="B70" s="16" t="s">
        <v>24</v>
      </c>
      <c r="C70" s="60"/>
      <c r="D70">
        <f>+D65+D66+D67-D68-D69</f>
        <v>193116.5</v>
      </c>
    </row>
    <row r="71" spans="1:4" ht="15" customHeight="1" x14ac:dyDescent="0.45">
      <c r="B71" s="16" t="s">
        <v>129</v>
      </c>
      <c r="D71" s="65">
        <f>+D70/D63</f>
        <v>15.800728195058092</v>
      </c>
    </row>
    <row r="72" spans="1:4" ht="15" customHeight="1" x14ac:dyDescent="0.45">
      <c r="C72" s="60"/>
    </row>
    <row r="73" spans="1:4" ht="15" customHeight="1" x14ac:dyDescent="0.45">
      <c r="A73" s="15" t="s">
        <v>32</v>
      </c>
      <c r="C73" s="60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2018&amp;C&amp;10Page &amp;P of &amp;N&amp;R&amp;G</oddFooter>
  </headerFooter>
  <rowBreaks count="1" manualBreakCount="1">
    <brk id="4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6C4B-B314-45D8-A02C-32E2B03ADB13}">
  <sheetPr>
    <pageSetUpPr fitToPage="1"/>
  </sheetPr>
  <dimension ref="A1:K236"/>
  <sheetViews>
    <sheetView zoomScaleNormal="100" workbookViewId="0"/>
  </sheetViews>
  <sheetFormatPr defaultColWidth="9.1328125" defaultRowHeight="15" customHeight="1" x14ac:dyDescent="0.45"/>
  <cols>
    <col min="1" max="1" width="1.46484375" style="15" customWidth="1"/>
    <col min="2" max="2" width="45.796875" style="16" customWidth="1"/>
    <col min="3" max="10" width="11" customWidth="1"/>
    <col min="11" max="11" width="9.1328125" customWidth="1"/>
    <col min="12" max="12" width="9.19921875" customWidth="1"/>
  </cols>
  <sheetData>
    <row r="1" spans="1:11" s="46" customFormat="1" ht="45" customHeight="1" x14ac:dyDescent="0.85">
      <c r="A1" s="5" t="s">
        <v>131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4" spans="1:11" ht="15" customHeight="1" x14ac:dyDescent="0.45">
      <c r="A4" s="15" t="s">
        <v>15</v>
      </c>
    </row>
    <row r="5" spans="1:11" ht="15" customHeight="1" x14ac:dyDescent="0.45">
      <c r="B5" s="16" t="s">
        <v>137</v>
      </c>
    </row>
    <row r="6" spans="1:11" ht="15" customHeight="1" x14ac:dyDescent="0.45">
      <c r="B6" s="16" t="s">
        <v>133</v>
      </c>
    </row>
    <row r="7" spans="1:11" ht="15" customHeight="1" x14ac:dyDescent="0.45">
      <c r="B7" s="16" t="s">
        <v>139</v>
      </c>
    </row>
    <row r="8" spans="1:11" ht="15" customHeight="1" x14ac:dyDescent="0.45">
      <c r="B8" s="16" t="s">
        <v>140</v>
      </c>
    </row>
    <row r="10" spans="1:11" ht="15" customHeight="1" x14ac:dyDescent="0.45">
      <c r="B10" s="16" t="s">
        <v>25</v>
      </c>
      <c r="C10" s="60">
        <v>2887.5</v>
      </c>
    </row>
    <row r="11" spans="1:11" ht="15" customHeight="1" x14ac:dyDescent="0.45">
      <c r="B11" s="16" t="s">
        <v>138</v>
      </c>
      <c r="C11" s="60">
        <v>1882.3</v>
      </c>
    </row>
    <row r="12" spans="1:11" ht="15" customHeight="1" x14ac:dyDescent="0.45">
      <c r="B12" s="16" t="s">
        <v>132</v>
      </c>
      <c r="C12" s="60">
        <v>224.75</v>
      </c>
    </row>
    <row r="13" spans="1:11" ht="15" customHeight="1" x14ac:dyDescent="0.45">
      <c r="B13" s="16" t="s">
        <v>30</v>
      </c>
      <c r="C13" s="60">
        <v>444.38443699999999</v>
      </c>
    </row>
    <row r="14" spans="1:11" ht="15" customHeight="1" x14ac:dyDescent="0.45">
      <c r="C14" s="60"/>
    </row>
    <row r="15" spans="1:11" ht="15" customHeight="1" x14ac:dyDescent="0.45">
      <c r="C15" s="60"/>
    </row>
    <row r="16" spans="1:11" ht="15" customHeight="1" x14ac:dyDescent="0.45">
      <c r="C16" s="60"/>
    </row>
    <row r="17" spans="3:6" ht="15" customHeight="1" x14ac:dyDescent="0.45">
      <c r="C17" s="60"/>
    </row>
    <row r="18" spans="3:6" ht="15" customHeight="1" x14ac:dyDescent="0.45">
      <c r="C18" s="60"/>
    </row>
    <row r="19" spans="3:6" ht="15" customHeight="1" x14ac:dyDescent="0.45">
      <c r="C19" s="60"/>
      <c r="D19" s="72"/>
      <c r="E19" s="72"/>
      <c r="F19" s="72"/>
    </row>
    <row r="20" spans="3:6" ht="15" customHeight="1" x14ac:dyDescent="0.45">
      <c r="C20" s="60"/>
      <c r="D20" s="60"/>
      <c r="E20" s="60"/>
      <c r="F20" s="60"/>
    </row>
    <row r="21" spans="3:6" ht="15" customHeight="1" x14ac:dyDescent="0.45">
      <c r="C21" s="60"/>
      <c r="D21" s="60"/>
      <c r="E21" s="60"/>
      <c r="F21" s="60"/>
    </row>
    <row r="22" spans="3:6" ht="15" customHeight="1" x14ac:dyDescent="0.45">
      <c r="C22" s="60"/>
    </row>
    <row r="23" spans="3:6" ht="15" customHeight="1" x14ac:dyDescent="0.45">
      <c r="C23" s="60"/>
    </row>
    <row r="25" spans="3:6" ht="15" customHeight="1" x14ac:dyDescent="0.45">
      <c r="C25" s="72"/>
      <c r="D25" s="72"/>
      <c r="E25" s="72"/>
      <c r="F25" s="72"/>
    </row>
    <row r="26" spans="3:6" ht="15" customHeight="1" x14ac:dyDescent="0.45">
      <c r="C26" s="60"/>
      <c r="D26" s="72"/>
      <c r="E26" s="72"/>
      <c r="F26" s="72"/>
    </row>
    <row r="27" spans="3:6" ht="15" customHeight="1" x14ac:dyDescent="0.45">
      <c r="C27" s="60"/>
      <c r="D27" s="72"/>
      <c r="E27" s="72"/>
      <c r="F27" s="72"/>
    </row>
    <row r="28" spans="3:6" ht="15" customHeight="1" x14ac:dyDescent="0.45">
      <c r="C28" s="60"/>
      <c r="D28" s="72"/>
      <c r="E28" s="72"/>
      <c r="F28" s="72"/>
    </row>
    <row r="29" spans="3:6" ht="15" customHeight="1" x14ac:dyDescent="0.45">
      <c r="C29" s="72"/>
      <c r="D29" s="72"/>
      <c r="E29" s="72"/>
      <c r="F29" s="72"/>
    </row>
    <row r="30" spans="3:6" ht="15" customHeight="1" x14ac:dyDescent="0.45">
      <c r="C30" s="60"/>
      <c r="D30" s="72"/>
      <c r="E30" s="72"/>
      <c r="F30" s="72"/>
    </row>
    <row r="31" spans="3:6" ht="15" customHeight="1" x14ac:dyDescent="0.45">
      <c r="C31" s="60"/>
      <c r="D31" s="72"/>
      <c r="E31" s="72"/>
      <c r="F31" s="72"/>
    </row>
    <row r="32" spans="3:6" ht="15" customHeight="1" x14ac:dyDescent="0.45">
      <c r="C32" s="60"/>
    </row>
    <row r="33" spans="3:3" ht="15" customHeight="1" x14ac:dyDescent="0.45">
      <c r="C33" s="60"/>
    </row>
    <row r="36" spans="3:3" ht="15" customHeight="1" x14ac:dyDescent="0.45">
      <c r="C36" s="60"/>
    </row>
    <row r="37" spans="3:3" ht="15" customHeight="1" x14ac:dyDescent="0.45">
      <c r="C37" s="60"/>
    </row>
    <row r="45" spans="3:3" ht="15" customHeight="1" x14ac:dyDescent="0.45">
      <c r="C45" s="65"/>
    </row>
    <row r="48" spans="3:3" ht="15" customHeight="1" x14ac:dyDescent="0.45">
      <c r="C48" s="61"/>
    </row>
    <row r="49" spans="3:3" ht="15" customHeight="1" x14ac:dyDescent="0.45">
      <c r="C49" s="60"/>
    </row>
    <row r="50" spans="3:3" ht="15" customHeight="1" x14ac:dyDescent="0.45">
      <c r="C50" s="60"/>
    </row>
    <row r="51" spans="3:3" ht="15" customHeight="1" x14ac:dyDescent="0.45">
      <c r="C51" s="60"/>
    </row>
    <row r="52" spans="3:3" ht="15" customHeight="1" x14ac:dyDescent="0.45">
      <c r="C52" s="60"/>
    </row>
    <row r="53" spans="3:3" ht="15" customHeight="1" x14ac:dyDescent="0.45">
      <c r="C53" s="60"/>
    </row>
    <row r="54" spans="3:3" ht="15" customHeight="1" x14ac:dyDescent="0.45">
      <c r="C54" s="60"/>
    </row>
    <row r="55" spans="3:3" ht="15" customHeight="1" x14ac:dyDescent="0.45">
      <c r="C55" s="60"/>
    </row>
    <row r="56" spans="3:3" ht="15" customHeight="1" x14ac:dyDescent="0.45">
      <c r="C56" s="60"/>
    </row>
    <row r="57" spans="3:3" ht="15" customHeight="1" x14ac:dyDescent="0.45">
      <c r="C57" s="60"/>
    </row>
    <row r="58" spans="3:3" ht="15" customHeight="1" x14ac:dyDescent="0.45">
      <c r="C58" s="60"/>
    </row>
    <row r="59" spans="3:3" ht="15" customHeight="1" x14ac:dyDescent="0.45">
      <c r="C59" s="60"/>
    </row>
    <row r="60" spans="3:3" ht="15" customHeight="1" x14ac:dyDescent="0.45">
      <c r="C60" s="60"/>
    </row>
    <row r="61" spans="3:3" ht="15" customHeight="1" x14ac:dyDescent="0.45">
      <c r="C61" s="60"/>
    </row>
    <row r="62" spans="3:3" ht="15" customHeight="1" x14ac:dyDescent="0.45">
      <c r="C62" s="60"/>
    </row>
    <row r="63" spans="3:3" ht="15" customHeight="1" x14ac:dyDescent="0.45">
      <c r="C63" s="60"/>
    </row>
    <row r="64" spans="3:3" ht="15" customHeight="1" x14ac:dyDescent="0.45">
      <c r="C64" s="60"/>
    </row>
    <row r="65" spans="3:3" ht="15" customHeight="1" x14ac:dyDescent="0.45">
      <c r="C65" s="60"/>
    </row>
    <row r="66" spans="3:3" ht="15" customHeight="1" x14ac:dyDescent="0.45">
      <c r="C66" s="60"/>
    </row>
    <row r="67" spans="3:3" ht="15" customHeight="1" x14ac:dyDescent="0.45">
      <c r="C67" s="60"/>
    </row>
    <row r="68" spans="3:3" ht="15" customHeight="1" x14ac:dyDescent="0.45">
      <c r="C68" s="60"/>
    </row>
    <row r="69" spans="3:3" ht="15" customHeight="1" x14ac:dyDescent="0.45">
      <c r="C69" s="60"/>
    </row>
    <row r="70" spans="3:3" ht="15" customHeight="1" x14ac:dyDescent="0.45">
      <c r="C70" s="60"/>
    </row>
    <row r="71" spans="3:3" ht="15" customHeight="1" x14ac:dyDescent="0.45">
      <c r="C71" s="60"/>
    </row>
    <row r="72" spans="3:3" ht="15" customHeight="1" x14ac:dyDescent="0.45">
      <c r="C72" s="60"/>
    </row>
    <row r="73" spans="3:3" ht="15" customHeight="1" x14ac:dyDescent="0.45">
      <c r="C73" s="60"/>
    </row>
    <row r="74" spans="3:3" ht="15" customHeight="1" x14ac:dyDescent="0.45">
      <c r="C74" s="60"/>
    </row>
    <row r="75" spans="3:3" ht="15" customHeight="1" x14ac:dyDescent="0.45">
      <c r="C75" s="60"/>
    </row>
    <row r="76" spans="3:3" ht="15" customHeight="1" x14ac:dyDescent="0.45">
      <c r="C76" s="60"/>
    </row>
    <row r="77" spans="3:3" ht="15" customHeight="1" x14ac:dyDescent="0.45">
      <c r="C77" s="60"/>
    </row>
    <row r="78" spans="3:3" ht="15" customHeight="1" x14ac:dyDescent="0.45">
      <c r="C78" s="60"/>
    </row>
    <row r="79" spans="3:3" ht="15" customHeight="1" x14ac:dyDescent="0.45">
      <c r="C79" s="60"/>
    </row>
    <row r="80" spans="3:3" ht="15" customHeight="1" x14ac:dyDescent="0.45">
      <c r="C80" s="60"/>
    </row>
    <row r="81" spans="3:3" ht="15" customHeight="1" x14ac:dyDescent="0.45">
      <c r="C81" s="60"/>
    </row>
    <row r="82" spans="3:3" ht="15" customHeight="1" x14ac:dyDescent="0.45">
      <c r="C82" s="60"/>
    </row>
    <row r="83" spans="3:3" ht="15" customHeight="1" x14ac:dyDescent="0.45">
      <c r="C83" s="60"/>
    </row>
    <row r="84" spans="3:3" ht="15" customHeight="1" x14ac:dyDescent="0.45">
      <c r="C84" s="60"/>
    </row>
    <row r="85" spans="3:3" ht="15" customHeight="1" x14ac:dyDescent="0.45">
      <c r="C85" s="60"/>
    </row>
    <row r="86" spans="3:3" ht="15" customHeight="1" x14ac:dyDescent="0.45">
      <c r="C86" s="60"/>
    </row>
    <row r="87" spans="3:3" ht="15" customHeight="1" x14ac:dyDescent="0.45">
      <c r="C87" s="60"/>
    </row>
    <row r="88" spans="3:3" ht="15" customHeight="1" x14ac:dyDescent="0.45">
      <c r="C88" s="60"/>
    </row>
    <row r="89" spans="3:3" ht="15" customHeight="1" x14ac:dyDescent="0.45">
      <c r="C89" s="60"/>
    </row>
    <row r="125" spans="2:3" ht="15" customHeight="1" x14ac:dyDescent="0.45">
      <c r="B125" s="16" t="s">
        <v>23</v>
      </c>
      <c r="C125">
        <f>+C12*C13</f>
        <v>99875.40221575</v>
      </c>
    </row>
    <row r="126" spans="2:3" ht="15" customHeight="1" x14ac:dyDescent="0.45">
      <c r="B126" s="16" t="s">
        <v>127</v>
      </c>
      <c r="C126">
        <f>474.9</f>
        <v>474.9</v>
      </c>
    </row>
    <row r="127" spans="2:3" ht="15" customHeight="1" x14ac:dyDescent="0.45">
      <c r="B127" s="16" t="s">
        <v>136</v>
      </c>
      <c r="C127">
        <f>212.1</f>
        <v>212.1</v>
      </c>
    </row>
    <row r="128" spans="2:3" ht="15" customHeight="1" x14ac:dyDescent="0.45">
      <c r="B128" s="16" t="s">
        <v>134</v>
      </c>
      <c r="C128">
        <f>28497.7</f>
        <v>28497.7</v>
      </c>
    </row>
    <row r="129" spans="1:3" ht="15" customHeight="1" x14ac:dyDescent="0.45">
      <c r="B129" s="16" t="s">
        <v>135</v>
      </c>
      <c r="C129">
        <f>789.8</f>
        <v>789.8</v>
      </c>
    </row>
    <row r="130" spans="1:3" ht="15" customHeight="1" x14ac:dyDescent="0.45">
      <c r="B130" s="16" t="s">
        <v>177</v>
      </c>
      <c r="C130">
        <f>6884.4</f>
        <v>6884.4</v>
      </c>
    </row>
    <row r="131" spans="1:3" ht="15" customHeight="1" x14ac:dyDescent="0.45">
      <c r="B131" s="16" t="s">
        <v>176</v>
      </c>
      <c r="C131">
        <f>539.9</f>
        <v>539.9</v>
      </c>
    </row>
    <row r="132" spans="1:3" ht="15" customHeight="1" x14ac:dyDescent="0.45">
      <c r="B132" s="16" t="s">
        <v>178</v>
      </c>
      <c r="C132">
        <f>207.8</f>
        <v>207.8</v>
      </c>
    </row>
    <row r="133" spans="1:3" ht="15" customHeight="1" x14ac:dyDescent="0.45">
      <c r="B133" s="16" t="s">
        <v>41</v>
      </c>
      <c r="C133">
        <f>-1746.3</f>
        <v>-1746.3</v>
      </c>
    </row>
    <row r="134" spans="1:3" ht="15" customHeight="1" x14ac:dyDescent="0.45">
      <c r="B134" s="16" t="s">
        <v>24</v>
      </c>
      <c r="C134">
        <f>SUM(C125:C133)</f>
        <v>135735.70221575</v>
      </c>
    </row>
    <row r="136" spans="1:3" ht="15" customHeight="1" x14ac:dyDescent="0.45">
      <c r="B136" s="16" t="s">
        <v>25</v>
      </c>
      <c r="C136">
        <f>+C10</f>
        <v>2887.5</v>
      </c>
    </row>
    <row r="137" spans="1:3" ht="15" customHeight="1" x14ac:dyDescent="0.45">
      <c r="B137" s="16" t="s">
        <v>138</v>
      </c>
      <c r="C137">
        <f>+C11</f>
        <v>1882.3</v>
      </c>
    </row>
    <row r="138" spans="1:3" ht="15" customHeight="1" x14ac:dyDescent="0.45">
      <c r="B138" s="16" t="s">
        <v>141</v>
      </c>
      <c r="C138">
        <f>977.2</f>
        <v>977.2</v>
      </c>
    </row>
    <row r="139" spans="1:3" ht="15" customHeight="1" x14ac:dyDescent="0.45">
      <c r="B139" s="16" t="s">
        <v>26</v>
      </c>
      <c r="C139">
        <f>SUM(C136:C138)</f>
        <v>5747</v>
      </c>
    </row>
    <row r="141" spans="1:3" ht="15" customHeight="1" x14ac:dyDescent="0.45">
      <c r="B141" s="16" t="s">
        <v>18</v>
      </c>
      <c r="C141" s="65">
        <f>+C134/C139</f>
        <v>23.618531793239953</v>
      </c>
    </row>
    <row r="143" spans="1:3" ht="15" customHeight="1" x14ac:dyDescent="0.45">
      <c r="A143" s="15" t="s">
        <v>19</v>
      </c>
    </row>
    <row r="144" spans="1:3" ht="15" customHeight="1" x14ac:dyDescent="0.45">
      <c r="B144" s="16" t="s">
        <v>175</v>
      </c>
    </row>
    <row r="156" spans="2:2" ht="15" customHeight="1" x14ac:dyDescent="0.45">
      <c r="B156" s="16" t="s">
        <v>179</v>
      </c>
    </row>
    <row r="167" spans="2:3" ht="15" customHeight="1" x14ac:dyDescent="0.45">
      <c r="B167" s="16" t="s">
        <v>181</v>
      </c>
    </row>
    <row r="169" spans="2:3" ht="15" customHeight="1" x14ac:dyDescent="0.45">
      <c r="B169" s="16" t="s">
        <v>142</v>
      </c>
      <c r="C169">
        <f>+C134</f>
        <v>135735.70221575</v>
      </c>
    </row>
    <row r="170" spans="2:3" ht="15" customHeight="1" x14ac:dyDescent="0.45">
      <c r="B170" s="16" t="s">
        <v>182</v>
      </c>
      <c r="C170">
        <f>9400</f>
        <v>9400</v>
      </c>
    </row>
    <row r="171" spans="2:3" ht="15" customHeight="1" x14ac:dyDescent="0.45">
      <c r="B171" s="16" t="s">
        <v>145</v>
      </c>
      <c r="C171">
        <f>SUM(C169:C170)</f>
        <v>145135.70221575</v>
      </c>
    </row>
    <row r="173" spans="2:3" ht="15" customHeight="1" x14ac:dyDescent="0.45">
      <c r="B173" s="16" t="s">
        <v>143</v>
      </c>
      <c r="C173">
        <f>+C139</f>
        <v>5747</v>
      </c>
    </row>
    <row r="174" spans="2:3" ht="15" customHeight="1" x14ac:dyDescent="0.45">
      <c r="B174" s="16" t="s">
        <v>183</v>
      </c>
      <c r="C174">
        <f>520/0.82</f>
        <v>634.14634146341473</v>
      </c>
    </row>
    <row r="175" spans="2:3" ht="15" customHeight="1" x14ac:dyDescent="0.45">
      <c r="B175" s="16" t="s">
        <v>144</v>
      </c>
      <c r="C175">
        <f>SUM(C173:C174)</f>
        <v>6381.1463414634145</v>
      </c>
    </row>
    <row r="177" spans="1:3" ht="15" customHeight="1" x14ac:dyDescent="0.45">
      <c r="B177" s="16" t="s">
        <v>146</v>
      </c>
      <c r="C177" s="65">
        <f>+C171/C175</f>
        <v>22.744456003569013</v>
      </c>
    </row>
    <row r="179" spans="1:3" ht="15" customHeight="1" x14ac:dyDescent="0.45">
      <c r="A179" s="15" t="s">
        <v>20</v>
      </c>
    </row>
    <row r="180" spans="1:3" ht="15" customHeight="1" x14ac:dyDescent="0.45">
      <c r="B180" s="16" t="s">
        <v>147</v>
      </c>
    </row>
    <row r="191" spans="1:3" ht="15" customHeight="1" x14ac:dyDescent="0.45">
      <c r="B191" s="16" t="s">
        <v>148</v>
      </c>
    </row>
    <row r="192" spans="1:3" ht="15" customHeight="1" x14ac:dyDescent="0.45">
      <c r="B192" s="16" t="s">
        <v>157</v>
      </c>
    </row>
    <row r="193" spans="2:3" ht="15" customHeight="1" x14ac:dyDescent="0.45">
      <c r="B193" s="16" t="s">
        <v>149</v>
      </c>
      <c r="C193" s="60">
        <v>248.88</v>
      </c>
    </row>
    <row r="194" spans="2:3" ht="15" customHeight="1" x14ac:dyDescent="0.45">
      <c r="B194" s="16" t="s">
        <v>154</v>
      </c>
    </row>
    <row r="195" spans="2:3" ht="15" customHeight="1" x14ac:dyDescent="0.45">
      <c r="B195" s="16" t="s">
        <v>151</v>
      </c>
    </row>
    <row r="197" spans="2:3" ht="15" customHeight="1" x14ac:dyDescent="0.45">
      <c r="B197" s="16" t="s">
        <v>150</v>
      </c>
      <c r="C197">
        <f>+C193</f>
        <v>248.88</v>
      </c>
    </row>
    <row r="198" spans="2:3" ht="15" customHeight="1" x14ac:dyDescent="0.45">
      <c r="B198" s="16" t="s">
        <v>152</v>
      </c>
      <c r="C198" s="79">
        <v>0.02</v>
      </c>
    </row>
    <row r="199" spans="2:3" ht="15" customHeight="1" x14ac:dyDescent="0.45">
      <c r="B199" s="16" t="s">
        <v>153</v>
      </c>
      <c r="C199">
        <f>+C197*(1-C198)</f>
        <v>243.9024</v>
      </c>
    </row>
    <row r="202" spans="2:3" ht="15" customHeight="1" x14ac:dyDescent="0.45">
      <c r="B202" s="16" t="s">
        <v>156</v>
      </c>
      <c r="C202">
        <f>8.5+0.85</f>
        <v>9.35</v>
      </c>
    </row>
    <row r="203" spans="2:3" ht="15" customHeight="1" x14ac:dyDescent="0.45">
      <c r="B203" s="16" t="s">
        <v>155</v>
      </c>
      <c r="C203">
        <f>+C199*C202</f>
        <v>2280.4874399999999</v>
      </c>
    </row>
    <row r="205" spans="2:3" ht="15" customHeight="1" x14ac:dyDescent="0.45">
      <c r="B205" s="16" t="s">
        <v>158</v>
      </c>
      <c r="C205">
        <f>+C13</f>
        <v>444.38443699999999</v>
      </c>
    </row>
    <row r="206" spans="2:3" ht="15" customHeight="1" x14ac:dyDescent="0.45">
      <c r="B206" s="16" t="s">
        <v>159</v>
      </c>
      <c r="C206">
        <f>+C202</f>
        <v>9.35</v>
      </c>
    </row>
    <row r="207" spans="2:3" ht="15" customHeight="1" x14ac:dyDescent="0.45">
      <c r="B207" s="16" t="s">
        <v>160</v>
      </c>
      <c r="C207">
        <f>SUM(C205:C206)</f>
        <v>453.73443700000001</v>
      </c>
    </row>
    <row r="208" spans="2:3" ht="15" customHeight="1" x14ac:dyDescent="0.45">
      <c r="B208" s="16" t="s">
        <v>27</v>
      </c>
      <c r="C208">
        <f>+C199</f>
        <v>243.9024</v>
      </c>
    </row>
    <row r="209" spans="1:3" ht="15" customHeight="1" x14ac:dyDescent="0.45">
      <c r="B209" s="16" t="s">
        <v>23</v>
      </c>
      <c r="C209">
        <f>+C207*C208</f>
        <v>110666.91814694881</v>
      </c>
    </row>
    <row r="211" spans="1:3" ht="15" customHeight="1" x14ac:dyDescent="0.45">
      <c r="B211" s="16" t="str">
        <f>B126</f>
        <v>Non controlling interest</v>
      </c>
      <c r="C211">
        <f>C126</f>
        <v>474.9</v>
      </c>
    </row>
    <row r="212" spans="1:3" ht="15" customHeight="1" x14ac:dyDescent="0.45">
      <c r="B212" s="16" t="str">
        <f t="shared" ref="B212:C218" si="0">B127</f>
        <v>Redeemable noncontrolling interest</v>
      </c>
      <c r="C212">
        <f t="shared" si="0"/>
        <v>212.1</v>
      </c>
    </row>
    <row r="213" spans="1:3" ht="15" customHeight="1" x14ac:dyDescent="0.45">
      <c r="B213" s="16" t="str">
        <f t="shared" si="0"/>
        <v>Long term obligations</v>
      </c>
      <c r="C213">
        <f t="shared" si="0"/>
        <v>28497.7</v>
      </c>
    </row>
    <row r="214" spans="1:3" ht="15" customHeight="1" x14ac:dyDescent="0.45">
      <c r="B214" s="16" t="str">
        <f t="shared" si="0"/>
        <v>Current portion of long term obligations</v>
      </c>
      <c r="C214">
        <f t="shared" si="0"/>
        <v>789.8</v>
      </c>
    </row>
    <row r="215" spans="1:3" ht="15" customHeight="1" x14ac:dyDescent="0.45">
      <c r="B215" s="16" t="str">
        <f t="shared" si="0"/>
        <v>Long term operating lease</v>
      </c>
      <c r="C215">
        <f t="shared" si="0"/>
        <v>6884.4</v>
      </c>
    </row>
    <row r="216" spans="1:3" ht="15" customHeight="1" x14ac:dyDescent="0.45">
      <c r="B216" s="16" t="str">
        <f t="shared" si="0"/>
        <v>Current portion of operating lease liability</v>
      </c>
      <c r="C216">
        <f t="shared" si="0"/>
        <v>539.9</v>
      </c>
    </row>
    <row r="217" spans="1:3" ht="15" customHeight="1" x14ac:dyDescent="0.45">
      <c r="B217" s="16" t="str">
        <f t="shared" si="0"/>
        <v>Accrued interest</v>
      </c>
      <c r="C217">
        <f t="shared" si="0"/>
        <v>207.8</v>
      </c>
    </row>
    <row r="218" spans="1:3" ht="15" customHeight="1" x14ac:dyDescent="0.45">
      <c r="B218" s="16" t="str">
        <f t="shared" si="0"/>
        <v>Cash</v>
      </c>
      <c r="C218">
        <f t="shared" si="0"/>
        <v>-1746.3</v>
      </c>
    </row>
    <row r="219" spans="1:3" ht="15" customHeight="1" x14ac:dyDescent="0.45">
      <c r="B219" s="16" t="s">
        <v>161</v>
      </c>
      <c r="C219">
        <f>9400-C203</f>
        <v>7119.5125600000001</v>
      </c>
    </row>
    <row r="220" spans="1:3" ht="15" customHeight="1" x14ac:dyDescent="0.45">
      <c r="B220" s="16" t="s">
        <v>162</v>
      </c>
      <c r="C220">
        <f>SUM(C209,C211:C219)</f>
        <v>153646.73070694879</v>
      </c>
    </row>
    <row r="222" spans="1:3" ht="15" customHeight="1" x14ac:dyDescent="0.45">
      <c r="A222" s="15" t="s">
        <v>21</v>
      </c>
    </row>
    <row r="223" spans="1:3" ht="15" customHeight="1" x14ac:dyDescent="0.45">
      <c r="B223" s="16" t="s">
        <v>163</v>
      </c>
    </row>
    <row r="232" spans="1:3" ht="15" customHeight="1" x14ac:dyDescent="0.45">
      <c r="B232" s="16" t="s">
        <v>164</v>
      </c>
    </row>
    <row r="234" spans="1:3" ht="15" customHeight="1" x14ac:dyDescent="0.45">
      <c r="B234" s="16" t="s">
        <v>161</v>
      </c>
      <c r="C234">
        <f>9400-2361.8</f>
        <v>7038.2</v>
      </c>
    </row>
    <row r="236" spans="1:3" ht="15" customHeight="1" x14ac:dyDescent="0.45">
      <c r="A236" s="15" t="s">
        <v>32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5B0145-9066-409D-BB38-5803347D92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2B1BBA-0FED-4482-8CFC-5872493C6418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77E3D7A5-EC92-4244-A065-DC887A911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Welcome</vt:lpstr>
      <vt:lpstr>Info</vt:lpstr>
      <vt:lpstr>Acquisitions</vt:lpstr>
      <vt:lpstr>Disposals</vt:lpstr>
      <vt:lpstr>Financing</vt:lpstr>
      <vt:lpstr>Acquisitions!Print_Area</vt:lpstr>
      <vt:lpstr>Disposals!Print_Area</vt:lpstr>
      <vt:lpstr>Financing!Print_Area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 Ljunggren</dc:creator>
  <cp:lastModifiedBy>Gerard Kelly</cp:lastModifiedBy>
  <cp:lastPrinted>2022-01-06T13:48:04Z</cp:lastPrinted>
  <dcterms:created xsi:type="dcterms:W3CDTF">2016-02-03T14:06:14Z</dcterms:created>
  <dcterms:modified xsi:type="dcterms:W3CDTF">2025-09-16T10:45:41Z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