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GerardKelly\Downloads\"/>
    </mc:Choice>
  </mc:AlternateContent>
  <xr:revisionPtr revIDLastSave="0" documentId="13_ncr:1_{B14F5779-85EB-402C-95B6-8A1F3202379D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Welcome" sheetId="1" r:id="rId1"/>
    <sheet name="Info" sheetId="6" r:id="rId2"/>
    <sheet name="Workout" sheetId="9" r:id="rId3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"01/29/2016 15:32:18"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86" i="9" l="1"/>
  <c r="C686" i="9"/>
  <c r="I685" i="9"/>
  <c r="E684" i="9"/>
  <c r="H684" i="9" s="1"/>
  <c r="I684" i="9" s="1"/>
  <c r="E683" i="9"/>
  <c r="D681" i="9"/>
  <c r="C681" i="9"/>
  <c r="H680" i="9"/>
  <c r="I680" i="9" s="1"/>
  <c r="F679" i="9"/>
  <c r="H679" i="9" s="1"/>
  <c r="I679" i="9" s="1"/>
  <c r="H678" i="9"/>
  <c r="I678" i="9" s="1"/>
  <c r="F677" i="9"/>
  <c r="H677" i="9" s="1"/>
  <c r="D675" i="9"/>
  <c r="C675" i="9"/>
  <c r="H671" i="9"/>
  <c r="I671" i="9" s="1"/>
  <c r="F670" i="9"/>
  <c r="H670" i="9" s="1"/>
  <c r="C659" i="9"/>
  <c r="H659" i="9" s="1"/>
  <c r="C658" i="9"/>
  <c r="G673" i="9" s="1"/>
  <c r="H673" i="9" s="1"/>
  <c r="I673" i="9" s="1"/>
  <c r="C657" i="9"/>
  <c r="G672" i="9" s="1"/>
  <c r="H672" i="9" s="1"/>
  <c r="I672" i="9" s="1"/>
  <c r="C656" i="9"/>
  <c r="C654" i="9"/>
  <c r="H654" i="9" s="1"/>
  <c r="C644" i="9"/>
  <c r="C645" i="9" s="1"/>
  <c r="C649" i="9" s="1"/>
  <c r="C687" i="9" l="1"/>
  <c r="C660" i="9"/>
  <c r="C667" i="9" s="1"/>
  <c r="G685" i="9" s="1"/>
  <c r="H685" i="9" s="1"/>
  <c r="D687" i="9"/>
  <c r="F683" i="9"/>
  <c r="H683" i="9" s="1"/>
  <c r="C651" i="9"/>
  <c r="C662" i="9"/>
  <c r="C665" i="9" s="1"/>
  <c r="G674" i="9" s="1"/>
  <c r="H674" i="9" s="1"/>
  <c r="H675" i="9" s="1"/>
  <c r="I670" i="9"/>
  <c r="H681" i="9"/>
  <c r="I677" i="9"/>
  <c r="I681" i="9" s="1"/>
  <c r="H656" i="9"/>
  <c r="H658" i="9"/>
  <c r="H657" i="9"/>
  <c r="H660" i="9" l="1"/>
  <c r="H686" i="9"/>
  <c r="H687" i="9" s="1"/>
  <c r="I683" i="9"/>
  <c r="I686" i="9" s="1"/>
  <c r="I687" i="9" s="1"/>
  <c r="H662" i="9" l="1"/>
  <c r="H665" i="9" s="1"/>
  <c r="L662" i="9"/>
  <c r="L665" i="9" s="1"/>
  <c r="L667" i="9" l="1"/>
  <c r="I674" i="9" s="1"/>
  <c r="I675" i="9" s="1"/>
  <c r="G631" i="9" l="1"/>
  <c r="C608" i="9"/>
  <c r="D632" i="9" l="1"/>
  <c r="C632" i="9"/>
  <c r="H631" i="9"/>
  <c r="E630" i="9"/>
  <c r="H630" i="9" s="1"/>
  <c r="F629" i="9"/>
  <c r="E629" i="9"/>
  <c r="H629" i="9" s="1"/>
  <c r="D627" i="9"/>
  <c r="C627" i="9"/>
  <c r="H626" i="9"/>
  <c r="H624" i="9"/>
  <c r="H623" i="9"/>
  <c r="D621" i="9"/>
  <c r="C621" i="9"/>
  <c r="H619" i="9"/>
  <c r="H618" i="9"/>
  <c r="H617" i="9"/>
  <c r="F616" i="9"/>
  <c r="H616" i="9" s="1"/>
  <c r="C599" i="9"/>
  <c r="C604" i="9" s="1"/>
  <c r="C609" i="9" l="1"/>
  <c r="C610" i="9" s="1"/>
  <c r="C611" i="9" s="1"/>
  <c r="J610" i="9"/>
  <c r="J611" i="9" s="1"/>
  <c r="H632" i="9"/>
  <c r="C633" i="9"/>
  <c r="D633" i="9"/>
  <c r="F625" i="9"/>
  <c r="H625" i="9" s="1"/>
  <c r="H627" i="9" s="1"/>
  <c r="H633" i="9" s="1"/>
  <c r="C605" i="9"/>
  <c r="J613" i="9" l="1"/>
  <c r="G620" i="9" s="1"/>
  <c r="H620" i="9" s="1"/>
  <c r="H621" i="9" s="1"/>
  <c r="E506" i="9"/>
  <c r="H504" i="9"/>
  <c r="H506" i="9" s="1"/>
  <c r="E504" i="9"/>
  <c r="G503" i="9"/>
  <c r="G506" i="9" s="1"/>
  <c r="E503" i="9"/>
  <c r="F501" i="9"/>
  <c r="F506" i="9" s="1"/>
  <c r="E501" i="9"/>
  <c r="D500" i="9"/>
  <c r="D502" i="9" s="1"/>
  <c r="D505" i="9" s="1"/>
  <c r="D507" i="9" s="1"/>
  <c r="C500" i="9"/>
  <c r="C502" i="9" s="1"/>
  <c r="C505" i="9" s="1"/>
  <c r="C507" i="9" s="1"/>
  <c r="E499" i="9"/>
  <c r="I499" i="9" s="1"/>
  <c r="E498" i="9"/>
  <c r="E500" i="9" l="1"/>
  <c r="E502" i="9" s="1"/>
  <c r="E505" i="9" s="1"/>
  <c r="E507" i="9" s="1"/>
  <c r="I501" i="9"/>
  <c r="I504" i="9"/>
  <c r="I506" i="9"/>
  <c r="I498" i="9"/>
  <c r="I500" i="9" s="1"/>
  <c r="I503" i="9"/>
  <c r="I502" i="9" l="1"/>
  <c r="I505" i="9"/>
  <c r="I507" i="9" s="1"/>
  <c r="A7" i="1"/>
  <c r="F586" i="9" l="1"/>
  <c r="E481" i="9"/>
  <c r="F481" i="9" s="1"/>
  <c r="E480" i="9"/>
  <c r="F480" i="9" s="1"/>
  <c r="G303" i="9"/>
  <c r="G302" i="9"/>
  <c r="C159" i="9"/>
  <c r="C158" i="9"/>
  <c r="G62" i="9"/>
  <c r="C160" i="9" l="1"/>
  <c r="C565" i="9"/>
  <c r="C563" i="9"/>
  <c r="E380" i="9"/>
  <c r="C400" i="9"/>
  <c r="C83" i="9"/>
  <c r="C79" i="9"/>
  <c r="C80" i="9" s="1"/>
  <c r="E32" i="9"/>
  <c r="E31" i="9"/>
  <c r="C570" i="9" l="1"/>
  <c r="G588" i="9" s="1"/>
  <c r="C566" i="9"/>
  <c r="C568" i="9" s="1"/>
  <c r="G577" i="9" s="1"/>
  <c r="C777" i="9"/>
  <c r="C778" i="9" s="1"/>
  <c r="C776" i="9"/>
  <c r="C779" i="9" s="1"/>
  <c r="C751" i="9"/>
  <c r="C750" i="9"/>
  <c r="C749" i="9"/>
  <c r="C745" i="9"/>
  <c r="C753" i="9" s="1"/>
  <c r="C744" i="9"/>
  <c r="C743" i="9"/>
  <c r="G724" i="9"/>
  <c r="G722" i="9"/>
  <c r="G721" i="9"/>
  <c r="G701" i="9"/>
  <c r="G700" i="9"/>
  <c r="G698" i="9"/>
  <c r="G696" i="9"/>
  <c r="G695" i="9"/>
  <c r="C746" i="9" l="1"/>
  <c r="G723" i="9"/>
  <c r="G725" i="9" s="1"/>
  <c r="G697" i="9"/>
  <c r="G699" i="9" s="1"/>
  <c r="G702" i="9" s="1"/>
  <c r="H583" i="9"/>
  <c r="H581" i="9"/>
  <c r="H580" i="9"/>
  <c r="H576" i="9"/>
  <c r="H575" i="9"/>
  <c r="H574" i="9"/>
  <c r="H577" i="9"/>
  <c r="H588" i="9"/>
  <c r="C554" i="9"/>
  <c r="C559" i="9" s="1"/>
  <c r="F582" i="9" l="1"/>
  <c r="H582" i="9" s="1"/>
  <c r="H584" i="9" s="1"/>
  <c r="C560" i="9"/>
  <c r="C823" i="9"/>
  <c r="C829" i="9" s="1"/>
  <c r="C812" i="9"/>
  <c r="C813" i="9" s="1"/>
  <c r="B759" i="9"/>
  <c r="C759" i="9"/>
  <c r="C739" i="9"/>
  <c r="C752" i="9" s="1"/>
  <c r="C754" i="9" s="1"/>
  <c r="C738" i="9"/>
  <c r="C737" i="9"/>
  <c r="E729" i="9"/>
  <c r="F727" i="9"/>
  <c r="G727" i="9" s="1"/>
  <c r="F726" i="9"/>
  <c r="D723" i="9"/>
  <c r="D725" i="9" s="1"/>
  <c r="D728" i="9" s="1"/>
  <c r="D730" i="9" s="1"/>
  <c r="C723" i="9"/>
  <c r="C725" i="9" s="1"/>
  <c r="C728" i="9" s="1"/>
  <c r="C730" i="9" s="1"/>
  <c r="C732" i="9" s="1"/>
  <c r="D697" i="9"/>
  <c r="D699" i="9" s="1"/>
  <c r="D702" i="9" s="1"/>
  <c r="D704" i="9" s="1"/>
  <c r="C697" i="9"/>
  <c r="C699" i="9" s="1"/>
  <c r="C702" i="9" s="1"/>
  <c r="C704" i="9" s="1"/>
  <c r="C706" i="9" s="1"/>
  <c r="D589" i="9"/>
  <c r="C589" i="9"/>
  <c r="E587" i="9"/>
  <c r="H587" i="9" s="1"/>
  <c r="E586" i="9"/>
  <c r="H586" i="9" s="1"/>
  <c r="D584" i="9"/>
  <c r="C584" i="9"/>
  <c r="D578" i="9"/>
  <c r="C578" i="9"/>
  <c r="F573" i="9"/>
  <c r="H573" i="9" s="1"/>
  <c r="H578" i="9" s="1"/>
  <c r="D530" i="9"/>
  <c r="E530" i="9"/>
  <c r="C530" i="9"/>
  <c r="D531" i="9"/>
  <c r="E531" i="9"/>
  <c r="C531" i="9"/>
  <c r="E514" i="9"/>
  <c r="F514" i="9"/>
  <c r="G514" i="9"/>
  <c r="H514" i="9"/>
  <c r="D514" i="9"/>
  <c r="E483" i="9"/>
  <c r="F483" i="9" s="1"/>
  <c r="E478" i="9"/>
  <c r="F478" i="9" s="1"/>
  <c r="E476" i="9"/>
  <c r="F476" i="9" s="1"/>
  <c r="E475" i="9"/>
  <c r="F475" i="9" s="1"/>
  <c r="D477" i="9"/>
  <c r="D479" i="9" s="1"/>
  <c r="D482" i="9" s="1"/>
  <c r="D484" i="9" s="1"/>
  <c r="C477" i="9"/>
  <c r="C479" i="9" s="1"/>
  <c r="C482" i="9" s="1"/>
  <c r="C484" i="9" s="1"/>
  <c r="C452" i="9"/>
  <c r="C446" i="9"/>
  <c r="C454" i="9" s="1"/>
  <c r="C440" i="9"/>
  <c r="C453" i="9" s="1"/>
  <c r="F430" i="9"/>
  <c r="F429" i="9"/>
  <c r="G429" i="9" s="1"/>
  <c r="E432" i="9"/>
  <c r="C467" i="9"/>
  <c r="C451" i="9"/>
  <c r="C450" i="9"/>
  <c r="C445" i="9"/>
  <c r="C444" i="9"/>
  <c r="C439" i="9"/>
  <c r="C438" i="9"/>
  <c r="G427" i="9"/>
  <c r="D426" i="9"/>
  <c r="D428" i="9" s="1"/>
  <c r="D431" i="9" s="1"/>
  <c r="C426" i="9"/>
  <c r="C428" i="9" s="1"/>
  <c r="C431" i="9" s="1"/>
  <c r="G425" i="9"/>
  <c r="G424" i="9"/>
  <c r="C415" i="9"/>
  <c r="C399" i="9"/>
  <c r="C398" i="9"/>
  <c r="C394" i="9"/>
  <c r="C402" i="9" s="1"/>
  <c r="C393" i="9"/>
  <c r="C392" i="9"/>
  <c r="C388" i="9"/>
  <c r="C401" i="9" s="1"/>
  <c r="C387" i="9"/>
  <c r="C386" i="9"/>
  <c r="G375" i="9"/>
  <c r="G373" i="9"/>
  <c r="G372" i="9"/>
  <c r="F378" i="9"/>
  <c r="G378" i="9" s="1"/>
  <c r="F377" i="9"/>
  <c r="D374" i="9"/>
  <c r="D376" i="9" s="1"/>
  <c r="D379" i="9" s="1"/>
  <c r="C374" i="9"/>
  <c r="C376" i="9" s="1"/>
  <c r="C379" i="9" s="1"/>
  <c r="C340" i="9"/>
  <c r="G350" i="9" s="1"/>
  <c r="H350" i="9" s="1"/>
  <c r="C339" i="9"/>
  <c r="G349" i="9" s="1"/>
  <c r="H349" i="9" s="1"/>
  <c r="D362" i="9"/>
  <c r="C362" i="9"/>
  <c r="E361" i="9"/>
  <c r="H361" i="9" s="1"/>
  <c r="E360" i="9"/>
  <c r="D358" i="9"/>
  <c r="C358" i="9"/>
  <c r="C363" i="9" s="1"/>
  <c r="H357" i="9"/>
  <c r="H355" i="9"/>
  <c r="F354" i="9"/>
  <c r="H354" i="9" s="1"/>
  <c r="D352" i="9"/>
  <c r="C352" i="9"/>
  <c r="H348" i="9"/>
  <c r="F347" i="9"/>
  <c r="H347" i="9" s="1"/>
  <c r="C341" i="9"/>
  <c r="C338" i="9"/>
  <c r="C336" i="9"/>
  <c r="C326" i="9"/>
  <c r="C327" i="9" s="1"/>
  <c r="C331" i="9" s="1"/>
  <c r="F360" i="9" s="1"/>
  <c r="H302" i="9"/>
  <c r="H303" i="9"/>
  <c r="C291" i="9"/>
  <c r="C294" i="9"/>
  <c r="C279" i="9"/>
  <c r="C280" i="9" s="1"/>
  <c r="C285" i="9" s="1"/>
  <c r="F309" i="9" s="1"/>
  <c r="D315" i="9"/>
  <c r="C315" i="9"/>
  <c r="E314" i="9"/>
  <c r="H314" i="9" s="1"/>
  <c r="F313" i="9"/>
  <c r="E313" i="9"/>
  <c r="D311" i="9"/>
  <c r="C311" i="9"/>
  <c r="H310" i="9"/>
  <c r="H308" i="9"/>
  <c r="F307" i="9"/>
  <c r="H307" i="9" s="1"/>
  <c r="D305" i="9"/>
  <c r="C305" i="9"/>
  <c r="H301" i="9"/>
  <c r="F300" i="9"/>
  <c r="H300" i="9" s="1"/>
  <c r="C289" i="9"/>
  <c r="C221" i="9"/>
  <c r="C217" i="9"/>
  <c r="C216" i="9"/>
  <c r="C215" i="9"/>
  <c r="B215" i="9"/>
  <c r="C213" i="9"/>
  <c r="B213" i="9"/>
  <c r="C267" i="9"/>
  <c r="C269" i="9" s="1"/>
  <c r="F477" i="9" l="1"/>
  <c r="H589" i="9"/>
  <c r="H590" i="9" s="1"/>
  <c r="G377" i="9"/>
  <c r="F380" i="9"/>
  <c r="G380" i="9" s="1"/>
  <c r="D706" i="9"/>
  <c r="C711" i="9"/>
  <c r="C712" i="9" s="1"/>
  <c r="G705" i="9"/>
  <c r="F479" i="9"/>
  <c r="F482" i="9" s="1"/>
  <c r="F484" i="9" s="1"/>
  <c r="C757" i="9"/>
  <c r="C760" i="9" s="1"/>
  <c r="C761" i="9" s="1"/>
  <c r="G731" i="9"/>
  <c r="C740" i="9"/>
  <c r="C403" i="9"/>
  <c r="C409" i="9" s="1"/>
  <c r="F729" i="9"/>
  <c r="G729" i="9" s="1"/>
  <c r="G726" i="9"/>
  <c r="G728" i="9" s="1"/>
  <c r="C814" i="9"/>
  <c r="D590" i="9"/>
  <c r="D732" i="9"/>
  <c r="G703" i="9"/>
  <c r="G704" i="9" s="1"/>
  <c r="G374" i="9"/>
  <c r="G376" i="9" s="1"/>
  <c r="C590" i="9"/>
  <c r="E537" i="9"/>
  <c r="E538" i="9"/>
  <c r="G426" i="9"/>
  <c r="G428" i="9" s="1"/>
  <c r="C389" i="9"/>
  <c r="D538" i="9"/>
  <c r="D537" i="9"/>
  <c r="F432" i="9"/>
  <c r="G432" i="9" s="1"/>
  <c r="C316" i="9"/>
  <c r="C395" i="9"/>
  <c r="G430" i="9"/>
  <c r="C295" i="9"/>
  <c r="C297" i="9" s="1"/>
  <c r="C218" i="9"/>
  <c r="C220" i="9" s="1"/>
  <c r="C222" i="9" s="1"/>
  <c r="C465" i="9"/>
  <c r="C433" i="9"/>
  <c r="C466" i="9"/>
  <c r="D433" i="9"/>
  <c r="C455" i="9"/>
  <c r="C461" i="9" s="1"/>
  <c r="C441" i="9"/>
  <c r="C447" i="9"/>
  <c r="C414" i="9"/>
  <c r="D381" i="9"/>
  <c r="C381" i="9"/>
  <c r="C413" i="9"/>
  <c r="H313" i="9"/>
  <c r="H315" i="9" s="1"/>
  <c r="C342" i="9"/>
  <c r="C344" i="9" s="1"/>
  <c r="G351" i="9" s="1"/>
  <c r="H351" i="9" s="1"/>
  <c r="H352" i="9" s="1"/>
  <c r="H360" i="9"/>
  <c r="H362" i="9" s="1"/>
  <c r="D363" i="9"/>
  <c r="F356" i="9"/>
  <c r="H356" i="9" s="1"/>
  <c r="H358" i="9" s="1"/>
  <c r="C333" i="9"/>
  <c r="D316" i="9"/>
  <c r="H309" i="9"/>
  <c r="H311" i="9" s="1"/>
  <c r="C286" i="9"/>
  <c r="C196" i="9"/>
  <c r="C195" i="9"/>
  <c r="C194" i="9"/>
  <c r="C193" i="9"/>
  <c r="C192" i="9"/>
  <c r="C190" i="9"/>
  <c r="B192" i="9"/>
  <c r="B190" i="9"/>
  <c r="C162" i="9"/>
  <c r="C170" i="9" s="1"/>
  <c r="C161" i="9"/>
  <c r="C169" i="9" s="1"/>
  <c r="C168" i="9"/>
  <c r="C166" i="9"/>
  <c r="B159" i="9"/>
  <c r="B168" i="9" s="1"/>
  <c r="B158" i="9"/>
  <c r="B166" i="9" s="1"/>
  <c r="F135" i="9"/>
  <c r="H135" i="9" s="1"/>
  <c r="C113" i="9"/>
  <c r="C114" i="9" s="1"/>
  <c r="D143" i="9"/>
  <c r="C143" i="9"/>
  <c r="E142" i="9"/>
  <c r="H142" i="9" s="1"/>
  <c r="F141" i="9"/>
  <c r="E141" i="9"/>
  <c r="D139" i="9"/>
  <c r="C139" i="9"/>
  <c r="H138" i="9"/>
  <c r="H136" i="9"/>
  <c r="D133" i="9"/>
  <c r="C133" i="9"/>
  <c r="H131" i="9"/>
  <c r="H130" i="9"/>
  <c r="H129" i="9"/>
  <c r="F128" i="9"/>
  <c r="H128" i="9" s="1"/>
  <c r="C123" i="9"/>
  <c r="G379" i="9" l="1"/>
  <c r="G706" i="9"/>
  <c r="C119" i="9"/>
  <c r="F137" i="9" s="1"/>
  <c r="H137" i="9" s="1"/>
  <c r="H139" i="9" s="1"/>
  <c r="G304" i="9"/>
  <c r="H304" i="9" s="1"/>
  <c r="H305" i="9" s="1"/>
  <c r="G381" i="9"/>
  <c r="G730" i="9"/>
  <c r="G732" i="9" s="1"/>
  <c r="G431" i="9"/>
  <c r="G433" i="9" s="1"/>
  <c r="C406" i="9"/>
  <c r="C408" i="9" s="1"/>
  <c r="H363" i="9"/>
  <c r="H316" i="9"/>
  <c r="C197" i="9"/>
  <c r="C199" i="9" s="1"/>
  <c r="D144" i="9"/>
  <c r="C171" i="9"/>
  <c r="C173" i="9" s="1"/>
  <c r="C144" i="9"/>
  <c r="C163" i="9"/>
  <c r="H141" i="9"/>
  <c r="H143" i="9" s="1"/>
  <c r="C124" i="9"/>
  <c r="C125" i="9" s="1"/>
  <c r="G132" i="9" s="1"/>
  <c r="H132" i="9" s="1"/>
  <c r="H133" i="9" s="1"/>
  <c r="H98" i="9"/>
  <c r="H96" i="9"/>
  <c r="H95" i="9"/>
  <c r="H91" i="9"/>
  <c r="H90" i="9"/>
  <c r="H89" i="9"/>
  <c r="E102" i="9"/>
  <c r="H102" i="9" s="1"/>
  <c r="E101" i="9"/>
  <c r="F101" i="9"/>
  <c r="F88" i="9"/>
  <c r="H88" i="9" s="1"/>
  <c r="D103" i="9"/>
  <c r="C103" i="9"/>
  <c r="F97" i="9"/>
  <c r="H97" i="9" s="1"/>
  <c r="D99" i="9"/>
  <c r="C99" i="9"/>
  <c r="D93" i="9"/>
  <c r="C93" i="9"/>
  <c r="F66" i="9"/>
  <c r="H57" i="9" s="1"/>
  <c r="E66" i="9"/>
  <c r="E63" i="9"/>
  <c r="I63" i="9" s="1"/>
  <c r="E62" i="9"/>
  <c r="E61" i="9"/>
  <c r="I61" i="9" s="1"/>
  <c r="E60" i="9"/>
  <c r="I60" i="9" s="1"/>
  <c r="E57" i="9"/>
  <c r="E56" i="9"/>
  <c r="I56" i="9" s="1"/>
  <c r="E55" i="9"/>
  <c r="I55" i="9" s="1"/>
  <c r="E54" i="9"/>
  <c r="I54" i="9" s="1"/>
  <c r="E53" i="9"/>
  <c r="I53" i="9" s="1"/>
  <c r="D58" i="9"/>
  <c r="D64" i="9"/>
  <c r="D67" i="9" s="1"/>
  <c r="C58" i="9"/>
  <c r="C64" i="9"/>
  <c r="C67" i="9" s="1"/>
  <c r="C120" i="9" l="1"/>
  <c r="H101" i="9"/>
  <c r="C84" i="9"/>
  <c r="C85" i="9" s="1"/>
  <c r="G92" i="9" s="1"/>
  <c r="H92" i="9" s="1"/>
  <c r="H93" i="9" s="1"/>
  <c r="C458" i="9"/>
  <c r="C460" i="9" s="1"/>
  <c r="H144" i="9"/>
  <c r="H103" i="9"/>
  <c r="C104" i="9"/>
  <c r="D104" i="9"/>
  <c r="H99" i="9"/>
  <c r="I66" i="9"/>
  <c r="I62" i="9"/>
  <c r="I64" i="9" s="1"/>
  <c r="I57" i="9"/>
  <c r="I58" i="9" s="1"/>
  <c r="G32" i="9"/>
  <c r="E36" i="9"/>
  <c r="E35" i="9"/>
  <c r="C37" i="9"/>
  <c r="H37" i="9" s="1"/>
  <c r="C36" i="9"/>
  <c r="C35" i="9"/>
  <c r="C32" i="9"/>
  <c r="C31" i="9"/>
  <c r="H31" i="9" s="1"/>
  <c r="B37" i="9"/>
  <c r="B32" i="9"/>
  <c r="B35" i="9"/>
  <c r="B36" i="9"/>
  <c r="B31" i="9"/>
  <c r="C23" i="9"/>
  <c r="C24" i="9"/>
  <c r="C22" i="9"/>
  <c r="C19" i="9"/>
  <c r="C18" i="9"/>
  <c r="B24" i="9"/>
  <c r="B23" i="9"/>
  <c r="B22" i="9"/>
  <c r="B19" i="9"/>
  <c r="B18" i="9"/>
  <c r="C12" i="9"/>
  <c r="D12" i="9"/>
  <c r="D7" i="9"/>
  <c r="C7" i="9"/>
  <c r="H32" i="9" l="1"/>
  <c r="H35" i="9"/>
  <c r="H36" i="9"/>
  <c r="H104" i="9"/>
  <c r="I67" i="9"/>
  <c r="C20" i="9"/>
  <c r="C33" i="9"/>
  <c r="C25" i="9"/>
  <c r="C38" i="9"/>
  <c r="A1" i="9"/>
  <c r="H33" i="9" l="1"/>
  <c r="H38" i="9"/>
  <c r="A1" i="6"/>
</calcChain>
</file>

<file path=xl/sharedStrings.xml><?xml version="1.0" encoding="utf-8"?>
<sst xmlns="http://schemas.openxmlformats.org/spreadsheetml/2006/main" count="721" uniqueCount="366">
  <si>
    <t>Features</t>
  </si>
  <si>
    <t>◦</t>
  </si>
  <si>
    <t>Model Details</t>
  </si>
  <si>
    <t>Company name</t>
  </si>
  <si>
    <t>Date</t>
  </si>
  <si>
    <t>Currency</t>
  </si>
  <si>
    <t>Units</t>
  </si>
  <si>
    <t>Analyst Name</t>
  </si>
  <si>
    <t>Circular Switch</t>
  </si>
  <si>
    <t>Firstname Lastname</t>
  </si>
  <si>
    <t>This document is for training purposes only. Financial Edge accepts no responsibility or liability for any other purpose or usage.</t>
  </si>
  <si>
    <t>Formatting</t>
  </si>
  <si>
    <t>Input</t>
  </si>
  <si>
    <t>Hard coded</t>
  </si>
  <si>
    <t>Formulas</t>
  </si>
  <si>
    <t>Tab Structure</t>
  </si>
  <si>
    <t>Workout 1</t>
  </si>
  <si>
    <t>NA</t>
  </si>
  <si>
    <t>Workout 2</t>
  </si>
  <si>
    <t>Workout 3</t>
  </si>
  <si>
    <t>Workout 4</t>
  </si>
  <si>
    <t>Workout 5</t>
  </si>
  <si>
    <t>Workout 6</t>
  </si>
  <si>
    <t>Workout 7</t>
  </si>
  <si>
    <t>Workout 8</t>
  </si>
  <si>
    <t>Workout 9</t>
  </si>
  <si>
    <t>Workout 10</t>
  </si>
  <si>
    <t>Workout 11</t>
  </si>
  <si>
    <t>Workout 12</t>
  </si>
  <si>
    <t>Workout 13</t>
  </si>
  <si>
    <t>Workout 14</t>
  </si>
  <si>
    <t>Workout 15</t>
  </si>
  <si>
    <t>Workout 17</t>
  </si>
  <si>
    <t>Workout 18</t>
  </si>
  <si>
    <t>End</t>
  </si>
  <si>
    <t>Accounting and Financial Analysis</t>
  </si>
  <si>
    <t>Workout 19</t>
  </si>
  <si>
    <t>Workout 20</t>
  </si>
  <si>
    <t>Workout 21</t>
  </si>
  <si>
    <t>Workout 16</t>
  </si>
  <si>
    <t>Consolidation and NCI</t>
  </si>
  <si>
    <t>Current assets</t>
  </si>
  <si>
    <t>Long term assets</t>
  </si>
  <si>
    <t>Current liabilities</t>
  </si>
  <si>
    <t>Long term liabilities</t>
  </si>
  <si>
    <t>Shareholders' equity</t>
  </si>
  <si>
    <t>Cash down by the payment</t>
  </si>
  <si>
    <t>Using the information in the previous question, produce the consolidated balance sheet of A Inc.</t>
  </si>
  <si>
    <t>Cash</t>
  </si>
  <si>
    <t>Plug</t>
  </si>
  <si>
    <t>Combo</t>
  </si>
  <si>
    <t>The consolidated balance sheet shows all the assets and liabilities under the control of the parent, line by line.</t>
  </si>
  <si>
    <t>Consolidation steps:</t>
  </si>
  <si>
    <t>1) Add in target assets and liabilities line by line</t>
  </si>
  <si>
    <t>Produce the consolidated balance sheet using the information below.</t>
  </si>
  <si>
    <t>Pisa Plc</t>
  </si>
  <si>
    <t>Operating current assets</t>
  </si>
  <si>
    <t>Total assets</t>
  </si>
  <si>
    <t>Short term debt</t>
  </si>
  <si>
    <t>Long term debt</t>
  </si>
  <si>
    <t>Total liabilities</t>
  </si>
  <si>
    <t>Retained earnings</t>
  </si>
  <si>
    <t>Total equity</t>
  </si>
  <si>
    <t>Total liabilities and equity</t>
  </si>
  <si>
    <t>PP&amp;E</t>
  </si>
  <si>
    <t>Intangibles</t>
  </si>
  <si>
    <t>Goodwill</t>
  </si>
  <si>
    <t>Add A and L</t>
  </si>
  <si>
    <t>Financing</t>
  </si>
  <si>
    <t>Target SE</t>
  </si>
  <si>
    <t>2) Ignore or "zero out" the target SE</t>
  </si>
  <si>
    <t>3) Include the financing of the deal</t>
  </si>
  <si>
    <t>4) Include the plug number as goodwill</t>
  </si>
  <si>
    <t>Ascoli Plc</t>
  </si>
  <si>
    <t>Uses of funds</t>
  </si>
  <si>
    <t>Purchase of equity in Ascoli Plc</t>
  </si>
  <si>
    <t>Sources of funds</t>
  </si>
  <si>
    <t>Balance sheet cash</t>
  </si>
  <si>
    <t>Equity issuance</t>
  </si>
  <si>
    <t>Debt issuance</t>
  </si>
  <si>
    <t>Goodwill calculation</t>
  </si>
  <si>
    <t>Purchase price</t>
  </si>
  <si>
    <t>Shareholders' equity purchased</t>
  </si>
  <si>
    <t>Common stock</t>
  </si>
  <si>
    <t>Purchase of equity in Palermo Ltd</t>
  </si>
  <si>
    <t>Retirement of Palermo Ltd debt</t>
  </si>
  <si>
    <t>Palermo Ltd</t>
  </si>
  <si>
    <t xml:space="preserve">Premium paid above book </t>
  </si>
  <si>
    <t>Premium paid above book</t>
  </si>
  <si>
    <t>As part of the negotiations for the Barbados deal, the following was agreed.</t>
  </si>
  <si>
    <t>Equity purchase price</t>
  </si>
  <si>
    <t>Shareholders' equity on balance sheet at deal date</t>
  </si>
  <si>
    <t>Property on balance sheet at deal date</t>
  </si>
  <si>
    <t>Brands on balance sheet at deal date</t>
  </si>
  <si>
    <t>Calculate the premium paid above book and also the goodwill.</t>
  </si>
  <si>
    <t>Proportion of premium allocated to property</t>
  </si>
  <si>
    <t>Proportion of premium allocated to brands</t>
  </si>
  <si>
    <t>Unallocated premium - goodwill</t>
  </si>
  <si>
    <t>Alternative calculation of goodwill</t>
  </si>
  <si>
    <t>Step up of property to fair value</t>
  </si>
  <si>
    <t>Step up of brands to fair value</t>
  </si>
  <si>
    <t>Shareholders' equity at fair value at deal date</t>
  </si>
  <si>
    <t>As part of the negotiations for the Trinidad deal, the following was agreed.</t>
  </si>
  <si>
    <t>Goodwill on balance sheet at deal date</t>
  </si>
  <si>
    <t>Liabilities on balance sheet at deal date</t>
  </si>
  <si>
    <t>Fair value of liabilities at deal date</t>
  </si>
  <si>
    <t>Market value of property at deal date</t>
  </si>
  <si>
    <t>Fair value of brands at deal date</t>
  </si>
  <si>
    <t>Step down of goodwill on balance sheet at deal date</t>
  </si>
  <si>
    <t>Step up of liabilities to fair value</t>
  </si>
  <si>
    <t>Latest year</t>
  </si>
  <si>
    <t>Earliest year</t>
  </si>
  <si>
    <t>Shareholders' equity at book amount</t>
  </si>
  <si>
    <t xml:space="preserve">Step down existing goodwill to fair value </t>
  </si>
  <si>
    <t>Shareholders' equity at fair value</t>
  </si>
  <si>
    <t>Deal goodwill</t>
  </si>
  <si>
    <t>Calculate deal goodwill.</t>
  </si>
  <si>
    <t>Buyer goodwill</t>
  </si>
  <si>
    <t>Consolidated goodwill</t>
  </si>
  <si>
    <t>Calculate consolidated goodwill.</t>
  </si>
  <si>
    <t>Goodwill on Tobago balance sheet at deal date</t>
  </si>
  <si>
    <t>Goodwill on Tortola balance sheet at deal date</t>
  </si>
  <si>
    <t>Purchase of equity in Rimini Ltd</t>
  </si>
  <si>
    <t>Retirement of Rimini Ltd debt</t>
  </si>
  <si>
    <t>Step up of PP&amp;E</t>
  </si>
  <si>
    <t>Step up of brands</t>
  </si>
  <si>
    <t>Step down of Rimini goodwill</t>
  </si>
  <si>
    <t>Treviso Plc</t>
  </si>
  <si>
    <t>Rimini Ltd</t>
  </si>
  <si>
    <t>Parma Plc</t>
  </si>
  <si>
    <t>Bergamo Plc</t>
  </si>
  <si>
    <t>Step down of Bergamo goodwill</t>
  </si>
  <si>
    <t>Purchase of equity in Bergamo Plc</t>
  </si>
  <si>
    <t>Retirement of Bergamo Plc debt</t>
  </si>
  <si>
    <t>Shareholders' equity on balance sheet</t>
  </si>
  <si>
    <t>Using the forecast information given below, build the proforma income statement.</t>
  </si>
  <si>
    <t>Genoa</t>
  </si>
  <si>
    <t>Sales</t>
  </si>
  <si>
    <t>COGS</t>
  </si>
  <si>
    <t>Gross profit</t>
  </si>
  <si>
    <t>SG&amp;A</t>
  </si>
  <si>
    <t>Operating profit</t>
  </si>
  <si>
    <t>Interest income</t>
  </si>
  <si>
    <t>Interest expense</t>
  </si>
  <si>
    <t>Profit before tax</t>
  </si>
  <si>
    <t>Tax expense</t>
  </si>
  <si>
    <t>Net income</t>
  </si>
  <si>
    <t>Synergies</t>
  </si>
  <si>
    <t>Back up calculations</t>
  </si>
  <si>
    <t>Combo interest income</t>
  </si>
  <si>
    <t>Genoa standalone interest income</t>
  </si>
  <si>
    <t xml:space="preserve">Interest income lost due to deal </t>
  </si>
  <si>
    <t>Consolidated interest income</t>
  </si>
  <si>
    <t>Combo interest expense</t>
  </si>
  <si>
    <t>Genoa standalone interest expense</t>
  </si>
  <si>
    <t xml:space="preserve">Interest expense on deal debt </t>
  </si>
  <si>
    <t>Consolidated interest expense</t>
  </si>
  <si>
    <t>Combo tax expense</t>
  </si>
  <si>
    <t>Genoa standalone tax expense</t>
  </si>
  <si>
    <t>Tax impact of synergies</t>
  </si>
  <si>
    <t>Tax impact of lost interest income</t>
  </si>
  <si>
    <t>Tax impact of deal debt interest expense</t>
  </si>
  <si>
    <t>Consolidated tax expense</t>
  </si>
  <si>
    <t>Note:</t>
  </si>
  <si>
    <t xml:space="preserve">Consolidated profit before tax </t>
  </si>
  <si>
    <t>Tax rate</t>
  </si>
  <si>
    <t>Implied tax expense</t>
  </si>
  <si>
    <t>Tax expense per calculation</t>
  </si>
  <si>
    <t>It is assumed that these tax advantages will not be lost as a result of the deal.</t>
  </si>
  <si>
    <t>Genoa ETR</t>
  </si>
  <si>
    <t>MTR</t>
  </si>
  <si>
    <t>Elba</t>
  </si>
  <si>
    <t>Stromboli</t>
  </si>
  <si>
    <t>Elba standalone interest income</t>
  </si>
  <si>
    <t>Stromboli standalone interest income</t>
  </si>
  <si>
    <t>Elba standalone interest expense</t>
  </si>
  <si>
    <t>Stromboli standalone interest expense</t>
  </si>
  <si>
    <t>Elba standalone tax expense</t>
  </si>
  <si>
    <t>Stromboli standalone tax expense</t>
  </si>
  <si>
    <t>Elba ETR</t>
  </si>
  <si>
    <t>Stromboli ETR</t>
  </si>
  <si>
    <t>The difference is due to the different effective tax rates being experienced by Elba and Stromboli.</t>
  </si>
  <si>
    <t>In this instance, the difference is insignificant due to the similarity between ETR and MTR.</t>
  </si>
  <si>
    <t>Trento</t>
  </si>
  <si>
    <t>Trieste</t>
  </si>
  <si>
    <t>The closing date is expected to be June 30th and the year end is December 31st.</t>
  </si>
  <si>
    <t>Pre deal</t>
  </si>
  <si>
    <t>Year 1</t>
  </si>
  <si>
    <t>Year 2</t>
  </si>
  <si>
    <t>Year 3</t>
  </si>
  <si>
    <t>Year 4</t>
  </si>
  <si>
    <t>Year 5</t>
  </si>
  <si>
    <t>Year 6</t>
  </si>
  <si>
    <t>Revenue</t>
  </si>
  <si>
    <t>Explain the following pattern of revenue growth shown below.</t>
  </si>
  <si>
    <t>A step change in revenue growth is seen in year 3 which continues in year 4 but years 5 and 6 have normalized.</t>
  </si>
  <si>
    <t>This is most likely due to an acquisition during year 3.</t>
  </si>
  <si>
    <t>The rules of consolidation means half of the target revenue will be consolidated during the deal year leading to a step change in reported revenues.</t>
  </si>
  <si>
    <t>During year 4 all of the revenues of the target will be consolidated leading to another step change.</t>
  </si>
  <si>
    <t>To understand the underlying growth rate during year 4, recalculate revenues assuming the deal happened on day 1 of the period and recalculate the implied growth rate.</t>
  </si>
  <si>
    <t>Year 1 Actual</t>
  </si>
  <si>
    <t>Year 2 Forecast</t>
  </si>
  <si>
    <t>Year 3 Forecast</t>
  </si>
  <si>
    <t>EBIT</t>
  </si>
  <si>
    <t>Enterprise value</t>
  </si>
  <si>
    <t>EBIT multiple</t>
  </si>
  <si>
    <t>Revenue multiple</t>
  </si>
  <si>
    <t>Comment on the multiples shown below.</t>
  </si>
  <si>
    <t>This is evidenced by a large decline in the multiples between years 1 and 2 for both revenue and EBIT.</t>
  </si>
  <si>
    <t>This means that the driver of the issue has impacted both revenues and EBIT.</t>
  </si>
  <si>
    <t>The fact that the multiple has declined is caused by the driver of the multiple (revenues or EBIT) increasing dramatically.</t>
  </si>
  <si>
    <t>This business should be investigated for an acquisition during year 1 which closed near the end of the fiscal year.</t>
  </si>
  <si>
    <t>This means that the Year 1 numbers are not impacted significantly but the new subsidiary is fully included in the forecast revenues and EBIT.</t>
  </si>
  <si>
    <t>This should be solved by recalculating year 1 numbers as if the deal happened at the start of the year. This will provide comparable numbers year each of the 3 years.</t>
  </si>
  <si>
    <t>There is a step change in the revenues and EBIT multiple from year 1 to year 2.</t>
  </si>
  <si>
    <t>Revenue multiple change</t>
  </si>
  <si>
    <t>EBIT multiple change</t>
  </si>
  <si>
    <t>Rome Ltd</t>
  </si>
  <si>
    <t>Purchase of equity in Rome Ltd</t>
  </si>
  <si>
    <t>Etna Plc</t>
  </si>
  <si>
    <t>Vesuvius Plc</t>
  </si>
  <si>
    <t>Step down of Vesuvius goodwill</t>
  </si>
  <si>
    <t>Retirement of Vesuvius Plc debt</t>
  </si>
  <si>
    <t>Purchase of equity in Vesuvius Plc</t>
  </si>
  <si>
    <t>Calculate NCI using the fair value of net assets approach and the fair value of NCI approach.</t>
  </si>
  <si>
    <t>Goodwill calculation - Fair value of net assets method</t>
  </si>
  <si>
    <t>Goodwill calculation - Fair value of NCI method</t>
  </si>
  <si>
    <t>NCI - % of fair value of net assets</t>
  </si>
  <si>
    <t>Olbia</t>
  </si>
  <si>
    <t>Cagliari</t>
  </si>
  <si>
    <t>Allocated to noncontrolling interests</t>
  </si>
  <si>
    <t>Allocated to parent shareholders</t>
  </si>
  <si>
    <t>Olbia standalone interest income</t>
  </si>
  <si>
    <t>Cagliari standalone interest income</t>
  </si>
  <si>
    <t>Olbia standalone interest expense</t>
  </si>
  <si>
    <t>Cagliari standalone interest expense</t>
  </si>
  <si>
    <t>Olbia standalone tax expense</t>
  </si>
  <si>
    <t>Cagliari standalone tax expense</t>
  </si>
  <si>
    <t>NCI share of net income</t>
  </si>
  <si>
    <t>Cagliari standalone net income</t>
  </si>
  <si>
    <t>Expected reduction in Cagliari SG&amp;A costs</t>
  </si>
  <si>
    <t>Adjusted net income to Cagliari shareholders</t>
  </si>
  <si>
    <t>Allocated to noncontrolling shareholders</t>
  </si>
  <si>
    <t>Note: In the absence of information to the contrary, synergies are assumed to happen at target level and financing is assumed to happen at parent level.</t>
  </si>
  <si>
    <t xml:space="preserve">The information given does not specify that the debt is taken on by the target or the cash used is that of the target </t>
  </si>
  <si>
    <t>therefore the assumption is that net income of the target is unaffected when allocating the NCI share.</t>
  </si>
  <si>
    <t>Calabria</t>
  </si>
  <si>
    <t>Puglia</t>
  </si>
  <si>
    <t>Workout 22</t>
  </si>
  <si>
    <t>Net income attributable to NCI</t>
  </si>
  <si>
    <t>Dividends paid on noncontrolling interests in the CFS</t>
  </si>
  <si>
    <t>Beginning NCI</t>
  </si>
  <si>
    <t>Dividends paid to NCI</t>
  </si>
  <si>
    <t>Ending NCI</t>
  </si>
  <si>
    <t>Workout 23</t>
  </si>
  <si>
    <t>The following is shown in the reported financial statements below (the most recent information is in the left hand column):</t>
  </si>
  <si>
    <t>then calculate the noncontrolling equity in the balance sheet at the end of the year.</t>
  </si>
  <si>
    <t>NCI dividends paid</t>
  </si>
  <si>
    <t>BASE analysis is highly unlikely to work on the historic numbers because it is a simplification of the real world.</t>
  </si>
  <si>
    <t>It works very well when forecasting forward when the analyst must concentrate on the main drivers only.</t>
  </si>
  <si>
    <t>In the case given above the NCI base for the latest year is as follows:</t>
  </si>
  <si>
    <t>Currency translation differences</t>
  </si>
  <si>
    <t>NCI capital increase</t>
  </si>
  <si>
    <t>NCI bought out during the year</t>
  </si>
  <si>
    <t>NCI per balance sheet</t>
  </si>
  <si>
    <t>NCI transferred from liabilities</t>
  </si>
  <si>
    <t>Reasonable to forecast forward</t>
  </si>
  <si>
    <t>Impossible to forecast forward</t>
  </si>
  <si>
    <t>Impossible to forecast forward unless working on the transaction</t>
  </si>
  <si>
    <t>Produce a sources and uses of funds, a goodwill calculation and the consolidated balance sheet using the information below.</t>
  </si>
  <si>
    <t>Produce a sources and uses of funds, a goodwill calculation and the consolidated balance sheet using the information below. Use the fair value method for noncontrolling interests.</t>
  </si>
  <si>
    <t>Modena</t>
  </si>
  <si>
    <t>Modena standalone interest income</t>
  </si>
  <si>
    <t>Modena standalone interest expense</t>
  </si>
  <si>
    <t>Modena standalone tax expense</t>
  </si>
  <si>
    <t>Modena ETR</t>
  </si>
  <si>
    <t>The difference is due to the lower effective tax rates being experienced by Modena and Genoa.</t>
  </si>
  <si>
    <t>Below are the forecast income statements for the current year. Calculate the group income statement assuming no synergies for this year.</t>
  </si>
  <si>
    <t>Consolidation</t>
  </si>
  <si>
    <t>Sources and uses of funds</t>
  </si>
  <si>
    <t>NCI</t>
  </si>
  <si>
    <t>A Inc.</t>
  </si>
  <si>
    <t>B Inc.</t>
  </si>
  <si>
    <t>Rework the balance sheet of A Inc. to reflect this investment.</t>
  </si>
  <si>
    <t>A Inc. post deal</t>
  </si>
  <si>
    <t>Long term assets up by the inclusion of the investment in the equity of B Inc.</t>
  </si>
  <si>
    <t>A Inc. pre deal</t>
  </si>
  <si>
    <t>Milan Inc.</t>
  </si>
  <si>
    <t>Bologna Inc.</t>
  </si>
  <si>
    <t>Napoli Inc.</t>
  </si>
  <si>
    <t>Florence Inc.</t>
  </si>
  <si>
    <t>Operating current liabilities</t>
  </si>
  <si>
    <t>Operating long term liabilities</t>
  </si>
  <si>
    <t xml:space="preserve">The stable increase in growth rate during years 3 and 4, suggests the acquisition happened approximately half way through year 3. </t>
  </si>
  <si>
    <t>Year 1 is not a "like for like" comparison to years 2 and 3.</t>
  </si>
  <si>
    <t>Lugano has reported non-controlling interests in the latest financial reports, as follows:</t>
  </si>
  <si>
    <t>Non-controlling interests</t>
  </si>
  <si>
    <t>Non-controlling interest in shareholders' equity</t>
  </si>
  <si>
    <t>on August 31st. Acquirer Co reports to a December year end.</t>
  </si>
  <si>
    <t xml:space="preserve">The financing involved using 300.0MM of balance sheet cash, an </t>
  </si>
  <si>
    <t>issuance of debt of 1,500.0MM and an equity issuance of 2,400.0MM.</t>
  </si>
  <si>
    <t xml:space="preserve">Interest rates are 6.0% for deal debt and 1.5% for cash. SG&amp;A synergies </t>
  </si>
  <si>
    <t xml:space="preserve">are expected to be 10.0MM per annum. Deal goodwill is expected to be </t>
  </si>
  <si>
    <t>700.0MM. The tax rate is 25.0%.</t>
  </si>
  <si>
    <t xml:space="preserve">No adjustments have yet been made as a result of the deal. </t>
  </si>
  <si>
    <t>Complete the table to produce the consolidated income statement.</t>
  </si>
  <si>
    <t>Acquirer</t>
  </si>
  <si>
    <t>Target</t>
  </si>
  <si>
    <t>Stub</t>
  </si>
  <si>
    <t>Debt</t>
  </si>
  <si>
    <t>Workout 24</t>
  </si>
  <si>
    <t>Goodwill on acquirer stake</t>
  </si>
  <si>
    <t>Goodwill on NCI stake</t>
  </si>
  <si>
    <t>Fair value of NCI</t>
  </si>
  <si>
    <t>Equity</t>
  </si>
  <si>
    <t>Goodwill/NCI</t>
  </si>
  <si>
    <t>Shareholders' equity at FV (15%)</t>
  </si>
  <si>
    <t>A Inc. buys all of the equity of B Inc. from the shareholders of B Inc. for 35.0 in an all cash deal.</t>
  </si>
  <si>
    <t xml:space="preserve">Milan Inc. bought 100.0% of the equity capital of Pisa Plc for 240.0MM. </t>
  </si>
  <si>
    <t>The transaction was funded by 5.0MM of balance sheet cash, an equity issuance with a value of 90.0MM and the remainder with debt.</t>
  </si>
  <si>
    <t xml:space="preserve">Bologna Inc. bought 100.0% of the equity capital of Ascoli Plc for 85.0MM. </t>
  </si>
  <si>
    <t>The transaction was funded by 1.5MM of balance sheet cash, an equity issuance with a value of 50.0MM and the remainder with debt.</t>
  </si>
  <si>
    <t xml:space="preserve">Napoli Inc. bought 100.0% of the equity capital of Palermo Ltd for 305.0MM. Napoli Inc. also intends to refinance the debt of Palermo Ltd as part of the deal. </t>
  </si>
  <si>
    <t>The transaction was funded by 5.0MM of balance sheet cash, an equity issuance with a value of 75.0MM and the remainder with new debt.</t>
  </si>
  <si>
    <t>As part of the negotiations by Tortola for the purchase of 100.0% of the equity of Tobago, the following was agreed.</t>
  </si>
  <si>
    <t xml:space="preserve">Treviso Plc bought 100.0% of the equity capital of Rimini Ltd for 200.0MM. Treviso Plc also intends to refinance the debt of Rimini Ltd as part of the deal. </t>
  </si>
  <si>
    <t>The transaction was funded by 2.0MM of balance sheet cash, an equity issuance with a value of 60.0MM and the remainder with new debt.</t>
  </si>
  <si>
    <t>The PP&amp;E of Rimini was valued at 20.0MM above book amount and it was agreed that brands, unrecognized on the balance sheet, had a fair value of 15.0MM.</t>
  </si>
  <si>
    <t xml:space="preserve">Parma Plc bought 100.0% of the equity capital of Bergamo Plc for 1,950.0MM. Parma Plc also intends to pay down the debt of Bergamo Plc as part of the deal. </t>
  </si>
  <si>
    <t>The transaction was funded by 10.0MM of balance sheet cash, a debt issuance of 250.0MM and the remainder with new equity.</t>
  </si>
  <si>
    <t>The PP&amp;E of Bergamo was valued at 1,650.0MM and it was agreed that intangibles were worth 450.0MM.</t>
  </si>
  <si>
    <t>Modena is planning to offer to buy 100.0% of Genoa and wants to understand what the proforma income statement might look like for the following 12 months.</t>
  </si>
  <si>
    <t>Current assumptions involve using 200.0MM of balance sheet cash, an issuance of debt of 1,500.0MM and an equity issuance of 1,000.0MM.</t>
  </si>
  <si>
    <t xml:space="preserve">Forecast interest rates are 5.5% for deal debt and 1.0% for cash. SG&amp;A synergies are expected to be 20.0MM per annum. </t>
  </si>
  <si>
    <t>Deal goodwill is expected to be 960.0MM. The tax rate is 25.0%.</t>
  </si>
  <si>
    <t>Elba is planning to offer to buy 100.0% of Stromboli and wants to understand what the proforma income statement might look like for the following 12 months.</t>
  </si>
  <si>
    <t>Current assumptions involve using 950.0MM of balance sheet cash, an issuance of debt of 2,900.0MM and an equity issuance of 3,000.0MM.</t>
  </si>
  <si>
    <t xml:space="preserve">Forecast interest rates are 7.5% for deal debt and 1.25% for cash. </t>
  </si>
  <si>
    <t>SG&amp;A synergies are expected to be 47.0MM per annum. Deal goodwill is expected to be 1,240.0MM. The tax rate is 30.0%.</t>
  </si>
  <si>
    <t>Trento is in the process of buying 100.0% of Trieste, entirely funded by equity.</t>
  </si>
  <si>
    <t xml:space="preserve">Acquirer Co bought 100.0% of Target Co and closed the deal </t>
  </si>
  <si>
    <t xml:space="preserve">Florence Inc. bought 80.0% of the equity capital of Rome Ltd for 3,355.0MM. </t>
  </si>
  <si>
    <t>The transaction was funded by 55.0MM of balance sheet cash, an equity issuance with a value of 825.0MM and the remainder with new debt.</t>
  </si>
  <si>
    <t>Shareholders' equity on balance sheet (100.0%)</t>
  </si>
  <si>
    <t>Shareholders' equity purchased (80.0%)</t>
  </si>
  <si>
    <t>NCI - % of net assets (20.0%)</t>
  </si>
  <si>
    <t>Florence Inc. bought 80.0% of the equity capital of Rome Ltd for 3,355.0MM. The fair value of the remaining 20.0% stake is considered to be 675.0MM.</t>
  </si>
  <si>
    <t>Shareholders' equity (or net assets) on balance sheet (100.0%)</t>
  </si>
  <si>
    <t>Shareholders' equity (or net assets) on balance sheet (80.0%)</t>
  </si>
  <si>
    <t>Shareholders' equity (or net assets) on balance sheet (20.0%)</t>
  </si>
  <si>
    <t xml:space="preserve">Etna Plc bought 85.0% of the equity capital of Vesuvius Plc for 27,300.0. Etna Plc also intends to refinance the debt of Vesuvius Plc as part of the deal. </t>
  </si>
  <si>
    <t>The transaction was funded by 140.0 of balance sheet cash, a debt issuance with a value of 33,500.0 of debt and the remainder with new equity.</t>
  </si>
  <si>
    <t>The PP&amp;E of Vesuvius was valued at 18,500.0 and it was agreed that intangibles were worth 3,550.0. The fair value of NCI is 4,100.0.</t>
  </si>
  <si>
    <t>Shareholders' equity at fair value (100.0%)</t>
  </si>
  <si>
    <t>Shareholders' equity at fair value purchased (85.0%)</t>
  </si>
  <si>
    <t>Shareholders' equity on BS (100.0%)</t>
  </si>
  <si>
    <t>Calabria is planning to offer to buy 90.0% of Puglia and wants to understand what the proforma income statement might look like for the following 12 months.</t>
  </si>
  <si>
    <t xml:space="preserve">The deal is an equity for equity swap and deal goodwill is expected to be 500.0. The tax rate is 30.0%. </t>
  </si>
  <si>
    <t>Olbia is planning to offer to buy 75.0% of Cagliari and wants to understand what the proforma income statement might look like for the following 12 months.</t>
  </si>
  <si>
    <t>Current assumptions involve using 1,180.0MM of balance sheet cash, an issuance of debt of 3,500.0MM and an equity issuance of 3,750.0MM.</t>
  </si>
  <si>
    <t xml:space="preserve">Forecast interest rates are 6.5% for deal debt and 1.25% for cash. Synergies of 56.0MM per annum are expected to be realized by cutting Cagliari SG&amp;A costs. </t>
  </si>
  <si>
    <t>Deal goodwill is expected to be 1,500.0MM. The tax rate is 30.0%. Using the forecast information given below, build the proforma income statement.</t>
  </si>
  <si>
    <t>If the NCI share of net income grows by 5.0% and the payout ratio is 20.0% then what will be reported, in the next balance sheet, for NCI?</t>
  </si>
  <si>
    <t xml:space="preserve">If the net income attributable to non-controlling shareholders grows by 6.0% and the dividend paid is 90.0% of net income, </t>
  </si>
  <si>
    <t>Calculate goodwill assuming the equity purchase price is 2,500.0MM and all balance sheet items are at fair value, except for equity which is currently at book value.</t>
  </si>
  <si>
    <t>Puglia standalone 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</si>
</sst>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409]d\-mmm\-yy;@"/>
    <numFmt numFmtId="169" formatCode="0.0"/>
    <numFmt numFmtId="170" formatCode="#,##0.0_);\(#,##0.0\)\,0.0_);@_)"/>
    <numFmt numFmtId="171" formatCode="#,##0.0\ \x_);\(#,##0.0\ \x\);"/>
    <numFmt numFmtId="172" formatCode="0.0%_);\(0.0%\)"/>
    <numFmt numFmtId="173" formatCode=";;;"/>
    <numFmt numFmtId="174" formatCode="#,##0.0_);\(#,##0.0\);0.0_);@_)"/>
    <numFmt numFmtId="175" formatCode="#,##0.00_);\(#,##0.00\);0.00_);@_)"/>
    <numFmt numFmtId="176" formatCode="0.0%"/>
  </numFmts>
  <fonts count="34" x14ac:knownFonts="1">
    <font>
      <sz val="11"/>
      <color theme="1" tint="0.2499465926084170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1"/>
      <color rgb="FF085393"/>
      <name val="Calibri"/>
      <family val="2"/>
      <scheme val="minor"/>
    </font>
    <font>
      <b/>
      <sz val="12"/>
      <color rgb="FF163260"/>
      <name val="Calibri"/>
      <family val="2"/>
      <scheme val="minor"/>
    </font>
    <font>
      <sz val="10"/>
      <color rgb="FF085393"/>
      <name val="Calibri"/>
      <family val="2"/>
      <scheme val="minor"/>
    </font>
    <font>
      <u/>
      <sz val="11"/>
      <color rgb="FF085393"/>
      <name val="Calibri"/>
      <family val="2"/>
      <scheme val="minor"/>
    </font>
    <font>
      <u/>
      <sz val="14"/>
      <color rgb="FF085393"/>
      <name val="Calibri"/>
      <family val="2"/>
      <scheme val="minor"/>
    </font>
    <font>
      <sz val="16"/>
      <color theme="0"/>
      <name val="Calibri Light"/>
      <family val="2"/>
      <scheme val="maj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8"/>
      <color rgb="FF006100"/>
      <name val="Calibri"/>
      <family val="2"/>
      <scheme val="minor"/>
    </font>
    <font>
      <sz val="18"/>
      <color rgb="FF9C0006"/>
      <name val="Calibri"/>
      <family val="2"/>
      <scheme val="minor"/>
    </font>
    <font>
      <sz val="18"/>
      <color rgb="FF9C6500"/>
      <name val="Calibri"/>
      <family val="2"/>
      <scheme val="minor"/>
    </font>
    <font>
      <sz val="18"/>
      <color rgb="FF3F3F76"/>
      <name val="Calibri"/>
      <family val="2"/>
      <scheme val="minor"/>
    </font>
    <font>
      <b/>
      <sz val="18"/>
      <color rgb="FF3F3F3F"/>
      <name val="Calibri"/>
      <family val="2"/>
      <scheme val="minor"/>
    </font>
    <font>
      <b/>
      <sz val="18"/>
      <color rgb="FFFA7D00"/>
      <name val="Calibri"/>
      <family val="2"/>
      <scheme val="minor"/>
    </font>
    <font>
      <sz val="18"/>
      <color rgb="FFFA7D0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i/>
      <sz val="18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9"/>
      <color rgb="FF085393"/>
      <name val="Calibri"/>
      <family val="2"/>
      <scheme val="minor"/>
    </font>
    <font>
      <sz val="22"/>
      <color theme="0"/>
      <name val="Calibri Light"/>
      <family val="2"/>
      <scheme val="major"/>
    </font>
    <font>
      <b/>
      <sz val="11"/>
      <color theme="1" tint="0.2499465926084170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163260"/>
        <bgColor indexed="64"/>
      </patternFill>
    </fill>
    <fill>
      <patternFill patternType="solid">
        <fgColor rgb="FF0853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E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theme="0" tint="-0.1499984740745262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BDEFB"/>
      </left>
      <right style="thin">
        <color rgb="FFBBDEFB"/>
      </right>
      <top style="thin">
        <color rgb="FFBBDEFB"/>
      </top>
      <bottom style="thin">
        <color rgb="FFBBDEFB"/>
      </bottom>
      <diagonal/>
    </border>
    <border>
      <left/>
      <right/>
      <top/>
      <bottom style="medium">
        <color theme="0" tint="-0.14996795556505021"/>
      </bottom>
      <diagonal/>
    </border>
  </borders>
  <cellStyleXfs count="64">
    <xf numFmtId="174" fontId="0" fillId="0" borderId="0"/>
    <xf numFmtId="0" fontId="6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5" applyNumberFormat="0" applyAlignment="0" applyProtection="0"/>
    <xf numFmtId="0" fontId="18" fillId="10" borderId="6" applyNumberFormat="0" applyAlignment="0" applyProtection="0"/>
    <xf numFmtId="0" fontId="19" fillId="10" borderId="5" applyNumberFormat="0" applyAlignment="0" applyProtection="0"/>
    <xf numFmtId="0" fontId="20" fillId="0" borderId="7" applyNumberFormat="0" applyFill="0" applyAlignment="0" applyProtection="0"/>
    <xf numFmtId="0" fontId="21" fillId="11" borderId="8" applyNumberFormat="0" applyAlignment="0" applyProtection="0"/>
    <xf numFmtId="0" fontId="22" fillId="0" borderId="0" applyNumberFormat="0" applyFill="0" applyBorder="0" applyAlignment="0" applyProtection="0"/>
    <xf numFmtId="0" fontId="9" fillId="12" borderId="9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5" fillId="36" borderId="0" applyNumberFormat="0" applyBorder="0" applyAlignment="0" applyProtection="0"/>
    <xf numFmtId="0" fontId="32" fillId="2" borderId="0" applyNumberFormat="0">
      <alignment horizontal="left"/>
    </xf>
    <xf numFmtId="0" fontId="8" fillId="3" borderId="0" applyNumberFormat="0" applyAlignment="0">
      <alignment horizontal="left"/>
    </xf>
    <xf numFmtId="0" fontId="4" fillId="0" borderId="0" applyNumberFormat="0" applyFill="0" applyBorder="0">
      <alignment horizontal="left" vertical="center"/>
    </xf>
    <xf numFmtId="0" fontId="2" fillId="5" borderId="0" applyNumberFormat="0" applyFont="0" applyAlignment="0" applyProtection="0">
      <alignment vertical="top"/>
    </xf>
    <xf numFmtId="168" fontId="28" fillId="3" borderId="0">
      <alignment horizontal="center"/>
    </xf>
    <xf numFmtId="170" fontId="27" fillId="2" borderId="0">
      <alignment horizontal="center"/>
    </xf>
    <xf numFmtId="168" fontId="2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29" fillId="2" borderId="0" applyFont="0" applyFill="0" applyBorder="0" applyAlignment="0" applyProtection="0"/>
    <xf numFmtId="170" fontId="30" fillId="2" borderId="0" applyNumberFormat="0" applyFill="0" applyBorder="0" applyAlignment="0" applyProtection="0"/>
    <xf numFmtId="170" fontId="31" fillId="0" borderId="0" applyNumberFormat="0" applyFill="0" applyBorder="0" applyAlignment="0">
      <alignment vertical="top"/>
    </xf>
    <xf numFmtId="173" fontId="29" fillId="2" borderId="0" applyFont="0" applyFill="0" applyBorder="0" applyAlignment="0" applyProtection="0"/>
    <xf numFmtId="171" fontId="30" fillId="37" borderId="11" applyNumberFormat="0">
      <protection locked="0"/>
    </xf>
    <xf numFmtId="0" fontId="2" fillId="5" borderId="12" applyFont="0" applyAlignment="0" applyProtection="0">
      <alignment vertical="top"/>
    </xf>
    <xf numFmtId="170" fontId="32" fillId="3" borderId="0" applyNumberFormat="0" applyBorder="0">
      <alignment horizontal="center" vertical="top"/>
    </xf>
    <xf numFmtId="170" fontId="3" fillId="38" borderId="0" applyNumberFormat="0" applyFont="0" applyBorder="0" applyAlignment="0" applyProtection="0">
      <alignment vertical="top"/>
    </xf>
  </cellStyleXfs>
  <cellXfs count="86">
    <xf numFmtId="174" fontId="0" fillId="0" borderId="0" xfId="0"/>
    <xf numFmtId="174" fontId="2" fillId="5" borderId="0" xfId="0" applyFont="1" applyFill="1"/>
    <xf numFmtId="174" fontId="2" fillId="4" borderId="0" xfId="0" applyFont="1" applyFill="1"/>
    <xf numFmtId="174" fontId="2" fillId="5" borderId="0" xfId="0" applyFont="1" applyFill="1" applyAlignment="1">
      <alignment vertical="top" wrapText="1"/>
    </xf>
    <xf numFmtId="174" fontId="2" fillId="5" borderId="1" xfId="0" applyFont="1" applyFill="1" applyBorder="1" applyAlignment="1">
      <alignment vertical="top"/>
    </xf>
    <xf numFmtId="170" fontId="32" fillId="2" borderId="0" xfId="48" applyNumberFormat="1">
      <alignment horizontal="left"/>
    </xf>
    <xf numFmtId="174" fontId="25" fillId="2" borderId="0" xfId="0" applyFont="1" applyFill="1"/>
    <xf numFmtId="174" fontId="26" fillId="3" borderId="0" xfId="0" applyFont="1" applyFill="1"/>
    <xf numFmtId="174" fontId="3" fillId="5" borderId="0" xfId="0" applyFont="1" applyFill="1" applyAlignment="1">
      <alignment horizontal="center" vertical="top"/>
    </xf>
    <xf numFmtId="174" fontId="3" fillId="5" borderId="0" xfId="0" applyFont="1" applyFill="1" applyAlignment="1">
      <alignment vertical="top"/>
    </xf>
    <xf numFmtId="174" fontId="25" fillId="2" borderId="0" xfId="0" applyFont="1" applyFill="1" applyAlignment="1">
      <alignment vertical="center"/>
    </xf>
    <xf numFmtId="168" fontId="28" fillId="3" borderId="0" xfId="52">
      <alignment horizontal="center"/>
    </xf>
    <xf numFmtId="170" fontId="27" fillId="2" borderId="0" xfId="53">
      <alignment horizontal="center"/>
    </xf>
    <xf numFmtId="170" fontId="32" fillId="2" borderId="0" xfId="48" applyNumberFormat="1" applyAlignment="1"/>
    <xf numFmtId="170" fontId="8" fillId="3" borderId="0" xfId="49" applyNumberFormat="1" applyAlignment="1"/>
    <xf numFmtId="170" fontId="4" fillId="0" borderId="0" xfId="50" applyNumberFormat="1">
      <alignment horizontal="left" vertical="center"/>
    </xf>
    <xf numFmtId="174" fontId="0" fillId="0" borderId="0" xfId="0"/>
    <xf numFmtId="174" fontId="2" fillId="5" borderId="0" xfId="0" applyFont="1" applyFill="1" applyAlignment="1">
      <alignment horizontal="left" vertical="top"/>
    </xf>
    <xf numFmtId="174" fontId="2" fillId="5" borderId="0" xfId="0" applyFont="1" applyFill="1" applyAlignment="1">
      <alignment vertical="top"/>
    </xf>
    <xf numFmtId="174" fontId="2" fillId="0" borderId="0" xfId="0" applyFont="1" applyAlignment="1">
      <alignment vertical="top" wrapText="1"/>
    </xf>
    <xf numFmtId="174" fontId="3" fillId="0" borderId="0" xfId="0" applyFont="1" applyAlignment="1">
      <alignment vertical="top"/>
    </xf>
    <xf numFmtId="174" fontId="2" fillId="0" borderId="0" xfId="0" applyFont="1" applyAlignment="1">
      <alignment horizontal="left" wrapText="1"/>
    </xf>
    <xf numFmtId="174" fontId="2" fillId="0" borderId="0" xfId="0" applyFont="1" applyAlignment="1">
      <alignment vertical="top"/>
    </xf>
    <xf numFmtId="174" fontId="2" fillId="0" borderId="0" xfId="0" applyFont="1"/>
    <xf numFmtId="174" fontId="4" fillId="0" borderId="0" xfId="0" applyFont="1" applyAlignment="1">
      <alignment vertical="center"/>
    </xf>
    <xf numFmtId="174" fontId="5" fillId="0" borderId="0" xfId="0" applyFont="1" applyAlignment="1">
      <alignment vertical="center" wrapText="1"/>
    </xf>
    <xf numFmtId="174" fontId="2" fillId="0" borderId="0" xfId="0" applyFont="1" applyAlignment="1">
      <alignment horizontal="left" vertical="top"/>
    </xf>
    <xf numFmtId="174" fontId="3" fillId="0" borderId="0" xfId="0" applyFont="1" applyAlignment="1">
      <alignment horizontal="center" vertical="top"/>
    </xf>
    <xf numFmtId="174" fontId="7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left"/>
    </xf>
    <xf numFmtId="174" fontId="2" fillId="0" borderId="0" xfId="0" applyFont="1" applyAlignment="1">
      <alignment horizontal="left"/>
    </xf>
    <xf numFmtId="169" fontId="2" fillId="0" borderId="0" xfId="0" applyNumberFormat="1" applyFont="1" applyAlignment="1">
      <alignment horizontal="left"/>
    </xf>
    <xf numFmtId="174" fontId="3" fillId="0" borderId="0" xfId="0" applyFont="1" applyAlignment="1">
      <alignment horizontal="left" vertical="top"/>
    </xf>
    <xf numFmtId="174" fontId="3" fillId="0" borderId="0" xfId="0" applyFont="1"/>
    <xf numFmtId="174" fontId="25" fillId="0" borderId="0" xfId="0" applyFont="1"/>
    <xf numFmtId="174" fontId="26" fillId="0" borderId="0" xfId="0" applyFont="1"/>
    <xf numFmtId="170" fontId="30" fillId="0" borderId="0" xfId="57" applyFill="1" applyBorder="1" applyAlignment="1">
      <alignment vertical="top"/>
    </xf>
    <xf numFmtId="170" fontId="2" fillId="5" borderId="0" xfId="51" applyNumberFormat="1" applyFont="1" applyAlignment="1">
      <alignment horizontal="left" vertical="top"/>
    </xf>
    <xf numFmtId="170" fontId="3" fillId="5" borderId="0" xfId="51" applyNumberFormat="1" applyFont="1" applyAlignment="1">
      <alignment horizontal="center" vertical="top"/>
    </xf>
    <xf numFmtId="170" fontId="2" fillId="5" borderId="0" xfId="51" applyNumberFormat="1" applyFont="1" applyAlignment="1"/>
    <xf numFmtId="170" fontId="5" fillId="5" borderId="0" xfId="51" applyNumberFormat="1" applyFont="1" applyAlignment="1">
      <alignment vertical="center" wrapText="1"/>
    </xf>
    <xf numFmtId="170" fontId="2" fillId="5" borderId="0" xfId="51" applyNumberFormat="1" applyFont="1" applyAlignment="1">
      <alignment vertical="top"/>
    </xf>
    <xf numFmtId="0" fontId="2" fillId="5" borderId="12" xfId="61" applyFont="1" applyAlignment="1">
      <alignment vertical="top"/>
    </xf>
    <xf numFmtId="0" fontId="3" fillId="5" borderId="12" xfId="61" applyFont="1" applyAlignment="1">
      <alignment horizontal="center" vertical="top"/>
    </xf>
    <xf numFmtId="0" fontId="2" fillId="5" borderId="12" xfId="61" applyFont="1" applyAlignment="1"/>
    <xf numFmtId="0" fontId="5" fillId="5" borderId="12" xfId="61" applyFont="1" applyAlignment="1">
      <alignment vertical="center" wrapText="1"/>
    </xf>
    <xf numFmtId="174" fontId="25" fillId="0" borderId="0" xfId="0" applyFont="1" applyAlignment="1">
      <alignment vertical="center"/>
    </xf>
    <xf numFmtId="170" fontId="7" fillId="5" borderId="0" xfId="51" applyNumberFormat="1" applyFont="1" applyAlignment="1">
      <alignment vertical="center" wrapText="1"/>
    </xf>
    <xf numFmtId="0" fontId="3" fillId="5" borderId="12" xfId="61" applyFont="1" applyAlignment="1"/>
    <xf numFmtId="0" fontId="2" fillId="5" borderId="12" xfId="61" applyFont="1" applyAlignment="1">
      <alignment horizontal="left"/>
    </xf>
    <xf numFmtId="0" fontId="7" fillId="5" borderId="12" xfId="61" applyFont="1" applyAlignment="1">
      <alignment horizontal="center" vertical="center" wrapText="1"/>
    </xf>
    <xf numFmtId="0" fontId="7" fillId="5" borderId="12" xfId="61" applyFont="1" applyAlignment="1">
      <alignment vertical="center" wrapText="1"/>
    </xf>
    <xf numFmtId="170" fontId="30" fillId="37" borderId="11" xfId="60" applyNumberFormat="1">
      <protection locked="0"/>
    </xf>
    <xf numFmtId="170" fontId="2" fillId="0" borderId="0" xfId="51" applyNumberFormat="1" applyFont="1" applyFill="1" applyAlignment="1"/>
    <xf numFmtId="0" fontId="2" fillId="0" borderId="0" xfId="61" applyFont="1" applyFill="1" applyBorder="1" applyAlignment="1"/>
    <xf numFmtId="174" fontId="0" fillId="5" borderId="0" xfId="51" applyNumberFormat="1" applyFont="1" applyAlignment="1"/>
    <xf numFmtId="174" fontId="2" fillId="5" borderId="0" xfId="51" applyNumberFormat="1" applyFont="1" applyAlignment="1">
      <alignment vertical="top"/>
    </xf>
    <xf numFmtId="0" fontId="0" fillId="5" borderId="12" xfId="61" applyFont="1" applyAlignment="1"/>
    <xf numFmtId="174" fontId="4" fillId="5" borderId="0" xfId="51" applyNumberFormat="1" applyFont="1" applyAlignment="1">
      <alignment vertical="center"/>
    </xf>
    <xf numFmtId="0" fontId="3" fillId="5" borderId="12" xfId="61" applyFont="1" applyAlignment="1">
      <alignment horizontal="left" vertical="top"/>
    </xf>
    <xf numFmtId="174" fontId="4" fillId="0" borderId="0" xfId="50" applyNumberFormat="1" applyFill="1">
      <alignment horizontal="left" vertical="center"/>
    </xf>
    <xf numFmtId="174" fontId="30" fillId="0" borderId="0" xfId="57" applyNumberFormat="1" applyFill="1"/>
    <xf numFmtId="175" fontId="0" fillId="0" borderId="0" xfId="0" applyNumberFormat="1"/>
    <xf numFmtId="172" fontId="30" fillId="0" borderId="0" xfId="56" applyFont="1" applyFill="1"/>
    <xf numFmtId="171" fontId="0" fillId="0" borderId="0" xfId="55" applyFont="1"/>
    <xf numFmtId="9" fontId="0" fillId="0" borderId="0" xfId="0" applyNumberFormat="1"/>
    <xf numFmtId="176" fontId="0" fillId="0" borderId="0" xfId="0" applyNumberFormat="1"/>
    <xf numFmtId="172" fontId="0" fillId="0" borderId="0" xfId="56" applyFont="1" applyFill="1"/>
    <xf numFmtId="174" fontId="33" fillId="0" borderId="0" xfId="0" applyFont="1"/>
    <xf numFmtId="172" fontId="30" fillId="0" borderId="0" xfId="57" applyNumberFormat="1" applyFill="1"/>
    <xf numFmtId="174" fontId="0" fillId="0" borderId="0" xfId="57" applyNumberFormat="1" applyFont="1" applyFill="1" applyBorder="1" applyAlignment="1" applyProtection="1"/>
    <xf numFmtId="174" fontId="0" fillId="0" borderId="0" xfId="56" applyNumberFormat="1" applyFont="1" applyFill="1" applyBorder="1" applyAlignment="1" applyProtection="1"/>
    <xf numFmtId="174" fontId="0" fillId="0" borderId="0" xfId="55" applyNumberFormat="1" applyFont="1" applyFill="1" applyBorder="1" applyAlignment="1" applyProtection="1"/>
    <xf numFmtId="174" fontId="30" fillId="0" borderId="0" xfId="57" applyNumberFormat="1" applyFill="1" applyBorder="1" applyAlignment="1" applyProtection="1"/>
    <xf numFmtId="170" fontId="32" fillId="2" borderId="0" xfId="48" applyNumberFormat="1" applyAlignment="1">
      <alignment horizontal="center"/>
    </xf>
    <xf numFmtId="174" fontId="5" fillId="0" borderId="0" xfId="0" applyFont="1" applyAlignment="1">
      <alignment horizontal="center" vertical="center" wrapText="1"/>
    </xf>
    <xf numFmtId="170" fontId="2" fillId="5" borderId="0" xfId="51" applyNumberFormat="1" applyFont="1" applyAlignment="1">
      <alignment horizontal="left" vertical="top"/>
    </xf>
    <xf numFmtId="170" fontId="32" fillId="3" borderId="0" xfId="49" applyNumberFormat="1" applyFont="1" applyAlignment="1">
      <alignment horizontal="center" vertical="center"/>
    </xf>
    <xf numFmtId="170" fontId="31" fillId="5" borderId="0" xfId="58" applyNumberFormat="1" applyFill="1" applyBorder="1" applyAlignment="1">
      <alignment horizontal="center" vertical="center" wrapText="1"/>
    </xf>
    <xf numFmtId="174" fontId="7" fillId="0" borderId="0" xfId="0" applyFont="1" applyAlignment="1">
      <alignment horizontal="center" vertical="center" wrapText="1"/>
    </xf>
    <xf numFmtId="174" fontId="0" fillId="5" borderId="0" xfId="51" applyNumberFormat="1" applyFont="1" applyAlignment="1">
      <alignment horizontal="left"/>
    </xf>
    <xf numFmtId="174" fontId="4" fillId="5" borderId="0" xfId="0" applyFont="1" applyFill="1" applyAlignment="1">
      <alignment horizontal="left" vertical="center"/>
    </xf>
    <xf numFmtId="174" fontId="4" fillId="5" borderId="0" xfId="50" applyNumberFormat="1" applyFill="1">
      <alignment horizontal="left" vertical="center"/>
    </xf>
    <xf numFmtId="170" fontId="2" fillId="5" borderId="0" xfId="51" applyNumberFormat="1" applyFont="1" applyAlignment="1">
      <alignment horizontal="left"/>
    </xf>
    <xf numFmtId="168" fontId="2" fillId="5" borderId="0" xfId="51" applyNumberFormat="1" applyFont="1" applyAlignment="1">
      <alignment horizontal="left"/>
    </xf>
    <xf numFmtId="169" fontId="2" fillId="5" borderId="0" xfId="51" applyNumberFormat="1" applyFont="1" applyAlignment="1">
      <alignment horizontal="left"/>
    </xf>
  </cellXfs>
  <cellStyles count="64">
    <cellStyle name="20% - Accent1" xfId="25" builtinId="30" hidden="1"/>
    <cellStyle name="20% - Accent2" xfId="29" builtinId="34" hidden="1"/>
    <cellStyle name="20% - Accent3" xfId="33" builtinId="38" hidden="1"/>
    <cellStyle name="20% - Accent4" xfId="37" builtinId="42" hidden="1"/>
    <cellStyle name="20% - Accent5" xfId="41" builtinId="46" hidden="1"/>
    <cellStyle name="20% - Accent6" xfId="45" builtinId="50" hidden="1"/>
    <cellStyle name="40% - Accent1" xfId="26" builtinId="31" hidden="1"/>
    <cellStyle name="40% - Accent2" xfId="30" builtinId="35" hidden="1"/>
    <cellStyle name="40% - Accent3" xfId="34" builtinId="39" hidden="1"/>
    <cellStyle name="40% - Accent4" xfId="38" builtinId="43" hidden="1"/>
    <cellStyle name="40% - Accent5" xfId="42" builtinId="47" hidden="1"/>
    <cellStyle name="40% - Accent6" xfId="46" builtinId="51" hidden="1"/>
    <cellStyle name="60% - Accent1" xfId="27" builtinId="32" hidden="1"/>
    <cellStyle name="60% - Accent2" xfId="31" builtinId="36" hidden="1"/>
    <cellStyle name="60% - Accent3" xfId="35" builtinId="40" hidden="1"/>
    <cellStyle name="60% - Accent4" xfId="39" builtinId="44" hidden="1"/>
    <cellStyle name="60% - Accent5" xfId="43" builtinId="48" hidden="1"/>
    <cellStyle name="60% - Accent6" xfId="47" builtinId="52" hidden="1"/>
    <cellStyle name="Accent1" xfId="24" builtinId="29" hidden="1"/>
    <cellStyle name="Accent2" xfId="28" builtinId="33" hidden="1"/>
    <cellStyle name="Accent3" xfId="32" builtinId="37" hidden="1"/>
    <cellStyle name="Accent4" xfId="36" builtinId="41" hidden="1"/>
    <cellStyle name="Accent5" xfId="40" builtinId="45" hidden="1"/>
    <cellStyle name="Accent6" xfId="44" builtinId="49" hidden="1"/>
    <cellStyle name="Background Fill" xfId="51" xr:uid="{00000000-0005-0000-0000-000018000000}"/>
    <cellStyle name="Bad" xfId="13" builtinId="27" hidden="1"/>
    <cellStyle name="BG Border" xfId="61" xr:uid="{00000000-0005-0000-0000-00001A000000}"/>
    <cellStyle name="Blank" xfId="59" xr:uid="{00000000-0005-0000-0000-00001B000000}"/>
    <cellStyle name="Calculation" xfId="17" builtinId="22" hidden="1"/>
    <cellStyle name="Check Cell" xfId="19" builtinId="23" hidden="1"/>
    <cellStyle name="Comma" xfId="2" builtinId="3" hidden="1"/>
    <cellStyle name="Comma [0]" xfId="3" builtinId="6" hidden="1"/>
    <cellStyle name="Cover Title" xfId="62" xr:uid="{00000000-0005-0000-0000-000020000000}"/>
    <cellStyle name="Currency" xfId="4" builtinId="4" hidden="1"/>
    <cellStyle name="Currency [0]" xfId="5" builtinId="7" hidden="1"/>
    <cellStyle name="Date" xfId="54" xr:uid="{00000000-0005-0000-0000-000023000000}"/>
    <cellStyle name="Date Heading" xfId="52" xr:uid="{00000000-0005-0000-0000-000024000000}"/>
    <cellStyle name="Explanatory Text" xfId="22" builtinId="53" hidden="1"/>
    <cellStyle name="Good" xfId="12" builtinId="26" hidden="1"/>
    <cellStyle name="Hard Coded Number" xfId="57" xr:uid="{00000000-0005-0000-0000-000027000000}"/>
    <cellStyle name="Heading 1" xfId="8" builtinId="16" hidden="1"/>
    <cellStyle name="Heading 2" xfId="9" builtinId="17" hidden="1"/>
    <cellStyle name="Heading 3" xfId="10" builtinId="18" hidden="1"/>
    <cellStyle name="Heading 4" xfId="11" builtinId="19" hidden="1"/>
    <cellStyle name="Highlight" xfId="63" xr:uid="{00000000-0005-0000-0000-00002C000000}"/>
    <cellStyle name="Hist Proj Title" xfId="53" xr:uid="{00000000-0005-0000-0000-00002D000000}"/>
    <cellStyle name="Hyperlink" xfId="1" builtinId="8" hidden="1" customBuiltin="1"/>
    <cellStyle name="Input" xfId="15" builtinId="20" hidden="1"/>
    <cellStyle name="Input" xfId="60" builtinId="20" customBuiltin="1"/>
    <cellStyle name="Linked Cell" xfId="18" builtinId="24" hidden="1"/>
    <cellStyle name="Multiple" xfId="55" xr:uid="{00000000-0005-0000-0000-000032000000}"/>
    <cellStyle name="Neutral" xfId="14" builtinId="28" hidden="1"/>
    <cellStyle name="Normal" xfId="0" builtinId="0" customBuiltin="1"/>
    <cellStyle name="Note" xfId="21" builtinId="10" hidden="1"/>
    <cellStyle name="Notes and Comments" xfId="58" xr:uid="{00000000-0005-0000-0000-000036000000}"/>
    <cellStyle name="Output" xfId="16" builtinId="21" hidden="1"/>
    <cellStyle name="Per cent" xfId="6" builtinId="5" hidden="1"/>
    <cellStyle name="Per cent" xfId="56" builtinId="5" customBuiltin="1"/>
    <cellStyle name="Primary Title" xfId="48" xr:uid="{00000000-0005-0000-0000-00003A000000}"/>
    <cellStyle name="Secondary Title" xfId="49" xr:uid="{00000000-0005-0000-0000-00003C000000}"/>
    <cellStyle name="Tertiary Title" xfId="50" xr:uid="{00000000-0005-0000-0000-00003D000000}"/>
    <cellStyle name="Title" xfId="7" builtinId="15" hidden="1"/>
    <cellStyle name="Total" xfId="23" builtinId="25" hidden="1"/>
    <cellStyle name="Warning Text" xfId="20" builtinId="11" hidden="1"/>
  </cellStyles>
  <dxfs count="0"/>
  <tableStyles count="0" defaultTableStyle="TableStyleMedium2" defaultPivotStyle="PivotStyleLight16"/>
  <colors>
    <mruColors>
      <color rgb="FF163260"/>
      <color rgb="FF085393"/>
      <color rgb="FFBBDEFB"/>
      <color rgb="FFF0F8FE"/>
      <color rgb="FF0000FF"/>
      <color rgb="FFEBF1FB"/>
      <color rgb="FFD3E0F5"/>
      <color rgb="FFC9D9F3"/>
      <color rgb="FFE2F1FE"/>
      <color rgb="FFC4E3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gif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0</xdr:row>
      <xdr:rowOff>1019175</xdr:rowOff>
    </xdr:from>
    <xdr:to>
      <xdr:col>9</xdr:col>
      <xdr:colOff>457200</xdr:colOff>
      <xdr:row>0</xdr:row>
      <xdr:rowOff>1503980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5550" y="1019175"/>
          <a:ext cx="3533775" cy="4848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1931713</xdr:colOff>
      <xdr:row>0</xdr:row>
      <xdr:rowOff>123826</xdr:rowOff>
    </xdr:from>
    <xdr:to>
      <xdr:col>16</xdr:col>
      <xdr:colOff>161849</xdr:colOff>
      <xdr:row>0</xdr:row>
      <xdr:rowOff>466726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7738" y="123826"/>
          <a:ext cx="401836" cy="342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232</xdr:row>
      <xdr:rowOff>0</xdr:rowOff>
    </xdr:from>
    <xdr:to>
      <xdr:col>8</xdr:col>
      <xdr:colOff>9525</xdr:colOff>
      <xdr:row>232</xdr:row>
      <xdr:rowOff>9525</xdr:rowOff>
    </xdr:to>
    <xdr:pic>
      <xdr:nvPicPr>
        <xdr:cNvPr id="17" name="Picture 16" descr="https://ssl.gstatic.com/ui/v1/icons/mail/images/cleardot.gif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2895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42867</xdr:colOff>
      <xdr:row>227</xdr:row>
      <xdr:rowOff>0</xdr:rowOff>
    </xdr:from>
    <xdr:to>
      <xdr:col>4</xdr:col>
      <xdr:colOff>628842</xdr:colOff>
      <xdr:row>260</xdr:row>
      <xdr:rowOff>66830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167" y="39433500"/>
          <a:ext cx="6120000" cy="6353330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33341</xdr:colOff>
      <xdr:row>783</xdr:row>
      <xdr:rowOff>0</xdr:rowOff>
    </xdr:from>
    <xdr:to>
      <xdr:col>5</xdr:col>
      <xdr:colOff>13503</xdr:colOff>
      <xdr:row>789</xdr:row>
      <xdr:rowOff>118905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641" y="145923000"/>
          <a:ext cx="6300000" cy="1261905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33341</xdr:colOff>
      <xdr:row>790</xdr:row>
      <xdr:rowOff>119056</xdr:rowOff>
    </xdr:from>
    <xdr:to>
      <xdr:col>5</xdr:col>
      <xdr:colOff>13503</xdr:colOff>
      <xdr:row>797</xdr:row>
      <xdr:rowOff>144667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7641" y="147375556"/>
          <a:ext cx="6300000" cy="1359111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  <xdr:twoCellAnchor editAs="oneCell">
    <xdr:from>
      <xdr:col>1</xdr:col>
      <xdr:colOff>33341</xdr:colOff>
      <xdr:row>798</xdr:row>
      <xdr:rowOff>166684</xdr:rowOff>
    </xdr:from>
    <xdr:to>
      <xdr:col>5</xdr:col>
      <xdr:colOff>13503</xdr:colOff>
      <xdr:row>805</xdr:row>
      <xdr:rowOff>96088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7641" y="148947184"/>
          <a:ext cx="6300000" cy="1262904"/>
        </a:xfrm>
        <a:prstGeom prst="rect">
          <a:avLst/>
        </a:prstGeom>
        <a:ln>
          <a:solidFill>
            <a:schemeClr val="tx2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showGridLines="0" tabSelected="1" zoomScaleNormal="100" workbookViewId="0">
      <selection sqref="A1:N1"/>
    </sheetView>
  </sheetViews>
  <sheetFormatPr defaultColWidth="9.1328125" defaultRowHeight="14.25" x14ac:dyDescent="0.45"/>
  <cols>
    <col min="1" max="1" width="9.86328125" customWidth="1"/>
    <col min="2" max="13" width="9.1328125" customWidth="1"/>
    <col min="14" max="14" width="9.86328125" customWidth="1"/>
    <col min="15" max="26" width="9.1328125" customWidth="1"/>
  </cols>
  <sheetData>
    <row r="1" spans="1:14" s="34" customFormat="1" ht="189.75" customHeight="1" x14ac:dyDescent="0.85">
      <c r="A1" s="74"/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s="22" customFormat="1" ht="75" customHeight="1" x14ac:dyDescent="0.45">
      <c r="A2" s="77" t="s">
        <v>35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s="23" customFormat="1" ht="7.5" customHeight="1" x14ac:dyDescent="0.45">
      <c r="B3" s="24"/>
      <c r="C3" s="24"/>
      <c r="F3" s="25"/>
      <c r="G3" s="25"/>
      <c r="H3" s="25"/>
      <c r="I3" s="25"/>
      <c r="J3" s="25"/>
      <c r="K3" s="25"/>
    </row>
    <row r="4" spans="1:14" s="23" customFormat="1" ht="15" customHeight="1" x14ac:dyDescent="0.45">
      <c r="A4" s="37"/>
      <c r="B4" s="38"/>
      <c r="C4" s="76"/>
      <c r="D4" s="76"/>
      <c r="E4" s="39"/>
      <c r="F4" s="40"/>
      <c r="G4" s="40"/>
      <c r="H4" s="40"/>
      <c r="I4" s="40"/>
      <c r="J4" s="40"/>
      <c r="K4" s="40"/>
      <c r="L4" s="39"/>
      <c r="M4" s="39"/>
      <c r="N4" s="39"/>
    </row>
    <row r="5" spans="1:14" s="23" customFormat="1" ht="15" customHeight="1" x14ac:dyDescent="0.45">
      <c r="A5" s="78" t="s">
        <v>10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spans="1:14" s="23" customFormat="1" ht="15" customHeight="1" x14ac:dyDescent="0.45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</row>
    <row r="7" spans="1:14" s="23" customFormat="1" ht="15" customHeight="1" x14ac:dyDescent="0.45">
      <c r="A7" s="78" t="str">
        <f ca="1">"© "&amp;YEAR(TODAY())&amp;" Financial Edge Training "</f>
        <v xml:space="preserve">© 2026 Financial Edge Training 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</row>
    <row r="8" spans="1:14" s="23" customFormat="1" ht="15" customHeight="1" thickBot="1" x14ac:dyDescent="0.5">
      <c r="A8" s="42"/>
      <c r="B8" s="43"/>
      <c r="C8" s="42"/>
      <c r="D8" s="42"/>
      <c r="E8" s="44"/>
      <c r="F8" s="45"/>
      <c r="G8" s="45"/>
      <c r="H8" s="45"/>
      <c r="I8" s="45"/>
      <c r="J8" s="45"/>
      <c r="K8" s="45"/>
      <c r="L8" s="44"/>
      <c r="M8" s="44"/>
      <c r="N8" s="44"/>
    </row>
    <row r="9" spans="1:14" s="23" customFormat="1" ht="15" customHeight="1" x14ac:dyDescent="0.45">
      <c r="F9" s="28"/>
      <c r="G9" s="79"/>
      <c r="H9" s="79"/>
      <c r="I9" s="79"/>
      <c r="J9" s="79"/>
      <c r="K9" s="28"/>
    </row>
    <row r="10" spans="1:14" s="23" customFormat="1" ht="15" customHeight="1" x14ac:dyDescent="0.45">
      <c r="B10" s="24"/>
      <c r="C10" s="24"/>
      <c r="F10" s="28"/>
      <c r="G10" s="79"/>
      <c r="H10" s="79"/>
      <c r="I10" s="79"/>
      <c r="J10" s="79"/>
      <c r="K10" s="28"/>
    </row>
    <row r="11" spans="1:14" s="23" customFormat="1" ht="15" customHeight="1" x14ac:dyDescent="0.45">
      <c r="B11" s="20"/>
      <c r="C11" s="20"/>
      <c r="D11" s="21"/>
      <c r="F11" s="25"/>
      <c r="G11" s="25"/>
      <c r="H11" s="25"/>
      <c r="I11" s="25"/>
      <c r="J11" s="25"/>
      <c r="K11" s="25"/>
    </row>
    <row r="12" spans="1:14" s="23" customFormat="1" ht="15" customHeight="1" x14ac:dyDescent="0.45">
      <c r="A12" s="26"/>
      <c r="B12" s="20"/>
      <c r="C12" s="20"/>
      <c r="D12" s="29"/>
      <c r="F12" s="25"/>
      <c r="G12" s="75"/>
      <c r="H12" s="75"/>
      <c r="I12" s="75"/>
      <c r="J12" s="75"/>
      <c r="K12" s="25"/>
    </row>
    <row r="13" spans="1:14" s="23" customFormat="1" ht="15" customHeight="1" x14ac:dyDescent="0.45">
      <c r="A13" s="19"/>
      <c r="B13" s="20"/>
      <c r="C13" s="20"/>
      <c r="D13" s="30"/>
      <c r="F13" s="25"/>
      <c r="G13" s="75"/>
      <c r="H13" s="75"/>
      <c r="I13" s="75"/>
      <c r="J13" s="75"/>
      <c r="K13" s="25"/>
    </row>
    <row r="14" spans="1:14" s="23" customFormat="1" ht="15" customHeight="1" x14ac:dyDescent="0.45">
      <c r="A14" s="22"/>
      <c r="B14" s="20"/>
      <c r="C14" s="20"/>
      <c r="D14" s="30"/>
      <c r="F14" s="25"/>
      <c r="G14" s="75"/>
      <c r="H14" s="75"/>
      <c r="I14" s="75"/>
      <c r="J14" s="75"/>
      <c r="K14" s="25"/>
    </row>
    <row r="15" spans="1:14" s="23" customFormat="1" ht="15" customHeight="1" x14ac:dyDescent="0.45">
      <c r="A15" s="22"/>
      <c r="B15" s="20"/>
      <c r="C15" s="20"/>
      <c r="D15" s="30"/>
      <c r="F15" s="25"/>
      <c r="G15" s="25"/>
      <c r="H15" s="25"/>
      <c r="I15" s="25"/>
      <c r="J15" s="25"/>
      <c r="K15" s="25"/>
    </row>
    <row r="16" spans="1:14" s="23" customFormat="1" ht="15" customHeight="1" x14ac:dyDescent="0.45">
      <c r="A16" s="22"/>
      <c r="B16" s="20"/>
      <c r="C16" s="20"/>
      <c r="D16" s="31"/>
      <c r="F16" s="25"/>
      <c r="G16" s="75"/>
      <c r="H16" s="75"/>
      <c r="I16" s="75"/>
      <c r="J16" s="75"/>
      <c r="K16" s="25"/>
    </row>
    <row r="17" spans="1:11" s="23" customFormat="1" ht="15" customHeight="1" x14ac:dyDescent="0.45">
      <c r="A17" s="22"/>
      <c r="B17" s="32"/>
      <c r="C17" s="33"/>
      <c r="D17" s="31"/>
      <c r="F17" s="25"/>
      <c r="G17" s="25"/>
      <c r="H17" s="25"/>
      <c r="I17" s="25"/>
      <c r="J17" s="25"/>
      <c r="K17" s="25"/>
    </row>
    <row r="18" spans="1:11" ht="15" customHeight="1" x14ac:dyDescent="0.45"/>
  </sheetData>
  <mergeCells count="8">
    <mergeCell ref="A1:N1"/>
    <mergeCell ref="G16:J16"/>
    <mergeCell ref="G12:J14"/>
    <mergeCell ref="C4:D4"/>
    <mergeCell ref="A2:N2"/>
    <mergeCell ref="A5:N6"/>
    <mergeCell ref="A7:N7"/>
    <mergeCell ref="G9:J10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0"/>
  <sheetViews>
    <sheetView showGridLines="0" zoomScaleNormal="100" workbookViewId="0"/>
  </sheetViews>
  <sheetFormatPr defaultColWidth="9.1328125" defaultRowHeight="14.25" x14ac:dyDescent="0.45"/>
  <cols>
    <col min="1" max="1" width="1.46484375" customWidth="1"/>
    <col min="2" max="2" width="2.86328125" customWidth="1"/>
    <col min="3" max="3" width="13.1328125" customWidth="1"/>
    <col min="4" max="4" width="2.86328125" customWidth="1"/>
    <col min="5" max="7" width="1.46484375" customWidth="1"/>
    <col min="8" max="8" width="2.86328125" customWidth="1"/>
    <col min="9" max="9" width="42.86328125" customWidth="1"/>
    <col min="10" max="11" width="1.46484375" customWidth="1"/>
    <col min="12" max="12" width="15.53125" bestFit="1" customWidth="1"/>
    <col min="13" max="14" width="1.46484375" customWidth="1"/>
    <col min="15" max="15" width="2.86328125" customWidth="1"/>
    <col min="16" max="16" width="32.53125" customWidth="1"/>
    <col min="17" max="17" width="2.86328125" customWidth="1"/>
    <col min="18" max="18" width="1.46484375" customWidth="1"/>
    <col min="23" max="23" width="17.86328125" bestFit="1" customWidth="1"/>
  </cols>
  <sheetData>
    <row r="1" spans="1:18" s="34" customFormat="1" ht="45" customHeight="1" x14ac:dyDescent="0.85">
      <c r="A1" s="13" t="str">
        <f>Welcome!A2</f>
        <v>Accounting and Financial Analysis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  <c r="O1" s="6"/>
      <c r="P1" s="6"/>
      <c r="Q1" s="6"/>
      <c r="R1" s="6"/>
    </row>
    <row r="2" spans="1:18" s="35" customFormat="1" ht="30" customHeight="1" x14ac:dyDescent="0.65">
      <c r="A2" s="14" t="s">
        <v>40</v>
      </c>
      <c r="B2" s="14"/>
      <c r="C2" s="14"/>
      <c r="D2" s="14"/>
      <c r="E2" s="14"/>
      <c r="F2" s="14"/>
      <c r="G2" s="14"/>
      <c r="H2" s="14"/>
      <c r="I2" s="14"/>
      <c r="J2" s="7"/>
      <c r="K2" s="7"/>
      <c r="L2" s="7"/>
      <c r="M2" s="7"/>
      <c r="N2" s="7"/>
      <c r="O2" s="7"/>
      <c r="P2" s="7"/>
      <c r="Q2" s="7"/>
      <c r="R2" s="7"/>
    </row>
    <row r="3" spans="1:18" s="2" customFormat="1" ht="7.5" customHeight="1" x14ac:dyDescent="0.45"/>
    <row r="4" spans="1:18" s="2" customFormat="1" ht="22.5" customHeight="1" x14ac:dyDescent="0.45">
      <c r="A4" s="1"/>
      <c r="B4" s="81" t="s">
        <v>0</v>
      </c>
      <c r="C4" s="81"/>
      <c r="D4" s="81"/>
      <c r="E4" s="81"/>
      <c r="F4" s="81"/>
      <c r="G4" s="81"/>
      <c r="H4" s="81"/>
      <c r="I4" s="81"/>
      <c r="K4" s="1"/>
      <c r="L4" s="81" t="s">
        <v>2</v>
      </c>
      <c r="M4" s="81"/>
      <c r="N4" s="81"/>
      <c r="O4" s="81"/>
      <c r="P4" s="81"/>
      <c r="Q4" s="40"/>
      <c r="R4" s="40"/>
    </row>
    <row r="5" spans="1:18" s="2" customFormat="1" ht="15" customHeight="1" x14ac:dyDescent="0.45">
      <c r="A5" s="17"/>
      <c r="B5" s="8" t="s">
        <v>1</v>
      </c>
      <c r="C5" s="55" t="s">
        <v>278</v>
      </c>
      <c r="D5" s="18"/>
      <c r="E5" s="18"/>
      <c r="F5" s="18"/>
      <c r="G5" s="18"/>
      <c r="H5" s="18"/>
      <c r="I5" s="18"/>
      <c r="K5" s="1"/>
      <c r="L5" s="9" t="s">
        <v>3</v>
      </c>
      <c r="M5" s="9"/>
      <c r="N5" s="83" t="s">
        <v>17</v>
      </c>
      <c r="O5" s="83"/>
      <c r="P5" s="83"/>
      <c r="Q5" s="83"/>
      <c r="R5" s="40"/>
    </row>
    <row r="6" spans="1:18" s="2" customFormat="1" ht="15" customHeight="1" x14ac:dyDescent="0.45">
      <c r="A6" s="3"/>
      <c r="B6" s="8" t="s">
        <v>1</v>
      </c>
      <c r="C6" s="18" t="s">
        <v>279</v>
      </c>
      <c r="D6" s="18"/>
      <c r="E6" s="18"/>
      <c r="F6" s="18"/>
      <c r="G6" s="18"/>
      <c r="H6" s="18"/>
      <c r="I6" s="18"/>
      <c r="K6" s="17"/>
      <c r="L6" s="9" t="s">
        <v>4</v>
      </c>
      <c r="M6" s="9"/>
      <c r="N6" s="84">
        <v>42369</v>
      </c>
      <c r="O6" s="84"/>
      <c r="P6" s="84"/>
      <c r="Q6" s="84"/>
      <c r="R6" s="40"/>
    </row>
    <row r="7" spans="1:18" s="2" customFormat="1" ht="15" customHeight="1" x14ac:dyDescent="0.45">
      <c r="A7" s="18"/>
      <c r="B7" s="8" t="s">
        <v>1</v>
      </c>
      <c r="C7" s="18" t="s">
        <v>66</v>
      </c>
      <c r="D7" s="18"/>
      <c r="E7" s="18"/>
      <c r="F7" s="18"/>
      <c r="G7" s="18"/>
      <c r="H7" s="18"/>
      <c r="I7" s="18"/>
      <c r="K7" s="3"/>
      <c r="L7" s="9" t="s">
        <v>5</v>
      </c>
      <c r="M7" s="9"/>
      <c r="N7" s="83"/>
      <c r="O7" s="83"/>
      <c r="P7" s="83"/>
      <c r="Q7" s="83"/>
      <c r="R7" s="40"/>
    </row>
    <row r="8" spans="1:18" s="2" customFormat="1" ht="15" customHeight="1" x14ac:dyDescent="0.45">
      <c r="A8" s="18"/>
      <c r="B8" s="8" t="s">
        <v>1</v>
      </c>
      <c r="C8" s="18" t="s">
        <v>280</v>
      </c>
      <c r="D8" s="18"/>
      <c r="E8" s="18"/>
      <c r="F8" s="18"/>
      <c r="G8" s="18"/>
      <c r="H8" s="18"/>
      <c r="I8" s="18"/>
      <c r="K8" s="18"/>
      <c r="L8" s="9" t="s">
        <v>6</v>
      </c>
      <c r="M8" s="9"/>
      <c r="N8" s="83"/>
      <c r="O8" s="83"/>
      <c r="P8" s="83"/>
      <c r="Q8" s="83"/>
      <c r="R8" s="40"/>
    </row>
    <row r="9" spans="1:18" s="2" customFormat="1" ht="15" customHeight="1" x14ac:dyDescent="0.45">
      <c r="A9" s="41"/>
      <c r="B9" s="41"/>
      <c r="C9" s="41"/>
      <c r="D9" s="41"/>
      <c r="E9" s="41"/>
      <c r="F9" s="41"/>
      <c r="G9" s="41"/>
      <c r="H9" s="41"/>
      <c r="I9" s="41"/>
      <c r="K9" s="18"/>
      <c r="L9" s="9" t="s">
        <v>7</v>
      </c>
      <c r="M9" s="9"/>
      <c r="N9" s="83" t="s">
        <v>9</v>
      </c>
      <c r="O9" s="83"/>
      <c r="P9" s="83"/>
      <c r="Q9" s="83"/>
      <c r="R9" s="40"/>
    </row>
    <row r="10" spans="1:18" s="2" customFormat="1" ht="15" customHeight="1" x14ac:dyDescent="0.45">
      <c r="A10" s="39"/>
      <c r="B10" s="41"/>
      <c r="C10" s="39"/>
      <c r="D10" s="39"/>
      <c r="E10" s="39"/>
      <c r="F10" s="39"/>
      <c r="G10" s="39"/>
      <c r="H10" s="39"/>
      <c r="I10" s="39"/>
      <c r="K10" s="18"/>
      <c r="L10" s="9" t="s">
        <v>8</v>
      </c>
      <c r="M10" s="9"/>
      <c r="N10" s="85">
        <v>0</v>
      </c>
      <c r="O10" s="85"/>
      <c r="P10" s="85"/>
      <c r="Q10" s="85"/>
      <c r="R10" s="47"/>
    </row>
    <row r="11" spans="1:18" s="2" customFormat="1" ht="15" customHeight="1" thickBot="1" x14ac:dyDescent="0.5">
      <c r="A11" s="44"/>
      <c r="B11" s="44"/>
      <c r="C11" s="44"/>
      <c r="D11" s="44"/>
      <c r="E11" s="44"/>
      <c r="F11" s="44"/>
      <c r="G11" s="44"/>
      <c r="H11" s="44"/>
      <c r="I11" s="44"/>
      <c r="K11" s="4"/>
      <c r="L11" s="59"/>
      <c r="M11" s="59"/>
      <c r="N11" s="48"/>
      <c r="O11" s="49"/>
      <c r="P11" s="49"/>
      <c r="Q11" s="50"/>
      <c r="R11" s="51"/>
    </row>
    <row r="12" spans="1:18" s="2" customFormat="1" ht="7.5" customHeight="1" x14ac:dyDescent="0.45">
      <c r="K12" s="25"/>
      <c r="L12" s="25"/>
      <c r="M12" s="25"/>
      <c r="N12" s="25"/>
      <c r="O12" s="25"/>
      <c r="P12" s="25"/>
      <c r="Q12" s="25"/>
      <c r="R12" s="25"/>
    </row>
    <row r="13" spans="1:18" s="2" customFormat="1" ht="22.5" customHeight="1" x14ac:dyDescent="0.45">
      <c r="A13" s="55"/>
      <c r="B13" s="82" t="s">
        <v>15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N13" s="1"/>
      <c r="O13" s="81" t="s">
        <v>11</v>
      </c>
      <c r="P13" s="81"/>
      <c r="Q13" s="81"/>
      <c r="R13" s="58"/>
    </row>
    <row r="14" spans="1:18" s="2" customFormat="1" ht="15" customHeight="1" x14ac:dyDescent="0.45">
      <c r="A14" s="56"/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N14" s="17"/>
      <c r="O14" s="27"/>
      <c r="P14" s="22"/>
      <c r="Q14" s="22"/>
      <c r="R14" s="56"/>
    </row>
    <row r="15" spans="1:18" s="2" customFormat="1" ht="15" customHeight="1" x14ac:dyDescent="0.45">
      <c r="A15" s="56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N15" s="3"/>
      <c r="O15" s="27"/>
      <c r="P15" s="52" t="s">
        <v>12</v>
      </c>
      <c r="Q15" s="22"/>
      <c r="R15" s="56"/>
    </row>
    <row r="16" spans="1:18" s="2" customFormat="1" ht="15" customHeight="1" x14ac:dyDescent="0.45">
      <c r="A16" s="56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N16" s="18"/>
      <c r="O16" s="27"/>
      <c r="P16" s="36" t="s">
        <v>13</v>
      </c>
      <c r="Q16" s="22"/>
      <c r="R16" s="56"/>
    </row>
    <row r="17" spans="1:18" s="2" customFormat="1" ht="15" customHeight="1" x14ac:dyDescent="0.45">
      <c r="A17" s="56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N17" s="18"/>
      <c r="O17" s="27"/>
      <c r="P17" t="s">
        <v>14</v>
      </c>
      <c r="Q17" s="22"/>
      <c r="R17" s="56"/>
    </row>
    <row r="18" spans="1:18" s="2" customFormat="1" ht="15" customHeight="1" x14ac:dyDescent="0.45">
      <c r="A18" s="39"/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N18" s="39"/>
      <c r="O18" s="53"/>
      <c r="P18" s="53"/>
      <c r="Q18" s="53"/>
      <c r="R18" s="39"/>
    </row>
    <row r="19" spans="1:18" ht="14.65" thickBot="1" x14ac:dyDescent="0.5">
      <c r="A19" s="44"/>
      <c r="B19" s="44"/>
      <c r="C19" s="44"/>
      <c r="D19" s="57"/>
      <c r="E19" s="57"/>
      <c r="F19" s="57"/>
      <c r="G19" s="57"/>
      <c r="H19" s="57"/>
      <c r="I19" s="57"/>
      <c r="J19" s="57"/>
      <c r="K19" s="57"/>
      <c r="L19" s="57"/>
      <c r="N19" s="44"/>
      <c r="O19" s="44"/>
      <c r="P19" s="44"/>
      <c r="Q19" s="44"/>
      <c r="R19" s="44"/>
    </row>
    <row r="20" spans="1:18" x14ac:dyDescent="0.45">
      <c r="Q20" s="54"/>
    </row>
  </sheetData>
  <mergeCells count="20">
    <mergeCell ref="B18:C18"/>
    <mergeCell ref="D16:L16"/>
    <mergeCell ref="D17:L17"/>
    <mergeCell ref="D18:L18"/>
    <mergeCell ref="N5:Q5"/>
    <mergeCell ref="N6:Q6"/>
    <mergeCell ref="N7:Q7"/>
    <mergeCell ref="N8:Q8"/>
    <mergeCell ref="N9:Q9"/>
    <mergeCell ref="N10:Q10"/>
    <mergeCell ref="O13:Q13"/>
    <mergeCell ref="D14:L14"/>
    <mergeCell ref="D15:L15"/>
    <mergeCell ref="B14:C14"/>
    <mergeCell ref="B15:C15"/>
    <mergeCell ref="B16:C16"/>
    <mergeCell ref="B17:C17"/>
    <mergeCell ref="L4:P4"/>
    <mergeCell ref="B4:I4"/>
    <mergeCell ref="B13:L13"/>
  </mergeCells>
  <pageMargins left="0.7" right="0.7" top="0.75" bottom="0.75" header="0.3" footer="0.3"/>
  <pageSetup paperSize="9" orientation="landscape" verticalDpi="0" r:id="rId1"/>
  <headerFooter>
    <oddHeader xml:space="preserve">&amp;R&amp;10&amp;F 
&amp;A
</oddHeader>
    <oddFooter>&amp;L&amp;10© 2016&amp;C&amp;10Page &amp;P of &amp;N&amp;R&amp;G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68"/>
  <sheetViews>
    <sheetView zoomScaleNormal="100" workbookViewId="0"/>
  </sheetViews>
  <sheetFormatPr defaultColWidth="9.1328125" defaultRowHeight="15" customHeight="1" x14ac:dyDescent="0.45"/>
  <cols>
    <col min="1" max="1" width="1.53125" style="15" customWidth="1"/>
    <col min="2" max="2" width="52.86328125" style="16" customWidth="1"/>
    <col min="3" max="3" width="11.1328125" customWidth="1"/>
    <col min="4" max="4" width="13.46484375" customWidth="1"/>
    <col min="5" max="14" width="11" customWidth="1"/>
  </cols>
  <sheetData>
    <row r="1" spans="1:10" s="46" customFormat="1" ht="45" customHeight="1" x14ac:dyDescent="0.85">
      <c r="A1" s="5" t="str">
        <f>Info!A2</f>
        <v>Consolidation and NCI</v>
      </c>
      <c r="B1" s="10"/>
      <c r="C1" s="12"/>
      <c r="D1" s="12"/>
      <c r="E1" s="12"/>
      <c r="F1" s="12"/>
      <c r="G1" s="12"/>
      <c r="H1" s="12"/>
      <c r="I1" s="12"/>
      <c r="J1" s="12"/>
    </row>
    <row r="2" spans="1:10" s="35" customFormat="1" ht="30" customHeight="1" x14ac:dyDescent="0.65">
      <c r="A2" s="14"/>
      <c r="B2" s="7"/>
      <c r="C2" s="11"/>
      <c r="D2" s="11"/>
      <c r="E2" s="11"/>
      <c r="F2" s="11"/>
      <c r="G2" s="11"/>
      <c r="H2" s="11"/>
      <c r="I2" s="11"/>
      <c r="J2" s="11"/>
    </row>
    <row r="3" spans="1:10" ht="15" customHeight="1" x14ac:dyDescent="0.45">
      <c r="A3" s="15" t="s">
        <v>16</v>
      </c>
    </row>
    <row r="4" spans="1:10" ht="15" customHeight="1" x14ac:dyDescent="0.45">
      <c r="C4" s="68" t="s">
        <v>281</v>
      </c>
      <c r="D4" s="68" t="s">
        <v>282</v>
      </c>
    </row>
    <row r="5" spans="1:10" ht="15" customHeight="1" x14ac:dyDescent="0.45">
      <c r="B5" s="16" t="s">
        <v>41</v>
      </c>
      <c r="C5" s="61">
        <v>100</v>
      </c>
      <c r="D5" s="61">
        <v>40</v>
      </c>
    </row>
    <row r="6" spans="1:10" ht="15" customHeight="1" x14ac:dyDescent="0.45">
      <c r="B6" s="16" t="s">
        <v>42</v>
      </c>
      <c r="C6" s="61">
        <v>200</v>
      </c>
      <c r="D6" s="61">
        <v>100</v>
      </c>
    </row>
    <row r="7" spans="1:10" ht="15" customHeight="1" x14ac:dyDescent="0.45">
      <c r="C7">
        <f>SUM(C5:C6)</f>
        <v>300</v>
      </c>
      <c r="D7">
        <f>SUM(D5:D6)</f>
        <v>140</v>
      </c>
    </row>
    <row r="9" spans="1:10" ht="15" customHeight="1" x14ac:dyDescent="0.45">
      <c r="B9" s="16" t="s">
        <v>43</v>
      </c>
      <c r="C9" s="61">
        <v>80</v>
      </c>
      <c r="D9" s="61">
        <v>50</v>
      </c>
    </row>
    <row r="10" spans="1:10" ht="15" customHeight="1" x14ac:dyDescent="0.45">
      <c r="B10" s="16" t="s">
        <v>44</v>
      </c>
      <c r="C10" s="61">
        <v>100</v>
      </c>
      <c r="D10" s="61">
        <v>60</v>
      </c>
    </row>
    <row r="11" spans="1:10" ht="15" customHeight="1" x14ac:dyDescent="0.45">
      <c r="B11" s="16" t="s">
        <v>45</v>
      </c>
      <c r="C11" s="61">
        <v>120</v>
      </c>
      <c r="D11" s="61">
        <v>30</v>
      </c>
    </row>
    <row r="12" spans="1:10" ht="15" customHeight="1" x14ac:dyDescent="0.45">
      <c r="C12">
        <f t="shared" ref="C12:D12" si="0">SUM(C9:C11)</f>
        <v>300</v>
      </c>
      <c r="D12">
        <f t="shared" si="0"/>
        <v>140</v>
      </c>
    </row>
    <row r="14" spans="1:10" ht="15" customHeight="1" x14ac:dyDescent="0.45">
      <c r="B14" s="16" t="s">
        <v>317</v>
      </c>
    </row>
    <row r="15" spans="1:10" ht="15" customHeight="1" x14ac:dyDescent="0.45">
      <c r="B15" s="16" t="s">
        <v>283</v>
      </c>
    </row>
    <row r="17" spans="1:8" ht="15" customHeight="1" x14ac:dyDescent="0.45">
      <c r="C17" s="68" t="s">
        <v>284</v>
      </c>
    </row>
    <row r="18" spans="1:8" ht="15" customHeight="1" x14ac:dyDescent="0.45">
      <c r="B18" s="16" t="str">
        <f>B5</f>
        <v>Current assets</v>
      </c>
      <c r="C18">
        <f>C5-35</f>
        <v>65</v>
      </c>
      <c r="D18" t="s">
        <v>46</v>
      </c>
    </row>
    <row r="19" spans="1:8" ht="15" customHeight="1" x14ac:dyDescent="0.45">
      <c r="B19" s="16" t="str">
        <f t="shared" ref="B19:C24" si="1">B6</f>
        <v>Long term assets</v>
      </c>
      <c r="C19">
        <f>C6+35</f>
        <v>235</v>
      </c>
      <c r="D19" t="s">
        <v>285</v>
      </c>
    </row>
    <row r="20" spans="1:8" ht="15" customHeight="1" x14ac:dyDescent="0.45">
      <c r="C20">
        <f>SUM(C18:C19)</f>
        <v>300</v>
      </c>
    </row>
    <row r="22" spans="1:8" ht="15" customHeight="1" x14ac:dyDescent="0.45">
      <c r="B22" s="16" t="str">
        <f t="shared" si="1"/>
        <v>Current liabilities</v>
      </c>
      <c r="C22">
        <f>C9</f>
        <v>80</v>
      </c>
    </row>
    <row r="23" spans="1:8" ht="15" customHeight="1" x14ac:dyDescent="0.45">
      <c r="B23" s="16" t="str">
        <f t="shared" si="1"/>
        <v>Long term liabilities</v>
      </c>
      <c r="C23">
        <f t="shared" si="1"/>
        <v>100</v>
      </c>
    </row>
    <row r="24" spans="1:8" ht="15" customHeight="1" x14ac:dyDescent="0.45">
      <c r="B24" s="16" t="str">
        <f t="shared" si="1"/>
        <v>Shareholders' equity</v>
      </c>
      <c r="C24">
        <f t="shared" si="1"/>
        <v>120</v>
      </c>
    </row>
    <row r="25" spans="1:8" ht="15" customHeight="1" x14ac:dyDescent="0.45">
      <c r="C25">
        <f>SUM(C22:C24)</f>
        <v>300</v>
      </c>
    </row>
    <row r="27" spans="1:8" ht="15" customHeight="1" x14ac:dyDescent="0.45">
      <c r="A27" s="15" t="s">
        <v>18</v>
      </c>
    </row>
    <row r="28" spans="1:8" ht="15" customHeight="1" x14ac:dyDescent="0.45">
      <c r="B28" s="16" t="s">
        <v>47</v>
      </c>
      <c r="C28" s="70"/>
    </row>
    <row r="30" spans="1:8" ht="15" customHeight="1" x14ac:dyDescent="0.45">
      <c r="C30" s="68" t="s">
        <v>286</v>
      </c>
      <c r="D30" s="68" t="s">
        <v>48</v>
      </c>
      <c r="E30" s="68" t="s">
        <v>67</v>
      </c>
      <c r="G30" s="68" t="s">
        <v>49</v>
      </c>
      <c r="H30" s="68" t="s">
        <v>50</v>
      </c>
    </row>
    <row r="31" spans="1:8" ht="15" customHeight="1" x14ac:dyDescent="0.45">
      <c r="B31" s="16" t="str">
        <f>B5</f>
        <v>Current assets</v>
      </c>
      <c r="C31">
        <f>C5</f>
        <v>100</v>
      </c>
      <c r="D31" s="61">
        <v>-35</v>
      </c>
      <c r="E31">
        <f>D5</f>
        <v>40</v>
      </c>
      <c r="H31">
        <f>SUM(C31:G31)</f>
        <v>105</v>
      </c>
    </row>
    <row r="32" spans="1:8" ht="15" customHeight="1" x14ac:dyDescent="0.45">
      <c r="A32" s="60"/>
      <c r="B32" s="16" t="str">
        <f t="shared" ref="B32:B37" si="2">B6</f>
        <v>Long term assets</v>
      </c>
      <c r="C32">
        <f t="shared" ref="C32" si="3">C6</f>
        <v>200</v>
      </c>
      <c r="D32" s="70"/>
      <c r="E32">
        <f>D6</f>
        <v>100</v>
      </c>
      <c r="G32" s="61">
        <f>35-30</f>
        <v>5</v>
      </c>
      <c r="H32">
        <f>SUM(C32:G32)</f>
        <v>305</v>
      </c>
    </row>
    <row r="33" spans="1:8" ht="15" customHeight="1" x14ac:dyDescent="0.45">
      <c r="C33">
        <f>SUM(C31:C32)</f>
        <v>300</v>
      </c>
      <c r="D33" s="70"/>
      <c r="H33">
        <f>SUM(H31:H32)</f>
        <v>410</v>
      </c>
    </row>
    <row r="35" spans="1:8" ht="15" customHeight="1" x14ac:dyDescent="0.45">
      <c r="B35" s="16" t="str">
        <f t="shared" si="2"/>
        <v>Current liabilities</v>
      </c>
      <c r="C35">
        <f t="shared" ref="C35" si="4">C9</f>
        <v>80</v>
      </c>
      <c r="E35">
        <f>D9</f>
        <v>50</v>
      </c>
      <c r="H35">
        <f>SUM(C35:G35)</f>
        <v>130</v>
      </c>
    </row>
    <row r="36" spans="1:8" ht="15" customHeight="1" x14ac:dyDescent="0.45">
      <c r="B36" s="16" t="str">
        <f t="shared" si="2"/>
        <v>Long term liabilities</v>
      </c>
      <c r="C36">
        <f t="shared" ref="C36" si="5">C10</f>
        <v>100</v>
      </c>
      <c r="E36">
        <f>D10</f>
        <v>60</v>
      </c>
      <c r="H36">
        <f>SUM(C36:G36)</f>
        <v>160</v>
      </c>
    </row>
    <row r="37" spans="1:8" ht="15" customHeight="1" x14ac:dyDescent="0.45">
      <c r="B37" s="16" t="str">
        <f t="shared" si="2"/>
        <v>Shareholders' equity</v>
      </c>
      <c r="C37">
        <f t="shared" ref="C37" si="6">C11</f>
        <v>120</v>
      </c>
      <c r="F37" s="70"/>
      <c r="G37" s="70"/>
      <c r="H37">
        <f>SUM(C37:G37)</f>
        <v>120</v>
      </c>
    </row>
    <row r="38" spans="1:8" ht="15" customHeight="1" x14ac:dyDescent="0.45">
      <c r="C38">
        <f>SUM(C35:C37)</f>
        <v>300</v>
      </c>
      <c r="F38" s="70"/>
      <c r="G38" s="70"/>
      <c r="H38">
        <f>SUM(H35:H37)</f>
        <v>410</v>
      </c>
    </row>
    <row r="39" spans="1:8" ht="15" customHeight="1" x14ac:dyDescent="0.45">
      <c r="D39" s="71"/>
      <c r="F39" s="70"/>
      <c r="G39" s="70"/>
      <c r="H39" s="70"/>
    </row>
    <row r="40" spans="1:8" ht="15" customHeight="1" x14ac:dyDescent="0.45">
      <c r="B40" s="16" t="s">
        <v>51</v>
      </c>
      <c r="D40" s="71"/>
      <c r="F40" s="70"/>
      <c r="G40" s="71"/>
      <c r="H40" s="71"/>
    </row>
    <row r="41" spans="1:8" ht="15" customHeight="1" x14ac:dyDescent="0.45">
      <c r="D41" s="71"/>
      <c r="F41" s="70"/>
      <c r="G41" s="71"/>
      <c r="H41" s="71"/>
    </row>
    <row r="42" spans="1:8" ht="15" customHeight="1" x14ac:dyDescent="0.45">
      <c r="B42" s="16" t="s">
        <v>52</v>
      </c>
      <c r="D42" s="71"/>
      <c r="F42" s="70"/>
      <c r="G42" s="71"/>
      <c r="H42" s="71"/>
    </row>
    <row r="43" spans="1:8" ht="15" customHeight="1" x14ac:dyDescent="0.45">
      <c r="B43" s="16" t="s">
        <v>53</v>
      </c>
      <c r="D43" s="71"/>
      <c r="F43" s="70"/>
      <c r="G43" s="71"/>
      <c r="H43" s="71"/>
    </row>
    <row r="44" spans="1:8" ht="15" customHeight="1" x14ac:dyDescent="0.45">
      <c r="B44" s="16" t="s">
        <v>70</v>
      </c>
      <c r="D44" s="71"/>
      <c r="F44" s="70"/>
      <c r="G44" s="71"/>
      <c r="H44" s="71"/>
    </row>
    <row r="45" spans="1:8" ht="15" customHeight="1" x14ac:dyDescent="0.45">
      <c r="B45" s="16" t="s">
        <v>71</v>
      </c>
      <c r="D45" s="71"/>
      <c r="F45" s="70"/>
      <c r="G45" s="71"/>
      <c r="H45" s="71"/>
    </row>
    <row r="46" spans="1:8" ht="15" customHeight="1" x14ac:dyDescent="0.45">
      <c r="B46" s="16" t="s">
        <v>72</v>
      </c>
      <c r="D46" s="71"/>
      <c r="F46" s="70"/>
      <c r="G46" s="71"/>
      <c r="H46" s="71"/>
    </row>
    <row r="47" spans="1:8" ht="15" customHeight="1" x14ac:dyDescent="0.45">
      <c r="D47" s="71"/>
      <c r="F47" s="70"/>
      <c r="G47" s="71"/>
      <c r="H47" s="71"/>
    </row>
    <row r="48" spans="1:8" ht="15" customHeight="1" x14ac:dyDescent="0.45">
      <c r="A48" s="15" t="s">
        <v>19</v>
      </c>
      <c r="D48" s="71"/>
      <c r="F48" s="70"/>
      <c r="G48" s="71"/>
      <c r="H48" s="71"/>
    </row>
    <row r="49" spans="2:9" ht="15" customHeight="1" x14ac:dyDescent="0.45">
      <c r="B49" s="16" t="s">
        <v>318</v>
      </c>
      <c r="D49" s="71"/>
      <c r="F49" s="70"/>
      <c r="G49" s="71"/>
      <c r="H49" s="71"/>
    </row>
    <row r="50" spans="2:9" ht="15" customHeight="1" x14ac:dyDescent="0.45">
      <c r="B50" s="16" t="s">
        <v>319</v>
      </c>
      <c r="D50" s="71"/>
      <c r="F50" s="70"/>
      <c r="G50" s="71"/>
      <c r="H50" s="71"/>
    </row>
    <row r="51" spans="2:9" ht="15" customHeight="1" x14ac:dyDescent="0.45">
      <c r="B51" s="16" t="s">
        <v>54</v>
      </c>
      <c r="D51" s="71"/>
      <c r="F51" s="70"/>
      <c r="G51" s="71"/>
      <c r="H51" s="71"/>
    </row>
    <row r="52" spans="2:9" ht="15" customHeight="1" x14ac:dyDescent="0.45">
      <c r="C52" s="67" t="s">
        <v>287</v>
      </c>
      <c r="D52" s="67" t="s">
        <v>55</v>
      </c>
      <c r="E52" t="s">
        <v>67</v>
      </c>
      <c r="F52" t="s">
        <v>69</v>
      </c>
      <c r="G52" t="s">
        <v>68</v>
      </c>
      <c r="H52" t="s">
        <v>49</v>
      </c>
      <c r="I52" t="s">
        <v>50</v>
      </c>
    </row>
    <row r="53" spans="2:9" ht="15" customHeight="1" x14ac:dyDescent="0.45">
      <c r="B53" s="16" t="s">
        <v>48</v>
      </c>
      <c r="C53" s="61">
        <v>8</v>
      </c>
      <c r="D53" s="61">
        <v>6</v>
      </c>
      <c r="E53">
        <f>SUM(C53:D53)</f>
        <v>14</v>
      </c>
      <c r="G53" s="61">
        <v>-5</v>
      </c>
      <c r="I53">
        <f>SUM(E53:H53)</f>
        <v>9</v>
      </c>
    </row>
    <row r="54" spans="2:9" ht="15" customHeight="1" x14ac:dyDescent="0.45">
      <c r="B54" s="16" t="s">
        <v>56</v>
      </c>
      <c r="C54" s="61">
        <v>140</v>
      </c>
      <c r="D54" s="61">
        <v>160</v>
      </c>
      <c r="E54">
        <f>SUM(C54:D54)</f>
        <v>300</v>
      </c>
      <c r="I54">
        <f>SUM(E54:H54)</f>
        <v>300</v>
      </c>
    </row>
    <row r="55" spans="2:9" ht="15" customHeight="1" x14ac:dyDescent="0.45">
      <c r="B55" s="16" t="s">
        <v>64</v>
      </c>
      <c r="C55" s="61">
        <v>380</v>
      </c>
      <c r="D55" s="61">
        <v>215</v>
      </c>
      <c r="E55">
        <f>SUM(C55:D55)</f>
        <v>595</v>
      </c>
      <c r="I55">
        <f>SUM(E55:H55)</f>
        <v>595</v>
      </c>
    </row>
    <row r="56" spans="2:9" ht="15" customHeight="1" x14ac:dyDescent="0.45">
      <c r="B56" s="16" t="s">
        <v>65</v>
      </c>
      <c r="C56" s="61">
        <v>150</v>
      </c>
      <c r="D56" s="61">
        <v>86</v>
      </c>
      <c r="E56">
        <f>SUM(C56:D56)</f>
        <v>236</v>
      </c>
      <c r="I56">
        <f>SUM(E56:H56)</f>
        <v>236</v>
      </c>
    </row>
    <row r="57" spans="2:9" ht="15" customHeight="1" x14ac:dyDescent="0.45">
      <c r="B57" s="16" t="s">
        <v>66</v>
      </c>
      <c r="C57" s="61">
        <v>100</v>
      </c>
      <c r="D57" s="61">
        <v>0</v>
      </c>
      <c r="E57">
        <f>SUM(C57:D57)</f>
        <v>100</v>
      </c>
      <c r="H57" s="61">
        <f>240+F66</f>
        <v>125</v>
      </c>
      <c r="I57">
        <f>SUM(E57:H57)</f>
        <v>225</v>
      </c>
    </row>
    <row r="58" spans="2:9" ht="15" customHeight="1" x14ac:dyDescent="0.45">
      <c r="B58" s="16" t="s">
        <v>57</v>
      </c>
      <c r="C58">
        <f>SUM(C53:C57)</f>
        <v>778</v>
      </c>
      <c r="D58">
        <f>SUM(D53:D57)</f>
        <v>467</v>
      </c>
      <c r="I58">
        <f>SUM(I53:I57)</f>
        <v>1365</v>
      </c>
    </row>
    <row r="60" spans="2:9" ht="15" customHeight="1" x14ac:dyDescent="0.45">
      <c r="B60" s="16" t="s">
        <v>58</v>
      </c>
      <c r="C60" s="61">
        <v>25</v>
      </c>
      <c r="D60" s="61">
        <v>12</v>
      </c>
      <c r="E60">
        <f>SUM(C60:D60)</f>
        <v>37</v>
      </c>
      <c r="I60">
        <f>SUM(E60:H60)</f>
        <v>37</v>
      </c>
    </row>
    <row r="61" spans="2:9" ht="15" customHeight="1" x14ac:dyDescent="0.45">
      <c r="B61" s="16" t="s">
        <v>291</v>
      </c>
      <c r="C61" s="61">
        <v>260</v>
      </c>
      <c r="D61" s="61">
        <v>100</v>
      </c>
      <c r="E61">
        <f>SUM(C61:D61)</f>
        <v>360</v>
      </c>
      <c r="I61">
        <f>SUM(E61:H61)</f>
        <v>360</v>
      </c>
    </row>
    <row r="62" spans="2:9" ht="15" customHeight="1" x14ac:dyDescent="0.45">
      <c r="B62" s="16" t="s">
        <v>59</v>
      </c>
      <c r="C62" s="61">
        <v>319</v>
      </c>
      <c r="D62" s="61">
        <v>200</v>
      </c>
      <c r="E62">
        <f>SUM(C62:D62)</f>
        <v>519</v>
      </c>
      <c r="G62" s="61">
        <f>240-G66+G53</f>
        <v>145</v>
      </c>
      <c r="I62">
        <f>SUM(E62:H62)</f>
        <v>664</v>
      </c>
    </row>
    <row r="63" spans="2:9" ht="15" customHeight="1" x14ac:dyDescent="0.45">
      <c r="B63" s="16" t="s">
        <v>292</v>
      </c>
      <c r="C63" s="61">
        <v>44</v>
      </c>
      <c r="D63" s="61">
        <v>40</v>
      </c>
      <c r="E63">
        <f>SUM(C63:D63)</f>
        <v>84</v>
      </c>
      <c r="I63">
        <f>SUM(E63:H63)</f>
        <v>84</v>
      </c>
    </row>
    <row r="64" spans="2:9" ht="15" customHeight="1" x14ac:dyDescent="0.45">
      <c r="B64" s="16" t="s">
        <v>60</v>
      </c>
      <c r="C64">
        <f>SUM(C60:C63)</f>
        <v>648</v>
      </c>
      <c r="D64">
        <f>SUM(D60:D63)</f>
        <v>352</v>
      </c>
      <c r="I64">
        <f>SUM(I60:I63)</f>
        <v>1145</v>
      </c>
    </row>
    <row r="65" spans="1:9" ht="15" customHeight="1" x14ac:dyDescent="0.45">
      <c r="D65" s="71"/>
    </row>
    <row r="66" spans="1:9" ht="15" customHeight="1" x14ac:dyDescent="0.45">
      <c r="B66" s="16" t="s">
        <v>45</v>
      </c>
      <c r="C66" s="61">
        <v>130</v>
      </c>
      <c r="D66" s="61">
        <v>115</v>
      </c>
      <c r="E66">
        <f>SUM(C66:D66)</f>
        <v>245</v>
      </c>
      <c r="F66">
        <f>-D66</f>
        <v>-115</v>
      </c>
      <c r="G66" s="61">
        <v>90</v>
      </c>
      <c r="I66">
        <f>SUM(E66:H66)</f>
        <v>220</v>
      </c>
    </row>
    <row r="67" spans="1:9" ht="15" customHeight="1" x14ac:dyDescent="0.45">
      <c r="B67" s="16" t="s">
        <v>63</v>
      </c>
      <c r="C67">
        <f>C64+C66</f>
        <v>778</v>
      </c>
      <c r="D67">
        <f>D64+D66</f>
        <v>467</v>
      </c>
      <c r="I67">
        <f>I64+I66</f>
        <v>1365</v>
      </c>
    </row>
    <row r="68" spans="1:9" ht="15" customHeight="1" x14ac:dyDescent="0.45">
      <c r="C68" s="71"/>
      <c r="D68" s="71"/>
    </row>
    <row r="69" spans="1:9" ht="15" customHeight="1" x14ac:dyDescent="0.45">
      <c r="A69" s="15" t="s">
        <v>20</v>
      </c>
    </row>
    <row r="70" spans="1:9" ht="15" customHeight="1" x14ac:dyDescent="0.45">
      <c r="B70" s="16" t="s">
        <v>320</v>
      </c>
    </row>
    <row r="71" spans="1:9" ht="15" customHeight="1" x14ac:dyDescent="0.45">
      <c r="B71" s="16" t="s">
        <v>321</v>
      </c>
    </row>
    <row r="72" spans="1:9" ht="15" customHeight="1" x14ac:dyDescent="0.45">
      <c r="B72" s="16" t="s">
        <v>269</v>
      </c>
    </row>
    <row r="73" spans="1:9" ht="15" customHeight="1" x14ac:dyDescent="0.45">
      <c r="B73" s="16" t="s">
        <v>74</v>
      </c>
    </row>
    <row r="74" spans="1:9" ht="15" customHeight="1" x14ac:dyDescent="0.45">
      <c r="B74" s="16" t="s">
        <v>75</v>
      </c>
      <c r="C74" s="61">
        <v>85</v>
      </c>
    </row>
    <row r="76" spans="1:9" ht="15" customHeight="1" x14ac:dyDescent="0.45">
      <c r="B76" s="16" t="s">
        <v>76</v>
      </c>
    </row>
    <row r="77" spans="1:9" ht="15" customHeight="1" x14ac:dyDescent="0.45">
      <c r="B77" s="16" t="s">
        <v>77</v>
      </c>
      <c r="C77" s="61">
        <v>1.5</v>
      </c>
    </row>
    <row r="78" spans="1:9" ht="15" customHeight="1" x14ac:dyDescent="0.45">
      <c r="B78" s="16" t="s">
        <v>78</v>
      </c>
      <c r="C78" s="61">
        <v>50</v>
      </c>
    </row>
    <row r="79" spans="1:9" ht="15" customHeight="1" x14ac:dyDescent="0.45">
      <c r="B79" s="16" t="s">
        <v>79</v>
      </c>
      <c r="C79" s="61">
        <f>85-C77-C78</f>
        <v>33.5</v>
      </c>
    </row>
    <row r="80" spans="1:9" ht="15" customHeight="1" x14ac:dyDescent="0.45">
      <c r="C80">
        <f>SUM(C77:C79)</f>
        <v>85</v>
      </c>
    </row>
    <row r="82" spans="2:8" ht="15" customHeight="1" x14ac:dyDescent="0.45">
      <c r="B82" s="16" t="s">
        <v>88</v>
      </c>
    </row>
    <row r="83" spans="2:8" ht="15" customHeight="1" x14ac:dyDescent="0.45">
      <c r="B83" s="16" t="s">
        <v>81</v>
      </c>
      <c r="C83">
        <f>C74</f>
        <v>85</v>
      </c>
    </row>
    <row r="84" spans="2:8" ht="15" customHeight="1" x14ac:dyDescent="0.45">
      <c r="B84" s="16" t="s">
        <v>82</v>
      </c>
      <c r="C84">
        <f>SUM(E101:E102)</f>
        <v>-40.299999999999997</v>
      </c>
    </row>
    <row r="85" spans="2:8" ht="15" customHeight="1" x14ac:dyDescent="0.45">
      <c r="B85" s="16" t="s">
        <v>87</v>
      </c>
      <c r="C85">
        <f>SUM(C83:C84)</f>
        <v>44.7</v>
      </c>
    </row>
    <row r="87" spans="2:8" ht="15" customHeight="1" x14ac:dyDescent="0.45">
      <c r="C87" s="67" t="s">
        <v>288</v>
      </c>
      <c r="D87" s="67" t="s">
        <v>73</v>
      </c>
      <c r="E87" t="s">
        <v>69</v>
      </c>
      <c r="F87" t="s">
        <v>68</v>
      </c>
      <c r="G87" t="s">
        <v>66</v>
      </c>
      <c r="H87" t="s">
        <v>50</v>
      </c>
    </row>
    <row r="88" spans="2:8" ht="15" customHeight="1" x14ac:dyDescent="0.45">
      <c r="B88" s="16" t="s">
        <v>48</v>
      </c>
      <c r="C88" s="61">
        <v>2.8</v>
      </c>
      <c r="D88" s="61">
        <v>2.0999999999999996</v>
      </c>
      <c r="F88">
        <f>-C77</f>
        <v>-1.5</v>
      </c>
      <c r="H88">
        <f>SUM(C88:G88)</f>
        <v>3.3999999999999995</v>
      </c>
    </row>
    <row r="89" spans="2:8" ht="15" customHeight="1" x14ac:dyDescent="0.45">
      <c r="B89" s="16" t="s">
        <v>56</v>
      </c>
      <c r="C89" s="61">
        <v>49</v>
      </c>
      <c r="D89" s="61">
        <v>56</v>
      </c>
      <c r="H89">
        <f>SUM(C89:G89)</f>
        <v>105</v>
      </c>
    </row>
    <row r="90" spans="2:8" ht="15" customHeight="1" x14ac:dyDescent="0.45">
      <c r="B90" s="16" t="s">
        <v>64</v>
      </c>
      <c r="C90" s="61">
        <v>133</v>
      </c>
      <c r="D90" s="61">
        <v>75.3</v>
      </c>
      <c r="H90">
        <f>SUM(C90:G90)</f>
        <v>208.3</v>
      </c>
    </row>
    <row r="91" spans="2:8" ht="15" customHeight="1" x14ac:dyDescent="0.45">
      <c r="B91" s="16" t="s">
        <v>65</v>
      </c>
      <c r="C91" s="61">
        <v>52.5</v>
      </c>
      <c r="D91" s="61">
        <v>30.099999999999998</v>
      </c>
      <c r="H91">
        <f>SUM(C91:G91)</f>
        <v>82.6</v>
      </c>
    </row>
    <row r="92" spans="2:8" ht="15" customHeight="1" x14ac:dyDescent="0.45">
      <c r="B92" s="16" t="s">
        <v>66</v>
      </c>
      <c r="C92" s="61">
        <v>35</v>
      </c>
      <c r="D92" s="61">
        <v>0</v>
      </c>
      <c r="G92">
        <f>C85</f>
        <v>44.7</v>
      </c>
      <c r="H92">
        <f>SUM(C92:G92)</f>
        <v>79.7</v>
      </c>
    </row>
    <row r="93" spans="2:8" ht="15" customHeight="1" x14ac:dyDescent="0.45">
      <c r="B93" s="16" t="s">
        <v>57</v>
      </c>
      <c r="C93">
        <f>SUM(C88:C92)</f>
        <v>272.3</v>
      </c>
      <c r="D93">
        <f>SUM(D88:D92)</f>
        <v>163.5</v>
      </c>
      <c r="H93">
        <f>SUM(H88:H92)</f>
        <v>479.00000000000006</v>
      </c>
    </row>
    <row r="95" spans="2:8" ht="15" customHeight="1" x14ac:dyDescent="0.45">
      <c r="B95" s="16" t="s">
        <v>58</v>
      </c>
      <c r="C95" s="61">
        <v>8.75</v>
      </c>
      <c r="D95" s="61">
        <v>4.1999999999999993</v>
      </c>
      <c r="H95">
        <f>SUM(C95:G95)</f>
        <v>12.95</v>
      </c>
    </row>
    <row r="96" spans="2:8" ht="15" customHeight="1" x14ac:dyDescent="0.45">
      <c r="B96" s="16" t="s">
        <v>291</v>
      </c>
      <c r="C96" s="61">
        <v>91</v>
      </c>
      <c r="D96" s="61">
        <v>35</v>
      </c>
      <c r="H96">
        <f>SUM(C96:G96)</f>
        <v>126</v>
      </c>
    </row>
    <row r="97" spans="1:8" ht="15" customHeight="1" x14ac:dyDescent="0.45">
      <c r="B97" s="16" t="s">
        <v>59</v>
      </c>
      <c r="C97" s="61">
        <v>111.64999999999999</v>
      </c>
      <c r="D97" s="61">
        <v>70</v>
      </c>
      <c r="F97">
        <f>C79</f>
        <v>33.5</v>
      </c>
      <c r="H97">
        <f>SUM(C97:G97)</f>
        <v>215.14999999999998</v>
      </c>
    </row>
    <row r="98" spans="1:8" ht="15" customHeight="1" x14ac:dyDescent="0.45">
      <c r="B98" s="16" t="s">
        <v>292</v>
      </c>
      <c r="C98" s="61">
        <v>15.399999999999999</v>
      </c>
      <c r="D98" s="61">
        <v>14</v>
      </c>
      <c r="H98">
        <f>SUM(C98:G98)</f>
        <v>29.4</v>
      </c>
    </row>
    <row r="99" spans="1:8" ht="15" customHeight="1" x14ac:dyDescent="0.45">
      <c r="B99" s="16" t="s">
        <v>60</v>
      </c>
      <c r="C99">
        <f>SUM(C95:C98)</f>
        <v>226.79999999999998</v>
      </c>
      <c r="D99">
        <f>SUM(D95:D98)</f>
        <v>123.2</v>
      </c>
      <c r="H99">
        <f>SUM(H95:H98)</f>
        <v>383.49999999999994</v>
      </c>
    </row>
    <row r="101" spans="1:8" ht="15" customHeight="1" x14ac:dyDescent="0.45">
      <c r="B101" s="16" t="s">
        <v>83</v>
      </c>
      <c r="C101" s="61">
        <v>10</v>
      </c>
      <c r="D101" s="61">
        <v>17</v>
      </c>
      <c r="E101">
        <f>-D101</f>
        <v>-17</v>
      </c>
      <c r="F101">
        <f>C78</f>
        <v>50</v>
      </c>
      <c r="H101">
        <f>SUM(C101:G101)</f>
        <v>60</v>
      </c>
    </row>
    <row r="102" spans="1:8" ht="15" customHeight="1" x14ac:dyDescent="0.45">
      <c r="B102" s="16" t="s">
        <v>61</v>
      </c>
      <c r="C102" s="61">
        <v>35.5</v>
      </c>
      <c r="D102" s="61">
        <v>23.3</v>
      </c>
      <c r="E102">
        <f>-D102</f>
        <v>-23.3</v>
      </c>
      <c r="H102">
        <f>SUM(C102:G102)</f>
        <v>35.5</v>
      </c>
    </row>
    <row r="103" spans="1:8" ht="15" customHeight="1" x14ac:dyDescent="0.45">
      <c r="B103" s="16" t="s">
        <v>62</v>
      </c>
      <c r="C103">
        <f>SUM(C101:C102)</f>
        <v>45.5</v>
      </c>
      <c r="D103">
        <f>SUM(D101:D102)</f>
        <v>40.299999999999997</v>
      </c>
      <c r="F103" s="70"/>
      <c r="H103">
        <f>SUM(H101:H102)</f>
        <v>95.5</v>
      </c>
    </row>
    <row r="104" spans="1:8" ht="15" customHeight="1" x14ac:dyDescent="0.45">
      <c r="B104" s="16" t="s">
        <v>63</v>
      </c>
      <c r="C104">
        <f>C103+C99</f>
        <v>272.29999999999995</v>
      </c>
      <c r="D104">
        <f>D103+D99</f>
        <v>163.5</v>
      </c>
      <c r="F104" s="70"/>
      <c r="H104">
        <f>H103+H99</f>
        <v>478.99999999999994</v>
      </c>
    </row>
    <row r="105" spans="1:8" ht="15" customHeight="1" x14ac:dyDescent="0.45">
      <c r="E105" s="71"/>
      <c r="F105" s="71"/>
    </row>
    <row r="106" spans="1:8" ht="15" customHeight="1" x14ac:dyDescent="0.45">
      <c r="A106" s="15" t="s">
        <v>21</v>
      </c>
      <c r="F106" s="71"/>
    </row>
    <row r="107" spans="1:8" ht="15" customHeight="1" x14ac:dyDescent="0.45">
      <c r="B107" s="16" t="s">
        <v>322</v>
      </c>
      <c r="F107" s="71"/>
    </row>
    <row r="108" spans="1:8" ht="15" customHeight="1" x14ac:dyDescent="0.45">
      <c r="B108" s="16" t="s">
        <v>323</v>
      </c>
      <c r="F108" s="71"/>
    </row>
    <row r="109" spans="1:8" ht="15" customHeight="1" x14ac:dyDescent="0.45">
      <c r="B109" s="16" t="s">
        <v>269</v>
      </c>
      <c r="F109" s="71"/>
    </row>
    <row r="110" spans="1:8" ht="15" customHeight="1" x14ac:dyDescent="0.45">
      <c r="F110" s="71"/>
    </row>
    <row r="111" spans="1:8" ht="15" customHeight="1" x14ac:dyDescent="0.45">
      <c r="B111" s="16" t="s">
        <v>74</v>
      </c>
      <c r="F111" s="71"/>
    </row>
    <row r="112" spans="1:8" ht="15" customHeight="1" x14ac:dyDescent="0.45">
      <c r="B112" s="16" t="s">
        <v>84</v>
      </c>
      <c r="C112" s="61">
        <v>305</v>
      </c>
      <c r="F112" s="71"/>
    </row>
    <row r="113" spans="2:8" ht="15" customHeight="1" x14ac:dyDescent="0.45">
      <c r="B113" s="16" t="s">
        <v>85</v>
      </c>
      <c r="C113">
        <f>D135+D137</f>
        <v>296.8</v>
      </c>
      <c r="F113" s="71"/>
    </row>
    <row r="114" spans="2:8" ht="15" customHeight="1" x14ac:dyDescent="0.45">
      <c r="C114">
        <f>SUM(C112:C113)</f>
        <v>601.79999999999995</v>
      </c>
      <c r="F114" s="71"/>
    </row>
    <row r="115" spans="2:8" ht="15" customHeight="1" x14ac:dyDescent="0.45">
      <c r="F115" s="71"/>
    </row>
    <row r="116" spans="2:8" ht="15" customHeight="1" x14ac:dyDescent="0.45">
      <c r="B116" s="16" t="s">
        <v>76</v>
      </c>
      <c r="F116" s="71"/>
    </row>
    <row r="117" spans="2:8" ht="15" customHeight="1" x14ac:dyDescent="0.45">
      <c r="B117" s="16" t="s">
        <v>77</v>
      </c>
      <c r="C117" s="61">
        <v>5</v>
      </c>
      <c r="F117" s="71"/>
    </row>
    <row r="118" spans="2:8" ht="15" customHeight="1" x14ac:dyDescent="0.45">
      <c r="B118" s="16" t="s">
        <v>78</v>
      </c>
      <c r="C118" s="61">
        <v>75</v>
      </c>
      <c r="F118" s="71"/>
    </row>
    <row r="119" spans="2:8" ht="15" customHeight="1" x14ac:dyDescent="0.45">
      <c r="B119" s="16" t="s">
        <v>79</v>
      </c>
      <c r="C119">
        <f>C114-C117-C118</f>
        <v>521.79999999999995</v>
      </c>
      <c r="F119" s="71"/>
    </row>
    <row r="120" spans="2:8" ht="15" customHeight="1" x14ac:dyDescent="0.45">
      <c r="C120">
        <f>SUM(C117:C119)</f>
        <v>601.79999999999995</v>
      </c>
      <c r="F120" s="71"/>
    </row>
    <row r="121" spans="2:8" ht="15" customHeight="1" x14ac:dyDescent="0.45">
      <c r="F121" s="71"/>
    </row>
    <row r="122" spans="2:8" ht="15" customHeight="1" x14ac:dyDescent="0.45">
      <c r="B122" s="16" t="s">
        <v>88</v>
      </c>
      <c r="F122" s="71"/>
    </row>
    <row r="123" spans="2:8" ht="15" customHeight="1" x14ac:dyDescent="0.45">
      <c r="B123" s="16" t="s">
        <v>81</v>
      </c>
      <c r="C123">
        <f>C112</f>
        <v>305</v>
      </c>
      <c r="F123" s="71"/>
    </row>
    <row r="124" spans="2:8" ht="15" customHeight="1" x14ac:dyDescent="0.45">
      <c r="B124" s="16" t="s">
        <v>82</v>
      </c>
      <c r="C124">
        <f>SUM(E141:E142)</f>
        <v>-161.19999999999999</v>
      </c>
      <c r="F124" s="71"/>
    </row>
    <row r="125" spans="2:8" ht="15" customHeight="1" x14ac:dyDescent="0.45">
      <c r="B125" s="16" t="s">
        <v>87</v>
      </c>
      <c r="C125">
        <f>SUM(C123:C124)</f>
        <v>143.80000000000001</v>
      </c>
      <c r="F125" s="71"/>
    </row>
    <row r="126" spans="2:8" ht="15" customHeight="1" x14ac:dyDescent="0.45">
      <c r="F126" s="71"/>
    </row>
    <row r="127" spans="2:8" ht="15" customHeight="1" x14ac:dyDescent="0.45">
      <c r="C127" s="67" t="s">
        <v>289</v>
      </c>
      <c r="D127" s="67" t="s">
        <v>86</v>
      </c>
      <c r="E127" t="s">
        <v>69</v>
      </c>
      <c r="F127" t="s">
        <v>68</v>
      </c>
      <c r="G127" t="s">
        <v>66</v>
      </c>
      <c r="H127" t="s">
        <v>50</v>
      </c>
    </row>
    <row r="128" spans="2:8" ht="15" customHeight="1" x14ac:dyDescent="0.45">
      <c r="B128" s="16" t="s">
        <v>48</v>
      </c>
      <c r="C128" s="61">
        <v>11.2</v>
      </c>
      <c r="D128" s="61">
        <v>8.3999999999999986</v>
      </c>
      <c r="F128">
        <f>-C117</f>
        <v>-5</v>
      </c>
      <c r="H128">
        <f>SUM(C128:G128)</f>
        <v>14.599999999999998</v>
      </c>
    </row>
    <row r="129" spans="2:9" ht="15" customHeight="1" x14ac:dyDescent="0.45">
      <c r="B129" s="16" t="s">
        <v>56</v>
      </c>
      <c r="C129" s="61">
        <v>196</v>
      </c>
      <c r="D129" s="61">
        <v>224</v>
      </c>
      <c r="H129">
        <f>SUM(C129:G129)</f>
        <v>420</v>
      </c>
    </row>
    <row r="130" spans="2:9" ht="15" customHeight="1" x14ac:dyDescent="0.45">
      <c r="B130" s="16" t="s">
        <v>64</v>
      </c>
      <c r="C130" s="61">
        <v>532</v>
      </c>
      <c r="D130" s="61">
        <v>301</v>
      </c>
      <c r="H130">
        <f>SUM(C130:G130)</f>
        <v>833</v>
      </c>
    </row>
    <row r="131" spans="2:9" ht="15" customHeight="1" x14ac:dyDescent="0.45">
      <c r="B131" s="16" t="s">
        <v>65</v>
      </c>
      <c r="C131" s="61">
        <v>210</v>
      </c>
      <c r="D131" s="61">
        <v>120.6</v>
      </c>
      <c r="H131">
        <f>SUM(C131:G131)</f>
        <v>330.6</v>
      </c>
    </row>
    <row r="132" spans="2:9" ht="15" customHeight="1" x14ac:dyDescent="0.45">
      <c r="B132" s="16" t="s">
        <v>66</v>
      </c>
      <c r="C132" s="61">
        <v>140</v>
      </c>
      <c r="D132" s="61">
        <v>0</v>
      </c>
      <c r="G132">
        <f>C125</f>
        <v>143.80000000000001</v>
      </c>
      <c r="H132">
        <f>SUM(C132:G132)</f>
        <v>283.8</v>
      </c>
    </row>
    <row r="133" spans="2:9" ht="15" customHeight="1" x14ac:dyDescent="0.45">
      <c r="B133" s="16" t="s">
        <v>57</v>
      </c>
      <c r="C133">
        <f>SUM(C128:C132)</f>
        <v>1089.2</v>
      </c>
      <c r="D133">
        <f>SUM(D128:D132)</f>
        <v>654</v>
      </c>
      <c r="H133">
        <f>SUM(H128:H132)</f>
        <v>1881.9999999999998</v>
      </c>
    </row>
    <row r="135" spans="2:9" ht="15" customHeight="1" x14ac:dyDescent="0.45">
      <c r="B135" s="16" t="s">
        <v>58</v>
      </c>
      <c r="C135" s="61">
        <v>35</v>
      </c>
      <c r="D135" s="61">
        <v>16.799999999999997</v>
      </c>
      <c r="F135">
        <f>-D135</f>
        <v>-16.799999999999997</v>
      </c>
      <c r="H135">
        <f>SUM(C135:G135)</f>
        <v>35</v>
      </c>
    </row>
    <row r="136" spans="2:9" ht="15" customHeight="1" x14ac:dyDescent="0.45">
      <c r="B136" s="16" t="s">
        <v>291</v>
      </c>
      <c r="C136" s="61">
        <v>364</v>
      </c>
      <c r="D136" s="61">
        <v>140</v>
      </c>
      <c r="H136">
        <f>SUM(C136:G136)</f>
        <v>504</v>
      </c>
      <c r="I136" s="71"/>
    </row>
    <row r="137" spans="2:9" ht="15" customHeight="1" x14ac:dyDescent="0.45">
      <c r="B137" s="16" t="s">
        <v>59</v>
      </c>
      <c r="C137" s="61">
        <v>446.59999999999997</v>
      </c>
      <c r="D137" s="61">
        <v>280</v>
      </c>
      <c r="F137">
        <f>C119-D137</f>
        <v>241.79999999999995</v>
      </c>
      <c r="H137">
        <f>SUM(C137:G137)</f>
        <v>968.39999999999986</v>
      </c>
      <c r="I137" s="71"/>
    </row>
    <row r="138" spans="2:9" ht="15" customHeight="1" x14ac:dyDescent="0.45">
      <c r="B138" s="16" t="s">
        <v>292</v>
      </c>
      <c r="C138" s="61">
        <v>61.599999999999994</v>
      </c>
      <c r="D138" s="61">
        <v>56</v>
      </c>
      <c r="H138">
        <f>SUM(C138:G138)</f>
        <v>117.6</v>
      </c>
      <c r="I138" s="71"/>
    </row>
    <row r="139" spans="2:9" ht="15" customHeight="1" x14ac:dyDescent="0.45">
      <c r="B139" s="16" t="s">
        <v>60</v>
      </c>
      <c r="C139">
        <f>SUM(C135:C138)</f>
        <v>907.19999999999993</v>
      </c>
      <c r="D139">
        <f>SUM(D135:D138)</f>
        <v>492.8</v>
      </c>
      <c r="H139">
        <f>SUM(H135:H138)</f>
        <v>1624.9999999999998</v>
      </c>
      <c r="I139" s="71"/>
    </row>
    <row r="140" spans="2:9" ht="15" customHeight="1" x14ac:dyDescent="0.45">
      <c r="I140" s="71"/>
    </row>
    <row r="141" spans="2:9" ht="15" customHeight="1" x14ac:dyDescent="0.45">
      <c r="B141" s="16" t="s">
        <v>83</v>
      </c>
      <c r="C141" s="61">
        <v>40</v>
      </c>
      <c r="D141" s="61">
        <v>68</v>
      </c>
      <c r="E141">
        <f>-D141</f>
        <v>-68</v>
      </c>
      <c r="F141">
        <f>C118</f>
        <v>75</v>
      </c>
      <c r="H141">
        <f>SUM(C141:G141)</f>
        <v>115</v>
      </c>
      <c r="I141" s="71"/>
    </row>
    <row r="142" spans="2:9" ht="15" customHeight="1" x14ac:dyDescent="0.45">
      <c r="B142" s="16" t="s">
        <v>61</v>
      </c>
      <c r="C142" s="61">
        <v>142</v>
      </c>
      <c r="D142" s="61">
        <v>93.2</v>
      </c>
      <c r="E142">
        <f>-D142</f>
        <v>-93.2</v>
      </c>
      <c r="H142">
        <f>SUM(C142:G142)</f>
        <v>142</v>
      </c>
      <c r="I142" s="71"/>
    </row>
    <row r="143" spans="2:9" ht="15" customHeight="1" x14ac:dyDescent="0.45">
      <c r="B143" s="16" t="s">
        <v>62</v>
      </c>
      <c r="C143">
        <f>SUM(C141:C142)</f>
        <v>182</v>
      </c>
      <c r="D143">
        <f>SUM(D141:D142)</f>
        <v>161.19999999999999</v>
      </c>
      <c r="F143" s="70"/>
      <c r="H143">
        <f>SUM(H141:H142)</f>
        <v>257</v>
      </c>
      <c r="I143" s="71"/>
    </row>
    <row r="144" spans="2:9" ht="15" customHeight="1" x14ac:dyDescent="0.45">
      <c r="B144" s="16" t="s">
        <v>63</v>
      </c>
      <c r="C144">
        <f>C143+C139</f>
        <v>1089.1999999999998</v>
      </c>
      <c r="D144">
        <f>D143+D139</f>
        <v>654</v>
      </c>
      <c r="F144" s="70"/>
      <c r="H144">
        <f>H143+H139</f>
        <v>1881.9999999999998</v>
      </c>
      <c r="I144" s="71"/>
    </row>
    <row r="145" spans="1:9" ht="15" customHeight="1" x14ac:dyDescent="0.45">
      <c r="F145" s="70"/>
      <c r="I145" s="71"/>
    </row>
    <row r="146" spans="1:9" ht="15" customHeight="1" x14ac:dyDescent="0.45">
      <c r="A146" s="15" t="s">
        <v>22</v>
      </c>
      <c r="F146" s="70"/>
      <c r="I146" s="71"/>
    </row>
    <row r="147" spans="1:9" ht="15" customHeight="1" x14ac:dyDescent="0.45">
      <c r="B147" s="16" t="s">
        <v>89</v>
      </c>
      <c r="F147" s="70"/>
      <c r="I147" s="71"/>
    </row>
    <row r="148" spans="1:9" ht="15" customHeight="1" x14ac:dyDescent="0.45">
      <c r="C148" s="70"/>
      <c r="D148" s="70"/>
      <c r="F148" s="70"/>
      <c r="I148" s="71"/>
    </row>
    <row r="149" spans="1:9" ht="15" customHeight="1" x14ac:dyDescent="0.45">
      <c r="B149" s="16" t="s">
        <v>90</v>
      </c>
      <c r="C149" s="61">
        <v>250</v>
      </c>
      <c r="D149" s="70"/>
      <c r="F149" s="70"/>
      <c r="I149" s="71"/>
    </row>
    <row r="150" spans="1:9" ht="15" customHeight="1" x14ac:dyDescent="0.45">
      <c r="B150" s="16" t="s">
        <v>91</v>
      </c>
      <c r="C150" s="61">
        <v>160</v>
      </c>
      <c r="D150" s="70"/>
      <c r="F150" s="70"/>
      <c r="I150" s="71"/>
    </row>
    <row r="151" spans="1:9" ht="15" customHeight="1" x14ac:dyDescent="0.45">
      <c r="B151" s="16" t="s">
        <v>92</v>
      </c>
      <c r="C151" s="61">
        <v>40</v>
      </c>
      <c r="D151" s="70"/>
      <c r="F151" s="70"/>
      <c r="I151" s="71"/>
    </row>
    <row r="152" spans="1:9" ht="15" customHeight="1" x14ac:dyDescent="0.45">
      <c r="B152" s="16" t="s">
        <v>93</v>
      </c>
      <c r="C152" s="61">
        <v>0</v>
      </c>
      <c r="D152" s="70"/>
      <c r="F152" s="70"/>
      <c r="I152" s="71"/>
    </row>
    <row r="153" spans="1:9" ht="15" customHeight="1" x14ac:dyDescent="0.45">
      <c r="B153" s="16" t="s">
        <v>106</v>
      </c>
      <c r="C153" s="61">
        <v>55</v>
      </c>
      <c r="D153" s="70"/>
      <c r="F153" s="70"/>
      <c r="I153" s="71"/>
    </row>
    <row r="154" spans="1:9" ht="15" customHeight="1" x14ac:dyDescent="0.45">
      <c r="B154" s="16" t="s">
        <v>107</v>
      </c>
      <c r="C154" s="61">
        <v>20</v>
      </c>
      <c r="D154" s="70"/>
      <c r="F154" s="70"/>
      <c r="I154" s="71"/>
    </row>
    <row r="155" spans="1:9" ht="15" customHeight="1" x14ac:dyDescent="0.45">
      <c r="D155" s="70"/>
      <c r="F155" s="70"/>
      <c r="I155" s="71"/>
    </row>
    <row r="156" spans="1:9" ht="15" customHeight="1" x14ac:dyDescent="0.45">
      <c r="B156" s="16" t="s">
        <v>94</v>
      </c>
      <c r="D156" s="70"/>
      <c r="F156" s="70"/>
      <c r="I156" s="71"/>
    </row>
    <row r="157" spans="1:9" ht="15" customHeight="1" x14ac:dyDescent="0.45">
      <c r="D157" s="70"/>
      <c r="F157" s="70"/>
      <c r="I157" s="71"/>
    </row>
    <row r="158" spans="1:9" ht="15" customHeight="1" x14ac:dyDescent="0.45">
      <c r="B158" s="16" t="str">
        <f>B149</f>
        <v>Equity purchase price</v>
      </c>
      <c r="C158">
        <f>C149</f>
        <v>250</v>
      </c>
      <c r="D158" s="70"/>
      <c r="E158" s="70"/>
      <c r="F158" s="70"/>
      <c r="I158" s="71"/>
    </row>
    <row r="159" spans="1:9" ht="15" customHeight="1" x14ac:dyDescent="0.45">
      <c r="B159" s="16" t="str">
        <f>B150</f>
        <v>Shareholders' equity on balance sheet at deal date</v>
      </c>
      <c r="C159">
        <f>C150</f>
        <v>160</v>
      </c>
      <c r="D159" s="70"/>
      <c r="E159" s="70"/>
      <c r="F159" s="70"/>
      <c r="I159" s="71"/>
    </row>
    <row r="160" spans="1:9" ht="15" customHeight="1" x14ac:dyDescent="0.45">
      <c r="B160" s="16" t="s">
        <v>88</v>
      </c>
      <c r="C160">
        <f>C158-C159</f>
        <v>90</v>
      </c>
      <c r="D160" s="71"/>
      <c r="E160" s="71"/>
      <c r="F160" s="71"/>
      <c r="I160" s="71"/>
    </row>
    <row r="161" spans="1:9" ht="15" customHeight="1" x14ac:dyDescent="0.45">
      <c r="B161" s="16" t="s">
        <v>95</v>
      </c>
      <c r="C161" s="62">
        <f>C153-C151</f>
        <v>15</v>
      </c>
      <c r="D161" s="71"/>
      <c r="E161" s="71"/>
      <c r="F161" s="71"/>
      <c r="I161" s="71"/>
    </row>
    <row r="162" spans="1:9" ht="15" customHeight="1" x14ac:dyDescent="0.45">
      <c r="B162" s="16" t="s">
        <v>96</v>
      </c>
      <c r="C162" s="62">
        <f>C154-C152</f>
        <v>20</v>
      </c>
      <c r="D162" s="71"/>
      <c r="E162" s="71"/>
      <c r="F162" s="71"/>
      <c r="I162" s="71"/>
    </row>
    <row r="163" spans="1:9" ht="15" customHeight="1" x14ac:dyDescent="0.45">
      <c r="B163" s="16" t="s">
        <v>97</v>
      </c>
      <c r="C163" s="62">
        <f>C160-C161-C162</f>
        <v>55</v>
      </c>
      <c r="D163" s="71"/>
      <c r="E163" s="71"/>
      <c r="F163" s="71"/>
      <c r="I163" s="71"/>
    </row>
    <row r="164" spans="1:9" ht="15" customHeight="1" x14ac:dyDescent="0.45">
      <c r="D164" s="71"/>
      <c r="E164" s="71"/>
      <c r="F164" s="71"/>
      <c r="I164" s="71"/>
    </row>
    <row r="165" spans="1:9" ht="15" customHeight="1" x14ac:dyDescent="0.45">
      <c r="B165" s="16" t="s">
        <v>98</v>
      </c>
      <c r="D165" s="71"/>
      <c r="E165" s="71"/>
      <c r="F165" s="71"/>
      <c r="I165" s="71"/>
    </row>
    <row r="166" spans="1:9" ht="15" customHeight="1" x14ac:dyDescent="0.45">
      <c r="B166" s="16" t="str">
        <f>B158</f>
        <v>Equity purchase price</v>
      </c>
      <c r="C166" s="62">
        <f>C158</f>
        <v>250</v>
      </c>
      <c r="D166" s="71"/>
      <c r="E166" s="71"/>
      <c r="F166" s="71"/>
      <c r="I166" s="71"/>
    </row>
    <row r="167" spans="1:9" ht="15" customHeight="1" x14ac:dyDescent="0.45">
      <c r="D167" s="71"/>
      <c r="E167" s="71"/>
      <c r="F167" s="71"/>
      <c r="I167" s="71"/>
    </row>
    <row r="168" spans="1:9" ht="15" customHeight="1" x14ac:dyDescent="0.45">
      <c r="B168" s="16" t="str">
        <f>B159</f>
        <v>Shareholders' equity on balance sheet at deal date</v>
      </c>
      <c r="C168" s="62">
        <f>C159</f>
        <v>160</v>
      </c>
      <c r="D168" s="71"/>
      <c r="E168" s="71"/>
      <c r="F168" s="71"/>
      <c r="I168" s="71"/>
    </row>
    <row r="169" spans="1:9" ht="15" customHeight="1" x14ac:dyDescent="0.45">
      <c r="B169" s="16" t="s">
        <v>99</v>
      </c>
      <c r="C169">
        <f>C161</f>
        <v>15</v>
      </c>
      <c r="D169" s="71"/>
      <c r="E169" s="71"/>
      <c r="F169" s="71"/>
      <c r="I169" s="71"/>
    </row>
    <row r="170" spans="1:9" ht="15" customHeight="1" x14ac:dyDescent="0.45">
      <c r="B170" s="16" t="s">
        <v>100</v>
      </c>
      <c r="C170">
        <f>C162</f>
        <v>20</v>
      </c>
      <c r="D170" s="71"/>
      <c r="E170" s="71"/>
      <c r="F170" s="71"/>
      <c r="I170" s="71"/>
    </row>
    <row r="171" spans="1:9" ht="15" customHeight="1" x14ac:dyDescent="0.45">
      <c r="B171" s="16" t="s">
        <v>101</v>
      </c>
      <c r="C171">
        <f>SUM(C168:C170)</f>
        <v>195</v>
      </c>
      <c r="D171" s="71"/>
      <c r="E171" s="71"/>
      <c r="F171" s="71"/>
      <c r="I171" s="71"/>
    </row>
    <row r="172" spans="1:9" ht="15" customHeight="1" x14ac:dyDescent="0.45">
      <c r="C172" s="71"/>
      <c r="D172" s="71"/>
      <c r="E172" s="71"/>
      <c r="F172" s="71"/>
      <c r="I172" s="71"/>
    </row>
    <row r="173" spans="1:9" ht="15" customHeight="1" x14ac:dyDescent="0.45">
      <c r="B173" s="16" t="s">
        <v>115</v>
      </c>
      <c r="C173">
        <f>C166-C171</f>
        <v>55</v>
      </c>
      <c r="D173" s="71"/>
      <c r="E173" s="71"/>
      <c r="F173" s="71"/>
      <c r="I173" s="71"/>
    </row>
    <row r="174" spans="1:9" ht="15" customHeight="1" x14ac:dyDescent="0.45">
      <c r="D174" s="71"/>
      <c r="E174" s="71"/>
      <c r="F174" s="71"/>
      <c r="I174" s="71"/>
    </row>
    <row r="175" spans="1:9" ht="15" customHeight="1" x14ac:dyDescent="0.45">
      <c r="A175" s="15" t="s">
        <v>23</v>
      </c>
      <c r="D175" s="71"/>
      <c r="E175" s="71"/>
      <c r="F175" s="71"/>
      <c r="I175" s="71"/>
    </row>
    <row r="176" spans="1:9" ht="15" customHeight="1" x14ac:dyDescent="0.45">
      <c r="B176" s="16" t="s">
        <v>102</v>
      </c>
      <c r="D176" s="71"/>
      <c r="E176" s="71"/>
      <c r="F176" s="71"/>
      <c r="I176" s="71"/>
    </row>
    <row r="177" spans="2:9" ht="15" customHeight="1" x14ac:dyDescent="0.45">
      <c r="C177" s="70"/>
      <c r="D177" s="70"/>
      <c r="E177" s="71"/>
      <c r="F177" s="71"/>
      <c r="I177" s="71"/>
    </row>
    <row r="178" spans="2:9" ht="15" customHeight="1" x14ac:dyDescent="0.45">
      <c r="B178" s="16" t="s">
        <v>90</v>
      </c>
      <c r="C178" s="61">
        <v>3000</v>
      </c>
      <c r="D178" s="70"/>
      <c r="E178" s="71"/>
      <c r="F178" s="71"/>
      <c r="I178" s="71"/>
    </row>
    <row r="179" spans="2:9" ht="15" customHeight="1" x14ac:dyDescent="0.45">
      <c r="B179" s="16" t="s">
        <v>91</v>
      </c>
      <c r="C179" s="61">
        <v>2100</v>
      </c>
      <c r="D179" s="70"/>
      <c r="E179" s="71"/>
      <c r="F179" s="71"/>
      <c r="I179" s="71"/>
    </row>
    <row r="180" spans="2:9" ht="15" customHeight="1" x14ac:dyDescent="0.45">
      <c r="B180" s="16" t="s">
        <v>92</v>
      </c>
      <c r="C180" s="61">
        <v>680</v>
      </c>
      <c r="D180" s="70"/>
      <c r="E180" s="71"/>
      <c r="F180" s="71"/>
      <c r="I180" s="71"/>
    </row>
    <row r="181" spans="2:9" ht="15" customHeight="1" x14ac:dyDescent="0.45">
      <c r="B181" s="16" t="s">
        <v>93</v>
      </c>
      <c r="C181" s="61">
        <v>100</v>
      </c>
      <c r="D181" s="70"/>
      <c r="E181" s="71"/>
      <c r="F181" s="71"/>
      <c r="I181" s="71"/>
    </row>
    <row r="182" spans="2:9" ht="15" customHeight="1" x14ac:dyDescent="0.45">
      <c r="B182" s="16" t="s">
        <v>106</v>
      </c>
      <c r="C182" s="61">
        <v>1200</v>
      </c>
      <c r="D182" s="70"/>
      <c r="E182" s="71"/>
      <c r="F182" s="71"/>
      <c r="I182" s="71"/>
    </row>
    <row r="183" spans="2:9" ht="15" customHeight="1" x14ac:dyDescent="0.45">
      <c r="B183" s="16" t="s">
        <v>107</v>
      </c>
      <c r="C183" s="61">
        <v>900</v>
      </c>
      <c r="D183" s="70"/>
      <c r="E183" s="71"/>
      <c r="F183" s="71"/>
      <c r="I183" s="71"/>
    </row>
    <row r="184" spans="2:9" ht="15" customHeight="1" x14ac:dyDescent="0.45">
      <c r="B184" s="16" t="s">
        <v>103</v>
      </c>
      <c r="C184" s="61">
        <v>1960</v>
      </c>
      <c r="D184" s="70"/>
      <c r="E184" s="71"/>
      <c r="F184" s="71"/>
      <c r="I184" s="71"/>
    </row>
    <row r="185" spans="2:9" ht="15" customHeight="1" x14ac:dyDescent="0.45">
      <c r="B185" s="16" t="s">
        <v>104</v>
      </c>
      <c r="C185" s="61">
        <v>450</v>
      </c>
      <c r="D185" s="70"/>
      <c r="E185" s="71"/>
      <c r="F185" s="71"/>
      <c r="I185" s="71"/>
    </row>
    <row r="186" spans="2:9" ht="15" customHeight="1" x14ac:dyDescent="0.45">
      <c r="B186" s="16" t="s">
        <v>105</v>
      </c>
      <c r="C186" s="61">
        <v>670</v>
      </c>
      <c r="D186" s="70"/>
      <c r="E186" s="71"/>
      <c r="F186" s="71"/>
      <c r="I186" s="71"/>
    </row>
    <row r="187" spans="2:9" ht="15" customHeight="1" x14ac:dyDescent="0.45">
      <c r="D187" s="70"/>
      <c r="E187" s="71"/>
      <c r="F187" s="71"/>
      <c r="I187" s="71"/>
    </row>
    <row r="188" spans="2:9" ht="15" customHeight="1" x14ac:dyDescent="0.45">
      <c r="B188" s="16" t="s">
        <v>116</v>
      </c>
      <c r="D188" s="70"/>
      <c r="E188" s="71"/>
      <c r="F188" s="71"/>
      <c r="I188" s="71"/>
    </row>
    <row r="189" spans="2:9" ht="15" customHeight="1" x14ac:dyDescent="0.45">
      <c r="D189" s="70"/>
      <c r="E189" s="71"/>
      <c r="F189" s="71"/>
      <c r="I189" s="71"/>
    </row>
    <row r="190" spans="2:9" ht="15" customHeight="1" x14ac:dyDescent="0.45">
      <c r="B190" s="16" t="str">
        <f>B178</f>
        <v>Equity purchase price</v>
      </c>
      <c r="C190" s="62">
        <f>C178</f>
        <v>3000</v>
      </c>
      <c r="D190" s="70"/>
      <c r="E190" s="71"/>
      <c r="F190" s="71"/>
      <c r="I190" s="71"/>
    </row>
    <row r="191" spans="2:9" ht="15" customHeight="1" x14ac:dyDescent="0.45">
      <c r="D191" s="70"/>
      <c r="E191" s="70"/>
      <c r="F191" s="70"/>
      <c r="I191" s="71"/>
    </row>
    <row r="192" spans="2:9" ht="15" customHeight="1" x14ac:dyDescent="0.45">
      <c r="B192" s="16" t="str">
        <f>B179</f>
        <v>Shareholders' equity on balance sheet at deal date</v>
      </c>
      <c r="C192" s="62">
        <f>C179</f>
        <v>2100</v>
      </c>
      <c r="D192" s="70"/>
      <c r="E192" s="70"/>
      <c r="F192" s="70"/>
      <c r="I192" s="71"/>
    </row>
    <row r="193" spans="1:9" ht="15" customHeight="1" x14ac:dyDescent="0.45">
      <c r="B193" s="16" t="s">
        <v>99</v>
      </c>
      <c r="C193">
        <f>C182-C180</f>
        <v>520</v>
      </c>
      <c r="D193" s="70"/>
      <c r="E193" s="71"/>
      <c r="F193" s="71"/>
      <c r="I193" s="71"/>
    </row>
    <row r="194" spans="1:9" ht="15" customHeight="1" x14ac:dyDescent="0.45">
      <c r="B194" s="16" t="s">
        <v>100</v>
      </c>
      <c r="C194">
        <f>C183-C181</f>
        <v>800</v>
      </c>
      <c r="D194" s="71"/>
      <c r="E194" s="71"/>
      <c r="F194" s="71"/>
      <c r="I194" s="71"/>
    </row>
    <row r="195" spans="1:9" ht="15" customHeight="1" x14ac:dyDescent="0.45">
      <c r="B195" s="16" t="s">
        <v>108</v>
      </c>
      <c r="C195">
        <f>-C184</f>
        <v>-1960</v>
      </c>
      <c r="D195" s="71"/>
      <c r="E195" s="71"/>
      <c r="F195" s="71"/>
      <c r="I195" s="71"/>
    </row>
    <row r="196" spans="1:9" ht="15" customHeight="1" x14ac:dyDescent="0.45">
      <c r="B196" s="16" t="s">
        <v>109</v>
      </c>
      <c r="C196">
        <f>(C186-C185)*-1</f>
        <v>-220</v>
      </c>
      <c r="D196" s="71"/>
      <c r="E196" s="71"/>
      <c r="F196" s="71"/>
      <c r="I196" s="71"/>
    </row>
    <row r="197" spans="1:9" ht="15" customHeight="1" x14ac:dyDescent="0.45">
      <c r="B197" s="16" t="s">
        <v>101</v>
      </c>
      <c r="C197">
        <f>SUM(C192:C196)</f>
        <v>1240</v>
      </c>
      <c r="D197" s="71"/>
      <c r="E197" s="71"/>
      <c r="F197" s="71"/>
      <c r="I197" s="71"/>
    </row>
    <row r="198" spans="1:9" ht="15" customHeight="1" x14ac:dyDescent="0.45">
      <c r="C198" s="71"/>
      <c r="D198" s="71"/>
      <c r="E198" s="71"/>
      <c r="F198" s="71"/>
      <c r="I198" s="71"/>
    </row>
    <row r="199" spans="1:9" ht="15" customHeight="1" x14ac:dyDescent="0.45">
      <c r="B199" s="16" t="s">
        <v>115</v>
      </c>
      <c r="C199">
        <f>C190-C197</f>
        <v>1760</v>
      </c>
      <c r="D199" s="71"/>
      <c r="E199" s="71"/>
      <c r="F199" s="71"/>
      <c r="I199" s="71"/>
    </row>
    <row r="200" spans="1:9" ht="15" customHeight="1" x14ac:dyDescent="0.45">
      <c r="C200" s="70"/>
      <c r="D200" s="71"/>
      <c r="E200" s="71"/>
      <c r="F200" s="71"/>
      <c r="I200" s="71"/>
    </row>
    <row r="201" spans="1:9" ht="15" customHeight="1" x14ac:dyDescent="0.45">
      <c r="A201" s="15" t="s">
        <v>24</v>
      </c>
      <c r="C201" s="70"/>
      <c r="D201" s="71"/>
      <c r="E201" s="71"/>
      <c r="F201" s="71"/>
      <c r="I201" s="71"/>
    </row>
    <row r="202" spans="1:9" ht="15" customHeight="1" x14ac:dyDescent="0.45">
      <c r="B202" s="16" t="s">
        <v>324</v>
      </c>
      <c r="D202" s="71"/>
      <c r="E202" s="71"/>
      <c r="F202" s="71"/>
      <c r="I202" s="71"/>
    </row>
    <row r="203" spans="1:9" ht="15" customHeight="1" x14ac:dyDescent="0.45">
      <c r="C203" s="70"/>
      <c r="D203" s="71"/>
      <c r="E203" s="71"/>
      <c r="F203" s="71"/>
      <c r="I203" s="71"/>
    </row>
    <row r="204" spans="1:9" ht="15" customHeight="1" x14ac:dyDescent="0.45">
      <c r="B204" s="16" t="s">
        <v>90</v>
      </c>
      <c r="C204" s="61">
        <v>8640</v>
      </c>
      <c r="D204" s="71"/>
      <c r="E204" s="71"/>
      <c r="F204" s="71"/>
      <c r="I204" s="71"/>
    </row>
    <row r="205" spans="1:9" ht="15" customHeight="1" x14ac:dyDescent="0.45">
      <c r="B205" s="16" t="s">
        <v>91</v>
      </c>
      <c r="C205" s="61">
        <v>7080</v>
      </c>
      <c r="D205" s="71"/>
      <c r="E205" s="71"/>
      <c r="F205" s="71"/>
      <c r="I205" s="71"/>
    </row>
    <row r="206" spans="1:9" ht="15" customHeight="1" x14ac:dyDescent="0.45">
      <c r="B206" s="16" t="s">
        <v>93</v>
      </c>
      <c r="C206" s="61">
        <v>1200</v>
      </c>
      <c r="D206" s="71"/>
      <c r="E206" s="71"/>
      <c r="F206" s="71"/>
      <c r="I206" s="71"/>
    </row>
    <row r="207" spans="1:9" ht="15" customHeight="1" x14ac:dyDescent="0.45">
      <c r="B207" s="16" t="s">
        <v>107</v>
      </c>
      <c r="C207" s="61">
        <v>4000</v>
      </c>
      <c r="D207" s="71"/>
      <c r="E207" s="71"/>
      <c r="F207" s="71"/>
      <c r="I207" s="71"/>
    </row>
    <row r="208" spans="1:9" ht="15" customHeight="1" x14ac:dyDescent="0.45">
      <c r="B208" s="16" t="s">
        <v>120</v>
      </c>
      <c r="C208" s="61">
        <v>4200</v>
      </c>
      <c r="D208" s="71"/>
      <c r="E208" s="71"/>
      <c r="F208" s="71"/>
      <c r="I208" s="71"/>
    </row>
    <row r="209" spans="1:9" ht="15" customHeight="1" x14ac:dyDescent="0.45">
      <c r="B209" s="16" t="s">
        <v>121</v>
      </c>
      <c r="C209" s="61">
        <v>5640</v>
      </c>
      <c r="D209" s="71"/>
      <c r="E209" s="71"/>
      <c r="F209" s="71"/>
      <c r="I209" s="71"/>
    </row>
    <row r="210" spans="1:9" ht="15" customHeight="1" x14ac:dyDescent="0.45">
      <c r="D210" s="71"/>
      <c r="E210" s="71"/>
      <c r="F210" s="71"/>
      <c r="I210" s="71"/>
    </row>
    <row r="211" spans="1:9" ht="15" customHeight="1" x14ac:dyDescent="0.45">
      <c r="B211" s="16" t="s">
        <v>119</v>
      </c>
      <c r="D211" s="71"/>
      <c r="E211" s="71"/>
      <c r="F211" s="71"/>
      <c r="I211" s="71"/>
    </row>
    <row r="212" spans="1:9" ht="15" customHeight="1" x14ac:dyDescent="0.45">
      <c r="D212" s="71"/>
      <c r="E212" s="71"/>
      <c r="F212" s="71"/>
      <c r="I212" s="71"/>
    </row>
    <row r="213" spans="1:9" ht="15" customHeight="1" x14ac:dyDescent="0.45">
      <c r="B213" s="16" t="str">
        <f>B204</f>
        <v>Equity purchase price</v>
      </c>
      <c r="C213" s="62">
        <f>C204</f>
        <v>8640</v>
      </c>
      <c r="D213" s="71"/>
      <c r="E213" s="71"/>
      <c r="F213" s="71"/>
      <c r="I213" s="71"/>
    </row>
    <row r="214" spans="1:9" ht="15" customHeight="1" x14ac:dyDescent="0.45">
      <c r="D214" s="71"/>
      <c r="E214" s="71"/>
      <c r="F214" s="71"/>
      <c r="I214" s="71"/>
    </row>
    <row r="215" spans="1:9" ht="15" customHeight="1" x14ac:dyDescent="0.45">
      <c r="B215" s="16" t="str">
        <f>B205</f>
        <v>Shareholders' equity on balance sheet at deal date</v>
      </c>
      <c r="C215" s="62">
        <f>C205</f>
        <v>7080</v>
      </c>
      <c r="D215" s="71"/>
      <c r="E215" s="71"/>
      <c r="F215" s="71"/>
      <c r="I215" s="71"/>
    </row>
    <row r="216" spans="1:9" ht="15" customHeight="1" x14ac:dyDescent="0.45">
      <c r="B216" s="16" t="s">
        <v>100</v>
      </c>
      <c r="C216">
        <f>C207-C206</f>
        <v>2800</v>
      </c>
      <c r="D216" s="71"/>
      <c r="E216" s="71"/>
      <c r="F216" s="71"/>
      <c r="I216" s="71"/>
    </row>
    <row r="217" spans="1:9" ht="15" customHeight="1" x14ac:dyDescent="0.45">
      <c r="B217" s="16" t="s">
        <v>108</v>
      </c>
      <c r="C217">
        <f>-C208</f>
        <v>-4200</v>
      </c>
      <c r="D217" s="71"/>
      <c r="E217" s="71"/>
      <c r="F217" s="71"/>
      <c r="I217" s="71"/>
    </row>
    <row r="218" spans="1:9" ht="15" customHeight="1" x14ac:dyDescent="0.45">
      <c r="B218" s="16" t="s">
        <v>101</v>
      </c>
      <c r="C218">
        <f>SUM(C215:C217)</f>
        <v>5680</v>
      </c>
      <c r="D218" s="71"/>
      <c r="E218" s="71"/>
      <c r="F218" s="71"/>
      <c r="I218" s="71"/>
    </row>
    <row r="219" spans="1:9" ht="15" customHeight="1" x14ac:dyDescent="0.45">
      <c r="C219" s="71"/>
      <c r="D219" s="71"/>
      <c r="E219" s="71"/>
      <c r="F219" s="71"/>
      <c r="I219" s="71"/>
    </row>
    <row r="220" spans="1:9" ht="15" customHeight="1" x14ac:dyDescent="0.45">
      <c r="B220" s="16" t="s">
        <v>115</v>
      </c>
      <c r="C220">
        <f>C213-C218</f>
        <v>2960</v>
      </c>
      <c r="D220" s="71"/>
      <c r="E220" s="71"/>
      <c r="F220" s="71"/>
      <c r="I220" s="71"/>
    </row>
    <row r="221" spans="1:9" ht="15" customHeight="1" x14ac:dyDescent="0.45">
      <c r="B221" s="16" t="s">
        <v>117</v>
      </c>
      <c r="C221">
        <f>C209</f>
        <v>5640</v>
      </c>
      <c r="D221" s="71"/>
      <c r="E221" s="71"/>
      <c r="F221" s="71"/>
      <c r="I221" s="71"/>
    </row>
    <row r="222" spans="1:9" ht="15" customHeight="1" x14ac:dyDescent="0.45">
      <c r="B222" s="16" t="s">
        <v>118</v>
      </c>
      <c r="C222">
        <f>SUM(C220:C221)</f>
        <v>8600</v>
      </c>
      <c r="D222" s="71"/>
      <c r="E222" s="71"/>
      <c r="F222" s="71"/>
      <c r="I222" s="71"/>
    </row>
    <row r="223" spans="1:9" ht="15" customHeight="1" x14ac:dyDescent="0.45">
      <c r="C223" s="70"/>
      <c r="D223" s="71"/>
      <c r="E223" s="71"/>
      <c r="F223" s="71"/>
      <c r="I223" s="71"/>
    </row>
    <row r="224" spans="1:9" ht="15" customHeight="1" x14ac:dyDescent="0.45">
      <c r="A224" s="15" t="s">
        <v>25</v>
      </c>
      <c r="D224" s="71"/>
      <c r="E224" s="71"/>
      <c r="F224" s="71"/>
      <c r="I224" s="71"/>
    </row>
    <row r="225" spans="2:9" ht="15" customHeight="1" x14ac:dyDescent="0.45">
      <c r="B225" s="16" t="s">
        <v>364</v>
      </c>
      <c r="D225" s="71"/>
      <c r="E225" s="71"/>
      <c r="F225" s="71"/>
      <c r="I225" s="71"/>
    </row>
    <row r="226" spans="2:9" ht="15" customHeight="1" x14ac:dyDescent="0.45">
      <c r="D226" s="71"/>
      <c r="E226" s="71"/>
      <c r="F226" s="71"/>
      <c r="I226" s="71"/>
    </row>
    <row r="227" spans="2:9" ht="15" customHeight="1" x14ac:dyDescent="0.45">
      <c r="C227" s="70"/>
      <c r="D227" t="s">
        <v>110</v>
      </c>
      <c r="E227" t="s">
        <v>111</v>
      </c>
      <c r="F227" s="71"/>
      <c r="I227" s="71"/>
    </row>
    <row r="228" spans="2:9" ht="15" customHeight="1" x14ac:dyDescent="0.45">
      <c r="C228" s="70"/>
      <c r="F228" s="71"/>
      <c r="I228" s="71"/>
    </row>
    <row r="229" spans="2:9" ht="15" customHeight="1" x14ac:dyDescent="0.45">
      <c r="C229" s="70"/>
      <c r="F229" s="71"/>
      <c r="I229" s="71"/>
    </row>
    <row r="230" spans="2:9" ht="15" customHeight="1" x14ac:dyDescent="0.45">
      <c r="C230" s="70"/>
      <c r="F230" s="71"/>
      <c r="I230" s="71"/>
    </row>
    <row r="231" spans="2:9" ht="15" customHeight="1" x14ac:dyDescent="0.45">
      <c r="C231" s="70"/>
      <c r="F231" s="71"/>
      <c r="I231" s="71"/>
    </row>
    <row r="232" spans="2:9" ht="15" customHeight="1" x14ac:dyDescent="0.45">
      <c r="C232" s="70"/>
      <c r="F232" s="71"/>
      <c r="I232" s="71"/>
    </row>
    <row r="233" spans="2:9" ht="15" customHeight="1" x14ac:dyDescent="0.45">
      <c r="C233" s="70"/>
      <c r="F233" s="71"/>
    </row>
    <row r="234" spans="2:9" ht="15" customHeight="1" x14ac:dyDescent="0.45">
      <c r="C234" s="70"/>
      <c r="F234" s="71"/>
    </row>
    <row r="235" spans="2:9" ht="15" customHeight="1" x14ac:dyDescent="0.45">
      <c r="C235" s="70"/>
      <c r="F235" s="71"/>
    </row>
    <row r="236" spans="2:9" ht="15" customHeight="1" x14ac:dyDescent="0.45">
      <c r="C236" s="70"/>
      <c r="F236" s="71"/>
    </row>
    <row r="237" spans="2:9" ht="15" customHeight="1" x14ac:dyDescent="0.45">
      <c r="C237" s="70"/>
      <c r="F237" s="71"/>
    </row>
    <row r="238" spans="2:9" ht="15" customHeight="1" x14ac:dyDescent="0.45">
      <c r="C238" s="70"/>
      <c r="F238" s="71"/>
    </row>
    <row r="239" spans="2:9" ht="15" customHeight="1" x14ac:dyDescent="0.45">
      <c r="C239" s="70"/>
      <c r="F239" s="71"/>
    </row>
    <row r="240" spans="2:9" ht="15" customHeight="1" x14ac:dyDescent="0.45">
      <c r="C240" s="70"/>
      <c r="F240" s="71"/>
    </row>
    <row r="241" spans="3:6" ht="15" customHeight="1" x14ac:dyDescent="0.45">
      <c r="C241" s="70"/>
      <c r="F241" s="71"/>
    </row>
    <row r="242" spans="3:6" ht="15" customHeight="1" x14ac:dyDescent="0.45">
      <c r="C242" s="70"/>
      <c r="F242" s="71"/>
    </row>
    <row r="243" spans="3:6" ht="15" customHeight="1" x14ac:dyDescent="0.45">
      <c r="C243" s="70"/>
      <c r="F243" s="71"/>
    </row>
    <row r="244" spans="3:6" ht="15" customHeight="1" x14ac:dyDescent="0.45">
      <c r="C244" s="70"/>
      <c r="F244" s="71"/>
    </row>
    <row r="245" spans="3:6" ht="15" customHeight="1" x14ac:dyDescent="0.45">
      <c r="C245" s="70"/>
      <c r="F245" s="71"/>
    </row>
    <row r="246" spans="3:6" ht="15" customHeight="1" x14ac:dyDescent="0.45">
      <c r="C246" s="70"/>
      <c r="F246" s="71"/>
    </row>
    <row r="247" spans="3:6" ht="15" customHeight="1" x14ac:dyDescent="0.45">
      <c r="C247" s="70"/>
      <c r="F247" s="71"/>
    </row>
    <row r="248" spans="3:6" ht="15" customHeight="1" x14ac:dyDescent="0.45">
      <c r="C248" s="70"/>
      <c r="F248" s="71"/>
    </row>
    <row r="249" spans="3:6" ht="15" customHeight="1" x14ac:dyDescent="0.45">
      <c r="C249" s="70"/>
      <c r="F249" s="71"/>
    </row>
    <row r="250" spans="3:6" ht="15" customHeight="1" x14ac:dyDescent="0.45">
      <c r="C250" s="70"/>
      <c r="F250" s="71"/>
    </row>
    <row r="251" spans="3:6" ht="15" customHeight="1" x14ac:dyDescent="0.45">
      <c r="F251" s="71"/>
    </row>
    <row r="252" spans="3:6" ht="15" customHeight="1" x14ac:dyDescent="0.45">
      <c r="C252" s="70"/>
      <c r="D252" s="70"/>
      <c r="E252" s="70"/>
      <c r="F252" s="70"/>
    </row>
    <row r="253" spans="3:6" ht="15" customHeight="1" x14ac:dyDescent="0.45">
      <c r="C253" s="70"/>
      <c r="D253" s="70"/>
      <c r="E253" s="70"/>
      <c r="F253" s="70"/>
    </row>
    <row r="254" spans="3:6" ht="15" customHeight="1" x14ac:dyDescent="0.45">
      <c r="C254" s="71"/>
      <c r="D254" s="71"/>
      <c r="E254" s="71"/>
      <c r="F254" s="71"/>
    </row>
    <row r="255" spans="3:6" ht="15" customHeight="1" x14ac:dyDescent="0.45">
      <c r="D255" s="71"/>
      <c r="E255" s="71"/>
      <c r="F255" s="71"/>
    </row>
    <row r="256" spans="3:6" ht="15" customHeight="1" x14ac:dyDescent="0.45">
      <c r="D256" s="71"/>
      <c r="E256" s="71"/>
      <c r="F256" s="71"/>
    </row>
    <row r="257" spans="1:6" ht="15" customHeight="1" x14ac:dyDescent="0.45">
      <c r="C257" s="71"/>
      <c r="D257" s="71"/>
      <c r="E257" s="71"/>
      <c r="F257" s="71"/>
    </row>
    <row r="258" spans="1:6" ht="15" customHeight="1" x14ac:dyDescent="0.45">
      <c r="C258" s="71"/>
      <c r="D258" s="71"/>
      <c r="E258" s="71"/>
      <c r="F258" s="71"/>
    </row>
    <row r="259" spans="1:6" ht="15" customHeight="1" x14ac:dyDescent="0.45">
      <c r="C259" s="71"/>
      <c r="D259" s="71"/>
      <c r="E259" s="71"/>
      <c r="F259" s="71"/>
    </row>
    <row r="260" spans="1:6" ht="15" customHeight="1" x14ac:dyDescent="0.45">
      <c r="C260" s="71"/>
      <c r="D260" s="71"/>
      <c r="E260" s="71"/>
      <c r="F260" s="71"/>
    </row>
    <row r="261" spans="1:6" ht="15" customHeight="1" x14ac:dyDescent="0.45">
      <c r="C261" s="71"/>
      <c r="D261" s="71"/>
      <c r="E261" s="71"/>
      <c r="F261" s="71"/>
    </row>
    <row r="262" spans="1:6" ht="15" customHeight="1" x14ac:dyDescent="0.45">
      <c r="B262" s="16" t="s">
        <v>80</v>
      </c>
      <c r="C262" s="71"/>
      <c r="D262" s="71"/>
      <c r="E262" s="71"/>
      <c r="F262" s="71"/>
    </row>
    <row r="263" spans="1:6" ht="15" customHeight="1" x14ac:dyDescent="0.45">
      <c r="B263" s="16" t="s">
        <v>90</v>
      </c>
      <c r="C263">
        <v>2500000</v>
      </c>
      <c r="D263" s="71"/>
      <c r="E263" s="71"/>
      <c r="F263" s="71"/>
    </row>
    <row r="264" spans="1:6" ht="15" customHeight="1" x14ac:dyDescent="0.45">
      <c r="D264" s="71"/>
      <c r="E264" s="71"/>
      <c r="F264" s="71"/>
    </row>
    <row r="265" spans="1:6" ht="15" customHeight="1" x14ac:dyDescent="0.45">
      <c r="B265" s="16" t="s">
        <v>112</v>
      </c>
      <c r="C265" s="61">
        <v>2949071</v>
      </c>
      <c r="D265" s="71"/>
      <c r="E265" s="71"/>
      <c r="F265" s="71"/>
    </row>
    <row r="266" spans="1:6" ht="15" customHeight="1" x14ac:dyDescent="0.45">
      <c r="B266" s="16" t="s">
        <v>113</v>
      </c>
      <c r="C266" s="61">
        <v>-1393968</v>
      </c>
      <c r="D266" s="71"/>
      <c r="E266" s="71"/>
      <c r="F266" s="71"/>
    </row>
    <row r="267" spans="1:6" ht="15" customHeight="1" x14ac:dyDescent="0.45">
      <c r="B267" s="16" t="s">
        <v>114</v>
      </c>
      <c r="C267">
        <f>SUM(C265:C266)</f>
        <v>1555103</v>
      </c>
      <c r="D267" s="71"/>
      <c r="E267" s="71"/>
      <c r="F267" s="71"/>
    </row>
    <row r="268" spans="1:6" ht="15" customHeight="1" x14ac:dyDescent="0.45">
      <c r="D268" s="71"/>
      <c r="E268" s="71"/>
      <c r="F268" s="71"/>
    </row>
    <row r="269" spans="1:6" ht="15" customHeight="1" x14ac:dyDescent="0.45">
      <c r="B269" s="16" t="s">
        <v>115</v>
      </c>
      <c r="C269">
        <f>C263-C267</f>
        <v>944897</v>
      </c>
      <c r="D269" s="71"/>
      <c r="E269" s="71"/>
      <c r="F269" s="71"/>
    </row>
    <row r="270" spans="1:6" ht="15" customHeight="1" x14ac:dyDescent="0.45">
      <c r="D270" s="71"/>
      <c r="E270" s="71"/>
      <c r="F270" s="71"/>
    </row>
    <row r="271" spans="1:6" ht="15" customHeight="1" x14ac:dyDescent="0.45">
      <c r="A271" s="15" t="s">
        <v>26</v>
      </c>
      <c r="D271" s="71"/>
      <c r="E271" s="71"/>
      <c r="F271" s="71"/>
    </row>
    <row r="272" spans="1:6" ht="15" customHeight="1" x14ac:dyDescent="0.45">
      <c r="B272" s="16" t="s">
        <v>325</v>
      </c>
      <c r="D272" s="71"/>
      <c r="E272" s="71"/>
      <c r="F272" s="71"/>
    </row>
    <row r="273" spans="2:6" ht="15" customHeight="1" x14ac:dyDescent="0.45">
      <c r="B273" s="16" t="s">
        <v>326</v>
      </c>
      <c r="D273" s="71"/>
      <c r="E273" s="71"/>
      <c r="F273" s="71"/>
    </row>
    <row r="274" spans="2:6" ht="15" customHeight="1" x14ac:dyDescent="0.45">
      <c r="B274" s="16" t="s">
        <v>327</v>
      </c>
      <c r="D274" s="71"/>
      <c r="E274" s="71"/>
      <c r="F274" s="71"/>
    </row>
    <row r="275" spans="2:6" ht="15" customHeight="1" x14ac:dyDescent="0.45">
      <c r="B275" s="16" t="s">
        <v>269</v>
      </c>
      <c r="D275" s="71"/>
      <c r="E275" s="71"/>
      <c r="F275" s="71"/>
    </row>
    <row r="276" spans="2:6" ht="15" customHeight="1" x14ac:dyDescent="0.45">
      <c r="D276" s="71"/>
      <c r="E276" s="71"/>
      <c r="F276" s="71"/>
    </row>
    <row r="277" spans="2:6" ht="15" customHeight="1" x14ac:dyDescent="0.45">
      <c r="B277" s="16" t="s">
        <v>74</v>
      </c>
      <c r="D277" s="71"/>
      <c r="F277" s="71"/>
    </row>
    <row r="278" spans="2:6" ht="15" customHeight="1" x14ac:dyDescent="0.45">
      <c r="B278" s="16" t="s">
        <v>122</v>
      </c>
      <c r="C278" s="61">
        <v>200</v>
      </c>
      <c r="D278" s="71"/>
      <c r="F278" s="71"/>
    </row>
    <row r="279" spans="2:6" ht="15" customHeight="1" x14ac:dyDescent="0.45">
      <c r="B279" s="16" t="s">
        <v>123</v>
      </c>
      <c r="C279">
        <f>D307+D309</f>
        <v>192.92</v>
      </c>
      <c r="D279" s="71"/>
      <c r="F279" s="71"/>
    </row>
    <row r="280" spans="2:6" ht="15" customHeight="1" x14ac:dyDescent="0.45">
      <c r="C280">
        <f>SUM(C278:C279)</f>
        <v>392.91999999999996</v>
      </c>
      <c r="D280" s="71"/>
      <c r="F280" s="71"/>
    </row>
    <row r="281" spans="2:6" ht="15" customHeight="1" x14ac:dyDescent="0.45">
      <c r="D281" s="71"/>
      <c r="F281" s="71"/>
    </row>
    <row r="282" spans="2:6" ht="15" customHeight="1" x14ac:dyDescent="0.45">
      <c r="B282" s="16" t="s">
        <v>76</v>
      </c>
      <c r="D282" s="71"/>
      <c r="F282" s="71"/>
    </row>
    <row r="283" spans="2:6" ht="15" customHeight="1" x14ac:dyDescent="0.45">
      <c r="B283" s="16" t="s">
        <v>77</v>
      </c>
      <c r="C283" s="61">
        <v>2</v>
      </c>
      <c r="D283" s="71"/>
      <c r="F283" s="71"/>
    </row>
    <row r="284" spans="2:6" ht="15" customHeight="1" x14ac:dyDescent="0.45">
      <c r="B284" s="16" t="s">
        <v>78</v>
      </c>
      <c r="C284" s="61">
        <v>60</v>
      </c>
      <c r="D284" s="71"/>
      <c r="F284" s="71"/>
    </row>
    <row r="285" spans="2:6" ht="15" customHeight="1" x14ac:dyDescent="0.45">
      <c r="B285" s="16" t="s">
        <v>79</v>
      </c>
      <c r="C285">
        <f>C280-C283-C284</f>
        <v>330.91999999999996</v>
      </c>
      <c r="D285" s="71"/>
      <c r="F285" s="71"/>
    </row>
    <row r="286" spans="2:6" ht="15" customHeight="1" x14ac:dyDescent="0.45">
      <c r="C286">
        <f>SUM(C283:C285)</f>
        <v>392.91999999999996</v>
      </c>
      <c r="D286" s="71"/>
      <c r="F286" s="71"/>
    </row>
    <row r="287" spans="2:6" ht="15" customHeight="1" x14ac:dyDescent="0.45">
      <c r="D287" s="71"/>
      <c r="F287" s="71"/>
    </row>
    <row r="288" spans="2:6" ht="15" customHeight="1" x14ac:dyDescent="0.45">
      <c r="B288" s="16" t="s">
        <v>80</v>
      </c>
      <c r="D288" s="71"/>
      <c r="F288" s="71"/>
    </row>
    <row r="289" spans="2:8" ht="15" customHeight="1" x14ac:dyDescent="0.45">
      <c r="B289" s="16" t="s">
        <v>81</v>
      </c>
      <c r="C289">
        <f>C278</f>
        <v>200</v>
      </c>
      <c r="D289" s="71"/>
      <c r="F289" s="71"/>
    </row>
    <row r="290" spans="2:8" ht="15" customHeight="1" x14ac:dyDescent="0.45">
      <c r="D290" s="71"/>
      <c r="F290" s="71"/>
    </row>
    <row r="291" spans="2:8" ht="15" customHeight="1" x14ac:dyDescent="0.45">
      <c r="B291" s="16" t="s">
        <v>134</v>
      </c>
      <c r="C291">
        <f>SUM(D313:D314)</f>
        <v>104.78</v>
      </c>
      <c r="D291" s="71"/>
      <c r="F291" s="71"/>
    </row>
    <row r="292" spans="2:8" ht="15" customHeight="1" x14ac:dyDescent="0.45">
      <c r="B292" s="16" t="s">
        <v>124</v>
      </c>
      <c r="C292">
        <v>20</v>
      </c>
      <c r="D292" s="71"/>
      <c r="F292" s="71"/>
    </row>
    <row r="293" spans="2:8" ht="15" customHeight="1" x14ac:dyDescent="0.45">
      <c r="B293" s="16" t="s">
        <v>125</v>
      </c>
      <c r="C293">
        <v>15</v>
      </c>
      <c r="D293" s="71"/>
      <c r="F293" s="71"/>
    </row>
    <row r="294" spans="2:8" ht="15" customHeight="1" x14ac:dyDescent="0.45">
      <c r="B294" s="16" t="s">
        <v>126</v>
      </c>
      <c r="C294">
        <f>-D304</f>
        <v>-50</v>
      </c>
      <c r="D294" s="71"/>
      <c r="F294" s="71"/>
    </row>
    <row r="295" spans="2:8" ht="15" customHeight="1" x14ac:dyDescent="0.45">
      <c r="B295" s="16" t="s">
        <v>114</v>
      </c>
      <c r="C295">
        <f>SUM(C291:C294)</f>
        <v>89.78</v>
      </c>
      <c r="D295" s="71"/>
      <c r="F295" s="71"/>
    </row>
    <row r="296" spans="2:8" ht="15" customHeight="1" x14ac:dyDescent="0.45">
      <c r="D296" s="71"/>
      <c r="F296" s="71"/>
    </row>
    <row r="297" spans="2:8" ht="15" customHeight="1" x14ac:dyDescent="0.45">
      <c r="B297" s="16" t="s">
        <v>115</v>
      </c>
      <c r="C297">
        <f>C289-C295</f>
        <v>110.22</v>
      </c>
      <c r="D297" s="71"/>
      <c r="F297" s="71"/>
    </row>
    <row r="298" spans="2:8" ht="15" customHeight="1" x14ac:dyDescent="0.45">
      <c r="D298" s="71"/>
      <c r="F298" s="71"/>
    </row>
    <row r="299" spans="2:8" ht="15" customHeight="1" x14ac:dyDescent="0.45">
      <c r="C299" s="67" t="s">
        <v>127</v>
      </c>
      <c r="D299" s="67" t="s">
        <v>128</v>
      </c>
      <c r="E299" t="s">
        <v>69</v>
      </c>
      <c r="F299" t="s">
        <v>68</v>
      </c>
      <c r="G299" t="s">
        <v>66</v>
      </c>
      <c r="H299" t="s">
        <v>50</v>
      </c>
    </row>
    <row r="300" spans="2:8" ht="15" customHeight="1" x14ac:dyDescent="0.45">
      <c r="B300" s="16" t="s">
        <v>48</v>
      </c>
      <c r="C300" s="61">
        <v>7.2799999999999994</v>
      </c>
      <c r="D300" s="61">
        <v>5.4599999999999991</v>
      </c>
      <c r="F300">
        <f>-C283</f>
        <v>-2</v>
      </c>
      <c r="H300">
        <f>SUM(C300:G300)</f>
        <v>10.739999999999998</v>
      </c>
    </row>
    <row r="301" spans="2:8" ht="15" customHeight="1" x14ac:dyDescent="0.45">
      <c r="B301" s="16" t="s">
        <v>56</v>
      </c>
      <c r="C301" s="61">
        <v>127.4</v>
      </c>
      <c r="D301" s="61">
        <v>145.6</v>
      </c>
      <c r="H301">
        <f>SUM(C301:G301)</f>
        <v>273</v>
      </c>
    </row>
    <row r="302" spans="2:8" ht="15" customHeight="1" x14ac:dyDescent="0.45">
      <c r="B302" s="16" t="s">
        <v>64</v>
      </c>
      <c r="C302" s="61">
        <v>345.8</v>
      </c>
      <c r="D302" s="61">
        <v>195.65</v>
      </c>
      <c r="G302">
        <f>C292</f>
        <v>20</v>
      </c>
      <c r="H302">
        <f>SUM(C302:G302)</f>
        <v>561.45000000000005</v>
      </c>
    </row>
    <row r="303" spans="2:8" ht="15" customHeight="1" x14ac:dyDescent="0.45">
      <c r="B303" s="16" t="s">
        <v>65</v>
      </c>
      <c r="C303" s="61">
        <v>136.5</v>
      </c>
      <c r="D303" s="61">
        <v>28.39</v>
      </c>
      <c r="G303">
        <f>C293</f>
        <v>15</v>
      </c>
      <c r="H303">
        <f>SUM(C303:G303)</f>
        <v>179.89</v>
      </c>
    </row>
    <row r="304" spans="2:8" ht="15" customHeight="1" x14ac:dyDescent="0.45">
      <c r="B304" s="16" t="s">
        <v>66</v>
      </c>
      <c r="C304" s="61">
        <v>91</v>
      </c>
      <c r="D304" s="61">
        <v>50</v>
      </c>
      <c r="G304">
        <f>C297-D304</f>
        <v>60.22</v>
      </c>
      <c r="H304">
        <f>SUM(C304:G304)</f>
        <v>201.22</v>
      </c>
    </row>
    <row r="305" spans="1:9" ht="15" customHeight="1" x14ac:dyDescent="0.45">
      <c r="B305" s="16" t="s">
        <v>57</v>
      </c>
      <c r="C305">
        <f>SUM(C300:C304)</f>
        <v>707.98</v>
      </c>
      <c r="D305">
        <f>SUM(D300:D304)</f>
        <v>425.1</v>
      </c>
      <c r="H305">
        <f>SUM(H300:H304)</f>
        <v>1226.3</v>
      </c>
    </row>
    <row r="307" spans="1:9" ht="15" customHeight="1" x14ac:dyDescent="0.45">
      <c r="B307" s="16" t="s">
        <v>58</v>
      </c>
      <c r="C307" s="61">
        <v>22.75</v>
      </c>
      <c r="D307" s="61">
        <v>10.919999999999998</v>
      </c>
      <c r="F307">
        <f>-D307</f>
        <v>-10.919999999999998</v>
      </c>
      <c r="H307">
        <f>SUM(C307:G307)</f>
        <v>22.750000000000004</v>
      </c>
    </row>
    <row r="308" spans="1:9" ht="15" customHeight="1" x14ac:dyDescent="0.45">
      <c r="B308" s="16" t="s">
        <v>291</v>
      </c>
      <c r="C308" s="61">
        <v>236.6</v>
      </c>
      <c r="D308" s="61">
        <v>91</v>
      </c>
      <c r="H308">
        <f>SUM(C308:G308)</f>
        <v>327.60000000000002</v>
      </c>
      <c r="I308" s="71"/>
    </row>
    <row r="309" spans="1:9" ht="15" customHeight="1" x14ac:dyDescent="0.45">
      <c r="B309" s="16" t="s">
        <v>59</v>
      </c>
      <c r="C309" s="61">
        <v>290.28999999999996</v>
      </c>
      <c r="D309" s="61">
        <v>182</v>
      </c>
      <c r="F309">
        <f>C285-D309</f>
        <v>148.91999999999996</v>
      </c>
      <c r="H309">
        <f>SUM(C309:G309)</f>
        <v>621.20999999999992</v>
      </c>
      <c r="I309" s="71"/>
    </row>
    <row r="310" spans="1:9" ht="15" customHeight="1" x14ac:dyDescent="0.45">
      <c r="B310" s="16" t="s">
        <v>292</v>
      </c>
      <c r="C310" s="61">
        <v>40.04</v>
      </c>
      <c r="D310" s="61">
        <v>36.4</v>
      </c>
      <c r="H310">
        <f>SUM(C310:G310)</f>
        <v>76.44</v>
      </c>
      <c r="I310" s="71"/>
    </row>
    <row r="311" spans="1:9" ht="15" customHeight="1" x14ac:dyDescent="0.45">
      <c r="B311" s="16" t="s">
        <v>60</v>
      </c>
      <c r="C311">
        <f>SUM(C307:C310)</f>
        <v>589.67999999999995</v>
      </c>
      <c r="D311">
        <f>SUM(D307:D310)</f>
        <v>320.32</v>
      </c>
      <c r="H311">
        <f>SUM(H307:H310)</f>
        <v>1048</v>
      </c>
      <c r="I311" s="71"/>
    </row>
    <row r="312" spans="1:9" ht="15" customHeight="1" x14ac:dyDescent="0.45">
      <c r="I312" s="71"/>
    </row>
    <row r="313" spans="1:9" ht="15" customHeight="1" x14ac:dyDescent="0.45">
      <c r="B313" s="16" t="s">
        <v>83</v>
      </c>
      <c r="C313" s="61">
        <v>26</v>
      </c>
      <c r="D313" s="61">
        <v>44.2</v>
      </c>
      <c r="E313">
        <f>-D313</f>
        <v>-44.2</v>
      </c>
      <c r="F313">
        <f>C284</f>
        <v>60</v>
      </c>
      <c r="H313">
        <f>SUM(C313:G313)</f>
        <v>86</v>
      </c>
      <c r="I313" s="71"/>
    </row>
    <row r="314" spans="1:9" ht="15" customHeight="1" x14ac:dyDescent="0.45">
      <c r="B314" s="16" t="s">
        <v>61</v>
      </c>
      <c r="C314" s="61">
        <v>92.3</v>
      </c>
      <c r="D314" s="61">
        <v>60.580000000000005</v>
      </c>
      <c r="E314">
        <f>-D314</f>
        <v>-60.580000000000005</v>
      </c>
      <c r="H314">
        <f>SUM(C314:G314)</f>
        <v>92.299999999999983</v>
      </c>
      <c r="I314" s="71"/>
    </row>
    <row r="315" spans="1:9" ht="15" customHeight="1" x14ac:dyDescent="0.45">
      <c r="B315" s="16" t="s">
        <v>62</v>
      </c>
      <c r="C315">
        <f>SUM(C313:C314)</f>
        <v>118.3</v>
      </c>
      <c r="D315">
        <f>SUM(D313:D314)</f>
        <v>104.78</v>
      </c>
      <c r="F315" s="70"/>
      <c r="H315">
        <f>SUM(H313:H314)</f>
        <v>178.29999999999998</v>
      </c>
      <c r="I315" s="71"/>
    </row>
    <row r="316" spans="1:9" ht="15" customHeight="1" x14ac:dyDescent="0.45">
      <c r="B316" s="16" t="s">
        <v>63</v>
      </c>
      <c r="C316">
        <f>C315+C311</f>
        <v>707.9799999999999</v>
      </c>
      <c r="D316">
        <f>D315+D311</f>
        <v>425.1</v>
      </c>
      <c r="F316" s="70"/>
      <c r="H316">
        <f>H315+H311</f>
        <v>1226.3</v>
      </c>
      <c r="I316" s="71"/>
    </row>
    <row r="317" spans="1:9" ht="15" customHeight="1" x14ac:dyDescent="0.45">
      <c r="F317" s="70"/>
      <c r="I317" s="71"/>
    </row>
    <row r="318" spans="1:9" ht="15" customHeight="1" x14ac:dyDescent="0.45">
      <c r="A318" s="15" t="s">
        <v>27</v>
      </c>
      <c r="F318" s="70"/>
      <c r="I318" s="71"/>
    </row>
    <row r="319" spans="1:9" ht="15" customHeight="1" x14ac:dyDescent="0.45">
      <c r="B319" s="16" t="s">
        <v>328</v>
      </c>
      <c r="F319" s="70"/>
      <c r="I319" s="71"/>
    </row>
    <row r="320" spans="1:9" ht="15" customHeight="1" x14ac:dyDescent="0.45">
      <c r="B320" s="16" t="s">
        <v>329</v>
      </c>
      <c r="F320" s="70"/>
      <c r="I320" s="71"/>
    </row>
    <row r="321" spans="2:9" ht="15" customHeight="1" x14ac:dyDescent="0.45">
      <c r="B321" s="16" t="s">
        <v>330</v>
      </c>
      <c r="F321" s="70"/>
      <c r="I321" s="71"/>
    </row>
    <row r="322" spans="2:9" ht="15" customHeight="1" x14ac:dyDescent="0.45">
      <c r="B322" s="16" t="s">
        <v>269</v>
      </c>
      <c r="F322" s="70"/>
      <c r="I322" s="71"/>
    </row>
    <row r="323" spans="2:9" ht="15" customHeight="1" x14ac:dyDescent="0.45">
      <c r="F323" s="70"/>
      <c r="I323" s="71"/>
    </row>
    <row r="324" spans="2:9" ht="15" customHeight="1" x14ac:dyDescent="0.45">
      <c r="B324" s="16" t="s">
        <v>74</v>
      </c>
      <c r="F324" s="70"/>
      <c r="I324" s="71"/>
    </row>
    <row r="325" spans="2:9" ht="15" customHeight="1" x14ac:dyDescent="0.45">
      <c r="B325" s="16" t="s">
        <v>132</v>
      </c>
      <c r="C325" s="61">
        <v>1950</v>
      </c>
      <c r="F325" s="70"/>
      <c r="I325" s="71"/>
    </row>
    <row r="326" spans="2:9" ht="15" customHeight="1" x14ac:dyDescent="0.45">
      <c r="B326" s="16" t="s">
        <v>133</v>
      </c>
      <c r="C326">
        <f>D354+D356</f>
        <v>1157.52</v>
      </c>
      <c r="F326" s="70"/>
      <c r="I326" s="71"/>
    </row>
    <row r="327" spans="2:9" ht="15" customHeight="1" x14ac:dyDescent="0.45">
      <c r="C327">
        <f>SUM(C325:C326)</f>
        <v>3107.52</v>
      </c>
      <c r="F327" s="70"/>
      <c r="I327" s="71"/>
    </row>
    <row r="328" spans="2:9" ht="15" customHeight="1" x14ac:dyDescent="0.45">
      <c r="F328" s="70"/>
      <c r="I328" s="71"/>
    </row>
    <row r="329" spans="2:9" ht="15" customHeight="1" x14ac:dyDescent="0.45">
      <c r="B329" s="16" t="s">
        <v>76</v>
      </c>
      <c r="F329" s="70"/>
      <c r="I329" s="71"/>
    </row>
    <row r="330" spans="2:9" ht="15" customHeight="1" x14ac:dyDescent="0.45">
      <c r="B330" s="16" t="s">
        <v>77</v>
      </c>
      <c r="C330" s="61">
        <v>10</v>
      </c>
      <c r="F330" s="70"/>
      <c r="I330" s="71"/>
    </row>
    <row r="331" spans="2:9" ht="15" customHeight="1" x14ac:dyDescent="0.45">
      <c r="B331" s="16" t="s">
        <v>78</v>
      </c>
      <c r="C331">
        <f>C327-C330-C332</f>
        <v>2847.52</v>
      </c>
      <c r="F331" s="70"/>
      <c r="I331" s="71"/>
    </row>
    <row r="332" spans="2:9" ht="15" customHeight="1" x14ac:dyDescent="0.45">
      <c r="B332" s="16" t="s">
        <v>79</v>
      </c>
      <c r="C332" s="61">
        <v>250</v>
      </c>
      <c r="F332" s="70"/>
      <c r="I332" s="71"/>
    </row>
    <row r="333" spans="2:9" ht="15" customHeight="1" x14ac:dyDescent="0.45">
      <c r="C333">
        <f>SUM(C330:C332)</f>
        <v>3107.52</v>
      </c>
      <c r="F333" s="70"/>
      <c r="I333" s="71"/>
    </row>
    <row r="334" spans="2:9" ht="15" customHeight="1" x14ac:dyDescent="0.45">
      <c r="F334" s="70"/>
      <c r="I334" s="71"/>
    </row>
    <row r="335" spans="2:9" ht="15" customHeight="1" x14ac:dyDescent="0.45">
      <c r="B335" s="16" t="s">
        <v>80</v>
      </c>
      <c r="F335" s="70"/>
      <c r="I335" s="71"/>
    </row>
    <row r="336" spans="2:9" ht="15" customHeight="1" x14ac:dyDescent="0.45">
      <c r="B336" s="16" t="s">
        <v>81</v>
      </c>
      <c r="C336">
        <f>C325</f>
        <v>1950</v>
      </c>
      <c r="F336" s="70"/>
      <c r="I336" s="71"/>
    </row>
    <row r="337" spans="2:9" ht="15" customHeight="1" x14ac:dyDescent="0.45">
      <c r="F337" s="70"/>
      <c r="I337" s="71"/>
    </row>
    <row r="338" spans="2:9" ht="15" customHeight="1" x14ac:dyDescent="0.45">
      <c r="B338" s="16" t="s">
        <v>134</v>
      </c>
      <c r="C338">
        <f>SUM(D360:D361)</f>
        <v>628.68000000000006</v>
      </c>
      <c r="F338" s="70"/>
      <c r="I338" s="71"/>
    </row>
    <row r="339" spans="2:9" ht="15" customHeight="1" x14ac:dyDescent="0.45">
      <c r="B339" s="16" t="s">
        <v>124</v>
      </c>
      <c r="C339">
        <f>1650-D349</f>
        <v>476.09999999999991</v>
      </c>
      <c r="F339" s="70"/>
      <c r="I339" s="71"/>
    </row>
    <row r="340" spans="2:9" ht="15" customHeight="1" x14ac:dyDescent="0.45">
      <c r="B340" s="16" t="s">
        <v>125</v>
      </c>
      <c r="C340">
        <f>450-D350</f>
        <v>279.65999999999997</v>
      </c>
      <c r="F340" s="70"/>
      <c r="I340" s="71"/>
    </row>
    <row r="341" spans="2:9" ht="15" customHeight="1" x14ac:dyDescent="0.45">
      <c r="B341" s="16" t="s">
        <v>131</v>
      </c>
      <c r="C341">
        <f>-D351</f>
        <v>-300</v>
      </c>
      <c r="F341" s="70"/>
      <c r="I341" s="71"/>
    </row>
    <row r="342" spans="2:9" ht="15" customHeight="1" x14ac:dyDescent="0.45">
      <c r="B342" s="16" t="s">
        <v>114</v>
      </c>
      <c r="C342">
        <f>SUM(C338:C341)</f>
        <v>1084.44</v>
      </c>
      <c r="F342" s="70"/>
      <c r="I342" s="71"/>
    </row>
    <row r="343" spans="2:9" ht="15" customHeight="1" x14ac:dyDescent="0.45">
      <c r="F343" s="70"/>
      <c r="I343" s="71"/>
    </row>
    <row r="344" spans="2:9" ht="15" customHeight="1" x14ac:dyDescent="0.45">
      <c r="B344" s="16" t="s">
        <v>115</v>
      </c>
      <c r="C344">
        <f>C336-C342</f>
        <v>865.56</v>
      </c>
      <c r="F344" s="70"/>
      <c r="I344" s="71"/>
    </row>
    <row r="345" spans="2:9" ht="15" customHeight="1" x14ac:dyDescent="0.45">
      <c r="F345" s="70"/>
      <c r="I345" s="71"/>
    </row>
    <row r="346" spans="2:9" ht="15" customHeight="1" x14ac:dyDescent="0.45">
      <c r="C346" s="67" t="s">
        <v>129</v>
      </c>
      <c r="D346" s="67" t="s">
        <v>130</v>
      </c>
      <c r="E346" t="s">
        <v>69</v>
      </c>
      <c r="F346" t="s">
        <v>68</v>
      </c>
      <c r="G346" t="s">
        <v>66</v>
      </c>
      <c r="H346" t="s">
        <v>50</v>
      </c>
      <c r="I346" s="71"/>
    </row>
    <row r="347" spans="2:9" ht="15" customHeight="1" x14ac:dyDescent="0.45">
      <c r="B347" s="16" t="s">
        <v>48</v>
      </c>
      <c r="C347" s="61">
        <v>43.679999999999993</v>
      </c>
      <c r="D347" s="61">
        <v>32.759999999999991</v>
      </c>
      <c r="F347">
        <f>-C330</f>
        <v>-10</v>
      </c>
      <c r="H347">
        <f>SUM(C347:G347)</f>
        <v>66.439999999999984</v>
      </c>
      <c r="I347" s="71"/>
    </row>
    <row r="348" spans="2:9" ht="15" customHeight="1" x14ac:dyDescent="0.45">
      <c r="B348" s="16" t="s">
        <v>56</v>
      </c>
      <c r="C348" s="61">
        <v>764.40000000000009</v>
      </c>
      <c r="D348" s="61">
        <v>873.59999999999991</v>
      </c>
      <c r="H348">
        <f>SUM(C348:G348)</f>
        <v>1638</v>
      </c>
      <c r="I348" s="71"/>
    </row>
    <row r="349" spans="2:9" ht="15" customHeight="1" x14ac:dyDescent="0.45">
      <c r="B349" s="16" t="s">
        <v>64</v>
      </c>
      <c r="C349" s="61">
        <v>2074.8000000000002</v>
      </c>
      <c r="D349" s="61">
        <v>1173.9000000000001</v>
      </c>
      <c r="G349">
        <f>C339</f>
        <v>476.09999999999991</v>
      </c>
      <c r="H349">
        <f>SUM(C349:G349)</f>
        <v>3724.8</v>
      </c>
      <c r="I349" s="71"/>
    </row>
    <row r="350" spans="2:9" ht="15" customHeight="1" x14ac:dyDescent="0.45">
      <c r="B350" s="16" t="s">
        <v>65</v>
      </c>
      <c r="C350" s="61">
        <v>819</v>
      </c>
      <c r="D350" s="61">
        <v>170.34</v>
      </c>
      <c r="G350">
        <f>C340</f>
        <v>279.65999999999997</v>
      </c>
      <c r="H350">
        <f>SUM(C350:G350)</f>
        <v>1269</v>
      </c>
      <c r="I350" s="71"/>
    </row>
    <row r="351" spans="2:9" ht="15" customHeight="1" x14ac:dyDescent="0.45">
      <c r="B351" s="16" t="s">
        <v>66</v>
      </c>
      <c r="C351" s="61">
        <v>546</v>
      </c>
      <c r="D351" s="61">
        <v>300</v>
      </c>
      <c r="G351">
        <f>C344-D351</f>
        <v>565.55999999999995</v>
      </c>
      <c r="H351">
        <f>SUM(C351:G351)</f>
        <v>1411.56</v>
      </c>
      <c r="I351" s="71"/>
    </row>
    <row r="352" spans="2:9" ht="15" customHeight="1" x14ac:dyDescent="0.45">
      <c r="B352" s="16" t="s">
        <v>57</v>
      </c>
      <c r="C352">
        <f>SUM(C347:C351)</f>
        <v>4247.88</v>
      </c>
      <c r="D352">
        <f>SUM(D347:D351)</f>
        <v>2550.6000000000004</v>
      </c>
      <c r="H352">
        <f>SUM(H347:H351)</f>
        <v>8109.7999999999993</v>
      </c>
      <c r="I352" s="71"/>
    </row>
    <row r="353" spans="1:9" ht="15" customHeight="1" x14ac:dyDescent="0.45">
      <c r="I353" s="71"/>
    </row>
    <row r="354" spans="1:9" ht="15" customHeight="1" x14ac:dyDescent="0.45">
      <c r="B354" s="16" t="s">
        <v>58</v>
      </c>
      <c r="C354" s="61">
        <v>136.5</v>
      </c>
      <c r="D354" s="61">
        <v>65.519999999999982</v>
      </c>
      <c r="F354">
        <f>-D354</f>
        <v>-65.519999999999982</v>
      </c>
      <c r="H354">
        <f>SUM(C354:G354)</f>
        <v>136.5</v>
      </c>
      <c r="I354" s="71"/>
    </row>
    <row r="355" spans="1:9" ht="15" customHeight="1" x14ac:dyDescent="0.45">
      <c r="B355" s="16" t="s">
        <v>291</v>
      </c>
      <c r="C355" s="61">
        <v>1419.6</v>
      </c>
      <c r="D355" s="61">
        <v>546</v>
      </c>
      <c r="H355">
        <f>SUM(C355:G355)</f>
        <v>1965.6</v>
      </c>
      <c r="I355" s="71"/>
    </row>
    <row r="356" spans="1:9" ht="15" customHeight="1" x14ac:dyDescent="0.45">
      <c r="B356" s="16" t="s">
        <v>59</v>
      </c>
      <c r="C356" s="61">
        <v>1741.7399999999998</v>
      </c>
      <c r="D356" s="61">
        <v>1092</v>
      </c>
      <c r="F356">
        <f>C332-D356</f>
        <v>-842</v>
      </c>
      <c r="H356">
        <f>SUM(C356:G356)</f>
        <v>1991.7399999999998</v>
      </c>
      <c r="I356" s="71"/>
    </row>
    <row r="357" spans="1:9" ht="15" customHeight="1" x14ac:dyDescent="0.45">
      <c r="B357" s="16" t="s">
        <v>292</v>
      </c>
      <c r="C357" s="61">
        <v>240.24</v>
      </c>
      <c r="D357" s="61">
        <v>218.39999999999998</v>
      </c>
      <c r="H357">
        <f>SUM(C357:G357)</f>
        <v>458.64</v>
      </c>
      <c r="I357" s="71"/>
    </row>
    <row r="358" spans="1:9" ht="15" customHeight="1" x14ac:dyDescent="0.45">
      <c r="B358" s="16" t="s">
        <v>60</v>
      </c>
      <c r="C358">
        <f>SUM(C354:C357)</f>
        <v>3538.08</v>
      </c>
      <c r="D358">
        <f>SUM(D354:D357)</f>
        <v>1921.92</v>
      </c>
      <c r="H358">
        <f>SUM(H354:H357)</f>
        <v>4552.4799999999996</v>
      </c>
      <c r="I358" s="71"/>
    </row>
    <row r="359" spans="1:9" ht="15" customHeight="1" x14ac:dyDescent="0.45">
      <c r="I359" s="71"/>
    </row>
    <row r="360" spans="1:9" ht="15" customHeight="1" x14ac:dyDescent="0.45">
      <c r="B360" s="16" t="s">
        <v>83</v>
      </c>
      <c r="C360" s="61">
        <v>156</v>
      </c>
      <c r="D360" s="61">
        <v>265.20000000000005</v>
      </c>
      <c r="E360">
        <f>-D360</f>
        <v>-265.20000000000005</v>
      </c>
      <c r="F360">
        <f>C331</f>
        <v>2847.52</v>
      </c>
      <c r="H360">
        <f>SUM(C360:G360)</f>
        <v>3003.52</v>
      </c>
      <c r="I360" s="71"/>
    </row>
    <row r="361" spans="1:9" ht="15" customHeight="1" x14ac:dyDescent="0.45">
      <c r="B361" s="16" t="s">
        <v>61</v>
      </c>
      <c r="C361" s="61">
        <v>553.79999999999995</v>
      </c>
      <c r="D361" s="61">
        <v>363.48</v>
      </c>
      <c r="E361">
        <f>-D361</f>
        <v>-363.48</v>
      </c>
      <c r="H361">
        <f>SUM(C361:G361)</f>
        <v>553.79999999999995</v>
      </c>
      <c r="I361" s="71"/>
    </row>
    <row r="362" spans="1:9" ht="15" customHeight="1" x14ac:dyDescent="0.45">
      <c r="B362" s="16" t="s">
        <v>62</v>
      </c>
      <c r="C362">
        <f>SUM(C360:C361)</f>
        <v>709.8</v>
      </c>
      <c r="D362">
        <f>SUM(D360:D361)</f>
        <v>628.68000000000006</v>
      </c>
      <c r="F362" s="70"/>
      <c r="H362">
        <f>SUM(H360:H361)</f>
        <v>3557.3199999999997</v>
      </c>
      <c r="I362" s="71"/>
    </row>
    <row r="363" spans="1:9" ht="15" customHeight="1" x14ac:dyDescent="0.45">
      <c r="B363" s="16" t="s">
        <v>63</v>
      </c>
      <c r="C363">
        <f>C362+C358</f>
        <v>4247.88</v>
      </c>
      <c r="D363">
        <f>D362+D358</f>
        <v>2550.6000000000004</v>
      </c>
      <c r="F363" s="70"/>
      <c r="H363">
        <f>H362+H358</f>
        <v>8109.7999999999993</v>
      </c>
      <c r="I363" s="71"/>
    </row>
    <row r="364" spans="1:9" ht="15" customHeight="1" x14ac:dyDescent="0.45">
      <c r="F364" s="70"/>
      <c r="I364" s="71"/>
    </row>
    <row r="365" spans="1:9" ht="15" customHeight="1" x14ac:dyDescent="0.45">
      <c r="A365" s="15" t="s">
        <v>28</v>
      </c>
      <c r="F365" s="70"/>
      <c r="I365" s="71"/>
    </row>
    <row r="366" spans="1:9" ht="15" customHeight="1" x14ac:dyDescent="0.45">
      <c r="B366" s="16" t="s">
        <v>331</v>
      </c>
      <c r="F366" s="70"/>
      <c r="I366" s="71"/>
    </row>
    <row r="367" spans="1:9" ht="15" customHeight="1" x14ac:dyDescent="0.45">
      <c r="B367" s="16" t="s">
        <v>332</v>
      </c>
      <c r="F367" s="70"/>
      <c r="I367" s="71"/>
    </row>
    <row r="368" spans="1:9" ht="15" customHeight="1" x14ac:dyDescent="0.45">
      <c r="B368" s="16" t="s">
        <v>333</v>
      </c>
      <c r="F368" s="70"/>
      <c r="I368" s="71"/>
    </row>
    <row r="369" spans="2:9" ht="15" customHeight="1" x14ac:dyDescent="0.45">
      <c r="B369" s="16" t="s">
        <v>334</v>
      </c>
      <c r="F369" s="70"/>
      <c r="I369" s="71"/>
    </row>
    <row r="370" spans="2:9" ht="15" customHeight="1" x14ac:dyDescent="0.45">
      <c r="B370" s="16" t="s">
        <v>135</v>
      </c>
      <c r="F370" s="70"/>
      <c r="I370" s="71"/>
    </row>
    <row r="371" spans="2:9" ht="15" customHeight="1" x14ac:dyDescent="0.45">
      <c r="C371" t="s">
        <v>271</v>
      </c>
      <c r="D371" t="s">
        <v>136</v>
      </c>
      <c r="E371" t="s">
        <v>147</v>
      </c>
      <c r="F371" t="s">
        <v>68</v>
      </c>
      <c r="G371" t="s">
        <v>50</v>
      </c>
      <c r="I371" s="71"/>
    </row>
    <row r="372" spans="2:9" ht="15" customHeight="1" x14ac:dyDescent="0.45">
      <c r="B372" s="16" t="s">
        <v>137</v>
      </c>
      <c r="C372" s="61">
        <v>4400</v>
      </c>
      <c r="D372" s="61">
        <v>1350</v>
      </c>
      <c r="G372">
        <f>SUM(C372:F372)</f>
        <v>5750</v>
      </c>
      <c r="I372" s="71"/>
    </row>
    <row r="373" spans="2:9" ht="15" customHeight="1" x14ac:dyDescent="0.45">
      <c r="B373" s="16" t="s">
        <v>138</v>
      </c>
      <c r="C373" s="61">
        <v>1540</v>
      </c>
      <c r="D373" s="61">
        <v>337.5</v>
      </c>
      <c r="G373">
        <f>SUM(C373:F373)</f>
        <v>1877.5</v>
      </c>
      <c r="I373" s="71"/>
    </row>
    <row r="374" spans="2:9" ht="15" customHeight="1" x14ac:dyDescent="0.45">
      <c r="B374" s="16" t="s">
        <v>139</v>
      </c>
      <c r="C374">
        <f>C372-C373</f>
        <v>2860</v>
      </c>
      <c r="D374">
        <f>D372-D373</f>
        <v>1012.5</v>
      </c>
      <c r="G374">
        <f>G372-G373</f>
        <v>3872.5</v>
      </c>
      <c r="I374" s="71"/>
    </row>
    <row r="375" spans="2:9" ht="15" customHeight="1" x14ac:dyDescent="0.45">
      <c r="B375" s="16" t="s">
        <v>140</v>
      </c>
      <c r="C375" s="61">
        <v>1760</v>
      </c>
      <c r="D375" s="61">
        <v>607.5</v>
      </c>
      <c r="E375" s="61">
        <v>-20</v>
      </c>
      <c r="G375">
        <f>SUM(C375:F375)</f>
        <v>2347.5</v>
      </c>
      <c r="I375" s="71"/>
    </row>
    <row r="376" spans="2:9" ht="15" customHeight="1" x14ac:dyDescent="0.45">
      <c r="B376" s="16" t="s">
        <v>141</v>
      </c>
      <c r="C376">
        <f>C374-C375</f>
        <v>1100</v>
      </c>
      <c r="D376">
        <f>D374-D375</f>
        <v>405</v>
      </c>
      <c r="G376">
        <f>G374-G375</f>
        <v>1525</v>
      </c>
      <c r="I376" s="71"/>
    </row>
    <row r="377" spans="2:9" ht="15" customHeight="1" x14ac:dyDescent="0.45">
      <c r="B377" s="16" t="s">
        <v>142</v>
      </c>
      <c r="C377" s="61">
        <v>4</v>
      </c>
      <c r="D377" s="61">
        <v>1</v>
      </c>
      <c r="F377" s="61">
        <f>200*1%*-1</f>
        <v>-2</v>
      </c>
      <c r="G377">
        <f>SUM(C377:F377)</f>
        <v>3</v>
      </c>
      <c r="I377" s="71"/>
    </row>
    <row r="378" spans="2:9" ht="15" customHeight="1" x14ac:dyDescent="0.45">
      <c r="B378" s="16" t="s">
        <v>143</v>
      </c>
      <c r="C378" s="61">
        <v>150</v>
      </c>
      <c r="D378" s="61">
        <v>60</v>
      </c>
      <c r="F378" s="61">
        <f>1500*5.5%</f>
        <v>82.5</v>
      </c>
      <c r="G378">
        <f>SUM(C378:F378)</f>
        <v>292.5</v>
      </c>
      <c r="I378" s="71"/>
    </row>
    <row r="379" spans="2:9" ht="15" customHeight="1" x14ac:dyDescent="0.45">
      <c r="B379" s="16" t="s">
        <v>144</v>
      </c>
      <c r="C379">
        <f>C376+C377-C378</f>
        <v>954</v>
      </c>
      <c r="D379">
        <f>D376+D377-D378</f>
        <v>346</v>
      </c>
      <c r="G379">
        <f>G376+G377-G378</f>
        <v>1235.5</v>
      </c>
      <c r="I379" s="71"/>
    </row>
    <row r="380" spans="2:9" ht="15" customHeight="1" x14ac:dyDescent="0.45">
      <c r="B380" s="16" t="s">
        <v>145</v>
      </c>
      <c r="C380" s="61">
        <v>200.34</v>
      </c>
      <c r="D380" s="61">
        <v>62.28</v>
      </c>
      <c r="E380">
        <f>E375*25%*-1</f>
        <v>5</v>
      </c>
      <c r="F380">
        <f>(F377-F378)*25%</f>
        <v>-21.125</v>
      </c>
      <c r="G380">
        <f>SUM(C380:F380)</f>
        <v>246.495</v>
      </c>
      <c r="I380" s="71"/>
    </row>
    <row r="381" spans="2:9" ht="15" customHeight="1" x14ac:dyDescent="0.45">
      <c r="B381" s="16" t="s">
        <v>146</v>
      </c>
      <c r="C381">
        <f>C379-C380</f>
        <v>753.66</v>
      </c>
      <c r="D381">
        <f>D379-D380</f>
        <v>283.72000000000003</v>
      </c>
      <c r="G381">
        <f>G379-G380</f>
        <v>989.005</v>
      </c>
      <c r="I381" s="71"/>
    </row>
    <row r="382" spans="2:9" ht="15" customHeight="1" x14ac:dyDescent="0.45">
      <c r="I382" s="71"/>
    </row>
    <row r="383" spans="2:9" ht="15" customHeight="1" x14ac:dyDescent="0.45">
      <c r="B383" s="16" t="s">
        <v>148</v>
      </c>
      <c r="I383" s="71"/>
    </row>
    <row r="384" spans="2:9" ht="15" customHeight="1" x14ac:dyDescent="0.45">
      <c r="I384" s="71"/>
    </row>
    <row r="385" spans="2:9" ht="15" customHeight="1" x14ac:dyDescent="0.45">
      <c r="B385" s="16" t="s">
        <v>149</v>
      </c>
      <c r="I385" s="71"/>
    </row>
    <row r="386" spans="2:9" ht="15" customHeight="1" x14ac:dyDescent="0.45">
      <c r="B386" s="16" t="s">
        <v>272</v>
      </c>
      <c r="C386">
        <f>C377</f>
        <v>4</v>
      </c>
      <c r="I386" s="71"/>
    </row>
    <row r="387" spans="2:9" ht="15" customHeight="1" x14ac:dyDescent="0.45">
      <c r="B387" s="16" t="s">
        <v>150</v>
      </c>
      <c r="C387">
        <f>D377</f>
        <v>1</v>
      </c>
      <c r="I387" s="71"/>
    </row>
    <row r="388" spans="2:9" ht="15" customHeight="1" x14ac:dyDescent="0.45">
      <c r="B388" s="16" t="s">
        <v>151</v>
      </c>
      <c r="C388" s="61">
        <f>200*1%*-1</f>
        <v>-2</v>
      </c>
      <c r="I388" s="71"/>
    </row>
    <row r="389" spans="2:9" ht="15" customHeight="1" x14ac:dyDescent="0.45">
      <c r="B389" s="16" t="s">
        <v>152</v>
      </c>
      <c r="C389">
        <f>SUM(C386:C388)</f>
        <v>3</v>
      </c>
      <c r="I389" s="71"/>
    </row>
    <row r="390" spans="2:9" ht="15" customHeight="1" x14ac:dyDescent="0.45">
      <c r="I390" s="71"/>
    </row>
    <row r="391" spans="2:9" ht="15" customHeight="1" x14ac:dyDescent="0.45">
      <c r="B391" s="16" t="s">
        <v>153</v>
      </c>
      <c r="C391" s="70"/>
      <c r="I391" s="71"/>
    </row>
    <row r="392" spans="2:9" ht="15" customHeight="1" x14ac:dyDescent="0.45">
      <c r="B392" s="16" t="s">
        <v>273</v>
      </c>
      <c r="C392">
        <f>C378</f>
        <v>150</v>
      </c>
      <c r="D392" s="70"/>
      <c r="I392" s="71"/>
    </row>
    <row r="393" spans="2:9" ht="15" customHeight="1" x14ac:dyDescent="0.45">
      <c r="B393" s="16" t="s">
        <v>154</v>
      </c>
      <c r="C393">
        <f>D378</f>
        <v>60</v>
      </c>
      <c r="D393" s="70"/>
      <c r="I393" s="71"/>
    </row>
    <row r="394" spans="2:9" ht="15" customHeight="1" x14ac:dyDescent="0.45">
      <c r="B394" s="16" t="s">
        <v>155</v>
      </c>
      <c r="C394" s="61">
        <f>1500*5.5%</f>
        <v>82.5</v>
      </c>
      <c r="D394" s="70"/>
      <c r="I394" s="71"/>
    </row>
    <row r="395" spans="2:9" ht="15" customHeight="1" x14ac:dyDescent="0.45">
      <c r="B395" s="16" t="s">
        <v>156</v>
      </c>
      <c r="C395">
        <f>SUM(C392:C394)</f>
        <v>292.5</v>
      </c>
      <c r="D395" s="70"/>
      <c r="I395" s="71"/>
    </row>
    <row r="396" spans="2:9" ht="15" customHeight="1" x14ac:dyDescent="0.45">
      <c r="D396" s="70"/>
      <c r="I396" s="71"/>
    </row>
    <row r="397" spans="2:9" ht="15" customHeight="1" x14ac:dyDescent="0.45">
      <c r="B397" s="16" t="s">
        <v>157</v>
      </c>
      <c r="D397" s="70"/>
      <c r="I397" s="71"/>
    </row>
    <row r="398" spans="2:9" ht="15" customHeight="1" x14ac:dyDescent="0.45">
      <c r="B398" s="16" t="s">
        <v>274</v>
      </c>
      <c r="C398">
        <f>C380</f>
        <v>200.34</v>
      </c>
      <c r="D398" s="70"/>
      <c r="I398" s="71"/>
    </row>
    <row r="399" spans="2:9" ht="15" customHeight="1" x14ac:dyDescent="0.45">
      <c r="B399" s="16" t="s">
        <v>158</v>
      </c>
      <c r="C399">
        <f>D380</f>
        <v>62.28</v>
      </c>
      <c r="D399" s="70"/>
      <c r="I399" s="71"/>
    </row>
    <row r="400" spans="2:9" ht="15" customHeight="1" x14ac:dyDescent="0.45">
      <c r="B400" s="16" t="s">
        <v>159</v>
      </c>
      <c r="C400" s="61">
        <f>20*25%</f>
        <v>5</v>
      </c>
      <c r="D400" s="70"/>
      <c r="I400" s="71"/>
    </row>
    <row r="401" spans="2:9" ht="15" customHeight="1" x14ac:dyDescent="0.45">
      <c r="B401" s="16" t="s">
        <v>160</v>
      </c>
      <c r="C401">
        <f>C388*25%</f>
        <v>-0.5</v>
      </c>
      <c r="D401" s="70"/>
      <c r="I401" s="71"/>
    </row>
    <row r="402" spans="2:9" ht="15" customHeight="1" x14ac:dyDescent="0.45">
      <c r="B402" s="16" t="s">
        <v>161</v>
      </c>
      <c r="C402">
        <f>C394*25%*-1</f>
        <v>-20.625</v>
      </c>
      <c r="D402" s="70"/>
      <c r="I402" s="71"/>
    </row>
    <row r="403" spans="2:9" ht="15" customHeight="1" x14ac:dyDescent="0.45">
      <c r="B403" s="16" t="s">
        <v>162</v>
      </c>
      <c r="C403">
        <f>SUM(C398:C402)</f>
        <v>246.495</v>
      </c>
      <c r="D403" s="70"/>
      <c r="I403" s="71"/>
    </row>
    <row r="404" spans="2:9" ht="15" customHeight="1" x14ac:dyDescent="0.45">
      <c r="D404" s="70"/>
      <c r="I404" s="71"/>
    </row>
    <row r="405" spans="2:9" ht="15" customHeight="1" x14ac:dyDescent="0.45">
      <c r="B405" s="16" t="s">
        <v>163</v>
      </c>
      <c r="D405" s="70"/>
      <c r="I405" s="71"/>
    </row>
    <row r="406" spans="2:9" ht="15" customHeight="1" x14ac:dyDescent="0.45">
      <c r="B406" s="16" t="s">
        <v>164</v>
      </c>
      <c r="C406">
        <f>G379</f>
        <v>1235.5</v>
      </c>
      <c r="D406" s="70"/>
      <c r="I406" s="71"/>
    </row>
    <row r="407" spans="2:9" ht="15" customHeight="1" x14ac:dyDescent="0.45">
      <c r="B407" s="16" t="s">
        <v>165</v>
      </c>
      <c r="C407" s="69">
        <v>0.25</v>
      </c>
      <c r="D407" s="70"/>
      <c r="I407" s="71"/>
    </row>
    <row r="408" spans="2:9" ht="15" customHeight="1" x14ac:dyDescent="0.45">
      <c r="B408" s="16" t="s">
        <v>166</v>
      </c>
      <c r="C408">
        <f>C406*C407</f>
        <v>308.875</v>
      </c>
      <c r="D408" s="70"/>
      <c r="I408" s="71"/>
    </row>
    <row r="409" spans="2:9" ht="15" customHeight="1" x14ac:dyDescent="0.45">
      <c r="B409" s="16" t="s">
        <v>167</v>
      </c>
      <c r="C409">
        <f>C403</f>
        <v>246.495</v>
      </c>
      <c r="D409" s="70"/>
      <c r="I409" s="71"/>
    </row>
    <row r="410" spans="2:9" ht="15" customHeight="1" x14ac:dyDescent="0.45">
      <c r="D410" s="70"/>
      <c r="I410" s="71"/>
    </row>
    <row r="411" spans="2:9" ht="15" customHeight="1" x14ac:dyDescent="0.45">
      <c r="B411" s="16" t="s">
        <v>276</v>
      </c>
      <c r="D411" s="70"/>
      <c r="I411" s="71"/>
    </row>
    <row r="412" spans="2:9" ht="15" customHeight="1" x14ac:dyDescent="0.45">
      <c r="B412" s="16" t="s">
        <v>168</v>
      </c>
      <c r="D412" s="70"/>
      <c r="I412" s="71"/>
    </row>
    <row r="413" spans="2:9" ht="15" customHeight="1" x14ac:dyDescent="0.45">
      <c r="B413" s="16" t="s">
        <v>275</v>
      </c>
      <c r="C413" s="67">
        <f>C380/C379</f>
        <v>0.21</v>
      </c>
      <c r="D413" s="70"/>
      <c r="I413" s="71"/>
    </row>
    <row r="414" spans="2:9" ht="15" customHeight="1" x14ac:dyDescent="0.45">
      <c r="B414" s="16" t="s">
        <v>169</v>
      </c>
      <c r="C414" s="67">
        <f>D380/D379</f>
        <v>0.18</v>
      </c>
      <c r="D414" s="70"/>
      <c r="I414" s="71"/>
    </row>
    <row r="415" spans="2:9" ht="15" customHeight="1" x14ac:dyDescent="0.45">
      <c r="B415" s="16" t="s">
        <v>170</v>
      </c>
      <c r="C415" s="67">
        <f>C407</f>
        <v>0.25</v>
      </c>
      <c r="D415" s="70"/>
      <c r="I415" s="71"/>
    </row>
    <row r="416" spans="2:9" ht="15" customHeight="1" x14ac:dyDescent="0.45">
      <c r="D416" s="70"/>
      <c r="I416" s="71"/>
    </row>
    <row r="417" spans="1:9" ht="15" customHeight="1" x14ac:dyDescent="0.45">
      <c r="A417" s="15" t="s">
        <v>29</v>
      </c>
      <c r="C417" s="70"/>
      <c r="D417" s="70"/>
      <c r="I417" s="71"/>
    </row>
    <row r="418" spans="1:9" ht="15" customHeight="1" x14ac:dyDescent="0.45">
      <c r="B418" s="16" t="s">
        <v>335</v>
      </c>
      <c r="D418" s="70"/>
      <c r="I418" s="71"/>
    </row>
    <row r="419" spans="1:9" ht="15" customHeight="1" x14ac:dyDescent="0.45">
      <c r="B419" s="16" t="s">
        <v>336</v>
      </c>
      <c r="D419" s="70"/>
      <c r="I419" s="71"/>
    </row>
    <row r="420" spans="1:9" ht="15" customHeight="1" x14ac:dyDescent="0.45">
      <c r="B420" s="16" t="s">
        <v>337</v>
      </c>
      <c r="D420" s="70"/>
      <c r="I420" s="71"/>
    </row>
    <row r="421" spans="1:9" ht="15" customHeight="1" x14ac:dyDescent="0.45">
      <c r="B421" s="16" t="s">
        <v>338</v>
      </c>
      <c r="D421" s="70"/>
      <c r="I421" s="71"/>
    </row>
    <row r="422" spans="1:9" ht="15" customHeight="1" x14ac:dyDescent="0.45">
      <c r="B422" s="16" t="s">
        <v>135</v>
      </c>
      <c r="D422" s="70"/>
      <c r="I422" s="71"/>
    </row>
    <row r="423" spans="1:9" ht="15" customHeight="1" x14ac:dyDescent="0.45">
      <c r="C423" t="s">
        <v>171</v>
      </c>
      <c r="D423" t="s">
        <v>172</v>
      </c>
      <c r="E423" t="s">
        <v>147</v>
      </c>
      <c r="F423" t="s">
        <v>68</v>
      </c>
      <c r="G423" t="s">
        <v>50</v>
      </c>
      <c r="I423" s="71"/>
    </row>
    <row r="424" spans="1:9" ht="15" customHeight="1" x14ac:dyDescent="0.45">
      <c r="B424" s="16" t="s">
        <v>137</v>
      </c>
      <c r="C424" s="61">
        <v>10340</v>
      </c>
      <c r="D424" s="61">
        <v>3172.5</v>
      </c>
      <c r="G424">
        <f>SUM(C424:F424)</f>
        <v>13512.5</v>
      </c>
      <c r="I424" s="71"/>
    </row>
    <row r="425" spans="1:9" ht="15" customHeight="1" x14ac:dyDescent="0.45">
      <c r="B425" s="16" t="s">
        <v>138</v>
      </c>
      <c r="C425" s="61">
        <v>3619</v>
      </c>
      <c r="D425" s="61">
        <v>793.125</v>
      </c>
      <c r="G425">
        <f>SUM(C425:F425)</f>
        <v>4412.125</v>
      </c>
      <c r="I425" s="71"/>
    </row>
    <row r="426" spans="1:9" ht="15" customHeight="1" x14ac:dyDescent="0.45">
      <c r="B426" s="16" t="s">
        <v>139</v>
      </c>
      <c r="C426">
        <f>C424-C425</f>
        <v>6721</v>
      </c>
      <c r="D426">
        <f>D424-D425</f>
        <v>2379.375</v>
      </c>
      <c r="G426">
        <f>G424-G425</f>
        <v>9100.375</v>
      </c>
      <c r="I426" s="71"/>
    </row>
    <row r="427" spans="1:9" ht="15" customHeight="1" x14ac:dyDescent="0.45">
      <c r="B427" s="16" t="s">
        <v>140</v>
      </c>
      <c r="C427" s="61">
        <v>4136</v>
      </c>
      <c r="D427" s="61">
        <v>1427.625</v>
      </c>
      <c r="E427" s="61">
        <v>-47</v>
      </c>
      <c r="G427">
        <f>SUM(C427:F427)</f>
        <v>5516.625</v>
      </c>
      <c r="I427" s="71"/>
    </row>
    <row r="428" spans="1:9" ht="15" customHeight="1" x14ac:dyDescent="0.45">
      <c r="B428" s="16" t="s">
        <v>141</v>
      </c>
      <c r="C428">
        <f>C426-C427</f>
        <v>2585</v>
      </c>
      <c r="D428">
        <f>D426-D427</f>
        <v>951.75</v>
      </c>
      <c r="G428">
        <f>G426-G427</f>
        <v>3583.75</v>
      </c>
      <c r="I428" s="71"/>
    </row>
    <row r="429" spans="1:9" ht="15" customHeight="1" x14ac:dyDescent="0.45">
      <c r="B429" s="16" t="s">
        <v>142</v>
      </c>
      <c r="C429" s="61">
        <v>19.399999999999999</v>
      </c>
      <c r="D429" s="61">
        <v>2.35</v>
      </c>
      <c r="F429" s="61">
        <f>950*1.25%*-1</f>
        <v>-11.875</v>
      </c>
      <c r="G429">
        <f>SUM(C429:F429)</f>
        <v>9.875</v>
      </c>
      <c r="I429" s="71"/>
    </row>
    <row r="430" spans="1:9" ht="15" customHeight="1" x14ac:dyDescent="0.45">
      <c r="B430" s="16" t="s">
        <v>143</v>
      </c>
      <c r="C430" s="61">
        <v>352.5</v>
      </c>
      <c r="D430" s="61">
        <v>141</v>
      </c>
      <c r="F430" s="61">
        <f>2900*7.5%</f>
        <v>217.5</v>
      </c>
      <c r="G430">
        <f>SUM(C430:F430)</f>
        <v>711</v>
      </c>
      <c r="I430" s="71"/>
    </row>
    <row r="431" spans="1:9" ht="15" customHeight="1" x14ac:dyDescent="0.45">
      <c r="B431" s="16" t="s">
        <v>144</v>
      </c>
      <c r="C431">
        <f>C428+C429-C430</f>
        <v>2251.9</v>
      </c>
      <c r="D431">
        <f>D428+D429-D430</f>
        <v>813.1</v>
      </c>
      <c r="G431">
        <f>G428+G429-G430</f>
        <v>2882.625</v>
      </c>
      <c r="I431" s="71"/>
    </row>
    <row r="432" spans="1:9" ht="15" customHeight="1" x14ac:dyDescent="0.45">
      <c r="B432" s="16" t="s">
        <v>145</v>
      </c>
      <c r="C432" s="61">
        <v>683.77949999999998</v>
      </c>
      <c r="D432" s="61">
        <v>239.86449999999999</v>
      </c>
      <c r="E432">
        <f>E427*30%*-1</f>
        <v>14.1</v>
      </c>
      <c r="F432">
        <f>(F429-F430)*30%</f>
        <v>-68.8125</v>
      </c>
      <c r="G432">
        <f>SUM(C432:F432)</f>
        <v>868.93150000000003</v>
      </c>
      <c r="I432" s="71"/>
    </row>
    <row r="433" spans="2:9" ht="15" customHeight="1" x14ac:dyDescent="0.45">
      <c r="B433" s="16" t="s">
        <v>146</v>
      </c>
      <c r="C433">
        <f>C431-C432</f>
        <v>1568.1205</v>
      </c>
      <c r="D433">
        <f>D431-D432</f>
        <v>573.2355</v>
      </c>
      <c r="G433">
        <f>G431-G432</f>
        <v>2013.6934999999999</v>
      </c>
      <c r="I433" s="71"/>
    </row>
    <row r="434" spans="2:9" ht="15" customHeight="1" x14ac:dyDescent="0.45">
      <c r="I434" s="71"/>
    </row>
    <row r="435" spans="2:9" ht="15" customHeight="1" x14ac:dyDescent="0.45">
      <c r="B435" s="16" t="s">
        <v>148</v>
      </c>
      <c r="I435" s="71"/>
    </row>
    <row r="436" spans="2:9" ht="15" customHeight="1" x14ac:dyDescent="0.45">
      <c r="I436" s="71"/>
    </row>
    <row r="437" spans="2:9" ht="15" customHeight="1" x14ac:dyDescent="0.45">
      <c r="B437" s="16" t="s">
        <v>149</v>
      </c>
      <c r="I437" s="71"/>
    </row>
    <row r="438" spans="2:9" ht="15" customHeight="1" x14ac:dyDescent="0.45">
      <c r="B438" s="16" t="s">
        <v>173</v>
      </c>
      <c r="C438">
        <f>C429</f>
        <v>19.399999999999999</v>
      </c>
      <c r="I438" s="71"/>
    </row>
    <row r="439" spans="2:9" ht="15" customHeight="1" x14ac:dyDescent="0.45">
      <c r="B439" s="16" t="s">
        <v>174</v>
      </c>
      <c r="C439">
        <f>D429</f>
        <v>2.35</v>
      </c>
      <c r="I439" s="71"/>
    </row>
    <row r="440" spans="2:9" ht="15" customHeight="1" x14ac:dyDescent="0.45">
      <c r="B440" s="16" t="s">
        <v>151</v>
      </c>
      <c r="C440" s="61">
        <f>950*1.25%*-1</f>
        <v>-11.875</v>
      </c>
      <c r="I440" s="71"/>
    </row>
    <row r="441" spans="2:9" ht="15" customHeight="1" x14ac:dyDescent="0.45">
      <c r="B441" s="16" t="s">
        <v>152</v>
      </c>
      <c r="C441">
        <f>SUM(C438:C440)</f>
        <v>9.875</v>
      </c>
      <c r="I441" s="71"/>
    </row>
    <row r="442" spans="2:9" ht="15" customHeight="1" x14ac:dyDescent="0.45">
      <c r="I442" s="71"/>
    </row>
    <row r="443" spans="2:9" ht="15" customHeight="1" x14ac:dyDescent="0.45">
      <c r="B443" s="16" t="s">
        <v>153</v>
      </c>
      <c r="C443" s="70"/>
      <c r="I443" s="71"/>
    </row>
    <row r="444" spans="2:9" ht="15" customHeight="1" x14ac:dyDescent="0.45">
      <c r="B444" s="16" t="s">
        <v>175</v>
      </c>
      <c r="C444">
        <f>C430</f>
        <v>352.5</v>
      </c>
      <c r="D444" s="70"/>
      <c r="I444" s="71"/>
    </row>
    <row r="445" spans="2:9" ht="15" customHeight="1" x14ac:dyDescent="0.45">
      <c r="B445" s="16" t="s">
        <v>176</v>
      </c>
      <c r="C445">
        <f>D430</f>
        <v>141</v>
      </c>
      <c r="D445" s="70"/>
      <c r="I445" s="71"/>
    </row>
    <row r="446" spans="2:9" ht="15" customHeight="1" x14ac:dyDescent="0.45">
      <c r="B446" s="16" t="s">
        <v>155</v>
      </c>
      <c r="C446" s="61">
        <f>2900*7.5%</f>
        <v>217.5</v>
      </c>
      <c r="D446" s="70"/>
      <c r="I446" s="71"/>
    </row>
    <row r="447" spans="2:9" ht="15" customHeight="1" x14ac:dyDescent="0.45">
      <c r="B447" s="16" t="s">
        <v>156</v>
      </c>
      <c r="C447">
        <f>SUM(C444:C446)</f>
        <v>711</v>
      </c>
      <c r="D447" s="70"/>
      <c r="I447" s="71"/>
    </row>
    <row r="448" spans="2:9" ht="15" customHeight="1" x14ac:dyDescent="0.45">
      <c r="D448" s="70"/>
      <c r="I448" s="71"/>
    </row>
    <row r="449" spans="2:9" ht="15" customHeight="1" x14ac:dyDescent="0.45">
      <c r="B449" s="16" t="s">
        <v>157</v>
      </c>
      <c r="D449" s="70"/>
      <c r="I449" s="71"/>
    </row>
    <row r="450" spans="2:9" ht="15" customHeight="1" x14ac:dyDescent="0.45">
      <c r="B450" s="16" t="s">
        <v>177</v>
      </c>
      <c r="C450">
        <f>C432</f>
        <v>683.77949999999998</v>
      </c>
      <c r="D450" s="70"/>
      <c r="I450" s="71"/>
    </row>
    <row r="451" spans="2:9" ht="15" customHeight="1" x14ac:dyDescent="0.45">
      <c r="B451" s="16" t="s">
        <v>178</v>
      </c>
      <c r="C451">
        <f>D432</f>
        <v>239.86449999999999</v>
      </c>
      <c r="D451" s="70"/>
      <c r="I451" s="71"/>
    </row>
    <row r="452" spans="2:9" ht="15" customHeight="1" x14ac:dyDescent="0.45">
      <c r="B452" s="16" t="s">
        <v>159</v>
      </c>
      <c r="C452" s="61">
        <f>47*30%</f>
        <v>14.1</v>
      </c>
      <c r="D452" s="70"/>
      <c r="I452" s="71"/>
    </row>
    <row r="453" spans="2:9" ht="15" customHeight="1" x14ac:dyDescent="0.45">
      <c r="B453" s="16" t="s">
        <v>160</v>
      </c>
      <c r="C453">
        <f>C440*30%</f>
        <v>-3.5625</v>
      </c>
      <c r="D453" s="70"/>
      <c r="I453" s="71"/>
    </row>
    <row r="454" spans="2:9" ht="15" customHeight="1" x14ac:dyDescent="0.45">
      <c r="B454" s="16" t="s">
        <v>161</v>
      </c>
      <c r="C454">
        <f>C446*30%*-1</f>
        <v>-65.25</v>
      </c>
      <c r="D454" s="70"/>
      <c r="I454" s="71"/>
    </row>
    <row r="455" spans="2:9" ht="15" customHeight="1" x14ac:dyDescent="0.45">
      <c r="B455" s="16" t="s">
        <v>162</v>
      </c>
      <c r="C455">
        <f>SUM(C450:C454)</f>
        <v>868.93150000000003</v>
      </c>
      <c r="D455" s="70"/>
      <c r="I455" s="71"/>
    </row>
    <row r="456" spans="2:9" ht="15" customHeight="1" x14ac:dyDescent="0.45">
      <c r="D456" s="70"/>
      <c r="I456" s="71"/>
    </row>
    <row r="457" spans="2:9" ht="15" customHeight="1" x14ac:dyDescent="0.45">
      <c r="B457" s="16" t="s">
        <v>163</v>
      </c>
      <c r="D457" s="70"/>
      <c r="I457" s="71"/>
    </row>
    <row r="458" spans="2:9" ht="15" customHeight="1" x14ac:dyDescent="0.45">
      <c r="B458" s="16" t="s">
        <v>164</v>
      </c>
      <c r="C458">
        <f>G431</f>
        <v>2882.625</v>
      </c>
      <c r="D458" s="70"/>
      <c r="I458" s="71"/>
    </row>
    <row r="459" spans="2:9" ht="15" customHeight="1" x14ac:dyDescent="0.45">
      <c r="B459" s="16" t="s">
        <v>165</v>
      </c>
      <c r="C459" s="69">
        <v>0.3</v>
      </c>
      <c r="D459" s="70"/>
      <c r="I459" s="71"/>
    </row>
    <row r="460" spans="2:9" ht="15" customHeight="1" x14ac:dyDescent="0.45">
      <c r="B460" s="16" t="s">
        <v>166</v>
      </c>
      <c r="C460">
        <f>C458*C459</f>
        <v>864.78750000000002</v>
      </c>
      <c r="D460" s="70"/>
      <c r="I460" s="71"/>
    </row>
    <row r="461" spans="2:9" ht="15" customHeight="1" x14ac:dyDescent="0.45">
      <c r="B461" s="16" t="s">
        <v>167</v>
      </c>
      <c r="C461">
        <f>C455</f>
        <v>868.93150000000003</v>
      </c>
      <c r="D461" s="70"/>
      <c r="I461" s="71"/>
    </row>
    <row r="462" spans="2:9" ht="15" customHeight="1" x14ac:dyDescent="0.45">
      <c r="D462" s="70"/>
      <c r="I462" s="71"/>
    </row>
    <row r="463" spans="2:9" ht="15" customHeight="1" x14ac:dyDescent="0.45">
      <c r="B463" s="16" t="s">
        <v>181</v>
      </c>
      <c r="D463" s="70"/>
      <c r="I463" s="71"/>
    </row>
    <row r="464" spans="2:9" ht="15" customHeight="1" x14ac:dyDescent="0.45">
      <c r="B464" s="16" t="s">
        <v>182</v>
      </c>
      <c r="D464" s="70"/>
      <c r="I464" s="71"/>
    </row>
    <row r="465" spans="1:9" ht="15" customHeight="1" x14ac:dyDescent="0.45">
      <c r="B465" s="16" t="s">
        <v>179</v>
      </c>
      <c r="C465" s="67">
        <f>C432/C431</f>
        <v>0.30364558816998977</v>
      </c>
      <c r="D465" s="70"/>
      <c r="I465" s="71"/>
    </row>
    <row r="466" spans="1:9" ht="15" customHeight="1" x14ac:dyDescent="0.45">
      <c r="B466" s="16" t="s">
        <v>180</v>
      </c>
      <c r="C466" s="67">
        <f>D432/D431</f>
        <v>0.29499999999999998</v>
      </c>
      <c r="D466" s="70"/>
      <c r="I466" s="71"/>
    </row>
    <row r="467" spans="1:9" ht="15" customHeight="1" x14ac:dyDescent="0.45">
      <c r="B467" s="16" t="s">
        <v>170</v>
      </c>
      <c r="C467" s="67">
        <f>C459</f>
        <v>0.3</v>
      </c>
      <c r="D467" s="70"/>
      <c r="I467" s="71"/>
    </row>
    <row r="468" spans="1:9" ht="15" customHeight="1" x14ac:dyDescent="0.45">
      <c r="I468" s="71"/>
    </row>
    <row r="469" spans="1:9" ht="15" customHeight="1" x14ac:dyDescent="0.45">
      <c r="A469" s="15" t="s">
        <v>30</v>
      </c>
      <c r="I469" s="71"/>
    </row>
    <row r="470" spans="1:9" ht="15" customHeight="1" x14ac:dyDescent="0.45">
      <c r="B470" s="16" t="s">
        <v>339</v>
      </c>
      <c r="I470" s="71"/>
    </row>
    <row r="471" spans="1:9" ht="15" customHeight="1" x14ac:dyDescent="0.45">
      <c r="B471" s="16" t="s">
        <v>185</v>
      </c>
      <c r="C471" s="70"/>
      <c r="I471" s="71"/>
    </row>
    <row r="472" spans="1:9" ht="15" customHeight="1" x14ac:dyDescent="0.45">
      <c r="B472" s="16" t="s">
        <v>277</v>
      </c>
      <c r="C472" s="70"/>
      <c r="I472" s="71"/>
    </row>
    <row r="473" spans="1:9" ht="15" customHeight="1" x14ac:dyDescent="0.45">
      <c r="C473" s="70"/>
      <c r="I473" s="71"/>
    </row>
    <row r="474" spans="1:9" ht="15" customHeight="1" x14ac:dyDescent="0.45">
      <c r="C474" t="s">
        <v>183</v>
      </c>
      <c r="D474" t="s">
        <v>184</v>
      </c>
      <c r="E474" t="s">
        <v>186</v>
      </c>
      <c r="F474" t="s">
        <v>50</v>
      </c>
      <c r="I474" s="71"/>
    </row>
    <row r="475" spans="1:9" ht="15" customHeight="1" x14ac:dyDescent="0.45">
      <c r="B475" s="16" t="s">
        <v>137</v>
      </c>
      <c r="C475" s="61">
        <v>8272</v>
      </c>
      <c r="D475" s="61">
        <v>2538</v>
      </c>
      <c r="E475">
        <f>D475*6/12</f>
        <v>1269</v>
      </c>
      <c r="F475">
        <f>C475+D475-E475</f>
        <v>9541</v>
      </c>
      <c r="I475" s="71"/>
    </row>
    <row r="476" spans="1:9" ht="15" customHeight="1" x14ac:dyDescent="0.45">
      <c r="B476" s="16" t="s">
        <v>138</v>
      </c>
      <c r="C476" s="61">
        <v>2895.2000000000003</v>
      </c>
      <c r="D476" s="61">
        <v>634.5</v>
      </c>
      <c r="E476">
        <f>D476*6/12</f>
        <v>317.25</v>
      </c>
      <c r="F476">
        <f>C476+D476-E476</f>
        <v>3212.4500000000003</v>
      </c>
      <c r="I476" s="71"/>
    </row>
    <row r="477" spans="1:9" ht="15" customHeight="1" x14ac:dyDescent="0.45">
      <c r="B477" s="16" t="s">
        <v>139</v>
      </c>
      <c r="C477">
        <f>C475-C476</f>
        <v>5376.7999999999993</v>
      </c>
      <c r="D477">
        <f>D475-D476</f>
        <v>1903.5</v>
      </c>
      <c r="F477">
        <f>F475-F476</f>
        <v>6328.5499999999993</v>
      </c>
      <c r="I477" s="71"/>
    </row>
    <row r="478" spans="1:9" ht="15" customHeight="1" x14ac:dyDescent="0.45">
      <c r="B478" s="16" t="s">
        <v>140</v>
      </c>
      <c r="C478" s="61">
        <v>3308.8</v>
      </c>
      <c r="D478" s="61">
        <v>1142.1000000000001</v>
      </c>
      <c r="E478">
        <f>D478*6/12</f>
        <v>571.05000000000007</v>
      </c>
      <c r="F478">
        <f>C478+D478-E478</f>
        <v>3879.8500000000004</v>
      </c>
      <c r="I478" s="71"/>
    </row>
    <row r="479" spans="1:9" ht="15" customHeight="1" x14ac:dyDescent="0.45">
      <c r="B479" s="16" t="s">
        <v>141</v>
      </c>
      <c r="C479">
        <f>C477-C478</f>
        <v>2067.9999999999991</v>
      </c>
      <c r="D479">
        <f>D477-D478</f>
        <v>761.39999999999986</v>
      </c>
      <c r="F479">
        <f>F477-F478</f>
        <v>2448.6999999999989</v>
      </c>
      <c r="I479" s="71"/>
    </row>
    <row r="480" spans="1:9" ht="15" customHeight="1" x14ac:dyDescent="0.45">
      <c r="B480" s="16" t="s">
        <v>142</v>
      </c>
      <c r="C480" s="61">
        <v>15.52</v>
      </c>
      <c r="D480" s="61">
        <v>1.8800000000000001</v>
      </c>
      <c r="E480">
        <f>D480*6/12</f>
        <v>0.94000000000000006</v>
      </c>
      <c r="F480">
        <f>C480+D480-E480</f>
        <v>16.459999999999997</v>
      </c>
      <c r="I480" s="71"/>
    </row>
    <row r="481" spans="1:9" ht="15" customHeight="1" x14ac:dyDescent="0.45">
      <c r="B481" s="16" t="s">
        <v>143</v>
      </c>
      <c r="C481" s="61">
        <v>282</v>
      </c>
      <c r="D481" s="61">
        <v>112.80000000000001</v>
      </c>
      <c r="E481">
        <f>D481*6/12</f>
        <v>56.400000000000006</v>
      </c>
      <c r="F481">
        <f>C481+D481-E481</f>
        <v>338.4</v>
      </c>
      <c r="I481" s="71"/>
    </row>
    <row r="482" spans="1:9" ht="15" customHeight="1" x14ac:dyDescent="0.45">
      <c r="B482" s="16" t="s">
        <v>144</v>
      </c>
      <c r="C482">
        <f>C479+C480-C481</f>
        <v>1801.5199999999991</v>
      </c>
      <c r="D482">
        <f>D479+D480-D481</f>
        <v>650.47999999999979</v>
      </c>
      <c r="F482">
        <f>F479+F480-F481</f>
        <v>2126.7599999999989</v>
      </c>
      <c r="I482" s="71"/>
    </row>
    <row r="483" spans="1:9" ht="15" customHeight="1" x14ac:dyDescent="0.45">
      <c r="B483" s="16" t="s">
        <v>145</v>
      </c>
      <c r="C483" s="61">
        <v>547.02359999999999</v>
      </c>
      <c r="D483" s="61">
        <v>191.89160000000001</v>
      </c>
      <c r="E483">
        <f>D483*6/12</f>
        <v>95.945800000000006</v>
      </c>
      <c r="F483">
        <f>C483+D483-E483</f>
        <v>642.96940000000006</v>
      </c>
      <c r="I483" s="71"/>
    </row>
    <row r="484" spans="1:9" ht="15" customHeight="1" x14ac:dyDescent="0.45">
      <c r="B484" s="16" t="s">
        <v>146</v>
      </c>
      <c r="C484">
        <f>C482-C483</f>
        <v>1254.4963999999991</v>
      </c>
      <c r="D484">
        <f>D482-D483</f>
        <v>458.58839999999975</v>
      </c>
      <c r="F484">
        <f>F482-F483</f>
        <v>1483.7905999999989</v>
      </c>
      <c r="I484" s="71"/>
    </row>
    <row r="485" spans="1:9" ht="15" customHeight="1" x14ac:dyDescent="0.45">
      <c r="I485" s="71"/>
    </row>
    <row r="486" spans="1:9" ht="15" customHeight="1" x14ac:dyDescent="0.45">
      <c r="A486" s="15" t="s">
        <v>31</v>
      </c>
    </row>
    <row r="487" spans="1:9" ht="15" customHeight="1" x14ac:dyDescent="0.45">
      <c r="B487" s="16" t="s">
        <v>340</v>
      </c>
    </row>
    <row r="488" spans="1:9" ht="15" customHeight="1" x14ac:dyDescent="0.45">
      <c r="B488" s="16" t="s">
        <v>298</v>
      </c>
    </row>
    <row r="489" spans="1:9" ht="15" customHeight="1" x14ac:dyDescent="0.45">
      <c r="B489" s="16" t="s">
        <v>299</v>
      </c>
    </row>
    <row r="490" spans="1:9" ht="15" customHeight="1" x14ac:dyDescent="0.45">
      <c r="B490" s="16" t="s">
        <v>300</v>
      </c>
    </row>
    <row r="491" spans="1:9" ht="15" customHeight="1" x14ac:dyDescent="0.45">
      <c r="B491" s="16" t="s">
        <v>301</v>
      </c>
    </row>
    <row r="492" spans="1:9" ht="15" customHeight="1" x14ac:dyDescent="0.45">
      <c r="B492" s="16" t="s">
        <v>302</v>
      </c>
    </row>
    <row r="493" spans="1:9" ht="15" customHeight="1" x14ac:dyDescent="0.45">
      <c r="B493" s="16" t="s">
        <v>303</v>
      </c>
    </row>
    <row r="494" spans="1:9" ht="15" customHeight="1" x14ac:dyDescent="0.45">
      <c r="B494" s="16" t="s">
        <v>304</v>
      </c>
    </row>
    <row r="495" spans="1:9" ht="15" customHeight="1" x14ac:dyDescent="0.45">
      <c r="B495" s="16" t="s">
        <v>305</v>
      </c>
    </row>
    <row r="497" spans="1:9" ht="15" customHeight="1" x14ac:dyDescent="0.45">
      <c r="C497" t="s">
        <v>306</v>
      </c>
      <c r="D497" t="s">
        <v>307</v>
      </c>
      <c r="E497" t="s">
        <v>308</v>
      </c>
      <c r="F497" t="s">
        <v>147</v>
      </c>
      <c r="G497" t="s">
        <v>48</v>
      </c>
      <c r="H497" t="s">
        <v>309</v>
      </c>
      <c r="I497" t="s">
        <v>50</v>
      </c>
    </row>
    <row r="498" spans="1:9" ht="15" customHeight="1" x14ac:dyDescent="0.45">
      <c r="B498" s="16" t="s">
        <v>137</v>
      </c>
      <c r="C498" s="61">
        <v>6160</v>
      </c>
      <c r="D498" s="61">
        <v>1889.9999999999998</v>
      </c>
      <c r="E498">
        <f>D498*4/12</f>
        <v>629.99999999999989</v>
      </c>
      <c r="I498">
        <f>SUM(C498,E498:H498)</f>
        <v>6790</v>
      </c>
    </row>
    <row r="499" spans="1:9" ht="15" customHeight="1" x14ac:dyDescent="0.45">
      <c r="B499" s="16" t="s">
        <v>138</v>
      </c>
      <c r="C499" s="61">
        <v>2156</v>
      </c>
      <c r="D499" s="61">
        <v>472.49999999999994</v>
      </c>
      <c r="E499">
        <f>D499*4/12</f>
        <v>157.49999999999997</v>
      </c>
      <c r="I499">
        <f>SUM(C499,E499:H499)</f>
        <v>2313.5</v>
      </c>
    </row>
    <row r="500" spans="1:9" ht="15" customHeight="1" x14ac:dyDescent="0.45">
      <c r="B500" s="16" t="s">
        <v>139</v>
      </c>
      <c r="C500">
        <f>C498-C499</f>
        <v>4004</v>
      </c>
      <c r="D500">
        <f>D498-D499</f>
        <v>1417.4999999999998</v>
      </c>
      <c r="E500">
        <f>E498-E499</f>
        <v>472.49999999999989</v>
      </c>
      <c r="I500">
        <f>I498-I499</f>
        <v>4476.5</v>
      </c>
    </row>
    <row r="501" spans="1:9" ht="15" customHeight="1" x14ac:dyDescent="0.45">
      <c r="B501" s="16" t="s">
        <v>140</v>
      </c>
      <c r="C501" s="61">
        <v>2464</v>
      </c>
      <c r="D501" s="61">
        <v>850.5</v>
      </c>
      <c r="E501">
        <f>D501*4/12</f>
        <v>283.5</v>
      </c>
      <c r="F501">
        <f>-10*4/12</f>
        <v>-3.3333333333333335</v>
      </c>
      <c r="I501">
        <f>SUM(C501,E501:H501)</f>
        <v>2744.1666666666665</v>
      </c>
    </row>
    <row r="502" spans="1:9" ht="15" customHeight="1" x14ac:dyDescent="0.45">
      <c r="B502" s="16" t="s">
        <v>141</v>
      </c>
      <c r="C502">
        <f>C500-C501</f>
        <v>1540</v>
      </c>
      <c r="D502">
        <f>D500-D501</f>
        <v>566.99999999999977</v>
      </c>
      <c r="E502">
        <f>E500-E501</f>
        <v>188.99999999999989</v>
      </c>
      <c r="I502">
        <f>I500-I501</f>
        <v>1732.3333333333335</v>
      </c>
    </row>
    <row r="503" spans="1:9" ht="15" customHeight="1" x14ac:dyDescent="0.45">
      <c r="B503" s="16" t="s">
        <v>142</v>
      </c>
      <c r="C503" s="61">
        <v>5.6</v>
      </c>
      <c r="D503" s="61">
        <v>1.4</v>
      </c>
      <c r="E503">
        <f>D503*4/12</f>
        <v>0.46666666666666662</v>
      </c>
      <c r="G503">
        <f>300*1.5%*-1*4/12</f>
        <v>-1.5</v>
      </c>
      <c r="I503">
        <f>SUM(C503,E503:H503)</f>
        <v>4.5666666666666664</v>
      </c>
    </row>
    <row r="504" spans="1:9" ht="15" customHeight="1" x14ac:dyDescent="0.45">
      <c r="B504" s="16" t="s">
        <v>143</v>
      </c>
      <c r="C504" s="61">
        <v>210</v>
      </c>
      <c r="D504" s="61">
        <v>84</v>
      </c>
      <c r="E504">
        <f>D504*4/12</f>
        <v>28</v>
      </c>
      <c r="H504">
        <f>1500*6%*4/12</f>
        <v>30</v>
      </c>
      <c r="I504">
        <f>SUM(C504,E504:H504)</f>
        <v>268</v>
      </c>
    </row>
    <row r="505" spans="1:9" ht="15" customHeight="1" x14ac:dyDescent="0.45">
      <c r="B505" s="16" t="s">
        <v>144</v>
      </c>
      <c r="C505">
        <f>C502+C503-C504</f>
        <v>1335.6</v>
      </c>
      <c r="D505">
        <f>D502+D503-D504</f>
        <v>484.39999999999975</v>
      </c>
      <c r="E505">
        <f>E502+E503-E504</f>
        <v>161.46666666666655</v>
      </c>
      <c r="I505">
        <f>I502+I503-I504</f>
        <v>1468.9</v>
      </c>
    </row>
    <row r="506" spans="1:9" ht="15" customHeight="1" x14ac:dyDescent="0.45">
      <c r="B506" s="16" t="s">
        <v>145</v>
      </c>
      <c r="C506" s="61">
        <v>280.476</v>
      </c>
      <c r="D506" s="61">
        <v>87.191999999999993</v>
      </c>
      <c r="E506">
        <f>D506*4/12</f>
        <v>29.063999999999997</v>
      </c>
      <c r="F506">
        <f>F501*25%*-1</f>
        <v>0.83333333333333337</v>
      </c>
      <c r="G506">
        <f>G503*25%</f>
        <v>-0.375</v>
      </c>
      <c r="H506">
        <f>H504*25%*-1</f>
        <v>-7.5</v>
      </c>
      <c r="I506">
        <f>SUM(C506,E506:H506)</f>
        <v>302.49833333333333</v>
      </c>
    </row>
    <row r="507" spans="1:9" ht="15" customHeight="1" x14ac:dyDescent="0.45">
      <c r="B507" s="16" t="s">
        <v>146</v>
      </c>
      <c r="C507">
        <f>C505-C506</f>
        <v>1055.1239999999998</v>
      </c>
      <c r="D507">
        <f>D505-D506</f>
        <v>397.20799999999974</v>
      </c>
      <c r="E507">
        <f>E505-E506</f>
        <v>132.40266666666656</v>
      </c>
      <c r="I507">
        <f>I505-I506</f>
        <v>1166.4016666666666</v>
      </c>
    </row>
    <row r="509" spans="1:9" ht="15" customHeight="1" x14ac:dyDescent="0.45">
      <c r="A509" s="15" t="s">
        <v>39</v>
      </c>
      <c r="I509" s="71"/>
    </row>
    <row r="510" spans="1:9" ht="15" customHeight="1" x14ac:dyDescent="0.45">
      <c r="B510" s="16" t="s">
        <v>194</v>
      </c>
      <c r="I510" s="71"/>
    </row>
    <row r="511" spans="1:9" ht="15" customHeight="1" x14ac:dyDescent="0.45">
      <c r="I511" s="71"/>
    </row>
    <row r="512" spans="1:9" ht="15" customHeight="1" x14ac:dyDescent="0.45">
      <c r="C512" t="s">
        <v>187</v>
      </c>
      <c r="D512" t="s">
        <v>188</v>
      </c>
      <c r="E512" t="s">
        <v>189</v>
      </c>
      <c r="F512" t="s">
        <v>190</v>
      </c>
      <c r="G512" t="s">
        <v>191</v>
      </c>
      <c r="H512" t="s">
        <v>192</v>
      </c>
      <c r="I512" s="71"/>
    </row>
    <row r="513" spans="1:9" ht="15" customHeight="1" x14ac:dyDescent="0.45">
      <c r="B513" s="16" t="s">
        <v>193</v>
      </c>
      <c r="C513" s="61">
        <v>32400</v>
      </c>
      <c r="D513" s="61">
        <v>33534</v>
      </c>
      <c r="E513" s="61">
        <v>38800</v>
      </c>
      <c r="F513" s="61">
        <v>44814</v>
      </c>
      <c r="G513" s="61">
        <v>46382.49</v>
      </c>
      <c r="H513" s="61">
        <v>48005.877149999993</v>
      </c>
      <c r="I513" s="71"/>
    </row>
    <row r="514" spans="1:9" ht="15" customHeight="1" x14ac:dyDescent="0.45">
      <c r="D514" s="66">
        <f>D513/C513-1</f>
        <v>3.499999999999992E-2</v>
      </c>
      <c r="E514" s="66">
        <f t="shared" ref="E514:H514" si="7">E513/D513-1</f>
        <v>0.15703465139858053</v>
      </c>
      <c r="F514" s="66">
        <f t="shared" si="7"/>
        <v>0.15500000000000003</v>
      </c>
      <c r="G514" s="66">
        <f t="shared" si="7"/>
        <v>3.499999999999992E-2</v>
      </c>
      <c r="H514" s="66">
        <f t="shared" si="7"/>
        <v>3.499999999999992E-2</v>
      </c>
      <c r="I514" s="71"/>
    </row>
    <row r="515" spans="1:9" ht="15" customHeight="1" x14ac:dyDescent="0.45">
      <c r="I515" s="71"/>
    </row>
    <row r="516" spans="1:9" ht="15" customHeight="1" x14ac:dyDescent="0.45">
      <c r="B516" s="16" t="s">
        <v>195</v>
      </c>
      <c r="I516" s="71"/>
    </row>
    <row r="517" spans="1:9" ht="15" customHeight="1" x14ac:dyDescent="0.45">
      <c r="B517" s="16" t="s">
        <v>196</v>
      </c>
      <c r="I517" s="71"/>
    </row>
    <row r="518" spans="1:9" ht="15" customHeight="1" x14ac:dyDescent="0.45">
      <c r="B518" s="16" t="s">
        <v>293</v>
      </c>
      <c r="I518" s="71"/>
    </row>
    <row r="519" spans="1:9" ht="15" customHeight="1" x14ac:dyDescent="0.45">
      <c r="B519" s="16" t="s">
        <v>197</v>
      </c>
      <c r="I519" s="71"/>
    </row>
    <row r="520" spans="1:9" ht="15" customHeight="1" x14ac:dyDescent="0.45">
      <c r="B520" s="16" t="s">
        <v>198</v>
      </c>
      <c r="I520" s="71"/>
    </row>
    <row r="521" spans="1:9" ht="15" customHeight="1" x14ac:dyDescent="0.45">
      <c r="B521" s="16" t="s">
        <v>199</v>
      </c>
      <c r="C521" s="70"/>
      <c r="I521" s="71"/>
    </row>
    <row r="522" spans="1:9" ht="15" customHeight="1" x14ac:dyDescent="0.45">
      <c r="C522" s="70"/>
      <c r="I522" s="71"/>
    </row>
    <row r="523" spans="1:9" ht="15" customHeight="1" x14ac:dyDescent="0.45">
      <c r="A523" s="15" t="s">
        <v>32</v>
      </c>
      <c r="C523" s="70"/>
      <c r="I523" s="71"/>
    </row>
    <row r="524" spans="1:9" ht="15" customHeight="1" x14ac:dyDescent="0.45">
      <c r="B524" s="16" t="s">
        <v>207</v>
      </c>
      <c r="C524" s="70"/>
      <c r="I524" s="71"/>
    </row>
    <row r="525" spans="1:9" ht="15" customHeight="1" x14ac:dyDescent="0.45">
      <c r="C525" s="70"/>
      <c r="D525" s="70"/>
      <c r="E525" s="70"/>
      <c r="I525" s="71"/>
    </row>
    <row r="526" spans="1:9" ht="15" customHeight="1" x14ac:dyDescent="0.45">
      <c r="C526" t="s">
        <v>200</v>
      </c>
      <c r="D526" t="s">
        <v>201</v>
      </c>
      <c r="E526" t="s">
        <v>202</v>
      </c>
      <c r="I526" s="71"/>
    </row>
    <row r="527" spans="1:9" ht="15" customHeight="1" x14ac:dyDescent="0.45">
      <c r="B527" s="16" t="s">
        <v>193</v>
      </c>
      <c r="C527" s="61">
        <v>39250</v>
      </c>
      <c r="D527" s="61">
        <v>46724</v>
      </c>
      <c r="E527" s="61">
        <v>47382.49</v>
      </c>
      <c r="I527" s="71"/>
    </row>
    <row r="528" spans="1:9" ht="15" customHeight="1" x14ac:dyDescent="0.45">
      <c r="B528" s="16" t="s">
        <v>203</v>
      </c>
      <c r="C528" s="61">
        <v>7760</v>
      </c>
      <c r="D528" s="61">
        <v>9362.7999999999993</v>
      </c>
      <c r="E528" s="61">
        <v>9476.4979999999996</v>
      </c>
      <c r="I528" s="71"/>
    </row>
    <row r="529" spans="2:9" ht="15" customHeight="1" x14ac:dyDescent="0.45">
      <c r="B529" s="16" t="s">
        <v>204</v>
      </c>
      <c r="C529" s="61">
        <v>125479.20000000001</v>
      </c>
      <c r="D529" s="61">
        <v>125479.20000000001</v>
      </c>
      <c r="E529" s="61">
        <v>125479.20000000001</v>
      </c>
      <c r="I529" s="71"/>
    </row>
    <row r="530" spans="2:9" ht="15" customHeight="1" x14ac:dyDescent="0.45">
      <c r="B530" s="16" t="s">
        <v>206</v>
      </c>
      <c r="C530" s="64">
        <f>C529/C527</f>
        <v>3.196922292993631</v>
      </c>
      <c r="D530" s="64">
        <f t="shared" ref="D530:E530" si="8">D529/D527</f>
        <v>2.6855406215221302</v>
      </c>
      <c r="E530" s="64">
        <f t="shared" si="8"/>
        <v>2.6482187829301505</v>
      </c>
      <c r="I530" s="71"/>
    </row>
    <row r="531" spans="2:9" ht="15" customHeight="1" x14ac:dyDescent="0.45">
      <c r="B531" s="16" t="s">
        <v>205</v>
      </c>
      <c r="C531" s="64">
        <f>C529/C528</f>
        <v>16.170000000000002</v>
      </c>
      <c r="D531" s="64">
        <f>D529/D528</f>
        <v>13.401888324005641</v>
      </c>
      <c r="E531" s="64">
        <f>E529/E528</f>
        <v>13.241093914650751</v>
      </c>
      <c r="I531" s="71"/>
    </row>
    <row r="532" spans="2:9" ht="15" customHeight="1" x14ac:dyDescent="0.45">
      <c r="I532" s="71"/>
    </row>
    <row r="533" spans="2:9" ht="15" customHeight="1" x14ac:dyDescent="0.45">
      <c r="B533" s="16" t="s">
        <v>214</v>
      </c>
      <c r="I533" s="71"/>
    </row>
    <row r="534" spans="2:9" ht="15" customHeight="1" x14ac:dyDescent="0.45">
      <c r="B534" s="16" t="s">
        <v>208</v>
      </c>
      <c r="I534" s="71"/>
    </row>
    <row r="535" spans="2:9" ht="15" customHeight="1" x14ac:dyDescent="0.45">
      <c r="I535" s="71"/>
    </row>
    <row r="536" spans="2:9" ht="15" customHeight="1" x14ac:dyDescent="0.45">
      <c r="C536" t="s">
        <v>200</v>
      </c>
      <c r="D536" t="s">
        <v>201</v>
      </c>
      <c r="E536" t="s">
        <v>202</v>
      </c>
      <c r="I536" s="71"/>
    </row>
    <row r="537" spans="2:9" ht="15" customHeight="1" x14ac:dyDescent="0.45">
      <c r="B537" s="16" t="s">
        <v>215</v>
      </c>
      <c r="D537" s="66">
        <f>(D530/C530-1)*-1</f>
        <v>0.1599606198099478</v>
      </c>
      <c r="E537" s="66">
        <f>(E530/D530-1)*-1</f>
        <v>1.3897327894755951E-2</v>
      </c>
      <c r="I537" s="71"/>
    </row>
    <row r="538" spans="2:9" ht="15" customHeight="1" x14ac:dyDescent="0.45">
      <c r="B538" s="16" t="s">
        <v>216</v>
      </c>
      <c r="D538" s="66">
        <f>(D531/C531-1)*-1</f>
        <v>0.17118810612210023</v>
      </c>
      <c r="E538" s="66">
        <f>(E531/D531-1)*-1</f>
        <v>1.1997892048307368E-2</v>
      </c>
      <c r="I538" s="71"/>
    </row>
    <row r="539" spans="2:9" ht="15" customHeight="1" x14ac:dyDescent="0.45">
      <c r="I539" s="71"/>
    </row>
    <row r="540" spans="2:9" ht="15" customHeight="1" x14ac:dyDescent="0.45">
      <c r="B540" s="16" t="s">
        <v>209</v>
      </c>
      <c r="I540" s="71"/>
    </row>
    <row r="541" spans="2:9" ht="15" customHeight="1" x14ac:dyDescent="0.45">
      <c r="B541" s="16" t="s">
        <v>210</v>
      </c>
      <c r="I541" s="71"/>
    </row>
    <row r="542" spans="2:9" ht="15" customHeight="1" x14ac:dyDescent="0.45">
      <c r="B542" s="16" t="s">
        <v>211</v>
      </c>
      <c r="I542" s="71"/>
    </row>
    <row r="543" spans="2:9" ht="15" customHeight="1" x14ac:dyDescent="0.45">
      <c r="B543" s="16" t="s">
        <v>212</v>
      </c>
      <c r="I543" s="71"/>
    </row>
    <row r="544" spans="2:9" ht="15" customHeight="1" x14ac:dyDescent="0.45">
      <c r="B544" s="16" t="s">
        <v>294</v>
      </c>
      <c r="I544" s="71"/>
    </row>
    <row r="545" spans="1:9" ht="15" customHeight="1" x14ac:dyDescent="0.45">
      <c r="B545" s="16" t="s">
        <v>213</v>
      </c>
      <c r="I545" s="71"/>
    </row>
    <row r="546" spans="1:9" ht="15" customHeight="1" x14ac:dyDescent="0.45">
      <c r="I546" s="71"/>
    </row>
    <row r="547" spans="1:9" ht="15" customHeight="1" x14ac:dyDescent="0.45">
      <c r="A547" s="15" t="s">
        <v>33</v>
      </c>
      <c r="I547" s="71"/>
    </row>
    <row r="548" spans="1:9" ht="15" customHeight="1" x14ac:dyDescent="0.45">
      <c r="B548" s="16" t="s">
        <v>341</v>
      </c>
      <c r="I548" s="71"/>
    </row>
    <row r="549" spans="1:9" ht="15" customHeight="1" x14ac:dyDescent="0.45">
      <c r="B549" s="16" t="s">
        <v>342</v>
      </c>
      <c r="I549" s="71"/>
    </row>
    <row r="550" spans="1:9" ht="15" customHeight="1" x14ac:dyDescent="0.45">
      <c r="B550" s="16" t="s">
        <v>269</v>
      </c>
      <c r="I550" s="71"/>
    </row>
    <row r="551" spans="1:9" ht="15" customHeight="1" x14ac:dyDescent="0.45">
      <c r="I551" s="71"/>
    </row>
    <row r="552" spans="1:9" ht="15" customHeight="1" x14ac:dyDescent="0.45">
      <c r="B552" s="16" t="s">
        <v>74</v>
      </c>
      <c r="I552" s="71"/>
    </row>
    <row r="553" spans="1:9" ht="15" customHeight="1" x14ac:dyDescent="0.45">
      <c r="B553" s="16" t="s">
        <v>218</v>
      </c>
      <c r="C553" s="61">
        <v>3355</v>
      </c>
      <c r="I553" s="71"/>
    </row>
    <row r="554" spans="1:9" ht="15" customHeight="1" x14ac:dyDescent="0.45">
      <c r="C554">
        <f>SUM(C553:C553)</f>
        <v>3355</v>
      </c>
      <c r="I554" s="71"/>
    </row>
    <row r="555" spans="1:9" ht="15" customHeight="1" x14ac:dyDescent="0.45">
      <c r="I555" s="71"/>
    </row>
    <row r="556" spans="1:9" ht="15" customHeight="1" x14ac:dyDescent="0.45">
      <c r="B556" s="16" t="s">
        <v>76</v>
      </c>
      <c r="I556" s="71"/>
    </row>
    <row r="557" spans="1:9" ht="15" customHeight="1" x14ac:dyDescent="0.45">
      <c r="B557" s="16" t="s">
        <v>77</v>
      </c>
      <c r="C557" s="61">
        <v>55</v>
      </c>
      <c r="I557" s="71"/>
    </row>
    <row r="558" spans="1:9" ht="15" customHeight="1" x14ac:dyDescent="0.45">
      <c r="B558" s="16" t="s">
        <v>78</v>
      </c>
      <c r="C558" s="61">
        <v>825</v>
      </c>
      <c r="I558" s="71"/>
    </row>
    <row r="559" spans="1:9" ht="15" customHeight="1" x14ac:dyDescent="0.45">
      <c r="B559" s="16" t="s">
        <v>79</v>
      </c>
      <c r="C559">
        <f>C554-C557-C558</f>
        <v>2475</v>
      </c>
      <c r="I559" s="71"/>
    </row>
    <row r="560" spans="1:9" ht="15" customHeight="1" x14ac:dyDescent="0.45">
      <c r="C560">
        <f>SUM(C557:C559)</f>
        <v>3355</v>
      </c>
      <c r="I560" s="71"/>
    </row>
    <row r="561" spans="2:9" ht="15" customHeight="1" x14ac:dyDescent="0.45">
      <c r="I561" s="71"/>
    </row>
    <row r="562" spans="2:9" ht="15" customHeight="1" x14ac:dyDescent="0.45">
      <c r="B562" s="16" t="s">
        <v>80</v>
      </c>
      <c r="I562" s="71"/>
    </row>
    <row r="563" spans="2:9" ht="15" customHeight="1" x14ac:dyDescent="0.45">
      <c r="B563" s="16" t="s">
        <v>81</v>
      </c>
      <c r="C563">
        <f>C553</f>
        <v>3355</v>
      </c>
      <c r="I563" s="71"/>
    </row>
    <row r="564" spans="2:9" ht="15" customHeight="1" x14ac:dyDescent="0.45">
      <c r="I564" s="71"/>
    </row>
    <row r="565" spans="2:9" ht="15" customHeight="1" x14ac:dyDescent="0.45">
      <c r="B565" s="16" t="s">
        <v>343</v>
      </c>
      <c r="C565">
        <f>SUM(D586:D587)</f>
        <v>1773.2</v>
      </c>
      <c r="I565" s="71"/>
    </row>
    <row r="566" spans="2:9" ht="15" customHeight="1" x14ac:dyDescent="0.45">
      <c r="B566" s="16" t="s">
        <v>344</v>
      </c>
      <c r="C566">
        <f>C565*80%</f>
        <v>1418.5600000000002</v>
      </c>
      <c r="I566" s="71"/>
    </row>
    <row r="567" spans="2:9" ht="15" customHeight="1" x14ac:dyDescent="0.45">
      <c r="I567" s="71"/>
    </row>
    <row r="568" spans="2:9" ht="15" customHeight="1" x14ac:dyDescent="0.45">
      <c r="B568" s="16" t="s">
        <v>115</v>
      </c>
      <c r="C568">
        <f>C563-C566</f>
        <v>1936.4399999999998</v>
      </c>
      <c r="I568" s="71"/>
    </row>
    <row r="569" spans="2:9" ht="15" customHeight="1" x14ac:dyDescent="0.45">
      <c r="I569" s="71"/>
    </row>
    <row r="570" spans="2:9" ht="15" customHeight="1" x14ac:dyDescent="0.45">
      <c r="B570" s="16" t="s">
        <v>345</v>
      </c>
      <c r="C570">
        <f>C565*20%</f>
        <v>354.64000000000004</v>
      </c>
      <c r="I570" s="71"/>
    </row>
    <row r="571" spans="2:9" ht="15" customHeight="1" x14ac:dyDescent="0.45">
      <c r="I571" s="71"/>
    </row>
    <row r="572" spans="2:9" ht="15" customHeight="1" x14ac:dyDescent="0.45">
      <c r="C572" s="67" t="s">
        <v>290</v>
      </c>
      <c r="D572" s="67" t="s">
        <v>217</v>
      </c>
      <c r="E572" t="s">
        <v>69</v>
      </c>
      <c r="F572" t="s">
        <v>68</v>
      </c>
      <c r="G572" t="s">
        <v>66</v>
      </c>
      <c r="H572" t="s">
        <v>50</v>
      </c>
      <c r="I572" s="71"/>
    </row>
    <row r="573" spans="2:9" ht="15" customHeight="1" x14ac:dyDescent="0.45">
      <c r="B573" s="16" t="s">
        <v>48</v>
      </c>
      <c r="C573" s="61">
        <v>123.19999999999999</v>
      </c>
      <c r="D573" s="61">
        <v>92.399999999999977</v>
      </c>
      <c r="F573">
        <f>-C557</f>
        <v>-55</v>
      </c>
      <c r="H573">
        <f>SUM(C573:G573)</f>
        <v>160.59999999999997</v>
      </c>
      <c r="I573" s="71"/>
    </row>
    <row r="574" spans="2:9" ht="15" customHeight="1" x14ac:dyDescent="0.45">
      <c r="B574" s="16" t="s">
        <v>56</v>
      </c>
      <c r="C574" s="61">
        <v>2156</v>
      </c>
      <c r="D574" s="61">
        <v>2464</v>
      </c>
      <c r="H574">
        <f>SUM(C574:G574)</f>
        <v>4620</v>
      </c>
      <c r="I574" s="71"/>
    </row>
    <row r="575" spans="2:9" ht="15" customHeight="1" x14ac:dyDescent="0.45">
      <c r="B575" s="16" t="s">
        <v>64</v>
      </c>
      <c r="C575" s="61">
        <v>5852</v>
      </c>
      <c r="D575" s="61">
        <v>3311</v>
      </c>
      <c r="H575">
        <f>SUM(C575:G575)</f>
        <v>9163</v>
      </c>
      <c r="I575" s="71"/>
    </row>
    <row r="576" spans="2:9" ht="15" customHeight="1" x14ac:dyDescent="0.45">
      <c r="B576" s="16" t="s">
        <v>65</v>
      </c>
      <c r="C576" s="61">
        <v>2310</v>
      </c>
      <c r="D576" s="61">
        <v>1326.6</v>
      </c>
      <c r="H576">
        <f>SUM(C576:G576)</f>
        <v>3636.6</v>
      </c>
      <c r="I576" s="71"/>
    </row>
    <row r="577" spans="1:9" ht="15" customHeight="1" x14ac:dyDescent="0.45">
      <c r="B577" s="16" t="s">
        <v>66</v>
      </c>
      <c r="C577" s="61">
        <v>1540</v>
      </c>
      <c r="D577" s="61">
        <v>0</v>
      </c>
      <c r="G577">
        <f>C568</f>
        <v>1936.4399999999998</v>
      </c>
      <c r="H577">
        <f>SUM(C577:G577)</f>
        <v>3476.4399999999996</v>
      </c>
      <c r="I577" s="71"/>
    </row>
    <row r="578" spans="1:9" ht="15" customHeight="1" x14ac:dyDescent="0.45">
      <c r="B578" s="16" t="s">
        <v>57</v>
      </c>
      <c r="C578">
        <f>SUM(C573:C577)</f>
        <v>11981.2</v>
      </c>
      <c r="D578">
        <f>SUM(D573:D577)</f>
        <v>7194</v>
      </c>
      <c r="H578">
        <f>SUM(H573:H577)</f>
        <v>21056.639999999999</v>
      </c>
      <c r="I578" s="71"/>
    </row>
    <row r="579" spans="1:9" ht="15" customHeight="1" x14ac:dyDescent="0.45">
      <c r="I579" s="71"/>
    </row>
    <row r="580" spans="1:9" ht="15" customHeight="1" x14ac:dyDescent="0.45">
      <c r="B580" s="16" t="s">
        <v>58</v>
      </c>
      <c r="C580" s="61">
        <v>385</v>
      </c>
      <c r="D580" s="61">
        <v>184.79999999999995</v>
      </c>
      <c r="H580">
        <f>SUM(C580:G580)</f>
        <v>569.79999999999995</v>
      </c>
      <c r="I580" s="71"/>
    </row>
    <row r="581" spans="1:9" ht="15" customHeight="1" x14ac:dyDescent="0.45">
      <c r="B581" s="16" t="s">
        <v>291</v>
      </c>
      <c r="C581" s="61">
        <v>4004</v>
      </c>
      <c r="D581" s="61">
        <v>1540</v>
      </c>
      <c r="H581">
        <f>SUM(C581:G581)</f>
        <v>5544</v>
      </c>
      <c r="I581" s="71"/>
    </row>
    <row r="582" spans="1:9" ht="15" customHeight="1" x14ac:dyDescent="0.45">
      <c r="B582" s="16" t="s">
        <v>59</v>
      </c>
      <c r="C582" s="61">
        <v>4912.5999999999995</v>
      </c>
      <c r="D582" s="61">
        <v>3080</v>
      </c>
      <c r="F582">
        <f>C559</f>
        <v>2475</v>
      </c>
      <c r="H582">
        <f>SUM(C582:G582)</f>
        <v>10467.599999999999</v>
      </c>
      <c r="I582" s="71"/>
    </row>
    <row r="583" spans="1:9" ht="15" customHeight="1" x14ac:dyDescent="0.45">
      <c r="B583" s="16" t="s">
        <v>292</v>
      </c>
      <c r="C583" s="61">
        <v>677.59999999999991</v>
      </c>
      <c r="D583" s="61">
        <v>616</v>
      </c>
      <c r="H583">
        <f>SUM(C583:G583)</f>
        <v>1293.5999999999999</v>
      </c>
      <c r="I583" s="71"/>
    </row>
    <row r="584" spans="1:9" ht="15" customHeight="1" x14ac:dyDescent="0.45">
      <c r="B584" s="16" t="s">
        <v>60</v>
      </c>
      <c r="C584">
        <f>SUM(C580:C583)</f>
        <v>9979.1999999999989</v>
      </c>
      <c r="D584">
        <f>SUM(D580:D583)</f>
        <v>5420.8</v>
      </c>
      <c r="H584">
        <f>SUM(H580:H583)</f>
        <v>17874.999999999996</v>
      </c>
      <c r="I584" s="71"/>
    </row>
    <row r="585" spans="1:9" ht="15" customHeight="1" x14ac:dyDescent="0.45">
      <c r="I585" s="71"/>
    </row>
    <row r="586" spans="1:9" ht="15" customHeight="1" x14ac:dyDescent="0.45">
      <c r="B586" s="16" t="s">
        <v>83</v>
      </c>
      <c r="C586" s="61">
        <v>440</v>
      </c>
      <c r="D586" s="61">
        <v>748</v>
      </c>
      <c r="E586">
        <f>-D586</f>
        <v>-748</v>
      </c>
      <c r="F586">
        <f>C558</f>
        <v>825</v>
      </c>
      <c r="H586">
        <f>SUM(C586:G586)</f>
        <v>1265</v>
      </c>
      <c r="I586" s="71"/>
    </row>
    <row r="587" spans="1:9" ht="15" customHeight="1" x14ac:dyDescent="0.45">
      <c r="B587" s="16" t="s">
        <v>61</v>
      </c>
      <c r="C587" s="61">
        <v>1562</v>
      </c>
      <c r="D587" s="61">
        <v>1025.2</v>
      </c>
      <c r="E587">
        <f>-D587</f>
        <v>-1025.2</v>
      </c>
      <c r="H587">
        <f>SUM(C587:G587)</f>
        <v>1561.9999999999998</v>
      </c>
      <c r="I587" s="71"/>
    </row>
    <row r="588" spans="1:9" ht="15" customHeight="1" x14ac:dyDescent="0.45">
      <c r="B588" s="16" t="s">
        <v>296</v>
      </c>
      <c r="C588" s="61">
        <v>0</v>
      </c>
      <c r="D588" s="61">
        <v>0</v>
      </c>
      <c r="G588">
        <f>C570</f>
        <v>354.64000000000004</v>
      </c>
      <c r="H588">
        <f>SUM(C588:G588)</f>
        <v>354.64000000000004</v>
      </c>
      <c r="I588" s="71"/>
    </row>
    <row r="589" spans="1:9" ht="15" customHeight="1" x14ac:dyDescent="0.45">
      <c r="B589" s="16" t="s">
        <v>62</v>
      </c>
      <c r="C589">
        <f>SUM(C586:C588)</f>
        <v>2002</v>
      </c>
      <c r="D589">
        <f>SUM(D586:D588)</f>
        <v>1773.2</v>
      </c>
      <c r="F589" s="70"/>
      <c r="H589">
        <f>SUM(H586:H588)</f>
        <v>3181.64</v>
      </c>
      <c r="I589" s="71"/>
    </row>
    <row r="590" spans="1:9" ht="15" customHeight="1" x14ac:dyDescent="0.45">
      <c r="B590" s="16" t="s">
        <v>63</v>
      </c>
      <c r="C590">
        <f>C589+C584</f>
        <v>11981.199999999999</v>
      </c>
      <c r="D590">
        <f>D589+D584</f>
        <v>7194</v>
      </c>
      <c r="F590" s="70"/>
      <c r="H590">
        <f>H589+H584</f>
        <v>21056.639999999996</v>
      </c>
      <c r="I590" s="71"/>
    </row>
    <row r="591" spans="1:9" ht="15" customHeight="1" x14ac:dyDescent="0.45">
      <c r="F591" s="70"/>
      <c r="I591" s="71"/>
    </row>
    <row r="592" spans="1:9" ht="15" customHeight="1" x14ac:dyDescent="0.45">
      <c r="A592" s="15" t="s">
        <v>36</v>
      </c>
      <c r="F592" s="70"/>
      <c r="I592" s="71"/>
    </row>
    <row r="593" spans="2:10" ht="15" customHeight="1" x14ac:dyDescent="0.45">
      <c r="B593" s="16" t="s">
        <v>346</v>
      </c>
      <c r="F593" s="70"/>
      <c r="I593" s="71"/>
    </row>
    <row r="594" spans="2:10" ht="15" customHeight="1" x14ac:dyDescent="0.45">
      <c r="B594" s="16" t="s">
        <v>342</v>
      </c>
      <c r="F594" s="70"/>
      <c r="I594" s="71"/>
    </row>
    <row r="595" spans="2:10" ht="15" customHeight="1" x14ac:dyDescent="0.45">
      <c r="B595" s="16" t="s">
        <v>270</v>
      </c>
      <c r="F595" s="70"/>
      <c r="I595" s="71"/>
    </row>
    <row r="596" spans="2:10" ht="15" customHeight="1" x14ac:dyDescent="0.45">
      <c r="F596" s="70"/>
      <c r="I596" s="71"/>
    </row>
    <row r="597" spans="2:10" ht="15" customHeight="1" x14ac:dyDescent="0.45">
      <c r="B597" s="16" t="s">
        <v>74</v>
      </c>
      <c r="F597" s="70"/>
      <c r="I597" s="71"/>
    </row>
    <row r="598" spans="2:10" ht="15" customHeight="1" x14ac:dyDescent="0.45">
      <c r="B598" s="16" t="s">
        <v>218</v>
      </c>
      <c r="C598" s="61">
        <v>3355</v>
      </c>
      <c r="F598" s="70"/>
      <c r="I598" s="71"/>
    </row>
    <row r="599" spans="2:10" ht="15" customHeight="1" x14ac:dyDescent="0.45">
      <c r="C599">
        <f>SUM(C598:C598)</f>
        <v>3355</v>
      </c>
      <c r="F599" s="70"/>
      <c r="I599" s="71"/>
    </row>
    <row r="600" spans="2:10" ht="15" customHeight="1" x14ac:dyDescent="0.45">
      <c r="F600" s="70"/>
      <c r="I600" s="71"/>
    </row>
    <row r="601" spans="2:10" ht="15" customHeight="1" x14ac:dyDescent="0.45">
      <c r="B601" s="16" t="s">
        <v>76</v>
      </c>
      <c r="F601" s="70"/>
      <c r="I601" s="71"/>
    </row>
    <row r="602" spans="2:10" ht="15" customHeight="1" x14ac:dyDescent="0.45">
      <c r="B602" s="16" t="s">
        <v>77</v>
      </c>
      <c r="C602" s="61">
        <v>55</v>
      </c>
      <c r="F602" s="70"/>
      <c r="I602" s="71"/>
    </row>
    <row r="603" spans="2:10" ht="15" customHeight="1" x14ac:dyDescent="0.45">
      <c r="B603" s="16" t="s">
        <v>78</v>
      </c>
      <c r="C603" s="61">
        <v>825</v>
      </c>
      <c r="F603" s="70"/>
      <c r="I603" s="71"/>
    </row>
    <row r="604" spans="2:10" ht="15" customHeight="1" x14ac:dyDescent="0.45">
      <c r="B604" s="16" t="s">
        <v>79</v>
      </c>
      <c r="C604">
        <f>C599-C602-C603</f>
        <v>2475</v>
      </c>
      <c r="F604" s="70"/>
      <c r="I604" s="71"/>
    </row>
    <row r="605" spans="2:10" ht="15" customHeight="1" x14ac:dyDescent="0.45">
      <c r="C605">
        <f>SUM(C602:C604)</f>
        <v>3355</v>
      </c>
      <c r="F605" s="70"/>
      <c r="I605" s="71"/>
    </row>
    <row r="606" spans="2:10" ht="15" customHeight="1" x14ac:dyDescent="0.45">
      <c r="F606" s="70"/>
      <c r="I606" s="71"/>
    </row>
    <row r="607" spans="2:10" ht="15" customHeight="1" x14ac:dyDescent="0.45">
      <c r="B607" s="16" t="s">
        <v>311</v>
      </c>
      <c r="E607" t="s">
        <v>312</v>
      </c>
      <c r="F607" s="70"/>
      <c r="I607" s="71"/>
    </row>
    <row r="608" spans="2:10" ht="15" customHeight="1" x14ac:dyDescent="0.45">
      <c r="B608" s="16" t="s">
        <v>81</v>
      </c>
      <c r="C608">
        <f>C598</f>
        <v>3355</v>
      </c>
      <c r="E608" t="s">
        <v>313</v>
      </c>
      <c r="F608" s="70"/>
      <c r="I608" s="71"/>
      <c r="J608" s="73">
        <v>675</v>
      </c>
    </row>
    <row r="609" spans="2:10" ht="15" customHeight="1" x14ac:dyDescent="0.45">
      <c r="B609" s="16" t="s">
        <v>347</v>
      </c>
      <c r="C609">
        <f>D632</f>
        <v>1773.2</v>
      </c>
    </row>
    <row r="610" spans="2:10" ht="15" customHeight="1" x14ac:dyDescent="0.45">
      <c r="B610" s="16" t="s">
        <v>348</v>
      </c>
      <c r="C610">
        <f>C609*80%</f>
        <v>1418.5600000000002</v>
      </c>
      <c r="E610" t="s">
        <v>349</v>
      </c>
      <c r="F610" s="70"/>
      <c r="I610" s="71"/>
      <c r="J610">
        <f>D632*20%</f>
        <v>354.64000000000004</v>
      </c>
    </row>
    <row r="611" spans="2:10" ht="15" customHeight="1" x14ac:dyDescent="0.45">
      <c r="B611" s="16" t="s">
        <v>311</v>
      </c>
      <c r="C611">
        <f>C608-C610</f>
        <v>1936.4399999999998</v>
      </c>
      <c r="E611" t="s">
        <v>312</v>
      </c>
      <c r="F611" s="70"/>
      <c r="I611" s="71"/>
      <c r="J611">
        <f>J608-J610</f>
        <v>320.35999999999996</v>
      </c>
    </row>
    <row r="612" spans="2:10" ht="15" customHeight="1" x14ac:dyDescent="0.45">
      <c r="F612" s="70"/>
      <c r="I612" s="71"/>
    </row>
    <row r="613" spans="2:10" ht="15" customHeight="1" x14ac:dyDescent="0.45">
      <c r="E613" t="s">
        <v>115</v>
      </c>
      <c r="F613" s="70"/>
      <c r="I613" s="71"/>
      <c r="J613">
        <f>SUM(C611,J611)</f>
        <v>2256.7999999999997</v>
      </c>
    </row>
    <row r="614" spans="2:10" ht="15" customHeight="1" x14ac:dyDescent="0.45">
      <c r="F614" s="70"/>
      <c r="I614" s="71"/>
    </row>
    <row r="615" spans="2:10" ht="15" customHeight="1" x14ac:dyDescent="0.45">
      <c r="C615" s="67" t="s">
        <v>290</v>
      </c>
      <c r="D615" s="67" t="s">
        <v>217</v>
      </c>
      <c r="E615" t="s">
        <v>314</v>
      </c>
      <c r="F615" t="s">
        <v>68</v>
      </c>
      <c r="G615" t="s">
        <v>315</v>
      </c>
      <c r="H615" t="s">
        <v>50</v>
      </c>
      <c r="I615" s="71"/>
    </row>
    <row r="616" spans="2:10" ht="15" customHeight="1" x14ac:dyDescent="0.45">
      <c r="B616" s="16" t="s">
        <v>48</v>
      </c>
      <c r="C616" s="61">
        <v>123.19999999999999</v>
      </c>
      <c r="D616" s="61">
        <v>92.399999999999977</v>
      </c>
      <c r="F616">
        <f>-C602</f>
        <v>-55</v>
      </c>
      <c r="H616">
        <f>SUM(C616:G616)</f>
        <v>160.59999999999997</v>
      </c>
      <c r="I616" s="71"/>
    </row>
    <row r="617" spans="2:10" ht="15" customHeight="1" x14ac:dyDescent="0.45">
      <c r="B617" s="16" t="s">
        <v>56</v>
      </c>
      <c r="C617" s="61">
        <v>2156</v>
      </c>
      <c r="D617" s="61">
        <v>2464</v>
      </c>
      <c r="H617">
        <f>SUM(C617:G617)</f>
        <v>4620</v>
      </c>
      <c r="I617" s="71"/>
    </row>
    <row r="618" spans="2:10" ht="15" customHeight="1" x14ac:dyDescent="0.45">
      <c r="B618" s="16" t="s">
        <v>64</v>
      </c>
      <c r="C618" s="61">
        <v>5852</v>
      </c>
      <c r="D618" s="61">
        <v>3311</v>
      </c>
      <c r="H618">
        <f>SUM(C618:G618)</f>
        <v>9163</v>
      </c>
      <c r="I618" s="71"/>
    </row>
    <row r="619" spans="2:10" ht="15" customHeight="1" x14ac:dyDescent="0.45">
      <c r="B619" s="16" t="s">
        <v>65</v>
      </c>
      <c r="C619" s="61">
        <v>2310</v>
      </c>
      <c r="D619" s="61">
        <v>1326.6</v>
      </c>
      <c r="H619">
        <f>SUM(C619:G619)</f>
        <v>3636.6</v>
      </c>
      <c r="I619" s="71"/>
    </row>
    <row r="620" spans="2:10" ht="15" customHeight="1" x14ac:dyDescent="0.45">
      <c r="B620" s="16" t="s">
        <v>66</v>
      </c>
      <c r="C620" s="61">
        <v>1540</v>
      </c>
      <c r="D620" s="61">
        <v>0</v>
      </c>
      <c r="G620">
        <f>J613</f>
        <v>2256.7999999999997</v>
      </c>
      <c r="H620">
        <f>SUM(C620:G620)</f>
        <v>3796.7999999999997</v>
      </c>
      <c r="I620" s="71"/>
    </row>
    <row r="621" spans="2:10" ht="15" customHeight="1" x14ac:dyDescent="0.45">
      <c r="B621" s="16" t="s">
        <v>57</v>
      </c>
      <c r="C621">
        <f>SUM(C616:C620)</f>
        <v>11981.2</v>
      </c>
      <c r="D621">
        <f>SUM(D616:D620)</f>
        <v>7194</v>
      </c>
      <c r="H621">
        <f>SUM(H616:H620)</f>
        <v>21377</v>
      </c>
      <c r="I621" s="71"/>
    </row>
    <row r="622" spans="2:10" ht="15" customHeight="1" x14ac:dyDescent="0.45">
      <c r="I622" s="71"/>
    </row>
    <row r="623" spans="2:10" ht="15" customHeight="1" x14ac:dyDescent="0.45">
      <c r="B623" s="16" t="s">
        <v>58</v>
      </c>
      <c r="C623" s="61">
        <v>385</v>
      </c>
      <c r="D623" s="61">
        <v>184.79999999999995</v>
      </c>
      <c r="H623">
        <f>SUM(C623:G623)</f>
        <v>569.79999999999995</v>
      </c>
      <c r="I623" s="71"/>
    </row>
    <row r="624" spans="2:10" ht="15" customHeight="1" x14ac:dyDescent="0.45">
      <c r="B624" s="16" t="s">
        <v>291</v>
      </c>
      <c r="C624" s="61">
        <v>4004</v>
      </c>
      <c r="D624" s="61">
        <v>1540</v>
      </c>
      <c r="H624">
        <f>SUM(C624:G624)</f>
        <v>5544</v>
      </c>
      <c r="I624" s="71"/>
    </row>
    <row r="625" spans="1:9" ht="15" customHeight="1" x14ac:dyDescent="0.45">
      <c r="B625" s="16" t="s">
        <v>59</v>
      </c>
      <c r="C625" s="61">
        <v>4912.5999999999995</v>
      </c>
      <c r="D625" s="61">
        <v>3080</v>
      </c>
      <c r="F625">
        <f>C604</f>
        <v>2475</v>
      </c>
      <c r="H625">
        <f>SUM(C625:G625)</f>
        <v>10467.599999999999</v>
      </c>
      <c r="I625" s="71"/>
    </row>
    <row r="626" spans="1:9" ht="15" customHeight="1" x14ac:dyDescent="0.45">
      <c r="B626" s="16" t="s">
        <v>292</v>
      </c>
      <c r="C626" s="61">
        <v>677.59999999999991</v>
      </c>
      <c r="D626" s="61">
        <v>616</v>
      </c>
      <c r="H626">
        <f>SUM(C626:G626)</f>
        <v>1293.5999999999999</v>
      </c>
      <c r="I626" s="71"/>
    </row>
    <row r="627" spans="1:9" ht="15" customHeight="1" x14ac:dyDescent="0.45">
      <c r="B627" s="16" t="s">
        <v>60</v>
      </c>
      <c r="C627">
        <f>SUM(C623:C626)</f>
        <v>9979.1999999999989</v>
      </c>
      <c r="D627">
        <f>SUM(D623:D626)</f>
        <v>5420.8</v>
      </c>
      <c r="H627">
        <f>SUM(H623:H626)</f>
        <v>17874.999999999996</v>
      </c>
      <c r="I627" s="71"/>
    </row>
    <row r="628" spans="1:9" ht="15" customHeight="1" x14ac:dyDescent="0.45">
      <c r="I628" s="71"/>
    </row>
    <row r="629" spans="1:9" ht="15" customHeight="1" x14ac:dyDescent="0.45">
      <c r="B629" s="16" t="s">
        <v>83</v>
      </c>
      <c r="C629" s="61">
        <v>440</v>
      </c>
      <c r="D629" s="61">
        <v>748</v>
      </c>
      <c r="E629">
        <f>-D629</f>
        <v>-748</v>
      </c>
      <c r="F629">
        <f>C603</f>
        <v>825</v>
      </c>
      <c r="H629">
        <f>SUM(C629:G629)</f>
        <v>1265</v>
      </c>
      <c r="I629" s="71"/>
    </row>
    <row r="630" spans="1:9" ht="15" customHeight="1" x14ac:dyDescent="0.45">
      <c r="B630" s="16" t="s">
        <v>61</v>
      </c>
      <c r="C630" s="61">
        <v>1562</v>
      </c>
      <c r="D630" s="61">
        <v>1025.2</v>
      </c>
      <c r="E630">
        <f>-D630</f>
        <v>-1025.2</v>
      </c>
      <c r="H630">
        <f>SUM(C630:G630)</f>
        <v>1561.9999999999998</v>
      </c>
      <c r="I630" s="71"/>
    </row>
    <row r="631" spans="1:9" ht="15" customHeight="1" x14ac:dyDescent="0.45">
      <c r="B631" s="16" t="s">
        <v>296</v>
      </c>
      <c r="C631" s="61">
        <v>0</v>
      </c>
      <c r="D631" s="61">
        <v>0</v>
      </c>
      <c r="G631">
        <f>J608</f>
        <v>675</v>
      </c>
      <c r="H631">
        <f>SUM(C631:G631)</f>
        <v>675</v>
      </c>
      <c r="I631" s="71"/>
    </row>
    <row r="632" spans="1:9" ht="15" customHeight="1" x14ac:dyDescent="0.45">
      <c r="B632" s="16" t="s">
        <v>62</v>
      </c>
      <c r="C632">
        <f>SUM(C629:C631)</f>
        <v>2002</v>
      </c>
      <c r="D632">
        <f>SUM(D629:D631)</f>
        <v>1773.2</v>
      </c>
      <c r="F632" s="70"/>
      <c r="H632">
        <f>SUM(H629:H631)</f>
        <v>3502</v>
      </c>
      <c r="I632" s="71"/>
    </row>
    <row r="633" spans="1:9" ht="15" customHeight="1" x14ac:dyDescent="0.45">
      <c r="B633" s="16" t="s">
        <v>63</v>
      </c>
      <c r="C633">
        <f>C632+C627</f>
        <v>11981.199999999999</v>
      </c>
      <c r="D633">
        <f>D632+D627</f>
        <v>7194</v>
      </c>
      <c r="F633" s="70"/>
      <c r="H633">
        <f>H632+H627</f>
        <v>21376.999999999996</v>
      </c>
      <c r="I633" s="71"/>
    </row>
    <row r="634" spans="1:9" ht="15" customHeight="1" x14ac:dyDescent="0.45">
      <c r="F634" s="70"/>
      <c r="I634" s="71"/>
    </row>
    <row r="635" spans="1:9" ht="15" customHeight="1" x14ac:dyDescent="0.45">
      <c r="A635" s="15" t="s">
        <v>37</v>
      </c>
      <c r="F635" s="70"/>
      <c r="I635" s="71"/>
    </row>
    <row r="636" spans="1:9" ht="15" customHeight="1" x14ac:dyDescent="0.45">
      <c r="B636" s="16" t="s">
        <v>350</v>
      </c>
      <c r="F636" s="70"/>
      <c r="I636" s="71"/>
    </row>
    <row r="637" spans="1:9" ht="15" customHeight="1" x14ac:dyDescent="0.45">
      <c r="B637" s="16" t="s">
        <v>351</v>
      </c>
      <c r="F637" s="70"/>
      <c r="I637" s="71"/>
    </row>
    <row r="638" spans="1:9" ht="15" customHeight="1" x14ac:dyDescent="0.45">
      <c r="B638" s="16" t="s">
        <v>352</v>
      </c>
      <c r="F638" s="70"/>
      <c r="I638" s="71"/>
    </row>
    <row r="639" spans="1:9" ht="15" customHeight="1" x14ac:dyDescent="0.45">
      <c r="B639" s="16" t="s">
        <v>269</v>
      </c>
      <c r="F639" s="70"/>
      <c r="I639" s="71"/>
    </row>
    <row r="640" spans="1:9" ht="15" customHeight="1" x14ac:dyDescent="0.45">
      <c r="B640" s="16" t="s">
        <v>224</v>
      </c>
      <c r="F640" s="70"/>
      <c r="I640" s="71"/>
    </row>
    <row r="641" spans="2:12" ht="15" customHeight="1" x14ac:dyDescent="0.45">
      <c r="F641" s="70"/>
      <c r="I641" s="71"/>
    </row>
    <row r="642" spans="2:12" ht="15" customHeight="1" x14ac:dyDescent="0.45">
      <c r="B642" s="16" t="s">
        <v>74</v>
      </c>
      <c r="F642" s="70"/>
      <c r="I642" s="71"/>
    </row>
    <row r="643" spans="2:12" ht="15" customHeight="1" x14ac:dyDescent="0.45">
      <c r="B643" s="16" t="s">
        <v>223</v>
      </c>
      <c r="C643" s="61">
        <v>27300</v>
      </c>
      <c r="F643" s="70"/>
      <c r="I643" s="71"/>
    </row>
    <row r="644" spans="2:12" ht="15" customHeight="1" x14ac:dyDescent="0.45">
      <c r="B644" s="16" t="s">
        <v>222</v>
      </c>
      <c r="C644">
        <f>D677+D679</f>
        <v>16205.279999999999</v>
      </c>
      <c r="F644" s="70"/>
      <c r="I644" s="71"/>
    </row>
    <row r="645" spans="2:12" ht="15" customHeight="1" x14ac:dyDescent="0.45">
      <c r="C645">
        <f>SUM(C643:C644)</f>
        <v>43505.279999999999</v>
      </c>
      <c r="F645" s="70"/>
      <c r="I645" s="71"/>
    </row>
    <row r="646" spans="2:12" ht="15" customHeight="1" x14ac:dyDescent="0.45">
      <c r="F646" s="70"/>
      <c r="I646" s="71"/>
    </row>
    <row r="647" spans="2:12" ht="15" customHeight="1" x14ac:dyDescent="0.45">
      <c r="B647" s="16" t="s">
        <v>76</v>
      </c>
      <c r="F647" s="70"/>
      <c r="I647" s="71"/>
    </row>
    <row r="648" spans="2:12" ht="15" customHeight="1" x14ac:dyDescent="0.45">
      <c r="B648" s="16" t="s">
        <v>77</v>
      </c>
      <c r="C648" s="61">
        <v>140</v>
      </c>
      <c r="I648" s="71"/>
    </row>
    <row r="649" spans="2:12" ht="15" customHeight="1" x14ac:dyDescent="0.45">
      <c r="B649" s="16" t="s">
        <v>78</v>
      </c>
      <c r="C649">
        <f>C645-C648-C650</f>
        <v>9865.2799999999988</v>
      </c>
      <c r="I649" s="71"/>
    </row>
    <row r="650" spans="2:12" ht="15" customHeight="1" x14ac:dyDescent="0.45">
      <c r="B650" s="16" t="s">
        <v>79</v>
      </c>
      <c r="C650" s="61">
        <v>33500</v>
      </c>
      <c r="I650" s="71"/>
    </row>
    <row r="651" spans="2:12" ht="15" customHeight="1" x14ac:dyDescent="0.45">
      <c r="C651">
        <f>SUM(C648:C650)</f>
        <v>43505.279999999999</v>
      </c>
      <c r="I651" s="71"/>
    </row>
    <row r="652" spans="2:12" ht="15" customHeight="1" x14ac:dyDescent="0.45">
      <c r="I652" s="71"/>
    </row>
    <row r="653" spans="2:12" ht="15" customHeight="1" x14ac:dyDescent="0.45">
      <c r="B653" s="16" t="s">
        <v>225</v>
      </c>
      <c r="E653" t="s">
        <v>226</v>
      </c>
      <c r="I653" s="71"/>
    </row>
    <row r="654" spans="2:12" ht="15" customHeight="1" x14ac:dyDescent="0.45">
      <c r="B654" s="16" t="s">
        <v>81</v>
      </c>
      <c r="C654">
        <f>C643</f>
        <v>27300</v>
      </c>
      <c r="E654" t="s">
        <v>81</v>
      </c>
      <c r="H654">
        <f>C654</f>
        <v>27300</v>
      </c>
      <c r="J654" t="s">
        <v>313</v>
      </c>
      <c r="L654" s="61">
        <v>4100</v>
      </c>
    </row>
    <row r="655" spans="2:12" ht="15" customHeight="1" x14ac:dyDescent="0.45">
      <c r="H655" s="70"/>
    </row>
    <row r="656" spans="2:12" ht="15" customHeight="1" x14ac:dyDescent="0.45">
      <c r="B656" s="16" t="s">
        <v>343</v>
      </c>
      <c r="C656">
        <f>SUM(D683:D684)</f>
        <v>8801.52</v>
      </c>
      <c r="E656" t="s">
        <v>355</v>
      </c>
      <c r="H656">
        <f>C656</f>
        <v>8801.52</v>
      </c>
    </row>
    <row r="657" spans="2:12" ht="15" customHeight="1" x14ac:dyDescent="0.45">
      <c r="B657" s="16" t="s">
        <v>124</v>
      </c>
      <c r="C657">
        <f>18500-D672</f>
        <v>2065.3999999999978</v>
      </c>
      <c r="E657" t="s">
        <v>124</v>
      </c>
      <c r="H657">
        <f>C657</f>
        <v>2065.3999999999978</v>
      </c>
    </row>
    <row r="658" spans="2:12" ht="15" customHeight="1" x14ac:dyDescent="0.45">
      <c r="B658" s="16" t="s">
        <v>125</v>
      </c>
      <c r="C658">
        <f>3550-D673</f>
        <v>1165.2399999999998</v>
      </c>
      <c r="E658" t="s">
        <v>125</v>
      </c>
      <c r="H658">
        <f>C658</f>
        <v>1165.2399999999998</v>
      </c>
    </row>
    <row r="659" spans="2:12" ht="15" customHeight="1" x14ac:dyDescent="0.45">
      <c r="B659" s="16" t="s">
        <v>221</v>
      </c>
      <c r="C659">
        <f>-D674</f>
        <v>-4200</v>
      </c>
      <c r="E659" t="s">
        <v>221</v>
      </c>
      <c r="H659">
        <f>C659</f>
        <v>-4200</v>
      </c>
    </row>
    <row r="660" spans="2:12" ht="15" customHeight="1" x14ac:dyDescent="0.45">
      <c r="B660" s="16" t="s">
        <v>353</v>
      </c>
      <c r="C660">
        <f>SUM(C656:C659)</f>
        <v>7832.159999999998</v>
      </c>
      <c r="E660" t="s">
        <v>353</v>
      </c>
      <c r="H660">
        <f>SUM(H656:H659)</f>
        <v>7832.159999999998</v>
      </c>
    </row>
    <row r="661" spans="2:12" ht="15" customHeight="1" x14ac:dyDescent="0.45">
      <c r="H661" s="70"/>
    </row>
    <row r="662" spans="2:12" ht="15" customHeight="1" x14ac:dyDescent="0.45">
      <c r="B662" s="16" t="s">
        <v>354</v>
      </c>
      <c r="C662">
        <f>C660*85%</f>
        <v>6657.3359999999984</v>
      </c>
      <c r="E662" t="s">
        <v>354</v>
      </c>
      <c r="H662">
        <f>H660*85%</f>
        <v>6657.3359999999984</v>
      </c>
      <c r="J662" t="s">
        <v>316</v>
      </c>
      <c r="L662">
        <f>H660*15%</f>
        <v>1174.8239999999996</v>
      </c>
    </row>
    <row r="665" spans="2:12" ht="15" customHeight="1" x14ac:dyDescent="0.45">
      <c r="B665" s="16" t="s">
        <v>115</v>
      </c>
      <c r="C665">
        <f>C654-C662</f>
        <v>20642.664000000001</v>
      </c>
      <c r="E665" t="s">
        <v>311</v>
      </c>
      <c r="H665">
        <f>H654-H662</f>
        <v>20642.664000000001</v>
      </c>
      <c r="J665" t="s">
        <v>312</v>
      </c>
      <c r="L665">
        <f>L654-L662</f>
        <v>2925.1760000000004</v>
      </c>
    </row>
    <row r="666" spans="2:12" ht="15" customHeight="1" x14ac:dyDescent="0.45">
      <c r="H666" s="70"/>
    </row>
    <row r="667" spans="2:12" ht="15" customHeight="1" x14ac:dyDescent="0.45">
      <c r="B667" s="16" t="s">
        <v>227</v>
      </c>
      <c r="C667">
        <f>C660*15%</f>
        <v>1174.8239999999996</v>
      </c>
      <c r="J667" t="s">
        <v>115</v>
      </c>
      <c r="L667">
        <f>H665+L665</f>
        <v>23567.84</v>
      </c>
    </row>
    <row r="668" spans="2:12" ht="15" customHeight="1" x14ac:dyDescent="0.45">
      <c r="F668" s="70"/>
      <c r="G668" s="70"/>
      <c r="I668" s="71"/>
    </row>
    <row r="669" spans="2:12" ht="15" customHeight="1" x14ac:dyDescent="0.45">
      <c r="C669" s="67" t="s">
        <v>219</v>
      </c>
      <c r="D669" s="67" t="s">
        <v>220</v>
      </c>
      <c r="E669" t="s">
        <v>69</v>
      </c>
      <c r="F669" t="s">
        <v>68</v>
      </c>
      <c r="G669" t="s">
        <v>66</v>
      </c>
      <c r="H669" t="s">
        <v>50</v>
      </c>
      <c r="I669" t="s">
        <v>50</v>
      </c>
    </row>
    <row r="670" spans="2:12" ht="15" customHeight="1" x14ac:dyDescent="0.45">
      <c r="B670" s="16" t="s">
        <v>48</v>
      </c>
      <c r="C670" s="61">
        <v>611.51999999999987</v>
      </c>
      <c r="D670" s="61">
        <v>458.63999999999987</v>
      </c>
      <c r="F670">
        <f>-C648</f>
        <v>-140</v>
      </c>
      <c r="H670">
        <f>SUM(C670:G670)</f>
        <v>930.15999999999985</v>
      </c>
      <c r="I670">
        <f>H670</f>
        <v>930.15999999999985</v>
      </c>
    </row>
    <row r="671" spans="2:12" ht="15" customHeight="1" x14ac:dyDescent="0.45">
      <c r="B671" s="16" t="s">
        <v>56</v>
      </c>
      <c r="C671" s="61">
        <v>10701.600000000002</v>
      </c>
      <c r="D671" s="61">
        <v>12230.399999999998</v>
      </c>
      <c r="H671">
        <f>SUM(C671:G671)</f>
        <v>22932</v>
      </c>
      <c r="I671">
        <f>H671</f>
        <v>22932</v>
      </c>
    </row>
    <row r="672" spans="2:12" ht="15" customHeight="1" x14ac:dyDescent="0.45">
      <c r="B672" s="16" t="s">
        <v>64</v>
      </c>
      <c r="C672" s="61">
        <v>29047.200000000004</v>
      </c>
      <c r="D672" s="61">
        <v>16434.600000000002</v>
      </c>
      <c r="G672">
        <f>C657</f>
        <v>2065.3999999999978</v>
      </c>
      <c r="H672">
        <f>SUM(C672:G672)</f>
        <v>47547.199999999997</v>
      </c>
      <c r="I672">
        <f>H672</f>
        <v>47547.199999999997</v>
      </c>
    </row>
    <row r="673" spans="2:9" ht="15" customHeight="1" x14ac:dyDescent="0.45">
      <c r="B673" s="16" t="s">
        <v>65</v>
      </c>
      <c r="C673" s="61">
        <v>11466</v>
      </c>
      <c r="D673" s="61">
        <v>2384.7600000000002</v>
      </c>
      <c r="G673">
        <f>C658</f>
        <v>1165.2399999999998</v>
      </c>
      <c r="H673">
        <f>SUM(C673:G673)</f>
        <v>15016</v>
      </c>
      <c r="I673">
        <f>H673</f>
        <v>15016</v>
      </c>
    </row>
    <row r="674" spans="2:9" ht="15" customHeight="1" x14ac:dyDescent="0.45">
      <c r="B674" s="16" t="s">
        <v>66</v>
      </c>
      <c r="C674" s="61">
        <v>7644</v>
      </c>
      <c r="D674" s="61">
        <v>4200</v>
      </c>
      <c r="G674">
        <f>C665-D674</f>
        <v>16442.664000000001</v>
      </c>
      <c r="H674">
        <f>SUM(C674:G674)</f>
        <v>28286.664000000001</v>
      </c>
      <c r="I674">
        <f>C674+L667</f>
        <v>31211.84</v>
      </c>
    </row>
    <row r="675" spans="2:9" ht="15" customHeight="1" x14ac:dyDescent="0.45">
      <c r="B675" s="16" t="s">
        <v>57</v>
      </c>
      <c r="C675">
        <f>SUM(C670:C674)</f>
        <v>59470.320000000007</v>
      </c>
      <c r="D675">
        <f>SUM(D670:D674)</f>
        <v>35708.400000000001</v>
      </c>
      <c r="H675">
        <f>SUM(H670:H674)</f>
        <v>114712.024</v>
      </c>
      <c r="I675">
        <f>SUM(I670:I674)</f>
        <v>117637.2</v>
      </c>
    </row>
    <row r="677" spans="2:9" ht="15" customHeight="1" x14ac:dyDescent="0.45">
      <c r="B677" s="16" t="s">
        <v>58</v>
      </c>
      <c r="C677" s="61">
        <v>1911</v>
      </c>
      <c r="D677" s="61">
        <v>917.27999999999975</v>
      </c>
      <c r="F677">
        <f>-D677</f>
        <v>-917.27999999999975</v>
      </c>
      <c r="H677">
        <f>SUM(C677:G677)</f>
        <v>1911</v>
      </c>
      <c r="I677">
        <f>H677</f>
        <v>1911</v>
      </c>
    </row>
    <row r="678" spans="2:9" ht="15" customHeight="1" x14ac:dyDescent="0.45">
      <c r="B678" s="16" t="s">
        <v>291</v>
      </c>
      <c r="C678" s="61">
        <v>19874.399999999998</v>
      </c>
      <c r="D678" s="61">
        <v>7644</v>
      </c>
      <c r="H678">
        <f>SUM(C678:G678)</f>
        <v>27518.399999999998</v>
      </c>
      <c r="I678">
        <f>H678</f>
        <v>27518.399999999998</v>
      </c>
    </row>
    <row r="679" spans="2:9" ht="15" customHeight="1" x14ac:dyDescent="0.45">
      <c r="B679" s="16" t="s">
        <v>59</v>
      </c>
      <c r="C679" s="61">
        <v>24384.359999999997</v>
      </c>
      <c r="D679" s="61">
        <v>15288</v>
      </c>
      <c r="F679">
        <f>C650-D679</f>
        <v>18212</v>
      </c>
      <c r="H679">
        <f>SUM(C679:G679)</f>
        <v>57884.36</v>
      </c>
      <c r="I679">
        <f>H679</f>
        <v>57884.36</v>
      </c>
    </row>
    <row r="680" spans="2:9" ht="15" customHeight="1" x14ac:dyDescent="0.45">
      <c r="B680" s="16" t="s">
        <v>292</v>
      </c>
      <c r="C680" s="61">
        <v>3363.36</v>
      </c>
      <c r="D680" s="61">
        <v>3057.5999999999995</v>
      </c>
      <c r="H680">
        <f>SUM(C680:G680)</f>
        <v>6420.9599999999991</v>
      </c>
      <c r="I680">
        <f>H680</f>
        <v>6420.9599999999991</v>
      </c>
    </row>
    <row r="681" spans="2:9" ht="15" customHeight="1" x14ac:dyDescent="0.45">
      <c r="B681" s="16" t="s">
        <v>60</v>
      </c>
      <c r="C681">
        <f>SUM(C677:C680)</f>
        <v>49533.119999999995</v>
      </c>
      <c r="D681">
        <f>SUM(D677:D680)</f>
        <v>26906.879999999997</v>
      </c>
      <c r="H681">
        <f>SUM(H677:H680)</f>
        <v>93734.720000000001</v>
      </c>
      <c r="I681">
        <f>SUM(I677:I680)</f>
        <v>93734.720000000001</v>
      </c>
    </row>
    <row r="683" spans="2:9" ht="15" customHeight="1" x14ac:dyDescent="0.45">
      <c r="B683" s="16" t="s">
        <v>83</v>
      </c>
      <c r="C683" s="61">
        <v>2184</v>
      </c>
      <c r="D683" s="61">
        <v>3712.8000000000006</v>
      </c>
      <c r="E683">
        <f>-D683</f>
        <v>-3712.8000000000006</v>
      </c>
      <c r="F683">
        <f>C649</f>
        <v>9865.2799999999988</v>
      </c>
      <c r="H683">
        <f>SUM(C683:G683)</f>
        <v>12049.279999999999</v>
      </c>
      <c r="I683">
        <f>H683</f>
        <v>12049.279999999999</v>
      </c>
    </row>
    <row r="684" spans="2:9" ht="15" customHeight="1" x14ac:dyDescent="0.45">
      <c r="B684" s="16" t="s">
        <v>61</v>
      </c>
      <c r="C684" s="61">
        <v>7753.1999999999989</v>
      </c>
      <c r="D684" s="61">
        <v>5088.72</v>
      </c>
      <c r="E684">
        <f>-D684</f>
        <v>-5088.72</v>
      </c>
      <c r="H684">
        <f>SUM(C684:G684)</f>
        <v>7753.199999999998</v>
      </c>
      <c r="I684">
        <f>H684</f>
        <v>7753.199999999998</v>
      </c>
    </row>
    <row r="685" spans="2:9" ht="15" customHeight="1" x14ac:dyDescent="0.45">
      <c r="B685" s="16" t="s">
        <v>296</v>
      </c>
      <c r="C685" s="61">
        <v>0</v>
      </c>
      <c r="D685" s="61">
        <v>0</v>
      </c>
      <c r="G685">
        <f>C667</f>
        <v>1174.8239999999996</v>
      </c>
      <c r="H685">
        <f>SUM(C685:G685)</f>
        <v>1174.8239999999996</v>
      </c>
      <c r="I685">
        <f>L654</f>
        <v>4100</v>
      </c>
    </row>
    <row r="686" spans="2:9" ht="15" customHeight="1" x14ac:dyDescent="0.45">
      <c r="B686" s="16" t="s">
        <v>62</v>
      </c>
      <c r="C686">
        <f>SUM(C683:C685)</f>
        <v>9937.1999999999989</v>
      </c>
      <c r="D686">
        <f>SUM(D683:D685)</f>
        <v>8801.52</v>
      </c>
      <c r="F686" s="70"/>
      <c r="H686">
        <f>SUM(H683:H685)</f>
        <v>20977.303999999996</v>
      </c>
      <c r="I686">
        <f>SUM(I683:I685)</f>
        <v>23902.479999999996</v>
      </c>
    </row>
    <row r="687" spans="2:9" ht="15" customHeight="1" x14ac:dyDescent="0.45">
      <c r="B687" s="16" t="s">
        <v>63</v>
      </c>
      <c r="C687">
        <f>C686+C681</f>
        <v>59470.319999999992</v>
      </c>
      <c r="D687">
        <f>D686+D681</f>
        <v>35708.399999999994</v>
      </c>
      <c r="F687" s="70"/>
      <c r="H687">
        <f>H686+H681</f>
        <v>114712.024</v>
      </c>
      <c r="I687">
        <f>I686+I681</f>
        <v>117637.2</v>
      </c>
    </row>
    <row r="688" spans="2:9" ht="15" customHeight="1" x14ac:dyDescent="0.45">
      <c r="F688" s="70"/>
    </row>
    <row r="689" spans="1:7" ht="15" customHeight="1" x14ac:dyDescent="0.45">
      <c r="A689" s="15" t="s">
        <v>38</v>
      </c>
      <c r="F689" s="70"/>
    </row>
    <row r="690" spans="1:7" ht="15" customHeight="1" x14ac:dyDescent="0.45">
      <c r="B690" s="16" t="s">
        <v>356</v>
      </c>
      <c r="F690" s="70"/>
    </row>
    <row r="691" spans="1:7" ht="15" customHeight="1" x14ac:dyDescent="0.45">
      <c r="B691" s="16" t="s">
        <v>357</v>
      </c>
      <c r="F691" s="70"/>
    </row>
    <row r="692" spans="1:7" ht="15" customHeight="1" x14ac:dyDescent="0.45">
      <c r="B692" s="16" t="s">
        <v>135</v>
      </c>
      <c r="F692" s="70"/>
    </row>
    <row r="693" spans="1:7" ht="15" customHeight="1" x14ac:dyDescent="0.45">
      <c r="F693" s="70"/>
    </row>
    <row r="694" spans="1:7" ht="15" customHeight="1" x14ac:dyDescent="0.45">
      <c r="C694" t="s">
        <v>246</v>
      </c>
      <c r="D694" t="s">
        <v>247</v>
      </c>
      <c r="E694" t="s">
        <v>147</v>
      </c>
      <c r="F694" t="s">
        <v>68</v>
      </c>
      <c r="G694" t="s">
        <v>50</v>
      </c>
    </row>
    <row r="695" spans="1:7" ht="15" customHeight="1" x14ac:dyDescent="0.45">
      <c r="B695" s="16" t="s">
        <v>137</v>
      </c>
      <c r="C695" s="61">
        <v>8065.2000000000007</v>
      </c>
      <c r="D695" s="61">
        <v>2474.5500000000002</v>
      </c>
      <c r="G695">
        <f>SUM(C695:F695)</f>
        <v>10539.75</v>
      </c>
    </row>
    <row r="696" spans="1:7" ht="15" customHeight="1" x14ac:dyDescent="0.45">
      <c r="B696" s="16" t="s">
        <v>138</v>
      </c>
      <c r="C696" s="61">
        <v>2822.82</v>
      </c>
      <c r="D696" s="61">
        <v>618.63750000000005</v>
      </c>
      <c r="G696">
        <f>SUM(C696:F696)</f>
        <v>3441.4575000000004</v>
      </c>
    </row>
    <row r="697" spans="1:7" ht="15" customHeight="1" x14ac:dyDescent="0.45">
      <c r="B697" s="16" t="s">
        <v>139</v>
      </c>
      <c r="C697">
        <f>C695-C696</f>
        <v>5242.380000000001</v>
      </c>
      <c r="D697">
        <f>D695-D696</f>
        <v>1855.9125000000001</v>
      </c>
      <c r="G697">
        <f>G695-G696</f>
        <v>7098.2924999999996</v>
      </c>
    </row>
    <row r="698" spans="1:7" ht="15" customHeight="1" x14ac:dyDescent="0.45">
      <c r="B698" s="16" t="s">
        <v>140</v>
      </c>
      <c r="C698" s="61">
        <v>3226.08</v>
      </c>
      <c r="D698" s="61">
        <v>1113.5474999999999</v>
      </c>
      <c r="E698" s="70"/>
      <c r="G698">
        <f>SUM(C698:F698)</f>
        <v>4339.6274999999996</v>
      </c>
    </row>
    <row r="699" spans="1:7" ht="15" customHeight="1" x14ac:dyDescent="0.45">
      <c r="B699" s="16" t="s">
        <v>141</v>
      </c>
      <c r="C699">
        <f>C697-C698</f>
        <v>2016.3000000000011</v>
      </c>
      <c r="D699">
        <f>D697-D698</f>
        <v>742.36500000000024</v>
      </c>
      <c r="E699" s="70"/>
      <c r="G699">
        <f>G697-G698</f>
        <v>2758.665</v>
      </c>
    </row>
    <row r="700" spans="1:7" ht="15" customHeight="1" x14ac:dyDescent="0.45">
      <c r="B700" s="16" t="s">
        <v>142</v>
      </c>
      <c r="C700" s="61">
        <v>15.132</v>
      </c>
      <c r="D700" s="61">
        <v>1.833</v>
      </c>
      <c r="E700" s="70"/>
      <c r="F700" s="70"/>
      <c r="G700">
        <f>SUM(C700:F700)</f>
        <v>16.965</v>
      </c>
    </row>
    <row r="701" spans="1:7" ht="15" customHeight="1" x14ac:dyDescent="0.45">
      <c r="B701" s="16" t="s">
        <v>143</v>
      </c>
      <c r="C701" s="61">
        <v>274.95</v>
      </c>
      <c r="D701" s="61">
        <v>109.97999999999999</v>
      </c>
      <c r="E701" s="70"/>
      <c r="F701" s="70"/>
      <c r="G701">
        <f>SUM(C701:F701)</f>
        <v>384.92999999999995</v>
      </c>
    </row>
    <row r="702" spans="1:7" ht="15" customHeight="1" x14ac:dyDescent="0.45">
      <c r="B702" s="16" t="s">
        <v>144</v>
      </c>
      <c r="C702">
        <f>C699+C700-C701</f>
        <v>1756.4820000000011</v>
      </c>
      <c r="D702">
        <f>D699+D700-D701</f>
        <v>634.21800000000019</v>
      </c>
      <c r="E702" s="70"/>
      <c r="F702" s="70"/>
      <c r="G702">
        <f>G699+G700-G701</f>
        <v>2390.7000000000003</v>
      </c>
    </row>
    <row r="703" spans="1:7" ht="15" customHeight="1" x14ac:dyDescent="0.45">
      <c r="B703" s="16" t="s">
        <v>145</v>
      </c>
      <c r="C703" s="61">
        <v>533.34801000000004</v>
      </c>
      <c r="D703" s="61">
        <v>187.09431000000001</v>
      </c>
      <c r="E703" s="70"/>
      <c r="F703" s="70"/>
      <c r="G703">
        <f>SUM(C703:F703)</f>
        <v>720.44232000000011</v>
      </c>
    </row>
    <row r="704" spans="1:7" ht="15" customHeight="1" x14ac:dyDescent="0.45">
      <c r="B704" s="16" t="s">
        <v>146</v>
      </c>
      <c r="C704">
        <f>C702-C703</f>
        <v>1223.1339900000012</v>
      </c>
      <c r="D704">
        <f>D702-D703</f>
        <v>447.12369000000018</v>
      </c>
      <c r="E704" s="70"/>
      <c r="F704" s="70"/>
      <c r="G704">
        <f>G702-G703</f>
        <v>1670.2576800000002</v>
      </c>
    </row>
    <row r="705" spans="1:7" ht="15" customHeight="1" x14ac:dyDescent="0.45">
      <c r="B705" s="16" t="s">
        <v>230</v>
      </c>
      <c r="C705" s="61">
        <v>0</v>
      </c>
      <c r="D705" s="61">
        <v>0</v>
      </c>
      <c r="E705" s="70"/>
      <c r="F705" s="70"/>
      <c r="G705">
        <f>D704*10%</f>
        <v>44.712369000000024</v>
      </c>
    </row>
    <row r="706" spans="1:7" ht="15" customHeight="1" x14ac:dyDescent="0.45">
      <c r="B706" s="16" t="s">
        <v>231</v>
      </c>
      <c r="C706">
        <f>C704-C705</f>
        <v>1223.1339900000012</v>
      </c>
      <c r="D706">
        <f>D704-D705</f>
        <v>447.12369000000018</v>
      </c>
      <c r="E706" s="70"/>
      <c r="F706" s="70"/>
      <c r="G706">
        <f>G704-G705</f>
        <v>1625.5453110000001</v>
      </c>
    </row>
    <row r="707" spans="1:7" ht="15" customHeight="1" x14ac:dyDescent="0.45">
      <c r="E707" s="70"/>
      <c r="F707" s="70"/>
      <c r="G707" s="70"/>
    </row>
    <row r="708" spans="1:7" ht="15" customHeight="1" x14ac:dyDescent="0.45">
      <c r="B708" s="16" t="s">
        <v>148</v>
      </c>
      <c r="E708" s="70"/>
      <c r="F708" s="70"/>
      <c r="G708" s="70"/>
    </row>
    <row r="709" spans="1:7" ht="15" customHeight="1" x14ac:dyDescent="0.45">
      <c r="E709" s="70"/>
      <c r="F709" s="70"/>
      <c r="G709" s="70"/>
    </row>
    <row r="710" spans="1:7" ht="15" customHeight="1" x14ac:dyDescent="0.45">
      <c r="B710" s="16" t="s">
        <v>238</v>
      </c>
      <c r="E710" s="70"/>
      <c r="F710" s="70"/>
      <c r="G710" s="70"/>
    </row>
    <row r="711" spans="1:7" ht="15" customHeight="1" x14ac:dyDescent="0.45">
      <c r="B711" s="16" t="s">
        <v>365</v>
      </c>
      <c r="C711">
        <f>D704</f>
        <v>447.12369000000018</v>
      </c>
      <c r="E711" s="70"/>
      <c r="F711" s="70"/>
      <c r="G711" s="70"/>
    </row>
    <row r="712" spans="1:7" ht="15" customHeight="1" x14ac:dyDescent="0.45">
      <c r="B712" s="16" t="s">
        <v>242</v>
      </c>
      <c r="C712">
        <f>C711*10%</f>
        <v>44.712369000000024</v>
      </c>
      <c r="E712" s="70"/>
      <c r="F712" s="70"/>
      <c r="G712" s="70"/>
    </row>
    <row r="713" spans="1:7" ht="15" customHeight="1" x14ac:dyDescent="0.45">
      <c r="E713" s="70"/>
      <c r="F713" s="70"/>
      <c r="G713" s="70"/>
    </row>
    <row r="714" spans="1:7" ht="15" customHeight="1" x14ac:dyDescent="0.45">
      <c r="A714" s="15" t="s">
        <v>248</v>
      </c>
      <c r="E714" s="70"/>
      <c r="F714" s="70"/>
      <c r="G714" s="70"/>
    </row>
    <row r="715" spans="1:7" ht="15" customHeight="1" x14ac:dyDescent="0.45">
      <c r="B715" s="16" t="s">
        <v>358</v>
      </c>
      <c r="E715" s="70"/>
      <c r="F715" s="70"/>
      <c r="G715" s="70"/>
    </row>
    <row r="716" spans="1:7" ht="15" customHeight="1" x14ac:dyDescent="0.45">
      <c r="B716" s="16" t="s">
        <v>359</v>
      </c>
      <c r="E716" s="70"/>
      <c r="F716" s="70"/>
      <c r="G716" s="70"/>
    </row>
    <row r="717" spans="1:7" ht="15" customHeight="1" x14ac:dyDescent="0.45">
      <c r="B717" s="16" t="s">
        <v>360</v>
      </c>
      <c r="E717" s="70"/>
      <c r="F717" s="70"/>
      <c r="G717" s="70"/>
    </row>
    <row r="718" spans="1:7" ht="15" customHeight="1" x14ac:dyDescent="0.45">
      <c r="B718" s="16" t="s">
        <v>361</v>
      </c>
      <c r="E718" s="70"/>
      <c r="F718" s="70"/>
      <c r="G718" s="70"/>
    </row>
    <row r="719" spans="1:7" ht="15" customHeight="1" x14ac:dyDescent="0.45">
      <c r="E719" s="70"/>
      <c r="F719" s="70"/>
      <c r="G719" s="70"/>
    </row>
    <row r="720" spans="1:7" ht="15" customHeight="1" x14ac:dyDescent="0.45">
      <c r="C720" t="s">
        <v>228</v>
      </c>
      <c r="D720" t="s">
        <v>229</v>
      </c>
      <c r="E720" t="s">
        <v>147</v>
      </c>
      <c r="F720" t="s">
        <v>68</v>
      </c>
      <c r="G720" t="s">
        <v>50</v>
      </c>
    </row>
    <row r="721" spans="2:7" ht="15" customHeight="1" x14ac:dyDescent="0.45">
      <c r="B721" s="16" t="s">
        <v>137</v>
      </c>
      <c r="C721" s="61">
        <v>12408</v>
      </c>
      <c r="D721" s="61">
        <v>3807</v>
      </c>
      <c r="G721">
        <f>SUM(C721:F721)</f>
        <v>16215</v>
      </c>
    </row>
    <row r="722" spans="2:7" ht="15" customHeight="1" x14ac:dyDescent="0.45">
      <c r="B722" s="16" t="s">
        <v>138</v>
      </c>
      <c r="C722" s="61">
        <v>4342.8</v>
      </c>
      <c r="D722" s="61">
        <v>951.75</v>
      </c>
      <c r="G722">
        <f>SUM(C722:F722)</f>
        <v>5294.55</v>
      </c>
    </row>
    <row r="723" spans="2:7" ht="15" customHeight="1" x14ac:dyDescent="0.45">
      <c r="B723" s="16" t="s">
        <v>139</v>
      </c>
      <c r="C723">
        <f>C721-C722</f>
        <v>8065.2</v>
      </c>
      <c r="D723">
        <f>D721-D722</f>
        <v>2855.25</v>
      </c>
      <c r="G723">
        <f>G721-G722</f>
        <v>10920.45</v>
      </c>
    </row>
    <row r="724" spans="2:7" ht="15" customHeight="1" x14ac:dyDescent="0.45">
      <c r="B724" s="16" t="s">
        <v>140</v>
      </c>
      <c r="C724" s="61">
        <v>4963.2</v>
      </c>
      <c r="D724" s="61">
        <v>1713.1499999999999</v>
      </c>
      <c r="E724" s="61">
        <v>-56</v>
      </c>
      <c r="G724">
        <f>SUM(C724:F724)</f>
        <v>6620.3499999999995</v>
      </c>
    </row>
    <row r="725" spans="2:7" ht="15" customHeight="1" x14ac:dyDescent="0.45">
      <c r="B725" s="16" t="s">
        <v>141</v>
      </c>
      <c r="C725">
        <f>C723-C724</f>
        <v>3102</v>
      </c>
      <c r="D725">
        <f>D723-D724</f>
        <v>1142.1000000000001</v>
      </c>
      <c r="G725">
        <f>G723-G724</f>
        <v>4300.1000000000013</v>
      </c>
    </row>
    <row r="726" spans="2:7" ht="15" customHeight="1" x14ac:dyDescent="0.45">
      <c r="B726" s="16" t="s">
        <v>142</v>
      </c>
      <c r="C726" s="61">
        <v>23.279999999999998</v>
      </c>
      <c r="D726" s="61">
        <v>2.82</v>
      </c>
      <c r="F726" s="61">
        <f>(1180*1.25%*-1)</f>
        <v>-14.75</v>
      </c>
      <c r="G726">
        <f>SUM(C726:F726)</f>
        <v>11.349999999999998</v>
      </c>
    </row>
    <row r="727" spans="2:7" ht="15" customHeight="1" x14ac:dyDescent="0.45">
      <c r="B727" s="16" t="s">
        <v>143</v>
      </c>
      <c r="C727" s="61">
        <v>423</v>
      </c>
      <c r="D727" s="61">
        <v>169.2</v>
      </c>
      <c r="F727" s="61">
        <f>3500*6.5%</f>
        <v>227.5</v>
      </c>
      <c r="G727">
        <f>SUM(C727:F727)</f>
        <v>819.7</v>
      </c>
    </row>
    <row r="728" spans="2:7" ht="15" customHeight="1" x14ac:dyDescent="0.45">
      <c r="B728" s="16" t="s">
        <v>144</v>
      </c>
      <c r="C728">
        <f>C725+C726-C727</f>
        <v>2702.28</v>
      </c>
      <c r="D728">
        <f>D725+D726-D727</f>
        <v>975.72</v>
      </c>
      <c r="G728">
        <f>G725+G726-G727</f>
        <v>3491.7500000000018</v>
      </c>
    </row>
    <row r="729" spans="2:7" ht="15" customHeight="1" x14ac:dyDescent="0.45">
      <c r="B729" s="16" t="s">
        <v>145</v>
      </c>
      <c r="C729" s="61">
        <v>820.53539999999998</v>
      </c>
      <c r="D729" s="61">
        <v>287.8374</v>
      </c>
      <c r="E729">
        <f>E724*30%*-1</f>
        <v>16.8</v>
      </c>
      <c r="F729">
        <f>(F726-F727)*30%</f>
        <v>-72.674999999999997</v>
      </c>
      <c r="G729">
        <f>SUM(C729:F729)</f>
        <v>1052.4978000000001</v>
      </c>
    </row>
    <row r="730" spans="2:7" ht="15" customHeight="1" x14ac:dyDescent="0.45">
      <c r="B730" s="16" t="s">
        <v>146</v>
      </c>
      <c r="C730">
        <f>C728-C729</f>
        <v>1881.7446000000002</v>
      </c>
      <c r="D730">
        <f>D728-D729</f>
        <v>687.88260000000002</v>
      </c>
      <c r="G730">
        <f>G728-G729</f>
        <v>2439.2522000000017</v>
      </c>
    </row>
    <row r="731" spans="2:7" ht="15" customHeight="1" x14ac:dyDescent="0.45">
      <c r="B731" s="16" t="s">
        <v>230</v>
      </c>
      <c r="C731" s="61">
        <v>0</v>
      </c>
      <c r="D731" s="61">
        <v>0</v>
      </c>
      <c r="G731">
        <f>(D730-E724-E729)*25%</f>
        <v>181.77065000000002</v>
      </c>
    </row>
    <row r="732" spans="2:7" ht="15" customHeight="1" x14ac:dyDescent="0.45">
      <c r="B732" s="16" t="s">
        <v>231</v>
      </c>
      <c r="C732">
        <f>C730-C731</f>
        <v>1881.7446000000002</v>
      </c>
      <c r="D732">
        <f>D730-D731</f>
        <v>687.88260000000002</v>
      </c>
      <c r="G732">
        <f>G730-G731</f>
        <v>2257.4815500000018</v>
      </c>
    </row>
    <row r="734" spans="2:7" ht="15" customHeight="1" x14ac:dyDescent="0.45">
      <c r="B734" s="16" t="s">
        <v>148</v>
      </c>
    </row>
    <row r="736" spans="2:7" ht="15" customHeight="1" x14ac:dyDescent="0.45">
      <c r="B736" s="16" t="s">
        <v>149</v>
      </c>
    </row>
    <row r="737" spans="2:4" ht="15" customHeight="1" x14ac:dyDescent="0.45">
      <c r="B737" s="16" t="s">
        <v>232</v>
      </c>
      <c r="C737">
        <f>C726</f>
        <v>23.279999999999998</v>
      </c>
    </row>
    <row r="738" spans="2:4" ht="15" customHeight="1" x14ac:dyDescent="0.45">
      <c r="B738" s="16" t="s">
        <v>233</v>
      </c>
      <c r="C738">
        <f>D726</f>
        <v>2.82</v>
      </c>
    </row>
    <row r="739" spans="2:4" ht="15" customHeight="1" x14ac:dyDescent="0.45">
      <c r="B739" s="16" t="s">
        <v>151</v>
      </c>
      <c r="C739" s="61">
        <f>1180*1.25%*-1</f>
        <v>-14.75</v>
      </c>
    </row>
    <row r="740" spans="2:4" ht="15" customHeight="1" x14ac:dyDescent="0.45">
      <c r="B740" s="16" t="s">
        <v>152</v>
      </c>
      <c r="C740">
        <f>SUM(C737:C739)</f>
        <v>11.349999999999998</v>
      </c>
    </row>
    <row r="742" spans="2:4" ht="15" customHeight="1" x14ac:dyDescent="0.45">
      <c r="B742" s="16" t="s">
        <v>153</v>
      </c>
      <c r="C742" s="70"/>
    </row>
    <row r="743" spans="2:4" ht="15" customHeight="1" x14ac:dyDescent="0.45">
      <c r="B743" s="16" t="s">
        <v>234</v>
      </c>
      <c r="C743">
        <f>C727</f>
        <v>423</v>
      </c>
      <c r="D743" s="70"/>
    </row>
    <row r="744" spans="2:4" ht="15" customHeight="1" x14ac:dyDescent="0.45">
      <c r="B744" s="16" t="s">
        <v>235</v>
      </c>
      <c r="C744">
        <f>D727</f>
        <v>169.2</v>
      </c>
      <c r="D744" s="70"/>
    </row>
    <row r="745" spans="2:4" ht="15" customHeight="1" x14ac:dyDescent="0.45">
      <c r="B745" s="16" t="s">
        <v>155</v>
      </c>
      <c r="C745" s="61">
        <f>3500*6.5%</f>
        <v>227.5</v>
      </c>
      <c r="D745" s="70"/>
    </row>
    <row r="746" spans="2:4" ht="15" customHeight="1" x14ac:dyDescent="0.45">
      <c r="B746" s="16" t="s">
        <v>156</v>
      </c>
      <c r="C746">
        <f>SUM(C743:C745)</f>
        <v>819.7</v>
      </c>
      <c r="D746" s="70"/>
    </row>
    <row r="747" spans="2:4" ht="15" customHeight="1" x14ac:dyDescent="0.45">
      <c r="D747" s="70"/>
    </row>
    <row r="748" spans="2:4" ht="15" customHeight="1" x14ac:dyDescent="0.45">
      <c r="B748" s="16" t="s">
        <v>157</v>
      </c>
      <c r="D748" s="70"/>
    </row>
    <row r="749" spans="2:4" ht="15" customHeight="1" x14ac:dyDescent="0.45">
      <c r="B749" s="16" t="s">
        <v>236</v>
      </c>
      <c r="C749">
        <f>C729</f>
        <v>820.53539999999998</v>
      </c>
      <c r="D749" s="70"/>
    </row>
    <row r="750" spans="2:4" ht="15" customHeight="1" x14ac:dyDescent="0.45">
      <c r="B750" s="16" t="s">
        <v>237</v>
      </c>
      <c r="C750">
        <f>D729</f>
        <v>287.8374</v>
      </c>
      <c r="D750" s="70"/>
    </row>
    <row r="751" spans="2:4" ht="15" customHeight="1" x14ac:dyDescent="0.45">
      <c r="B751" s="16" t="s">
        <v>159</v>
      </c>
      <c r="C751" s="61">
        <f>56*30%</f>
        <v>16.8</v>
      </c>
      <c r="D751" s="70"/>
    </row>
    <row r="752" spans="2:4" ht="15" customHeight="1" x14ac:dyDescent="0.45">
      <c r="B752" s="16" t="s">
        <v>160</v>
      </c>
      <c r="C752">
        <f>C739*30%</f>
        <v>-4.4249999999999998</v>
      </c>
      <c r="D752" s="70"/>
    </row>
    <row r="753" spans="1:12" ht="15" customHeight="1" x14ac:dyDescent="0.45">
      <c r="B753" s="16" t="s">
        <v>161</v>
      </c>
      <c r="C753">
        <f>C745*30%*-1</f>
        <v>-68.25</v>
      </c>
      <c r="D753" s="70"/>
    </row>
    <row r="754" spans="1:12" ht="15" customHeight="1" x14ac:dyDescent="0.45">
      <c r="B754" s="16" t="s">
        <v>162</v>
      </c>
      <c r="C754">
        <f>SUM(C749:C753)</f>
        <v>1052.4978000000001</v>
      </c>
      <c r="D754" s="70"/>
    </row>
    <row r="755" spans="1:12" ht="15" customHeight="1" x14ac:dyDescent="0.45">
      <c r="D755" s="70"/>
    </row>
    <row r="756" spans="1:12" ht="15" customHeight="1" x14ac:dyDescent="0.45">
      <c r="B756" s="16" t="s">
        <v>238</v>
      </c>
      <c r="D756" s="70"/>
    </row>
    <row r="757" spans="1:12" ht="15" customHeight="1" x14ac:dyDescent="0.45">
      <c r="B757" s="16" t="s">
        <v>239</v>
      </c>
      <c r="C757">
        <f>D730</f>
        <v>687.88260000000002</v>
      </c>
      <c r="D757" s="70"/>
    </row>
    <row r="758" spans="1:12" ht="15" customHeight="1" x14ac:dyDescent="0.45">
      <c r="B758" s="16" t="s">
        <v>240</v>
      </c>
      <c r="C758" s="61">
        <v>56</v>
      </c>
      <c r="D758" s="70"/>
    </row>
    <row r="759" spans="1:12" ht="15" customHeight="1" x14ac:dyDescent="0.45">
      <c r="B759" s="16" t="str">
        <f>B751</f>
        <v>Tax impact of synergies</v>
      </c>
      <c r="C759">
        <f>C751*-1</f>
        <v>-16.8</v>
      </c>
      <c r="D759" s="70"/>
    </row>
    <row r="760" spans="1:12" ht="15" customHeight="1" x14ac:dyDescent="0.45">
      <c r="B760" s="16" t="s">
        <v>241</v>
      </c>
      <c r="C760">
        <f>SUM(C757:C759)</f>
        <v>727.08260000000007</v>
      </c>
      <c r="D760" s="70"/>
    </row>
    <row r="761" spans="1:12" ht="15" customHeight="1" x14ac:dyDescent="0.45">
      <c r="B761" s="16" t="s">
        <v>242</v>
      </c>
      <c r="C761">
        <f>C760*25%</f>
        <v>181.77065000000002</v>
      </c>
      <c r="D761" s="70"/>
    </row>
    <row r="762" spans="1:12" ht="15" customHeight="1" x14ac:dyDescent="0.45">
      <c r="D762" s="70"/>
    </row>
    <row r="763" spans="1:12" ht="15" customHeight="1" x14ac:dyDescent="0.45">
      <c r="B763" s="16" t="s">
        <v>243</v>
      </c>
      <c r="D763" s="70"/>
    </row>
    <row r="764" spans="1:12" ht="15" customHeight="1" x14ac:dyDescent="0.45">
      <c r="B764" s="16" t="s">
        <v>244</v>
      </c>
      <c r="D764" s="70"/>
    </row>
    <row r="765" spans="1:12" ht="15" customHeight="1" x14ac:dyDescent="0.45">
      <c r="B765" s="16" t="s">
        <v>245</v>
      </c>
      <c r="D765" s="70"/>
      <c r="L765" s="65"/>
    </row>
    <row r="766" spans="1:12" ht="15" customHeight="1" x14ac:dyDescent="0.45">
      <c r="D766" s="70"/>
    </row>
    <row r="767" spans="1:12" ht="15" customHeight="1" x14ac:dyDescent="0.45">
      <c r="A767" s="15" t="s">
        <v>254</v>
      </c>
      <c r="C767" s="70"/>
      <c r="D767" s="70"/>
    </row>
    <row r="768" spans="1:12" ht="15" customHeight="1" x14ac:dyDescent="0.45">
      <c r="B768" s="16" t="s">
        <v>295</v>
      </c>
      <c r="C768" s="70"/>
      <c r="D768" s="70"/>
    </row>
    <row r="769" spans="1:12" ht="15" customHeight="1" x14ac:dyDescent="0.45">
      <c r="C769" s="70"/>
      <c r="D769" s="70"/>
    </row>
    <row r="770" spans="1:12" ht="15" customHeight="1" x14ac:dyDescent="0.45">
      <c r="B770" s="16" t="s">
        <v>249</v>
      </c>
      <c r="C770" s="61">
        <v>2860</v>
      </c>
      <c r="D770" s="70"/>
    </row>
    <row r="771" spans="1:12" ht="15" customHeight="1" x14ac:dyDescent="0.45">
      <c r="B771" s="16" t="s">
        <v>297</v>
      </c>
      <c r="C771" s="61">
        <v>42800</v>
      </c>
      <c r="D771" s="70"/>
    </row>
    <row r="772" spans="1:12" ht="15" customHeight="1" x14ac:dyDescent="0.45">
      <c r="B772" s="16" t="s">
        <v>250</v>
      </c>
      <c r="C772" s="61">
        <v>715</v>
      </c>
      <c r="D772" s="70"/>
      <c r="L772" s="62"/>
    </row>
    <row r="773" spans="1:12" ht="15" customHeight="1" x14ac:dyDescent="0.45">
      <c r="C773" s="72"/>
      <c r="D773" s="72"/>
    </row>
    <row r="774" spans="1:12" ht="15" customHeight="1" x14ac:dyDescent="0.45">
      <c r="B774" s="16" t="s">
        <v>362</v>
      </c>
      <c r="D774" s="72"/>
    </row>
    <row r="775" spans="1:12" ht="15" customHeight="1" x14ac:dyDescent="0.45">
      <c r="D775" s="72"/>
    </row>
    <row r="776" spans="1:12" ht="15" customHeight="1" x14ac:dyDescent="0.45">
      <c r="B776" s="16" t="s">
        <v>251</v>
      </c>
      <c r="C776">
        <f>C771</f>
        <v>42800</v>
      </c>
      <c r="D776" s="72"/>
    </row>
    <row r="777" spans="1:12" ht="15" customHeight="1" x14ac:dyDescent="0.45">
      <c r="B777" s="16" t="s">
        <v>249</v>
      </c>
      <c r="C777">
        <f>C770*1.05</f>
        <v>3003</v>
      </c>
      <c r="D777" s="72"/>
    </row>
    <row r="778" spans="1:12" ht="15" customHeight="1" x14ac:dyDescent="0.45">
      <c r="B778" s="16" t="s">
        <v>252</v>
      </c>
      <c r="C778">
        <f>C777*20%</f>
        <v>600.6</v>
      </c>
      <c r="D778" s="72"/>
    </row>
    <row r="779" spans="1:12" ht="15" customHeight="1" x14ac:dyDescent="0.45">
      <c r="B779" s="16" t="s">
        <v>253</v>
      </c>
      <c r="C779">
        <f>C776+C777-C778</f>
        <v>45202.400000000001</v>
      </c>
      <c r="D779" s="72"/>
      <c r="E779" s="72"/>
      <c r="F779" s="72"/>
    </row>
    <row r="780" spans="1:12" ht="15" customHeight="1" x14ac:dyDescent="0.45">
      <c r="D780" s="72"/>
      <c r="E780" s="72"/>
      <c r="F780" s="72"/>
    </row>
    <row r="781" spans="1:12" ht="15" customHeight="1" x14ac:dyDescent="0.45">
      <c r="A781" s="15" t="s">
        <v>310</v>
      </c>
      <c r="C781" s="70"/>
      <c r="D781" s="72"/>
      <c r="E781" s="72"/>
      <c r="F781" s="72"/>
    </row>
    <row r="782" spans="1:12" ht="15" customHeight="1" x14ac:dyDescent="0.45">
      <c r="B782" s="16" t="s">
        <v>255</v>
      </c>
      <c r="D782" s="72"/>
      <c r="E782" s="72"/>
      <c r="F782" s="72"/>
    </row>
    <row r="783" spans="1:12" ht="15" customHeight="1" x14ac:dyDescent="0.45">
      <c r="D783" s="72"/>
      <c r="E783" s="72"/>
      <c r="F783" s="72"/>
    </row>
    <row r="784" spans="1:12" ht="15" customHeight="1" x14ac:dyDescent="0.45">
      <c r="D784" s="72"/>
      <c r="E784" s="72"/>
      <c r="F784" s="72"/>
    </row>
    <row r="785" spans="3:6" ht="15" customHeight="1" x14ac:dyDescent="0.45">
      <c r="D785" s="72"/>
      <c r="E785" s="72"/>
      <c r="F785" s="72"/>
    </row>
    <row r="786" spans="3:6" ht="15" customHeight="1" x14ac:dyDescent="0.45">
      <c r="D786" s="72"/>
      <c r="E786" s="72"/>
      <c r="F786" s="72"/>
    </row>
    <row r="787" spans="3:6" ht="15" customHeight="1" x14ac:dyDescent="0.45">
      <c r="D787" s="72"/>
      <c r="E787" s="72"/>
      <c r="F787" s="72"/>
    </row>
    <row r="788" spans="3:6" ht="15" customHeight="1" x14ac:dyDescent="0.45">
      <c r="D788" s="72"/>
      <c r="E788" s="72"/>
      <c r="F788" s="72"/>
    </row>
    <row r="789" spans="3:6" ht="15" customHeight="1" x14ac:dyDescent="0.45">
      <c r="C789" s="70"/>
      <c r="D789" s="72"/>
      <c r="E789" s="72"/>
      <c r="F789" s="72"/>
    </row>
    <row r="790" spans="3:6" ht="15" customHeight="1" x14ac:dyDescent="0.45">
      <c r="C790" s="70"/>
      <c r="D790" s="72"/>
      <c r="E790" s="72"/>
      <c r="F790" s="72"/>
    </row>
    <row r="791" spans="3:6" ht="15" customHeight="1" x14ac:dyDescent="0.45">
      <c r="C791" s="70"/>
      <c r="D791" s="72"/>
      <c r="E791" s="72"/>
      <c r="F791" s="72"/>
    </row>
    <row r="792" spans="3:6" ht="15" customHeight="1" x14ac:dyDescent="0.45">
      <c r="C792" s="70"/>
      <c r="D792" s="72"/>
      <c r="E792" s="72"/>
      <c r="F792" s="72"/>
    </row>
    <row r="793" spans="3:6" ht="15" customHeight="1" x14ac:dyDescent="0.45">
      <c r="C793" s="70"/>
      <c r="D793" s="72"/>
      <c r="E793" s="72"/>
      <c r="F793" s="72"/>
    </row>
    <row r="794" spans="3:6" ht="15" customHeight="1" x14ac:dyDescent="0.45">
      <c r="C794" s="70"/>
      <c r="D794" s="72"/>
      <c r="E794" s="72"/>
      <c r="F794" s="72"/>
    </row>
    <row r="795" spans="3:6" ht="15" customHeight="1" x14ac:dyDescent="0.45">
      <c r="C795" s="70"/>
      <c r="D795" s="72"/>
      <c r="E795" s="72"/>
      <c r="F795" s="72"/>
    </row>
    <row r="796" spans="3:6" ht="15" customHeight="1" x14ac:dyDescent="0.45">
      <c r="C796" s="70"/>
      <c r="D796" s="72"/>
      <c r="E796" s="72"/>
      <c r="F796" s="72"/>
    </row>
    <row r="797" spans="3:6" ht="15" customHeight="1" x14ac:dyDescent="0.45">
      <c r="C797" s="70"/>
      <c r="D797" s="72"/>
      <c r="E797" s="72"/>
      <c r="F797" s="72"/>
    </row>
    <row r="798" spans="3:6" ht="15" customHeight="1" x14ac:dyDescent="0.45">
      <c r="C798" s="70"/>
      <c r="D798" s="72"/>
      <c r="E798" s="72"/>
      <c r="F798" s="72"/>
    </row>
    <row r="799" spans="3:6" ht="15" customHeight="1" x14ac:dyDescent="0.45">
      <c r="C799" s="70"/>
      <c r="D799" s="72"/>
      <c r="E799" s="72"/>
      <c r="F799" s="72"/>
    </row>
    <row r="800" spans="3:6" ht="15" customHeight="1" x14ac:dyDescent="0.45">
      <c r="C800" s="70"/>
      <c r="D800" s="72"/>
      <c r="E800" s="72"/>
      <c r="F800" s="72"/>
    </row>
    <row r="801" spans="2:6" ht="15" customHeight="1" x14ac:dyDescent="0.45">
      <c r="C801" s="70"/>
      <c r="D801" s="72"/>
      <c r="E801" s="72"/>
      <c r="F801" s="72"/>
    </row>
    <row r="802" spans="2:6" ht="15" customHeight="1" x14ac:dyDescent="0.45">
      <c r="C802" s="70"/>
      <c r="D802" s="72"/>
      <c r="E802" s="72"/>
      <c r="F802" s="72"/>
    </row>
    <row r="803" spans="2:6" ht="15" customHeight="1" x14ac:dyDescent="0.45">
      <c r="C803" s="70"/>
      <c r="D803" s="72"/>
      <c r="E803" s="72"/>
      <c r="F803" s="72"/>
    </row>
    <row r="804" spans="2:6" ht="15" customHeight="1" x14ac:dyDescent="0.45">
      <c r="C804" s="70"/>
      <c r="D804" s="72"/>
      <c r="E804" s="72"/>
      <c r="F804" s="72"/>
    </row>
    <row r="805" spans="2:6" ht="15" customHeight="1" x14ac:dyDescent="0.45">
      <c r="C805" s="70"/>
      <c r="D805" s="72"/>
      <c r="E805" s="72"/>
      <c r="F805" s="72"/>
    </row>
    <row r="806" spans="2:6" ht="15" customHeight="1" x14ac:dyDescent="0.45">
      <c r="C806" s="70"/>
      <c r="D806" s="72"/>
      <c r="E806" s="72"/>
      <c r="F806" s="72"/>
    </row>
    <row r="807" spans="2:6" ht="15" customHeight="1" x14ac:dyDescent="0.45">
      <c r="C807" s="70"/>
      <c r="D807" s="72"/>
      <c r="E807" s="72"/>
      <c r="F807" s="72"/>
    </row>
    <row r="808" spans="2:6" ht="15" customHeight="1" x14ac:dyDescent="0.45">
      <c r="B808" s="16" t="s">
        <v>363</v>
      </c>
      <c r="C808" s="70"/>
      <c r="D808" s="72"/>
      <c r="E808" s="72"/>
      <c r="F808" s="72"/>
    </row>
    <row r="809" spans="2:6" ht="15" customHeight="1" x14ac:dyDescent="0.45">
      <c r="B809" s="16" t="s">
        <v>256</v>
      </c>
      <c r="C809" s="70"/>
      <c r="D809" s="72"/>
      <c r="E809" s="72"/>
      <c r="F809" s="72"/>
    </row>
    <row r="810" spans="2:6" ht="15" customHeight="1" x14ac:dyDescent="0.45">
      <c r="C810" s="70"/>
      <c r="D810" s="72"/>
      <c r="E810" s="72"/>
      <c r="F810" s="72"/>
    </row>
    <row r="811" spans="2:6" ht="15" customHeight="1" x14ac:dyDescent="0.45">
      <c r="B811" s="16" t="s">
        <v>251</v>
      </c>
      <c r="C811" s="61">
        <v>6372</v>
      </c>
      <c r="D811" s="72"/>
      <c r="E811" s="72"/>
      <c r="F811" s="72"/>
    </row>
    <row r="812" spans="2:6" ht="15" customHeight="1" x14ac:dyDescent="0.45">
      <c r="B812" s="16" t="s">
        <v>238</v>
      </c>
      <c r="C812" s="61">
        <f>3196*1.06</f>
        <v>3387.76</v>
      </c>
      <c r="D812" s="72"/>
      <c r="E812" s="72"/>
      <c r="F812" s="72"/>
    </row>
    <row r="813" spans="2:6" ht="15" customHeight="1" x14ac:dyDescent="0.45">
      <c r="B813" s="16" t="s">
        <v>257</v>
      </c>
      <c r="C813" s="61">
        <f>C812*90%*-1</f>
        <v>-3048.9840000000004</v>
      </c>
      <c r="D813" s="72"/>
      <c r="E813" s="72"/>
      <c r="F813" s="72"/>
    </row>
    <row r="814" spans="2:6" ht="15" customHeight="1" x14ac:dyDescent="0.45">
      <c r="B814" s="16" t="s">
        <v>253</v>
      </c>
      <c r="C814">
        <f>SUM(C811:C813)</f>
        <v>6710.7759999999998</v>
      </c>
      <c r="D814" s="72"/>
      <c r="E814" s="72"/>
      <c r="F814" s="72"/>
    </row>
    <row r="815" spans="2:6" ht="15" customHeight="1" x14ac:dyDescent="0.45">
      <c r="C815" s="70"/>
      <c r="D815" s="72"/>
      <c r="E815" s="72"/>
      <c r="F815" s="72"/>
    </row>
    <row r="816" spans="2:6" ht="15" customHeight="1" x14ac:dyDescent="0.45">
      <c r="B816" s="16" t="s">
        <v>163</v>
      </c>
      <c r="C816" s="70"/>
      <c r="D816" s="72"/>
      <c r="E816" s="72"/>
      <c r="F816" s="72"/>
    </row>
    <row r="817" spans="1:6" ht="15" customHeight="1" x14ac:dyDescent="0.45">
      <c r="B817" s="16" t="s">
        <v>258</v>
      </c>
      <c r="C817" s="70"/>
      <c r="D817" s="72"/>
      <c r="E817" s="72"/>
      <c r="F817" s="72"/>
    </row>
    <row r="818" spans="1:6" ht="15" customHeight="1" x14ac:dyDescent="0.45">
      <c r="B818" s="16" t="s">
        <v>259</v>
      </c>
      <c r="C818" s="70"/>
      <c r="D818" s="72"/>
      <c r="E818" s="72"/>
      <c r="F818" s="72"/>
    </row>
    <row r="819" spans="1:6" ht="15" customHeight="1" x14ac:dyDescent="0.45">
      <c r="C819" s="70"/>
      <c r="D819" s="72"/>
      <c r="E819" s="72"/>
      <c r="F819" s="72"/>
    </row>
    <row r="820" spans="1:6" ht="15" customHeight="1" x14ac:dyDescent="0.45">
      <c r="B820" s="16" t="s">
        <v>260</v>
      </c>
      <c r="C820" s="70"/>
      <c r="D820" s="72"/>
      <c r="E820" s="72"/>
      <c r="F820" s="72"/>
    </row>
    <row r="821" spans="1:6" ht="15" customHeight="1" x14ac:dyDescent="0.45">
      <c r="C821" s="70"/>
      <c r="D821" s="72"/>
      <c r="E821" s="72"/>
      <c r="F821" s="72"/>
    </row>
    <row r="822" spans="1:6" ht="15" customHeight="1" x14ac:dyDescent="0.45">
      <c r="B822" s="16" t="s">
        <v>251</v>
      </c>
      <c r="C822" s="61">
        <v>5388</v>
      </c>
      <c r="D822" s="72"/>
      <c r="E822" s="72"/>
      <c r="F822" s="72"/>
    </row>
    <row r="823" spans="1:6" ht="15" customHeight="1" x14ac:dyDescent="0.45">
      <c r="B823" s="16" t="s">
        <v>238</v>
      </c>
      <c r="C823" s="61">
        <f>3196</f>
        <v>3196</v>
      </c>
      <c r="D823" t="s">
        <v>266</v>
      </c>
      <c r="E823" s="72"/>
      <c r="F823" s="72"/>
    </row>
    <row r="824" spans="1:6" ht="15" customHeight="1" x14ac:dyDescent="0.45">
      <c r="B824" s="16" t="s">
        <v>257</v>
      </c>
      <c r="C824" s="61">
        <v>-3263</v>
      </c>
      <c r="D824" t="s">
        <v>266</v>
      </c>
      <c r="E824" s="72"/>
      <c r="F824" s="72"/>
    </row>
    <row r="825" spans="1:6" ht="15" customHeight="1" x14ac:dyDescent="0.45">
      <c r="B825" s="16" t="s">
        <v>261</v>
      </c>
      <c r="C825" s="61">
        <v>956</v>
      </c>
      <c r="D825" t="s">
        <v>267</v>
      </c>
      <c r="E825" s="72"/>
      <c r="F825" s="72"/>
    </row>
    <row r="826" spans="1:6" ht="15" customHeight="1" x14ac:dyDescent="0.45">
      <c r="B826" s="16" t="s">
        <v>262</v>
      </c>
      <c r="C826" s="61">
        <v>60</v>
      </c>
      <c r="D826" t="s">
        <v>267</v>
      </c>
      <c r="E826" s="72"/>
      <c r="F826" s="72"/>
    </row>
    <row r="827" spans="1:6" ht="15" customHeight="1" x14ac:dyDescent="0.45">
      <c r="B827" s="16" t="s">
        <v>265</v>
      </c>
      <c r="C827" s="61">
        <v>268</v>
      </c>
      <c r="D827" t="s">
        <v>267</v>
      </c>
      <c r="E827" s="72"/>
      <c r="F827" s="72"/>
    </row>
    <row r="828" spans="1:6" ht="15" customHeight="1" x14ac:dyDescent="0.45">
      <c r="B828" s="16" t="s">
        <v>263</v>
      </c>
      <c r="C828" s="61">
        <v>-233</v>
      </c>
      <c r="D828" t="s">
        <v>268</v>
      </c>
      <c r="E828" s="72"/>
      <c r="F828" s="72"/>
    </row>
    <row r="829" spans="1:6" ht="15" customHeight="1" x14ac:dyDescent="0.45">
      <c r="B829" s="16" t="s">
        <v>253</v>
      </c>
      <c r="C829">
        <f>SUM(C822:C828)</f>
        <v>6372</v>
      </c>
      <c r="E829" s="72"/>
      <c r="F829" s="72"/>
    </row>
    <row r="830" spans="1:6" ht="15" customHeight="1" x14ac:dyDescent="0.45">
      <c r="B830" s="16" t="s">
        <v>264</v>
      </c>
      <c r="C830" s="61">
        <v>6372</v>
      </c>
      <c r="E830" s="72"/>
      <c r="F830" s="72"/>
    </row>
    <row r="831" spans="1:6" ht="15" customHeight="1" x14ac:dyDescent="0.45">
      <c r="C831" s="61"/>
    </row>
    <row r="832" spans="1:6" ht="15" customHeight="1" x14ac:dyDescent="0.45">
      <c r="A832" s="15" t="s">
        <v>34</v>
      </c>
    </row>
    <row r="834" spans="3:3" ht="15" customHeight="1" x14ac:dyDescent="0.45">
      <c r="C834" s="64"/>
    </row>
    <row r="835" spans="3:3" ht="15" customHeight="1" x14ac:dyDescent="0.45">
      <c r="C835" s="62"/>
    </row>
    <row r="836" spans="3:3" ht="15" customHeight="1" x14ac:dyDescent="0.45">
      <c r="C836" s="62"/>
    </row>
    <row r="839" spans="3:3" ht="15" customHeight="1" x14ac:dyDescent="0.45">
      <c r="C839" s="64"/>
    </row>
    <row r="844" spans="3:3" ht="15" customHeight="1" x14ac:dyDescent="0.45">
      <c r="C844" s="62"/>
    </row>
    <row r="847" spans="3:3" ht="15" customHeight="1" x14ac:dyDescent="0.45">
      <c r="C847" s="64"/>
    </row>
    <row r="852" spans="3:8" ht="15" customHeight="1" x14ac:dyDescent="0.45">
      <c r="C852" s="62"/>
    </row>
    <row r="858" spans="3:8" ht="15" customHeight="1" x14ac:dyDescent="0.45">
      <c r="C858" s="61"/>
      <c r="D858" s="61"/>
      <c r="E858" s="61"/>
      <c r="F858" s="61"/>
      <c r="G858" s="61"/>
      <c r="H858" s="61"/>
    </row>
    <row r="859" spans="3:8" ht="15" customHeight="1" x14ac:dyDescent="0.45">
      <c r="C859" s="63"/>
      <c r="D859" s="63"/>
      <c r="E859" s="63"/>
      <c r="F859" s="63"/>
      <c r="G859" s="63"/>
      <c r="H859" s="63"/>
    </row>
    <row r="860" spans="3:8" ht="15" customHeight="1" x14ac:dyDescent="0.45">
      <c r="C860" s="63"/>
      <c r="D860" s="63"/>
      <c r="E860" s="63"/>
      <c r="F860" s="63"/>
      <c r="G860" s="63"/>
      <c r="H860" s="63"/>
    </row>
    <row r="861" spans="3:8" ht="15" customHeight="1" x14ac:dyDescent="0.45">
      <c r="C861" s="63"/>
      <c r="D861" s="63"/>
      <c r="E861" s="63"/>
      <c r="F861" s="63"/>
      <c r="G861" s="63"/>
      <c r="H861" s="63"/>
    </row>
    <row r="862" spans="3:8" ht="15" customHeight="1" x14ac:dyDescent="0.45">
      <c r="C862" s="63"/>
      <c r="D862" s="63"/>
      <c r="E862" s="63"/>
      <c r="F862" s="63"/>
      <c r="G862" s="63"/>
      <c r="H862" s="63"/>
    </row>
    <row r="864" spans="3:8" ht="15" customHeight="1" x14ac:dyDescent="0.45">
      <c r="C864" s="66"/>
      <c r="D864" s="66"/>
      <c r="E864" s="66"/>
      <c r="F864" s="66"/>
      <c r="G864" s="66"/>
      <c r="H864" s="66"/>
    </row>
    <row r="868" spans="3:8" ht="15" customHeight="1" x14ac:dyDescent="0.45">
      <c r="C868" s="64"/>
      <c r="D868" s="64"/>
      <c r="E868" s="64"/>
      <c r="F868" s="64"/>
      <c r="G868" s="64"/>
      <c r="H868" s="64"/>
    </row>
  </sheetData>
  <pageMargins left="0.7" right="0.7" top="0.75" bottom="0.75" header="0.3" footer="0.3"/>
  <pageSetup paperSize="9" scale="68" orientation="landscape" r:id="rId1"/>
  <headerFooter>
    <oddHeader xml:space="preserve">&amp;R&amp;10&amp;F 
&amp;A
</oddHeader>
    <oddFooter>&amp;L&amp;10© 2016&amp;C&amp;10Page &amp;P of &amp;N&amp;R&amp;G</oddFooter>
  </headerFooter>
  <rowBreaks count="5" manualBreakCount="5">
    <brk id="105" max="16383" man="1"/>
    <brk id="377" max="16383" man="1"/>
    <brk id="531" max="16383" man="1"/>
    <brk id="580" max="16383" man="1"/>
    <brk id="746" max="16383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002F8CDD7ACF40A6C36B1C9FA62C55" ma:contentTypeVersion="14" ma:contentTypeDescription="Create a new document." ma:contentTypeScope="" ma:versionID="5bd16f8d6507afe7e306fc7be4b4bde7">
  <xsd:schema xmlns:xsd="http://www.w3.org/2001/XMLSchema" xmlns:xs="http://www.w3.org/2001/XMLSchema" xmlns:p="http://schemas.microsoft.com/office/2006/metadata/properties" xmlns:ns2="69eded41-6c5d-4718-b7b7-dbfd1652bccf" xmlns:ns3="6ea4884f-dd23-4a9e-9674-e0962577458b" targetNamespace="http://schemas.microsoft.com/office/2006/metadata/properties" ma:root="true" ma:fieldsID="90e5ade8cfd7859786285f2bf7e31add" ns2:_="" ns3:_="">
    <xsd:import namespace="69eded41-6c5d-4718-b7b7-dbfd1652bccf"/>
    <xsd:import namespace="6ea4884f-dd23-4a9e-9674-e096257745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ded41-6c5d-4718-b7b7-dbfd1652bc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32ff089-c713-41da-a7f8-7725fa36eb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a4884f-dd23-4a9e-9674-e096257745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97a576b-233c-4f6a-bc99-79689ae6a87f}" ma:internalName="TaxCatchAll" ma:showField="CatchAllData" ma:web="6ea4884f-dd23-4a9e-9674-e096257745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eded41-6c5d-4718-b7b7-dbfd1652bccf">
      <Terms xmlns="http://schemas.microsoft.com/office/infopath/2007/PartnerControls"/>
    </lcf76f155ced4ddcb4097134ff3c332f>
    <TaxCatchAll xmlns="6ea4884f-dd23-4a9e-9674-e0962577458b" xsi:nil="true"/>
  </documentManagement>
</p:properties>
</file>

<file path=customXml/itemProps1.xml><?xml version="1.0" encoding="utf-8"?>
<ds:datastoreItem xmlns:ds="http://schemas.openxmlformats.org/officeDocument/2006/customXml" ds:itemID="{E95D0DE8-BA13-4501-94F5-BC28FCC12F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03616A-A19B-4205-8FE2-8C31FA81AFD8}"/>
</file>

<file path=customXml/itemProps3.xml><?xml version="1.0" encoding="utf-8"?>
<ds:datastoreItem xmlns:ds="http://schemas.openxmlformats.org/officeDocument/2006/customXml" ds:itemID="{1C33E8E7-76CA-484A-B096-548AB722F945}">
  <ds:schemaRefs>
    <ds:schemaRef ds:uri="http://schemas.microsoft.com/office/2006/metadata/properties"/>
    <ds:schemaRef ds:uri="http://schemas.microsoft.com/office/infopath/2007/PartnerControls"/>
    <ds:schemaRef ds:uri="69eded41-6c5d-4718-b7b7-dbfd1652bccf"/>
    <ds:schemaRef ds:uri="6ea4884f-dd23-4a9e-9674-e0962577458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Welcome</vt:lpstr>
      <vt:lpstr>Info</vt:lpstr>
      <vt:lpstr>Workout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Petter Ljunggren</dc:creator>
  <cp:lastModifiedBy>Gerard Kelly</cp:lastModifiedBy>
  <cp:lastPrinted>2016-02-10T09:55:10Z</cp:lastPrinted>
  <dcterms:created xsi:type="dcterms:W3CDTF">2016-02-03T14:06:14Z</dcterms:created>
  <dcterms:modified xsi:type="dcterms:W3CDTF">2026-01-05T16:39:25Z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0x0101004F002F8CDD7ACF40A6C36B1C9FA62C55</vt:lpwstr>
  </property>
  <property fmtid="{D5CDD505-2E9C-101B-9397-08002B2CF9AE}" pid="3" name="MediaServiceImageTags">
    <vt:lpwstr/>
  </property>
</Properties>
</file>