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alastair_matchett_fe_training/Documents/Alastair Matchett/AI/Webinars/Paypal Stripe/"/>
    </mc:Choice>
  </mc:AlternateContent>
  <xr:revisionPtr revIDLastSave="58" documentId="11_E607BB0DB00042E8AF23062664B23FD14A244A7A" xr6:coauthVersionLast="47" xr6:coauthVersionMax="47" xr10:uidLastSave="{C27C5BAD-723E-4911-8DE0-001F7FAAC56D}"/>
  <bookViews>
    <workbookView xWindow="-28898" yWindow="2948" windowWidth="28996" windowHeight="15675" tabRatio="500" xr2:uid="{00000000-000D-0000-FFFF-FFFF00000000}"/>
  </bookViews>
  <sheets>
    <sheet name="Assumptions" sheetId="1" r:id="rId1"/>
    <sheet name="Option 1 Combined" sheetId="2" r:id="rId2"/>
    <sheet name="Option 2 Breakup" sheetId="3" r:id="rId3"/>
    <sheet name="Ability to Pay" sheetId="4" r:id="rId4"/>
    <sheet name="Comparison" sheetId="5" r:id="rId5"/>
    <sheet name="ROGO_DATA" sheetId="6" state="veryHidden" r:id="rId6"/>
  </sheets>
  <definedNames>
    <definedName name="_xlnm.Print_Area" localSheetId="3">'Ability to Pay'!$A$1:$F$74</definedName>
    <definedName name="_xlnm.Print_Area" localSheetId="0">Assumptions!$A$1:$F$82</definedName>
    <definedName name="_xlnm.Print_Area" localSheetId="4">Comparison!$A$1:$F$29</definedName>
    <definedName name="_xlnm.Print_Area" localSheetId="1">'Option 1 Combined'!$A$1:$G$98</definedName>
    <definedName name="_xlnm.Print_Area" localSheetId="2">'Option 2 Breakup'!$A$1:$G$93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2" i="4" l="1"/>
  <c r="C91" i="4"/>
  <c r="C93" i="4"/>
  <c r="D84" i="4"/>
  <c r="E84" i="4"/>
  <c r="F84" i="4"/>
  <c r="G84" i="4"/>
  <c r="H84" i="4"/>
  <c r="D85" i="4"/>
  <c r="E85" i="4"/>
  <c r="F85" i="4"/>
  <c r="G85" i="4"/>
  <c r="H85" i="4"/>
  <c r="D86" i="4"/>
  <c r="E86" i="4"/>
  <c r="F86" i="4"/>
  <c r="G86" i="4"/>
  <c r="H86" i="4" s="1"/>
  <c r="D87" i="4"/>
  <c r="E87" i="4"/>
  <c r="F87" i="4"/>
  <c r="G87" i="4"/>
  <c r="H87" i="4"/>
  <c r="D88" i="4"/>
  <c r="E88" i="4"/>
  <c r="F88" i="4"/>
  <c r="G88" i="4"/>
  <c r="H88" i="4"/>
  <c r="D89" i="4"/>
  <c r="E89" i="4"/>
  <c r="F89" i="4"/>
  <c r="G89" i="4"/>
  <c r="H89" i="4" s="1"/>
  <c r="C87" i="4"/>
  <c r="C88" i="4"/>
  <c r="C89" i="4"/>
  <c r="C78" i="4"/>
  <c r="C79" i="4"/>
  <c r="C80" i="4"/>
  <c r="C81" i="4"/>
  <c r="C17" i="5"/>
  <c r="D42" i="4"/>
  <c r="C41" i="4"/>
  <c r="C23" i="4"/>
  <c r="C64" i="4" s="1"/>
  <c r="D64" i="4" s="1"/>
  <c r="C17" i="4"/>
  <c r="C16" i="4"/>
  <c r="C40" i="4" s="1"/>
  <c r="C15" i="4"/>
  <c r="C14" i="4"/>
  <c r="C11" i="4"/>
  <c r="C10" i="4"/>
  <c r="C9" i="4"/>
  <c r="C8" i="4"/>
  <c r="C7" i="4"/>
  <c r="D50" i="3"/>
  <c r="C50" i="3"/>
  <c r="C46" i="3"/>
  <c r="E42" i="3"/>
  <c r="E43" i="3" s="1"/>
  <c r="E44" i="3" s="1"/>
  <c r="D42" i="3"/>
  <c r="D43" i="3" s="1"/>
  <c r="C38" i="3"/>
  <c r="C37" i="3"/>
  <c r="C36" i="3"/>
  <c r="C35" i="3"/>
  <c r="C34" i="3"/>
  <c r="C33" i="3"/>
  <c r="C32" i="3"/>
  <c r="C31" i="3"/>
  <c r="C30" i="3"/>
  <c r="C29" i="3"/>
  <c r="C70" i="3" s="1"/>
  <c r="C28" i="3"/>
  <c r="C27" i="3"/>
  <c r="C26" i="3"/>
  <c r="E50" i="3" s="1"/>
  <c r="C25" i="3"/>
  <c r="C24" i="3"/>
  <c r="C23" i="3"/>
  <c r="C22" i="3"/>
  <c r="C21" i="3"/>
  <c r="C20" i="3"/>
  <c r="C19" i="3"/>
  <c r="C18" i="3"/>
  <c r="C17" i="3"/>
  <c r="C16" i="3"/>
  <c r="C15" i="3"/>
  <c r="C13" i="3"/>
  <c r="C10" i="3"/>
  <c r="E46" i="3" s="1"/>
  <c r="C9" i="3"/>
  <c r="C8" i="3"/>
  <c r="C7" i="3"/>
  <c r="C42" i="3" s="1"/>
  <c r="F42" i="3" s="1"/>
  <c r="C77" i="2"/>
  <c r="C76" i="2"/>
  <c r="C47" i="2"/>
  <c r="C48" i="2" s="1"/>
  <c r="C42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0" i="2"/>
  <c r="C8" i="2"/>
  <c r="C30" i="2" s="1"/>
  <c r="D10" i="5" s="1"/>
  <c r="C43" i="1"/>
  <c r="C12" i="4" s="1"/>
  <c r="C41" i="1"/>
  <c r="C42" i="1" s="1"/>
  <c r="C11" i="2" s="1"/>
  <c r="C30" i="1"/>
  <c r="C12" i="2" s="1"/>
  <c r="C24" i="1"/>
  <c r="C11" i="3" s="1"/>
  <c r="C13" i="1"/>
  <c r="C7" i="2" s="1"/>
  <c r="C12" i="1"/>
  <c r="E45" i="3" l="1"/>
  <c r="C45" i="3"/>
  <c r="F45" i="3" s="1"/>
  <c r="D45" i="3"/>
  <c r="C73" i="3" s="1"/>
  <c r="D73" i="3" s="1"/>
  <c r="E73" i="3" s="1"/>
  <c r="F73" i="3" s="1"/>
  <c r="C37" i="2"/>
  <c r="C44" i="2"/>
  <c r="D44" i="2" s="1"/>
  <c r="E44" i="2" s="1"/>
  <c r="F44" i="2" s="1"/>
  <c r="C58" i="2" s="1"/>
  <c r="C60" i="2" s="1"/>
  <c r="C29" i="2"/>
  <c r="C31" i="2"/>
  <c r="C71" i="3"/>
  <c r="D71" i="3" s="1"/>
  <c r="E71" i="3" s="1"/>
  <c r="F71" i="3" s="1"/>
  <c r="D43" i="2"/>
  <c r="C43" i="2"/>
  <c r="C9" i="2"/>
  <c r="E70" i="3"/>
  <c r="D70" i="3"/>
  <c r="F70" i="3"/>
  <c r="F43" i="2"/>
  <c r="C12" i="3"/>
  <c r="E47" i="3"/>
  <c r="C14" i="3"/>
  <c r="C55" i="3" s="1"/>
  <c r="D41" i="4"/>
  <c r="D42" i="2"/>
  <c r="C43" i="3"/>
  <c r="E43" i="2"/>
  <c r="D44" i="3"/>
  <c r="C69" i="3"/>
  <c r="F46" i="2"/>
  <c r="E46" i="2"/>
  <c r="D46" i="2"/>
  <c r="C46" i="2"/>
  <c r="D46" i="3"/>
  <c r="D47" i="3" s="1"/>
  <c r="C10" i="5"/>
  <c r="D40" i="4"/>
  <c r="C62" i="4" s="1"/>
  <c r="D62" i="4" s="1"/>
  <c r="C60" i="3" l="1"/>
  <c r="D51" i="3"/>
  <c r="E42" i="2"/>
  <c r="D45" i="2"/>
  <c r="C67" i="2"/>
  <c r="C36" i="2"/>
  <c r="C33" i="2"/>
  <c r="C27" i="4" s="1"/>
  <c r="C78" i="2"/>
  <c r="C79" i="2" s="1"/>
  <c r="C42" i="4"/>
  <c r="D8" i="5"/>
  <c r="C8" i="5"/>
  <c r="F46" i="3"/>
  <c r="C32" i="2"/>
  <c r="E51" i="3"/>
  <c r="C45" i="2"/>
  <c r="D11" i="5"/>
  <c r="C11" i="5"/>
  <c r="C38" i="2"/>
  <c r="C72" i="3"/>
  <c r="D69" i="3"/>
  <c r="C44" i="3"/>
  <c r="F43" i="3"/>
  <c r="C47" i="3"/>
  <c r="E69" i="3" l="1"/>
  <c r="D72" i="3"/>
  <c r="C50" i="2"/>
  <c r="C51" i="2" s="1"/>
  <c r="C52" i="2" s="1"/>
  <c r="C54" i="2"/>
  <c r="C49" i="2"/>
  <c r="C51" i="3"/>
  <c r="F47" i="3"/>
  <c r="F44" i="3"/>
  <c r="C65" i="3"/>
  <c r="C34" i="2"/>
  <c r="C35" i="2"/>
  <c r="D9" i="5"/>
  <c r="C9" i="5"/>
  <c r="F42" i="2"/>
  <c r="E45" i="2"/>
  <c r="C59" i="3"/>
  <c r="E11" i="5"/>
  <c r="C21" i="4"/>
  <c r="C62" i="3"/>
  <c r="C61" i="3" l="1"/>
  <c r="C63" i="3"/>
  <c r="F74" i="3"/>
  <c r="E74" i="3"/>
  <c r="D74" i="3"/>
  <c r="C74" i="3"/>
  <c r="C75" i="3" s="1"/>
  <c r="F45" i="2"/>
  <c r="C57" i="2"/>
  <c r="C59" i="2" s="1"/>
  <c r="C61" i="2" s="1"/>
  <c r="C53" i="2"/>
  <c r="D47" i="2"/>
  <c r="F49" i="3"/>
  <c r="D48" i="3"/>
  <c r="E48" i="3"/>
  <c r="C19" i="4"/>
  <c r="C48" i="4" s="1"/>
  <c r="C76" i="3"/>
  <c r="E10" i="5"/>
  <c r="F51" i="3"/>
  <c r="C54" i="3" s="1"/>
  <c r="C56" i="3" s="1"/>
  <c r="C20" i="4"/>
  <c r="C51" i="4" s="1"/>
  <c r="C48" i="3"/>
  <c r="D75" i="3"/>
  <c r="F69" i="3"/>
  <c r="F72" i="3" s="1"/>
  <c r="F75" i="3" s="1"/>
  <c r="E72" i="3"/>
  <c r="E75" i="3" s="1"/>
  <c r="C84" i="3" l="1"/>
  <c r="D48" i="2"/>
  <c r="C77" i="3"/>
  <c r="C78" i="3"/>
  <c r="D12" i="5"/>
  <c r="C12" i="5"/>
  <c r="C64" i="3"/>
  <c r="E9" i="5" s="1"/>
  <c r="E8" i="5"/>
  <c r="C79" i="3" l="1"/>
  <c r="C80" i="3" s="1"/>
  <c r="D76" i="3" s="1"/>
  <c r="D54" i="2"/>
  <c r="D49" i="2"/>
  <c r="D50" i="2" s="1"/>
  <c r="D51" i="2" s="1"/>
  <c r="D52" i="2" s="1"/>
  <c r="C85" i="3"/>
  <c r="E12" i="5"/>
  <c r="D53" i="2" l="1"/>
  <c r="E47" i="2"/>
  <c r="C81" i="3"/>
  <c r="D77" i="3"/>
  <c r="D78" i="3" s="1"/>
  <c r="D79" i="3" s="1"/>
  <c r="D80" i="3" s="1"/>
  <c r="E76" i="3" s="1"/>
  <c r="E77" i="3" l="1"/>
  <c r="E78" i="3" s="1"/>
  <c r="E79" i="3" s="1"/>
  <c r="E80" i="3" s="1"/>
  <c r="F76" i="3" s="1"/>
  <c r="D81" i="3"/>
  <c r="E48" i="2"/>
  <c r="F77" i="3" l="1"/>
  <c r="F78" i="3" s="1"/>
  <c r="F79" i="3" s="1"/>
  <c r="F80" i="3" s="1"/>
  <c r="E81" i="3"/>
  <c r="E49" i="2"/>
  <c r="E50" i="2" s="1"/>
  <c r="E51" i="2" s="1"/>
  <c r="E52" i="2" s="1"/>
  <c r="E54" i="2"/>
  <c r="E53" i="2" l="1"/>
  <c r="F47" i="2"/>
  <c r="C86" i="3"/>
  <c r="C87" i="3" s="1"/>
  <c r="F81" i="3"/>
  <c r="E13" i="5" l="1"/>
  <c r="C88" i="3"/>
  <c r="E15" i="5" s="1"/>
  <c r="C18" i="4"/>
  <c r="C46" i="4" s="1"/>
  <c r="C47" i="4" s="1"/>
  <c r="E14" i="5"/>
  <c r="C89" i="3"/>
  <c r="F48" i="2"/>
  <c r="F49" i="2" l="1"/>
  <c r="F50" i="2" s="1"/>
  <c r="F51" i="2" s="1"/>
  <c r="F52" i="2" s="1"/>
  <c r="F54" i="2"/>
  <c r="E16" i="5"/>
  <c r="E18" i="5" s="1"/>
  <c r="C90" i="3"/>
  <c r="C49" i="4"/>
  <c r="C54" i="4"/>
  <c r="F53" i="2" l="1"/>
  <c r="C62" i="2"/>
  <c r="C63" i="2" s="1"/>
  <c r="C50" i="4"/>
  <c r="C52" i="4"/>
  <c r="C53" i="4" s="1"/>
  <c r="C63" i="4" s="1"/>
  <c r="D63" i="4" s="1"/>
  <c r="C66" i="2" l="1"/>
  <c r="D13" i="5"/>
  <c r="C13" i="4"/>
  <c r="C80" i="2"/>
  <c r="C13" i="5"/>
  <c r="C39" i="4" l="1"/>
  <c r="C28" i="4"/>
  <c r="F41" i="4"/>
  <c r="F40" i="4"/>
  <c r="C38" i="4"/>
  <c r="E41" i="4"/>
  <c r="F42" i="4"/>
  <c r="F39" i="4"/>
  <c r="E40" i="4"/>
  <c r="C95" i="2"/>
  <c r="C91" i="2"/>
  <c r="C93" i="2"/>
  <c r="C92" i="2"/>
  <c r="C81" i="2"/>
  <c r="C82" i="2" s="1"/>
  <c r="C83" i="2" s="1"/>
  <c r="C94" i="2"/>
  <c r="C68" i="2"/>
  <c r="C15" i="5" s="1"/>
  <c r="C69" i="2"/>
  <c r="C14" i="5"/>
  <c r="D95" i="2" l="1"/>
  <c r="E95" i="2"/>
  <c r="E92" i="2"/>
  <c r="D92" i="2"/>
  <c r="D93" i="2"/>
  <c r="E93" i="2"/>
  <c r="D91" i="2"/>
  <c r="D19" i="5" s="1"/>
  <c r="E91" i="2"/>
  <c r="C19" i="5" s="1"/>
  <c r="E38" i="4"/>
  <c r="D38" i="4"/>
  <c r="C60" i="4" s="1"/>
  <c r="D60" i="4" s="1"/>
  <c r="C16" i="5"/>
  <c r="C18" i="5" s="1"/>
  <c r="C70" i="2"/>
  <c r="F38" i="4"/>
  <c r="C29" i="4"/>
  <c r="C30" i="4"/>
  <c r="E94" i="2"/>
  <c r="D94" i="2"/>
  <c r="C85" i="2"/>
  <c r="C84" i="2"/>
  <c r="D15" i="5" s="1"/>
  <c r="D14" i="5"/>
  <c r="E39" i="4"/>
  <c r="D39" i="4"/>
  <c r="C61" i="4" s="1"/>
  <c r="D61" i="4" s="1"/>
  <c r="C87" i="2" l="1"/>
  <c r="C86" i="2"/>
  <c r="D16" i="5"/>
  <c r="D18" i="5" s="1"/>
  <c r="E4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Rogo</author>
  </authors>
  <commentList>
    <comment ref="C7" authorId="0" shapeId="0" xr:uid="{00000000-0006-0000-0000-000001000000}">
      <text>
        <r>
          <rPr>
            <sz val="10"/>
            <rFont val="Arial"/>
            <family val="2"/>
          </rPr>
          <t>Stripe/Advent joint offer of $60.50 per share: https://www.reuters.com/business/finance/stripe-advent-offer-buy-paypal-more-than-53-billion-sources-say-2026-07-15/#:~:text=Stripe%20and%20private%20equity%20firm%20Advent%20International%20have%20made%20a%20joint%20offer%20to%20acquire%20PayPal%20Holdings%20Inc%20for%20%2460.50%20per%20share</t>
        </r>
      </text>
    </comment>
    <comment ref="C8" authorId="0" shapeId="0" xr:uid="{00000000-0006-0000-0000-000002000000}">
      <text>
        <r>
          <rPr>
            <sz val="10"/>
            <rFont val="Arial"/>
            <family val="2"/>
          </rPr>
          <t>PayPal shares outstanding of 882,105,493 at 14-Jul-2026: https://app.rogo.ai/sources/capiq/7ff6d72d-37c5-4c96-b95e-9d57d5104c11?key=1%2FSHARES_OUTSTANDING</t>
        </r>
      </text>
    </comment>
    <comment ref="C9" authorId="0" shapeId="0" xr:uid="{00000000-0006-0000-0000-000003000000}">
      <text>
        <r>
          <rPr>
            <sz val="10"/>
            <rFont val="Arial"/>
            <family val="2"/>
          </rPr>
          <t>PayPal total enterprise value less market capitalisation at 14-Jul-2026: https://app.rogo.ai/sources/capiq/7ff6d72d-37c5-4c96-b95e-9d57d5104c11?key=1%2FTEV</t>
        </r>
      </text>
    </comment>
    <comment ref="C10" authorId="0" shapeId="0" xr:uid="{00000000-0006-0000-0000-000004000000}">
      <text>
        <r>
          <rPr>
            <sz val="10"/>
            <rFont val="Arial"/>
            <family val="2"/>
          </rPr>
          <t>Assumption: 2.5% for advisory and financing costs</t>
        </r>
      </text>
    </comment>
    <comment ref="C11" authorId="0" shapeId="0" xr:uid="{00000000-0006-0000-0000-000005000000}">
      <text>
        <r>
          <rPr>
            <sz val="10"/>
            <rFont val="Arial"/>
            <family val="2"/>
          </rPr>
          <t>Assumption: four-year hold, used by both options</t>
        </r>
      </text>
    </comment>
    <comment ref="C16" authorId="0" shapeId="0" xr:uid="{00000000-0006-0000-0000-000006000000}">
      <text>
        <r>
          <rPr>
            <sz val="10"/>
            <rFont val="Arial"/>
            <family val="2"/>
          </rPr>
          <t>PayPal 2Q'26 total payment volume of $486,448m, annualised: https://app.rogo.ai/presentation-viewer/presentations:3911406?page=16&amp;text=Total+payment+volume+++++++++++++++++%7C+%24417%2C208+%7C+%24443%2C547+%7C+%24458%2C088+%7C+%24475%2C135+%7C+%24463%2C955+%7C+%24486%2C448</t>
        </r>
      </text>
    </comment>
    <comment ref="C17" authorId="0" shapeId="0" xr:uid="{00000000-0006-0000-0000-000007000000}">
      <text>
        <r>
          <rPr>
            <sz val="10"/>
            <rFont val="Arial"/>
            <family val="2"/>
          </rPr>
          <t>Venmo 2Q'26 TPV of $93,806m, annualised: https://app.rogo.ai/presentation-viewer/presentations:3911406?page=16&amp;text=Venmo+TPV+%2475%2C942+%2481%2C976+%2485%2C226+%2485%2C793+%2486%2C206+%2493%2C806</t>
        </r>
      </text>
    </comment>
    <comment ref="C18" authorId="0" shapeId="0" xr:uid="{00000000-0006-0000-0000-000008000000}">
      <text>
        <r>
          <rPr>
            <sz val="10"/>
            <rFont val="Arial"/>
            <family val="2"/>
          </rPr>
          <t>PayPal FY'26 guidance of ~$15.6B transaction margin dollars: https://app.rogo.ai/presentation-viewer/presentations:3911406?page=13</t>
        </r>
      </text>
    </comment>
    <comment ref="C19" authorId="0" shapeId="0" xr:uid="{00000000-0006-0000-0000-000009000000}">
      <text>
        <r>
          <rPr>
            <sz val="10"/>
            <rFont val="Arial"/>
            <family val="2"/>
          </rPr>
          <t>PayPal LTM gross profit of $13,814m to 30-Jun-2026: https://app.rogo.ai/sources/capiq/94a9b6de-b52c-49d5-98f9-cf25cf4cb89f?key=2%2FVALUE</t>
        </r>
      </text>
    </comment>
    <comment ref="C20" authorId="0" shapeId="0" xr:uid="{00000000-0006-0000-0000-00000A000000}">
      <text>
        <r>
          <rPr>
            <sz val="10"/>
            <rFont val="Arial"/>
            <family val="2"/>
          </rPr>
          <t>Consensus median FY2026E EBITDA of $6,768m: https://app.rogo.ai/sources/financialMetric/58600274-0e23-45b0-991e-ca42cab3401c?key=2026-12-31</t>
        </r>
      </text>
    </comment>
    <comment ref="C21" authorId="0" shapeId="0" xr:uid="{00000000-0006-0000-0000-00000B000000}">
      <text>
        <r>
          <rPr>
            <sz val="10"/>
            <rFont val="Arial"/>
            <family val="2"/>
          </rPr>
          <t>Derived from PayPal LTM EBITDA less operating income: https://app.rogo.ai/sources/capiq/94a9b6de-b52c-49d5-98f9-cf25cf4cb89f?key=6%2FVALUE</t>
        </r>
      </text>
    </comment>
    <comment ref="C22" authorId="0" shapeId="0" xr:uid="{00000000-0006-0000-0000-00000C000000}">
      <text>
        <r>
          <rPr>
            <sz val="10"/>
            <rFont val="Arial"/>
            <family val="2"/>
          </rPr>
          <t>PayPal FY'26 guidance of ~$1B capex: https://app.rogo.ai/presentation-viewer/presentations:3911406?page=13</t>
        </r>
      </text>
    </comment>
    <comment ref="C23" authorId="0" shapeId="0" xr:uid="{00000000-0006-0000-0000-00000D000000}">
      <text>
        <r>
          <rPr>
            <sz val="10"/>
            <rFont val="Arial"/>
            <family val="2"/>
          </rPr>
          <t>Assumption: 2.0%. Consensus has FY2027E EBITDA marginally below FY2026E: https://app.rogo.ai/sources/financialMetric/58600274-0e23-45b0-991e-ca42cab3401c?key=2027-12-31</t>
        </r>
      </text>
    </comment>
    <comment ref="C28" authorId="0" shapeId="0" xr:uid="{00000000-0006-0000-0000-00000E000000}">
      <text>
        <r>
          <rPr>
            <sz val="10"/>
            <rFont val="Arial"/>
            <family val="2"/>
          </rPr>
          <t>PayPal LTM EBITDA of $6,456m on gross profit of $13,814m: https://app.rogo.ai/sources/capiq/94a9b6de-b52c-49d5-98f9-cf25cf4cb89f?key=6%2FVALUE</t>
        </r>
      </text>
    </comment>
    <comment ref="C29" authorId="0" shapeId="0" xr:uid="{00000000-0006-0000-0000-00000F000000}">
      <text>
        <r>
          <rPr>
            <sz val="10"/>
            <rFont val="Arial"/>
            <family val="2"/>
          </rPr>
          <t>Median of Adyen, Global Payments, Fiserv, Shift4 and Block on the same measure. Fiserv is the median at $7,735m EBITDA on $11,731m gross profit: https://app.rogo.ai/sources/capiq/39c30228-8230-414a-9c00-d91f4266c419?key=5%2FVALUE</t>
        </r>
      </text>
    </comment>
    <comment ref="C31" authorId="0" shapeId="0" xr:uid="{00000000-0006-0000-0000-000010000000}">
      <text>
        <r>
          <rPr>
            <sz val="10"/>
            <rFont val="Arial"/>
            <family val="2"/>
          </rPr>
          <t>Assumption: the uplift phases in evenly over four years</t>
        </r>
      </text>
    </comment>
    <comment ref="C34" authorId="0" shapeId="0" xr:uid="{00000000-0006-0000-0000-000011000000}">
      <text>
        <r>
          <rPr>
            <sz val="10"/>
            <rFont val="Arial"/>
            <family val="2"/>
          </rPr>
          <t>Businesses running on Stripe generated $1.9 trillion in total volume in 2025: https://stripe.com/newsroom/news/stripe-2025-update#:~:text=Businesses%20running%20on%20Stripe%20generated%20%241.9%20trillion%20in%20total%20volume%2C%20up%2034%25%20from%202024</t>
        </r>
      </text>
    </comment>
    <comment ref="C35" authorId="0" shapeId="0" xr:uid="{00000000-0006-0000-0000-000012000000}">
      <text>
        <r>
          <rPr>
            <sz val="10"/>
            <rFont val="Arial"/>
            <family val="2"/>
          </rPr>
          <t>Estimate: 45bps. Adyen runs nearer 20bps on processed volume; Stripe's SMB mix supports a higher rate</t>
        </r>
      </text>
    </comment>
    <comment ref="C36" authorId="0" shapeId="0" xr:uid="{00000000-0006-0000-0000-000013000000}">
      <text>
        <r>
          <rPr>
            <sz val="10"/>
            <rFont val="Arial"/>
            <family val="2"/>
          </rPr>
          <t>Estimate: 30%. Stripe says it 'remained robustly profitable' but discloses no figures: https://stripe.com/newsroom/news/stripe-2025-update#:~:text=Stripe%20remained%20robustly%20profitable</t>
        </r>
      </text>
    </comment>
    <comment ref="C37" authorId="0" shapeId="0" xr:uid="{00000000-0006-0000-0000-000014000000}">
      <text>
        <r>
          <rPr>
            <sz val="10"/>
            <rFont val="Arial"/>
            <family val="2"/>
          </rPr>
          <t>Estimate: 20% p.a., below the 34% volume growth reported for 2025: https://stripe.com/newsroom/news/stripe-2025-update#:~:text=up%2034%25%20from%202024</t>
        </r>
      </text>
    </comment>
    <comment ref="C38" authorId="0" shapeId="0" xr:uid="{00000000-0006-0000-0000-000015000000}">
      <text>
        <r>
          <rPr>
            <sz val="10"/>
            <rFont val="Arial"/>
            <family val="2"/>
          </rPr>
          <t>Assumption: 3%, a capital-light software model</t>
        </r>
      </text>
    </comment>
    <comment ref="C39" authorId="0" shapeId="0" xr:uid="{00000000-0006-0000-0000-000016000000}">
      <text>
        <r>
          <rPr>
            <sz val="10"/>
            <rFont val="Arial"/>
            <family val="2"/>
          </rPr>
          <t>Tender offer at a $159B valuation, February 2026: https://stripe.com/newsroom/news/stripe-2025-update#:~:text=through%20a%20tender%20offer%20at%20a%20%24159B%20(%E2%82%AC135B)%20valuation</t>
        </r>
      </text>
    </comment>
    <comment ref="C40" authorId="0" shapeId="0" xr:uid="{00000000-0006-0000-0000-000017000000}">
      <text>
        <r>
          <rPr>
            <sz val="10"/>
            <rFont val="Arial"/>
            <family val="2"/>
          </rPr>
          <t>Assumption: 20% discount to Stripe's self-marked valuation</t>
        </r>
      </text>
    </comment>
    <comment ref="C47" authorId="0" shapeId="0" xr:uid="{00000000-0006-0000-0000-000018000000}">
      <text>
        <r>
          <rPr>
            <sz val="10"/>
            <rFont val="Arial"/>
            <family val="2"/>
          </rPr>
          <t>Assumption: $50bn of debt capacity against combined profits, as specified</t>
        </r>
      </text>
    </comment>
    <comment ref="C48" authorId="0" shapeId="0" xr:uid="{00000000-0006-0000-0000-000019000000}">
      <text>
        <r>
          <rPr>
            <sz val="10"/>
            <rFont val="Arial"/>
            <family val="2"/>
          </rPr>
          <t>Assumption: 8.5% blended across senior and junior debt</t>
        </r>
      </text>
    </comment>
    <comment ref="C49" authorId="0" shapeId="0" xr:uid="{00000000-0006-0000-0000-00001A000000}">
      <text>
        <r>
          <rPr>
            <sz val="10"/>
            <rFont val="Arial"/>
            <family val="2"/>
          </rPr>
          <t>Assumption: 20%, in line with PayPal's guided 18-20% effective rate: https://app.rogo.ai/presentation-viewer/presentations:3911406?page=13</t>
        </r>
      </text>
    </comment>
    <comment ref="C50" authorId="0" shapeId="0" xr:uid="{00000000-0006-0000-0000-00001B000000}">
      <text>
        <r>
          <rPr>
            <sz val="10"/>
            <rFont val="Arial"/>
            <family val="2"/>
          </rPr>
          <t>Assumption: 9.0x, a modest re-rating on improved margins</t>
        </r>
      </text>
    </comment>
    <comment ref="C51" authorId="0" shapeId="0" xr:uid="{00000000-0006-0000-0000-00001C000000}">
      <text>
        <r>
          <rPr>
            <sz val="10"/>
            <rFont val="Arial"/>
            <family val="2"/>
          </rPr>
          <t>Assumption: 25.0x. Stripe's $159bn mark implies roughly 60x on estimated EBITDA, so this embeds real compression</t>
        </r>
      </text>
    </comment>
    <comment ref="C55" authorId="0" shapeId="0" xr:uid="{00000000-0006-0000-0000-00001D000000}">
      <text>
        <r>
          <rPr>
            <sz val="10"/>
            <rFont val="Arial"/>
            <family val="2"/>
          </rPr>
          <t>Assumption: the PayPal-branded consumer business. PayPal's own categories overlap, so this simplifies the 31% branded and 27% P2P disclosures: https://app.rogo.ai/presentation-viewer/presentations:3911406?page=11</t>
        </r>
      </text>
    </comment>
    <comment ref="C56" authorId="0" shapeId="0" xr:uid="{00000000-0006-0000-0000-00001E000000}">
      <text>
        <r>
          <rPr>
            <sz val="10"/>
            <rFont val="Arial"/>
            <family val="2"/>
          </rPr>
          <t>Venmo TPV of $93,806m against total TPV of $486,448m in 2Q'26: https://app.rogo.ai/presentation-viewer/presentations:3911406?page=16&amp;text=Venmo+TPV+%2475%2C942+%2481%2C976+%2485%2C226+%2485%2C793+%2486%2C206+%2493%2C806</t>
        </r>
      </text>
    </comment>
    <comment ref="C57" authorId="0" shapeId="0" xr:uid="{00000000-0006-0000-0000-00001F000000}">
      <text>
        <r>
          <rPr>
            <sz val="10"/>
            <rFont val="Arial"/>
            <family val="2"/>
          </rPr>
          <t>Payment service provider volume was 45% of total TPV in 2Q'26: https://app.rogo.ai/presentation-viewer/presentations:3911406?page=11</t>
        </r>
      </text>
    </comment>
    <comment ref="C58" authorId="0" shapeId="0" xr:uid="{00000000-0006-0000-0000-000020000000}">
      <text>
        <r>
          <rPr>
            <sz val="10"/>
            <rFont val="Arial"/>
            <family val="2"/>
          </rPr>
          <t>Assumption: 45bps from debit interchange, Pay with Venmo and instant transfers</t>
        </r>
      </text>
    </comment>
    <comment ref="C59" authorId="0" shapeId="0" xr:uid="{00000000-0006-0000-0000-000021000000}">
      <text>
        <r>
          <rPr>
            <sz val="10"/>
            <rFont val="Arial"/>
            <family val="2"/>
          </rPr>
          <t>Assumption: 20bps on thin-margin unbranded processing</t>
        </r>
      </text>
    </comment>
    <comment ref="C60" authorId="0" shapeId="0" xr:uid="{00000000-0006-0000-0000-000022000000}">
      <text>
        <r>
          <rPr>
            <sz val="10"/>
            <rFont val="Arial"/>
            <family val="2"/>
          </rPr>
          <t>Assumption: the branded business carries the marketing, support and platform load</t>
        </r>
      </text>
    </comment>
    <comment ref="C61" authorId="0" shapeId="0" xr:uid="{00000000-0006-0000-0000-000023000000}">
      <text>
        <r>
          <rPr>
            <sz val="10"/>
            <rFont val="Arial"/>
            <family val="2"/>
          </rPr>
          <t>Assumption</t>
        </r>
      </text>
    </comment>
    <comment ref="C62" authorId="0" shapeId="0" xr:uid="{00000000-0006-0000-0000-000024000000}">
      <text>
        <r>
          <rPr>
            <sz val="10"/>
            <rFont val="Arial"/>
            <family val="2"/>
          </rPr>
          <t>Assumption</t>
        </r>
      </text>
    </comment>
    <comment ref="C63" authorId="0" shapeId="0" xr:uid="{00000000-0006-0000-0000-000025000000}">
      <text>
        <r>
          <rPr>
            <sz val="10"/>
            <rFont val="Arial"/>
            <family val="2"/>
          </rPr>
          <t>Assumption: 9.0x, above the multiple implied for the whole company, reflecting the strategic value of the wallet</t>
        </r>
      </text>
    </comment>
    <comment ref="C64" authorId="0" shapeId="0" xr:uid="{00000000-0006-0000-0000-000026000000}">
      <text>
        <r>
          <rPr>
            <sz val="10"/>
            <rFont val="Arial"/>
            <family val="2"/>
          </rPr>
          <t>Assumption: 20.0x for a growth asset with a take rate well below the branded business</t>
        </r>
      </text>
    </comment>
    <comment ref="C65" authorId="0" shapeId="0" xr:uid="{00000000-0006-0000-0000-000027000000}">
      <text>
        <r>
          <rPr>
            <sz val="10"/>
            <rFont val="Arial"/>
            <family val="2"/>
          </rPr>
          <t>Assumption: 6.0x, a discount for thin-margin processing</t>
        </r>
      </text>
    </comment>
    <comment ref="C66" authorId="0" shapeId="0" xr:uid="{00000000-0006-0000-0000-000028000000}">
      <text>
        <r>
          <rPr>
            <sz val="10"/>
            <rFont val="Arial"/>
            <family val="2"/>
          </rPr>
          <t>Assumption: 12%, below the 14% reported in 2Q'26: https://app.rogo.ai/presentation-viewer/presentations:3911406?page=16&amp;text=Venmo+TPV+%2475%2C942+%2481%2C976+%2485%2C226+%2485%2C793+%2486%2C206+%2493%2C806</t>
        </r>
      </text>
    </comment>
    <comment ref="C67" authorId="0" shapeId="0" xr:uid="{00000000-0006-0000-0000-000029000000}">
      <text>
        <r>
          <rPr>
            <sz val="10"/>
            <rFont val="Arial"/>
            <family val="2"/>
          </rPr>
          <t>Assumption: 8%, below recent mid-teens growth, reflecting price competition</t>
        </r>
      </text>
    </comment>
    <comment ref="C68" authorId="0" shapeId="0" xr:uid="{00000000-0006-0000-0000-00002A000000}">
      <text>
        <r>
          <rPr>
            <sz val="10"/>
            <rFont val="Arial"/>
            <family val="2"/>
          </rPr>
          <t>Assumption: 45bps rising to 55bps. This is the monetisation lever</t>
        </r>
      </text>
    </comment>
    <comment ref="C69" authorId="0" shapeId="0" xr:uid="{00000000-0006-0000-0000-00002B000000}">
      <text>
        <r>
          <rPr>
            <sz val="10"/>
            <rFont val="Arial"/>
            <family val="2"/>
          </rPr>
          <t>Assumption: 7%, ahead of inflation to fund the monetisation</t>
        </r>
      </text>
    </comment>
    <comment ref="C70" authorId="0" shapeId="0" xr:uid="{00000000-0006-0000-0000-00002C000000}">
      <text>
        <r>
          <rPr>
            <sz val="10"/>
            <rFont val="Arial"/>
            <family val="2"/>
          </rPr>
          <t>Assumption: $250m a year. PayPal runs one platform across all three businesses, so separation is expensive</t>
        </r>
      </text>
    </comment>
    <comment ref="C71" authorId="0" shapeId="0" xr:uid="{00000000-0006-0000-0000-00002D000000}">
      <text>
        <r>
          <rPr>
            <sz val="10"/>
            <rFont val="Arial"/>
            <family val="2"/>
          </rPr>
          <t>Assumption: 4.0x entry EBITDA</t>
        </r>
      </text>
    </comment>
    <comment ref="C72" authorId="0" shapeId="0" xr:uid="{00000000-0006-0000-0000-00002E000000}">
      <text>
        <r>
          <rPr>
            <sz val="10"/>
            <rFont val="Arial"/>
            <family val="2"/>
          </rPr>
          <t>Assumption: 12.0x, a discount to the 20x entry multiple on Venmo as it matures</t>
        </r>
      </text>
    </comment>
    <comment ref="C75" authorId="0" shapeId="0" xr:uid="{00000000-0006-0000-0000-00002F000000}">
      <text>
        <r>
          <rPr>
            <sz val="10"/>
            <rFont val="Arial"/>
            <family val="2"/>
          </rPr>
          <t>Advent expected a one-and-done close on GPE XI at around $26bn: https://www.privateequityinternational.com/advent-eyes-26bn-for-latest-flagship-fund/#:~:text=Advent%20eyes%20%2426bn%20for%20latest%20flagship%20fund</t>
        </r>
      </text>
    </comment>
    <comment ref="C76" authorId="0" shapeId="0" xr:uid="{00000000-0006-0000-0000-000030000000}">
      <text>
        <r>
          <rPr>
            <sz val="10"/>
            <rFont val="Arial"/>
            <family val="2"/>
          </rPr>
          <t>Assumption: 20% target IRR, a standard large-cap buyout hurdle</t>
        </r>
      </text>
    </comment>
    <comment ref="C80" authorId="0" shapeId="0" xr:uid="{00000000-0006-0000-0000-000031000000}">
      <text>
        <r>
          <rPr>
            <sz val="10"/>
            <rFont val="Arial"/>
            <family val="2"/>
          </rPr>
          <t>Assumption: 11% accruing coupon on Advent's preferred. Typical for a large structured minority position in a levered business</t>
        </r>
      </text>
    </comment>
    <comment ref="C81" authorId="0" shapeId="0" xr:uid="{00000000-0006-0000-0000-000032000000}">
      <text>
        <r>
          <rPr>
            <sz val="10"/>
            <rFont val="Arial"/>
            <family val="2"/>
          </rPr>
          <t>Assumption: 5% of the residual common equity, roughly Advent's pro-rata share, negotiated as the upside participation alongside the preferred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Rogo</author>
  </authors>
  <commentList>
    <comment ref="B91" authorId="0" shapeId="0" xr:uid="{00000000-0006-0000-0100-000001000000}">
      <text>
        <r>
          <rPr>
            <sz val="10"/>
            <rFont val="Arial"/>
            <family val="2"/>
          </rPr>
          <t>Assumption: exit equity value as a proportion of the base case, to show how the structure behaves in a downside</t>
        </r>
      </text>
    </comment>
    <comment ref="B92" authorId="0" shapeId="0" xr:uid="{00000000-0006-0000-0100-000002000000}">
      <text>
        <r>
          <rPr>
            <sz val="10"/>
            <rFont val="Arial"/>
            <family val="2"/>
          </rPr>
          <t>Assumption: exit equity value as a proportion of the base case, to show how the structure behaves in a downside</t>
        </r>
      </text>
    </comment>
    <comment ref="B93" authorId="0" shapeId="0" xr:uid="{00000000-0006-0000-0100-000003000000}">
      <text>
        <r>
          <rPr>
            <sz val="10"/>
            <rFont val="Arial"/>
            <family val="2"/>
          </rPr>
          <t>Assumption: exit equity value as a proportion of the base case, to show how the structure behaves in a downside</t>
        </r>
      </text>
    </comment>
    <comment ref="B94" authorId="0" shapeId="0" xr:uid="{00000000-0006-0000-0100-000004000000}">
      <text>
        <r>
          <rPr>
            <sz val="10"/>
            <rFont val="Arial"/>
            <family val="2"/>
          </rPr>
          <t>Assumption: exit equity value as a proportion of the base case, to show how the structure behaves in a downside</t>
        </r>
      </text>
    </comment>
    <comment ref="B95" authorId="0" shapeId="0" xr:uid="{00000000-0006-0000-0100-000005000000}">
      <text>
        <r>
          <rPr>
            <sz val="10"/>
            <rFont val="Arial"/>
            <family val="2"/>
          </rPr>
          <t>Assumption: exit equity value as a proportion of the base case, to show how the structure behaves in a downside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</author>
    <author>Alastair Matchett</author>
  </authors>
  <commentList>
    <comment ref="C22" authorId="0" shapeId="0" xr:uid="{00000000-0006-0000-0300-000001000000}">
      <text>
        <r>
          <rPr>
            <sz val="10"/>
            <rFont val="Arial"/>
            <family val="2"/>
          </rPr>
          <t>Source: S&amp;P Capital IQ. PYPL close on 14 July 2026, the last trading day before the bid was reported ($47.37)</t>
        </r>
      </text>
    </comment>
    <comment ref="C84" authorId="1" shapeId="0" xr:uid="{3BC74FB5-91C8-4372-892B-C5DF0CF514C2}">
      <text>
        <r>
          <rPr>
            <b/>
            <sz val="9"/>
            <color indexed="81"/>
            <rFont val="Tahoma"/>
            <family val="2"/>
          </rPr>
          <t>Alastair Matchett:</t>
        </r>
        <r>
          <rPr>
            <sz val="9"/>
            <color indexed="81"/>
            <rFont val="Tahoma"/>
            <family val="2"/>
          </rPr>
          <t xml:space="preserve">
PayPal EV/EBITDA | PayPal Holdings Inc (PYPL)
https://valueinvesting.io/PYPL/valuation/ev_ebitda-multiples
[Citations: web9]</t>
        </r>
      </text>
    </comment>
    <comment ref="C85" authorId="1" shapeId="0" xr:uid="{E037B209-1642-43DE-B8D3-BB24E9EF5667}">
      <text>
        <r>
          <rPr>
            <b/>
            <sz val="9"/>
            <color indexed="81"/>
            <rFont val="Tahoma"/>
            <family val="2"/>
          </rPr>
          <t>Alastair Matchett:</t>
        </r>
        <r>
          <rPr>
            <sz val="9"/>
            <color indexed="81"/>
            <rFont val="Tahoma"/>
            <family val="2"/>
          </rPr>
          <t xml:space="preserve">
Decoding PayPal's Figures: Valuation and Growth Analysis
https://www.stockopine.com/p/decoding-paypals-figures-valuation
[Citations: web4]</t>
        </r>
      </text>
    </comment>
    <comment ref="C86" authorId="1" shapeId="0" xr:uid="{1BE05B0A-5245-4918-9B0D-A9D7A45A868E}">
      <text>
        <r>
          <rPr>
            <b/>
            <sz val="9"/>
            <color indexed="81"/>
            <rFont val="Tahoma"/>
            <family val="2"/>
          </rPr>
          <t>Alastair Matchett:</t>
        </r>
        <r>
          <rPr>
            <sz val="9"/>
            <color indexed="81"/>
            <rFont val="Tahoma"/>
            <family val="2"/>
          </rPr>
          <t xml:space="preserve">
Decoding PayPal's Figures: Valuation and Growth Analysis
https://www.stockopine.com/p/decoding-paypals-figures-valuation
[Citations: web4]</t>
        </r>
      </text>
    </comment>
  </commentList>
</comments>
</file>

<file path=xl/sharedStrings.xml><?xml version="1.0" encoding="utf-8"?>
<sst xmlns="http://schemas.openxmlformats.org/spreadsheetml/2006/main" count="382" uniqueCount="317">
  <si>
    <t>Assumptions</t>
  </si>
  <si>
    <t>Two ways Advent could do this deal</t>
  </si>
  <si>
    <t>($ in millions, except per share data)</t>
  </si>
  <si>
    <t>1  THE TRANSACTION</t>
  </si>
  <si>
    <t>Offer price per share</t>
  </si>
  <si>
    <t>PayPal diluted shares (m)</t>
  </si>
  <si>
    <t>PayPal net debt refinanced</t>
  </si>
  <si>
    <t>Transaction fees (% of enterprise value)</t>
  </si>
  <si>
    <t>Hold period (years)</t>
  </si>
  <si>
    <t>Purchase price (equity)</t>
  </si>
  <si>
    <t>Total cash cost including fees</t>
  </si>
  <si>
    <t>2  PAYPAL TODAY</t>
  </si>
  <si>
    <t>Payment volume (2Q'26 annualised)</t>
  </si>
  <si>
    <t>Venmo payment volume (2Q'26 annualised)</t>
  </si>
  <si>
    <t>Transaction margin dollars (FY26E guidance)</t>
  </si>
  <si>
    <t>Gross profit (LTM)</t>
  </si>
  <si>
    <t>EBITDA (FY2026E consensus)</t>
  </si>
  <si>
    <t>Depreciation and amortisation</t>
  </si>
  <si>
    <t>Capital expenditure</t>
  </si>
  <si>
    <t>EBITDA growth p.a. (before margin uplift)</t>
  </si>
  <si>
    <t>Implied non-transaction cost base</t>
  </si>
  <si>
    <t>3  MARGIN IMPROVEMENT TO THE INDUSTRY AVERAGE</t>
  </si>
  <si>
    <t>Peers' revenue definitions differ, so EBITDA as a share of gross profit is the comparable measure.</t>
  </si>
  <si>
    <t>PayPal today — EBITDA / gross profit</t>
  </si>
  <si>
    <t>Peer median — EBITDA / gross profit</t>
  </si>
  <si>
    <t>Margin uplift available</t>
  </si>
  <si>
    <t>Phasing to full run-rate (years)</t>
  </si>
  <si>
    <t>4  STRIPE  (estimated — Stripe publishes no revenue or profit)</t>
  </si>
  <si>
    <t>Payment volume, 2025</t>
  </si>
  <si>
    <t>Net revenue take rate (estimate)</t>
  </si>
  <si>
    <t>EBITDA margin on net revenue (estimate)</t>
  </si>
  <si>
    <t>EBITDA growth p.a. (estimate)</t>
  </si>
  <si>
    <t>Capex (% of net revenue)</t>
  </si>
  <si>
    <t>Latest private valuation</t>
  </si>
  <si>
    <t>Discount applied on rollover</t>
  </si>
  <si>
    <t>Net revenue (estimated)</t>
  </si>
  <si>
    <t>EBITDA (estimated)</t>
  </si>
  <si>
    <t>Value contributed on rollover</t>
  </si>
  <si>
    <t>5  OPTION 1 — ADVENT BUYS INTO THE COMBINED BUSINESS</t>
  </si>
  <si>
    <t>Stripe contributes its business, Advent puts in cash, the combined group borrows, and everything is sold together after four years.</t>
  </si>
  <si>
    <t>Debt capacity of the combined group</t>
  </si>
  <si>
    <t>Cost of debt</t>
  </si>
  <si>
    <t>Cash tax rate</t>
  </si>
  <si>
    <t>Exit multiple — PayPal business</t>
  </si>
  <si>
    <t>Exit multiple — Stripe business</t>
  </si>
  <si>
    <t>6  OPTION 2 — STRIPE TAKES ONLY PAYPAL'S CORE, ADVENT TAKES THE REST</t>
  </si>
  <si>
    <t>Stripe keeps its own business and buys PayPal's branded checkout. Advent owns Venmo and Braintree outright.</t>
  </si>
  <si>
    <t>Branded core — share of volume</t>
  </si>
  <si>
    <t>Venmo — share of volume</t>
  </si>
  <si>
    <t>Braintree — share of volume</t>
  </si>
  <si>
    <t>Venmo transaction margin take rate</t>
  </si>
  <si>
    <t>Braintree transaction margin take rate</t>
  </si>
  <si>
    <t>Operating cost allocated to the core</t>
  </si>
  <si>
    <t>Operating cost allocated to Venmo</t>
  </si>
  <si>
    <t>Operating cost allocated to Braintree</t>
  </si>
  <si>
    <t>Stripe's multiple for the core</t>
  </si>
  <si>
    <t>Advent's multiple for Venmo</t>
  </si>
  <si>
    <t>Venmo volume growth p.a.</t>
  </si>
  <si>
    <t>Braintree volume growth p.a.</t>
  </si>
  <si>
    <t>Venmo take rate at exit</t>
  </si>
  <si>
    <t>Operating cost growth p.a.</t>
  </si>
  <si>
    <t>Stranded costs on separation</t>
  </si>
  <si>
    <t>Entry leverage on Advent's carve-out</t>
  </si>
  <si>
    <t>Exit multiple on Advent's carve-out</t>
  </si>
  <si>
    <t>7  RETURNS BENCHMARK</t>
  </si>
  <si>
    <t>Advent flagship fund size</t>
  </si>
  <si>
    <t>Target IRR</t>
  </si>
  <si>
    <t>8  STRUCTURED EQUITY FOR ADVENT  (Option 1)</t>
  </si>
  <si>
    <t>In Option 1 Advent is a minority holder, so it invests through preferred equity rather than plain common.</t>
  </si>
  <si>
    <t>Preferred coupon, accruing (PIK)</t>
  </si>
  <si>
    <t>Common strip for Advent</t>
  </si>
  <si>
    <t>Option 1 — Advent Buys Into the Combined Business</t>
  </si>
  <si>
    <t>Stripe contributes its business, Advent puts in cash, the whole group is sold after four years</t>
  </si>
  <si>
    <t>($ in millions)</t>
  </si>
  <si>
    <t>KEY INPUTS  (linked from the Assumptions page)</t>
  </si>
  <si>
    <t>Cash cost of buying PayPal</t>
  </si>
  <si>
    <t>Debt capacity</t>
  </si>
  <si>
    <t>Stripe value contributed</t>
  </si>
  <si>
    <t>PayPal EBITDA today</t>
  </si>
  <si>
    <t>Stripe EBITDA today</t>
  </si>
  <si>
    <t>Uplift phasing (years)</t>
  </si>
  <si>
    <t>PayPal EBITDA growth</t>
  </si>
  <si>
    <t>Stripe EBITDA growth</t>
  </si>
  <si>
    <t>PayPal capex</t>
  </si>
  <si>
    <t>Stripe net revenue</t>
  </si>
  <si>
    <t>Stripe capex (% of net revenue)</t>
  </si>
  <si>
    <t>D&amp;A</t>
  </si>
  <si>
    <t>Exit multiple — PayPal</t>
  </si>
  <si>
    <t>Exit multiple — Stripe</t>
  </si>
  <si>
    <t>Advent fund size</t>
  </si>
  <si>
    <t>WHAT GOES IN</t>
  </si>
  <si>
    <t>Cash needed</t>
  </si>
  <si>
    <t>Funded by debt</t>
  </si>
  <si>
    <t>Funded by Advent cash</t>
  </si>
  <si>
    <t>Stripe's business contributed</t>
  </si>
  <si>
    <t>Total equity</t>
  </si>
  <si>
    <t>Advent's ownership</t>
  </si>
  <si>
    <t>Stripe's ownership</t>
  </si>
  <si>
    <t>Advent's cheque as % of its fund</t>
  </si>
  <si>
    <t>Combined EBITDA at entry</t>
  </si>
  <si>
    <t>Entry leverage</t>
  </si>
  <si>
    <t>FOUR-YEAR PLAN</t>
  </si>
  <si>
    <t>Yr 1</t>
  </si>
  <si>
    <t>Yr 2</t>
  </si>
  <si>
    <t>Yr 3</t>
  </si>
  <si>
    <t>Yr 4</t>
  </si>
  <si>
    <t>PayPal EBITDA before uplift</t>
  </si>
  <si>
    <t>Margin uplift phased in</t>
  </si>
  <si>
    <t>Stripe EBITDA</t>
  </si>
  <si>
    <t>Combined EBITDA</t>
  </si>
  <si>
    <t>Opening debt</t>
  </si>
  <si>
    <t>Cash interest</t>
  </si>
  <si>
    <t>Cash taxes</t>
  </si>
  <si>
    <t>Free cash flow</t>
  </si>
  <si>
    <t>Debt repaid</t>
  </si>
  <si>
    <t>Closing debt</t>
  </si>
  <si>
    <t>Leverage</t>
  </si>
  <si>
    <t>EBITDA / interest</t>
  </si>
  <si>
    <t>SALE AFTER FOUR YEARS</t>
  </si>
  <si>
    <t>PayPal business EBITDA at exit</t>
  </si>
  <si>
    <t>Stripe business EBITDA at exit</t>
  </si>
  <si>
    <t>Value of the PayPal business</t>
  </si>
  <si>
    <t>Value of the Stripe business</t>
  </si>
  <si>
    <t>Enterprise value at exit</t>
  </si>
  <si>
    <t>Less: closing debt</t>
  </si>
  <si>
    <t>Equity value at exit</t>
  </si>
  <si>
    <t>ADVENT'S RETURN — PLAIN COMMON EQUITY (for comparison)</t>
  </si>
  <si>
    <t>Advent's share of the exit</t>
  </si>
  <si>
    <t>Advent's cash in</t>
  </si>
  <si>
    <t>MOIC</t>
  </si>
  <si>
    <t>IRR</t>
  </si>
  <si>
    <t>Versus target</t>
  </si>
  <si>
    <t>Advent's cash is diluted into Stripe's contributed value, so it owns only a small slice of a very large group — and captures only that slice of the improvement.</t>
  </si>
  <si>
    <t>ADVENT'S RETURN — STRUCTURED EQUITY  (the base case)</t>
  </si>
  <si>
    <t>Preferred equity accrues a coupon and is repaid first at exit. Advent also keeps a strip of the residual common.</t>
  </si>
  <si>
    <t>Preferred coupon (PIK)</t>
  </si>
  <si>
    <t>Advent's investment (preferred)</t>
  </si>
  <si>
    <t>Preferred value at exit, with accrued coupon</t>
  </si>
  <si>
    <t>Residual common after the preferred is repaid</t>
  </si>
  <si>
    <t>Advent's common strip</t>
  </si>
  <si>
    <t>Total proceeds to Advent</t>
  </si>
  <si>
    <t>Uplift versus plain common</t>
  </si>
  <si>
    <t>WHY THE STRUCTURE MATTERS — DOWNSIDE PROTECTION</t>
  </si>
  <si>
    <t>Exit equity value versus base case</t>
  </si>
  <si>
    <t>Exit equity</t>
  </si>
  <si>
    <t>Structured IRR</t>
  </si>
  <si>
    <t>Plain common IRR</t>
  </si>
  <si>
    <t>The preferred coupon is contractual, so Advent still clears its hurdle even if the combined business sells for well under the base case. Plain common would not.</t>
  </si>
  <si>
    <t>Option 2 — Stripe Takes PayPal's Core, Advent Takes the Rest</t>
  </si>
  <si>
    <t>Stripe keeps its own business and buys branded checkout. Advent owns Venmo and Braintree outright</t>
  </si>
  <si>
    <t>Total payment volume</t>
  </si>
  <si>
    <t>Transaction margin dollars</t>
  </si>
  <si>
    <t>Non-transaction cost base</t>
  </si>
  <si>
    <t>Fees (%)</t>
  </si>
  <si>
    <t>Core — share of volume</t>
  </si>
  <si>
    <t>Venmo take rate</t>
  </si>
  <si>
    <t>Braintree take rate</t>
  </si>
  <si>
    <t>Opex to core</t>
  </si>
  <si>
    <t>Opex to Venmo</t>
  </si>
  <si>
    <t>Opex to Braintree</t>
  </si>
  <si>
    <t>Multiple — core</t>
  </si>
  <si>
    <t>Multiple — Venmo</t>
  </si>
  <si>
    <t>Multiple — Braintree</t>
  </si>
  <si>
    <t>Venmo volume growth</t>
  </si>
  <si>
    <t>Braintree volume growth</t>
  </si>
  <si>
    <t>Operating cost growth</t>
  </si>
  <si>
    <t>Stranded costs</t>
  </si>
  <si>
    <t>Exit multiple</t>
  </si>
  <si>
    <t>SPLITTING PAYPAL</t>
  </si>
  <si>
    <t>Core (Stripe)</t>
  </si>
  <si>
    <t>Venmo (Advent)</t>
  </si>
  <si>
    <t>Braintree (Advent)</t>
  </si>
  <si>
    <t>Total</t>
  </si>
  <si>
    <t>Payment volume</t>
  </si>
  <si>
    <t>Take rate</t>
  </si>
  <si>
    <t>Less: allocated operating costs</t>
  </si>
  <si>
    <t>Add back: D&amp;A</t>
  </si>
  <si>
    <t>EBITDA</t>
  </si>
  <si>
    <t>Share of PayPal's profit</t>
  </si>
  <si>
    <t>Check: allocated EBITDA less consensus</t>
  </si>
  <si>
    <t>Multiple paid</t>
  </si>
  <si>
    <t>Value</t>
  </si>
  <si>
    <t>DOES SPLITTING CREATE VALUE?</t>
  </si>
  <si>
    <t>Sum of the parts</t>
  </si>
  <si>
    <t>Cost of buying the whole company</t>
  </si>
  <si>
    <t>Break-up gain</t>
  </si>
  <si>
    <t>ADVENT'S CARVE-OUT</t>
  </si>
  <si>
    <t>Enterprise value</t>
  </si>
  <si>
    <t>Entry EBITDA</t>
  </si>
  <si>
    <t>Entry multiple</t>
  </si>
  <si>
    <t>Debt</t>
  </si>
  <si>
    <t>Advent equity</t>
  </si>
  <si>
    <t>Cheque as % of Advent's fund</t>
  </si>
  <si>
    <t>Advent's share of the margin uplift</t>
  </si>
  <si>
    <t>Venmo volume</t>
  </si>
  <si>
    <t>Braintree volume</t>
  </si>
  <si>
    <t>Transaction margin</t>
  </si>
  <si>
    <t>Operating costs including stranded</t>
  </si>
  <si>
    <t>Capex, interest and tax</t>
  </si>
  <si>
    <t>Cash built up</t>
  </si>
  <si>
    <t>EBITDA at exit</t>
  </si>
  <si>
    <t>Less: net debt</t>
  </si>
  <si>
    <t>Advent owns these assets outright, so it keeps all of the improvement — but it starts from a small profit base, which makes the return highly sensitive to execution.</t>
  </si>
  <si>
    <t>PayPal / Stripe / Advent</t>
  </si>
  <si>
    <t>What could they actually pay, if Advent needs a 20% return?</t>
  </si>
  <si>
    <t>($ in millions, except per share)</t>
  </si>
  <si>
    <t>KEY INPUTS  (linked from the other pages)</t>
  </si>
  <si>
    <t>Diluted shares (m)</t>
  </si>
  <si>
    <t>Net debt refinanced</t>
  </si>
  <si>
    <t>Transaction fees (% of EV)</t>
  </si>
  <si>
    <t>Debt capacity — combined group</t>
  </si>
  <si>
    <t>Option 1 equity value at exit</t>
  </si>
  <si>
    <t>Option 2 — Advent equity value at exit</t>
  </si>
  <si>
    <t>Option 2 — Advent debt</t>
  </si>
  <si>
    <t>Option 2 — checkout business value to Stripe</t>
  </si>
  <si>
    <t>Option 2 — Advent's entry EBITDA</t>
  </si>
  <si>
    <t>Unaffected share price (14 July)</t>
  </si>
  <si>
    <t>Offer price</t>
  </si>
  <si>
    <t>1  WHAT THE DEAL GENERATES IN TOTAL</t>
  </si>
  <si>
    <t>Before asking what Advent can get, look at what the combined group produces for all of its shareholders.</t>
  </si>
  <si>
    <t>Equity invested at the offer price</t>
  </si>
  <si>
    <t>Equity value after four years</t>
  </si>
  <si>
    <t>Money multiple for all shareholders together</t>
  </si>
  <si>
    <t>Return per year for all shareholders together</t>
  </si>
  <si>
    <t>This is the ceiling. Structured equity does not create extra return — it moves return from Stripe to Advent.</t>
  </si>
  <si>
    <t>2  MAXIMUM PRICE UNDER EACH CONSTRAINT</t>
  </si>
  <si>
    <t>Each row solves for the largest cheque Advent can write, then works back to a price per share.</t>
  </si>
  <si>
    <t>Constraint</t>
  </si>
  <si>
    <t>Advent cheque</t>
  </si>
  <si>
    <t>Max price /share</t>
  </si>
  <si>
    <t>Advent IRR</t>
  </si>
  <si>
    <t>Stripe IRR</t>
  </si>
  <si>
    <t>Advent takes plain common shares</t>
  </si>
  <si>
    <t>n/a</t>
  </si>
  <si>
    <t>No price works</t>
  </si>
  <si>
    <t>—</t>
  </si>
  <si>
    <t>Stripe's contributed stake alone caps the group's money multiple below the 2.07x that a 20% return needs, so no purchase price — not even zero — gets Advent to 20% on common shares.</t>
  </si>
  <si>
    <t>Advent gets 20% on preferred — Stripe absorbs all of it</t>
  </si>
  <si>
    <t>Advent gets 20% and Stripe still keeps 8% a year</t>
  </si>
  <si>
    <t>Advent writes 25% of its fund (practical cheque limit)</t>
  </si>
  <si>
    <t>Advent writes 15% of its fund (a normal single-deal limit)</t>
  </si>
  <si>
    <t>At the actual offer of $60.50, for reference</t>
  </si>
  <si>
    <t>3  THE BREAK-UP ROUTE — WHAT ADVENT CAN PAY FOR VENMO AND BRAINTREE</t>
  </si>
  <si>
    <t>Here Advent owns its assets outright, so its own return sets its price. Stripe pays separately for the checkout business.</t>
  </si>
  <si>
    <t>Advent's equity value at exit</t>
  </si>
  <si>
    <t>Maximum equity Advent can invest at a 20% return</t>
  </si>
  <si>
    <t>Plus debt on the carve-out</t>
  </si>
  <si>
    <t>Maximum price for Venmo + Braintree</t>
  </si>
  <si>
    <t>Implied entry multiple</t>
  </si>
  <si>
    <t>Value of the checkout business to Stripe</t>
  </si>
  <si>
    <t>Total value the pair can put on PayPal</t>
  </si>
  <si>
    <t>Maximum price per share</t>
  </si>
  <si>
    <t>That cheque is far beyond a normal single-deal limit, so in practice Advent would take a smaller share of the carve-out or bring co-investors.</t>
  </si>
  <si>
    <t>4  WHERE THAT LEAVES THE PRICE</t>
  </si>
  <si>
    <t>Route</t>
  </si>
  <si>
    <t>Premium to the unaffected price</t>
  </si>
  <si>
    <t>Merger — Advent on plain common</t>
  </si>
  <si>
    <t>Merger — Advent on preferred, Stripe absorbs it</t>
  </si>
  <si>
    <t>Merger — Advent 20% and Stripe keeps 8%</t>
  </si>
  <si>
    <t>Merger — capped by a 25%-of-fund cheque</t>
  </si>
  <si>
    <t>Break-up — Advent 20% on its carve-out</t>
  </si>
  <si>
    <t>The actual offer</t>
  </si>
  <si>
    <t>WHAT THIS MEANS</t>
  </si>
  <si>
    <t>The offer sits at the bottom of the range the structures can support. On these assumptions the pair have room to go higher, which is consistent with PayPal's board calling $60.50 inadequate.</t>
  </si>
  <si>
    <t>The constraint is not PayPal's value. It is who gives up return. The combined group produces about 10% a year in total, so every extra dollar Advent earns above that comes out of Stripe's rolled stake.</t>
  </si>
  <si>
    <t>That is why the merger route tops out around the high $60s. Push past it and Stripe is contributing a $127bn business to earn less than a government bond.</t>
  </si>
  <si>
    <t>The break-up supports the highest price because Advent's return comes from assets it owns outright rather than from a slice of Stripe's value.</t>
  </si>
  <si>
    <t>The practical limit is cheque size. A 20% return needs Advent to invest $12bn to $16bn, which is half its fund, so any real deal needs co-investors or a smaller stake.</t>
  </si>
  <si>
    <t>Solved on the model's own assumptions: four-year hold, PayPal margins to the peer median, Stripe rolled in at a 20% discount to its $159bn mark and exited at 25x. Stripe publishes no financials.</t>
  </si>
  <si>
    <t>Comparison</t>
  </si>
  <si>
    <t>Three ways in for Advent</t>
  </si>
  <si>
    <t>Option 1 — plain common</t>
  </si>
  <si>
    <t>Option 1 — structured equity</t>
  </si>
  <si>
    <t>Option 2 — take the rest</t>
  </si>
  <si>
    <t>What Advent owns</t>
  </si>
  <si>
    <t>5% of Stripe + PayPal</t>
  </si>
  <si>
    <t>Preferred + 5% common strip</t>
  </si>
  <si>
    <t>All of Venmo + Braintree</t>
  </si>
  <si>
    <t>Advent cash in</t>
  </si>
  <si>
    <t>As % of a $26bn fund</t>
  </si>
  <si>
    <t>Debt raised</t>
  </si>
  <si>
    <t>EBITDA at entry</t>
  </si>
  <si>
    <t>EBITDA at exit (year 4)</t>
  </si>
  <si>
    <t>Proceeds to Advent</t>
  </si>
  <si>
    <t>IRR if the business sells for 40% less than base</t>
  </si>
  <si>
    <t>WHAT THE THREE COLUMNS SHOW</t>
  </si>
  <si>
    <t>Plain common in Option 1 does not work. Stripe contributes a business valued at $127bn, so Advent's cash buys about 5% of the group and only 5% of the improvement.</t>
  </si>
  <si>
    <t>Structured equity fixes it. A preferred coupon that accrues and ranks ahead of Stripe's rolled equity turns a 10% return into roughly 30%, and holds up even if the business sells for far less.</t>
  </si>
  <si>
    <t>Option 2 needs no structure. Advent owns the assets outright, so every dollar of margin gain and Venmo monetisation is already its own.</t>
  </si>
  <si>
    <t>All three depend on the same operational win: lifting PayPal's margins to the industry average, worth about $2.7bn of EBITDA.</t>
  </si>
  <si>
    <t>The trade-off is risk shape. Structured equity in Option 1 gives a contractual floor on a very large asset. Option 2 gives full ownership of a very small profit base, so it is the higher-variance route.</t>
  </si>
  <si>
    <t>Stripe publishes no revenue or profit; its figures are estimates from disclosed payment volume. PayPal does not disclose profit by business; the Option 2 split is built from disclosed volume mix and transaction margin and ties to consensus EBITDA.</t>
  </si>
  <si>
    <t>Margin discount</t>
  </si>
  <si>
    <t>e6f5c737-2213-4fe5-a55f-f566e1f75312</t>
  </si>
  <si>
    <t>5  MULTIPLE CROSS-CHECK ON THE BREAK-UP PRICE</t>
  </si>
  <si>
    <t>The $74.41 ceiling is solved from a 20% return, not from a defensible entry multiple. This tests it against real multiples.</t>
  </si>
  <si>
    <t>Inputs for the check</t>
  </si>
  <si>
    <t>Carve-out EBITDA at exit (Yr 4)</t>
  </si>
  <si>
    <t>Net cash at exit</t>
  </si>
  <si>
    <t>Entry leverage (x EBITDA)</t>
  </si>
  <si>
    <t>Exit multiple assumed in the model</t>
  </si>
  <si>
    <t>Entry multiple case</t>
  </si>
  <si>
    <t>Entry EV/EBITDA</t>
  </si>
  <si>
    <t>Carve-out EV</t>
  </si>
  <si>
    <t>Max PayPal price /share</t>
  </si>
  <si>
    <t>Premium</t>
  </si>
  <si>
    <t>PayPal's own trading multiple today</t>
  </si>
  <si>
    <t>Global Payments</t>
  </si>
  <si>
    <t>Fiserv</t>
  </si>
  <si>
    <t>Model's base-case entry multiple on the carve-out</t>
  </si>
  <si>
    <t>Model's exit multiple — entry priced equal to exit</t>
  </si>
  <si>
    <t>Entry multiple implied by the $74.41 ceiling</t>
  </si>
  <si>
    <t>Exit multiple needed to clear 20% at the base-case entry price</t>
  </si>
  <si>
    <t>Multiple contraction embedded in the ceiling</t>
  </si>
  <si>
    <t>EBITDA growth the ceiling relies on (4-year CAGR)</t>
  </si>
  <si>
    <t>info@fe.training</t>
  </si>
  <si>
    <t>Subject: Linkedin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</si>
</sst>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\$0.00"/>
    <numFmt numFmtId="165" formatCode="#,##0.0_);\(#,##0.0\);\-_);@_)"/>
    <numFmt numFmtId="166" formatCode="\$#,##0.0_);&quot;($&quot;#,##0.0\);\-_);@_)"/>
    <numFmt numFmtId="167" formatCode="#,##0.0%_);\(#,##0.0%\);\-_);@_)"/>
    <numFmt numFmtId="168" formatCode="0.000%"/>
    <numFmt numFmtId="169" formatCode="#,##0.0\x_);\(#,##0.0&quot;x)&quot;;\-_);@_)"/>
    <numFmt numFmtId="170" formatCode="#,##0.0"/>
    <numFmt numFmtId="171" formatCode="#,##0.0;\(#,##0.0\);\—"/>
    <numFmt numFmtId="172" formatCode="0.0%;\(0.0%\)"/>
    <numFmt numFmtId="173" formatCode="\$#,##0.00"/>
    <numFmt numFmtId="174" formatCode="0.00\x"/>
  </numFmts>
  <fonts count="35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5"/>
      <color rgb="FFFFFFFF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b/>
      <sz val="10"/>
      <color rgb="FF000000"/>
      <name val="Arial"/>
      <family val="2"/>
    </font>
    <font>
      <i/>
      <sz val="8.5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8000"/>
      <name val="Arial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i/>
      <sz val="9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rgb="FF008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b/>
      <sz val="9"/>
      <color rgb="FFFFFFFF"/>
      <name val="Calibri"/>
      <family val="2"/>
    </font>
    <font>
      <i/>
      <sz val="10"/>
      <color rgb="FF000000"/>
      <name val="Calibri"/>
      <family val="2"/>
    </font>
    <font>
      <i/>
      <sz val="10"/>
      <color rgb="FF008000"/>
      <name val="Calibri"/>
      <family val="2"/>
    </font>
    <font>
      <b/>
      <sz val="10"/>
      <color rgb="FF008000"/>
      <name val="Arial"/>
      <family val="2"/>
    </font>
    <font>
      <sz val="10"/>
      <color rgb="FF008000"/>
      <name val="Arial"/>
      <family val="2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1"/>
      <color theme="1"/>
      <name val="Calibri"/>
      <family val="2"/>
      <charset val="1"/>
    </font>
    <font>
      <u/>
      <sz val="11"/>
      <color theme="1"/>
      <name val="Calibri"/>
      <family val="2"/>
      <charset val="1"/>
    </font>
    <font>
      <b/>
      <sz val="9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0000FF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rgb="FF0000FF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135B44"/>
        <bgColor rgb="FF085393"/>
      </patternFill>
    </fill>
    <fill>
      <patternFill patternType="solid">
        <fgColor rgb="FFCFE9E0"/>
        <bgColor rgb="FFDBEEFD"/>
      </patternFill>
    </fill>
    <fill>
      <patternFill patternType="solid">
        <fgColor rgb="FFE7E5E4"/>
        <bgColor rgb="FFDBEEFD"/>
      </patternFill>
    </fill>
    <fill>
      <patternFill patternType="solid">
        <fgColor rgb="FF163260"/>
        <bgColor rgb="FF333399"/>
      </patternFill>
    </fill>
    <fill>
      <patternFill patternType="solid">
        <fgColor rgb="FFDBEEFD"/>
        <bgColor rgb="FFCFE9E0"/>
      </patternFill>
    </fill>
    <fill>
      <patternFill patternType="solid">
        <fgColor rgb="FF085393"/>
        <bgColor rgb="FF135B44"/>
      </patternFill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rgb="FFDBEE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68" fontId="6" fillId="0" borderId="0" xfId="0" applyNumberFormat="1" applyFont="1" applyAlignment="1">
      <alignment horizontal="right" vertical="center"/>
    </xf>
    <xf numFmtId="169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66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169" fontId="10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indent="1"/>
    </xf>
    <xf numFmtId="0" fontId="7" fillId="0" borderId="0" xfId="0" applyFont="1" applyAlignment="1">
      <alignment vertical="center" indent="1"/>
    </xf>
    <xf numFmtId="167" fontId="9" fillId="0" borderId="0" xfId="0" applyNumberFormat="1" applyFont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9" fontId="7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166" fontId="5" fillId="4" borderId="0" xfId="0" applyNumberFormat="1" applyFont="1" applyFill="1" applyAlignment="1">
      <alignment horizontal="right" vertical="center"/>
    </xf>
    <xf numFmtId="168" fontId="10" fillId="0" borderId="0" xfId="0" applyNumberFormat="1" applyFont="1" applyAlignment="1">
      <alignment horizontal="right" vertical="center"/>
    </xf>
    <xf numFmtId="168" fontId="9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5" borderId="0" xfId="0" applyFont="1" applyFill="1"/>
    <xf numFmtId="0" fontId="15" fillId="0" borderId="0" xfId="0" applyFont="1" applyAlignment="1">
      <alignment horizontal="left" vertical="center"/>
    </xf>
    <xf numFmtId="170" fontId="16" fillId="0" borderId="0" xfId="0" applyNumberFormat="1" applyFont="1" applyAlignment="1">
      <alignment horizontal="right" vertical="center"/>
    </xf>
    <xf numFmtId="171" fontId="16" fillId="0" borderId="0" xfId="0" applyNumberFormat="1" applyFont="1" applyAlignment="1">
      <alignment horizontal="right" vertical="center"/>
    </xf>
    <xf numFmtId="172" fontId="16" fillId="0" borderId="0" xfId="0" applyNumberFormat="1" applyFont="1" applyAlignment="1">
      <alignment horizontal="right" vertical="center"/>
    </xf>
    <xf numFmtId="1" fontId="16" fillId="0" borderId="0" xfId="0" applyNumberFormat="1" applyFont="1" applyAlignment="1">
      <alignment horizontal="right" vertical="center"/>
    </xf>
    <xf numFmtId="173" fontId="17" fillId="6" borderId="0" xfId="0" applyNumberFormat="1" applyFont="1" applyFill="1" applyAlignment="1">
      <alignment horizontal="right" vertical="center"/>
    </xf>
    <xf numFmtId="173" fontId="16" fillId="0" borderId="0" xfId="0" applyNumberFormat="1" applyFont="1" applyAlignment="1">
      <alignment horizontal="right" vertical="center"/>
    </xf>
    <xf numFmtId="171" fontId="15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174" fontId="18" fillId="0" borderId="0" xfId="0" applyNumberFormat="1" applyFont="1" applyAlignment="1">
      <alignment horizontal="right" vertical="center"/>
    </xf>
    <xf numFmtId="172" fontId="18" fillId="0" borderId="0" xfId="0" applyNumberFormat="1" applyFont="1" applyAlignment="1">
      <alignment horizontal="right" vertical="center"/>
    </xf>
    <xf numFmtId="0" fontId="19" fillId="7" borderId="0" xfId="0" applyFont="1" applyFill="1" applyAlignment="1">
      <alignment horizontal="left" vertical="center" wrapText="1"/>
    </xf>
    <xf numFmtId="0" fontId="19" fillId="7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173" fontId="18" fillId="0" borderId="0" xfId="0" applyNumberFormat="1" applyFont="1" applyAlignment="1">
      <alignment horizontal="right" vertical="center"/>
    </xf>
    <xf numFmtId="172" fontId="15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171" fontId="21" fillId="0" borderId="0" xfId="0" applyNumberFormat="1" applyFont="1" applyAlignment="1">
      <alignment horizontal="right" vertical="center"/>
    </xf>
    <xf numFmtId="173" fontId="20" fillId="0" borderId="0" xfId="0" applyNumberFormat="1" applyFont="1" applyAlignment="1">
      <alignment horizontal="right" vertical="center"/>
    </xf>
    <xf numFmtId="172" fontId="21" fillId="0" borderId="0" xfId="0" applyNumberFormat="1" applyFont="1" applyAlignment="1">
      <alignment horizontal="right" vertical="center"/>
    </xf>
    <xf numFmtId="171" fontId="18" fillId="0" borderId="0" xfId="0" applyNumberFormat="1" applyFont="1" applyAlignment="1">
      <alignment horizontal="right" vertical="center"/>
    </xf>
    <xf numFmtId="174" fontId="20" fillId="0" borderId="0" xfId="0" applyNumberFormat="1" applyFont="1" applyAlignment="1">
      <alignment horizontal="right" vertical="center"/>
    </xf>
    <xf numFmtId="172" fontId="20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6" fontId="22" fillId="0" borderId="0" xfId="0" applyNumberFormat="1" applyFont="1" applyAlignment="1">
      <alignment horizontal="right" vertical="center"/>
    </xf>
    <xf numFmtId="166" fontId="23" fillId="0" borderId="0" xfId="0" applyNumberFormat="1" applyFont="1" applyAlignment="1">
      <alignment horizontal="right" vertical="center"/>
    </xf>
    <xf numFmtId="169" fontId="22" fillId="0" borderId="0" xfId="0" applyNumberFormat="1" applyFont="1" applyAlignment="1">
      <alignment horizontal="right" vertical="center"/>
    </xf>
    <xf numFmtId="167" fontId="22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0" fontId="24" fillId="0" borderId="0" xfId="0" applyNumberFormat="1" applyFont="1"/>
    <xf numFmtId="0" fontId="26" fillId="8" borderId="0" xfId="0" applyFont="1" applyFill="1"/>
    <xf numFmtId="0" fontId="27" fillId="0" borderId="0" xfId="0" applyFont="1"/>
    <xf numFmtId="0" fontId="28" fillId="0" borderId="0" xfId="0" applyFont="1"/>
    <xf numFmtId="0" fontId="29" fillId="9" borderId="0" xfId="0" applyFont="1" applyFill="1"/>
    <xf numFmtId="0" fontId="29" fillId="9" borderId="0" xfId="0" applyFont="1" applyFill="1" applyAlignment="1">
      <alignment horizontal="center"/>
    </xf>
    <xf numFmtId="174" fontId="24" fillId="0" borderId="0" xfId="0" applyNumberFormat="1" applyFont="1"/>
    <xf numFmtId="171" fontId="30" fillId="0" borderId="0" xfId="0" applyNumberFormat="1" applyFont="1"/>
    <xf numFmtId="174" fontId="30" fillId="0" borderId="0" xfId="0" applyNumberFormat="1" applyFont="1"/>
    <xf numFmtId="174" fontId="31" fillId="10" borderId="0" xfId="0" applyNumberFormat="1" applyFont="1" applyFill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27" fillId="0" borderId="0" xfId="0" applyNumberFormat="1" applyFont="1"/>
    <xf numFmtId="172" fontId="27" fillId="0" borderId="0" xfId="0" applyNumberFormat="1" applyFont="1"/>
    <xf numFmtId="174" fontId="24" fillId="0" borderId="2" xfId="0" applyNumberFormat="1" applyFont="1" applyBorder="1"/>
    <xf numFmtId="171" fontId="0" fillId="0" borderId="2" xfId="0" applyNumberFormat="1" applyBorder="1"/>
    <xf numFmtId="172" fontId="0" fillId="0" borderId="2" xfId="0" applyNumberFormat="1" applyBorder="1"/>
    <xf numFmtId="173" fontId="25" fillId="0" borderId="2" xfId="0" applyNumberFormat="1" applyFont="1" applyBorder="1"/>
    <xf numFmtId="0" fontId="0" fillId="0" borderId="2" xfId="0" applyBorder="1"/>
    <xf numFmtId="0" fontId="3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5E4"/>
      <rgbColor rgb="FFDBEEFD"/>
      <rgbColor rgb="FF660066"/>
      <rgbColor rgb="FFFF8080"/>
      <rgbColor rgb="FF085393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9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63260"/>
      <rgbColor rgb="FF339966"/>
      <rgbColor rgb="FF003300"/>
      <rgbColor rgb="FF333300"/>
      <rgbColor rgb="FF993300"/>
      <rgbColor rgb="FF993366"/>
      <rgbColor rgb="FF333399"/>
      <rgbColor rgb="FF135B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3ADEFF0-7F9F-48DB-8FE0-05D1A8E79746}">
  <we:reference id="WA200010575" version="2026.4.6.0" store="Omex" storeType="OMEX"/>
  <we:alternateReferences>
    <we:reference id="WA200010575" version="2026.4.6.0" store="WA200010575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FE9E0"/>
    <pageSetUpPr fitToPage="1"/>
  </sheetPr>
  <dimension ref="B1:F81"/>
  <sheetViews>
    <sheetView showGridLines="0" tabSelected="1" zoomScaleNormal="100" workbookViewId="0"/>
  </sheetViews>
  <sheetFormatPr defaultColWidth="8.6640625" defaultRowHeight="15" customHeight="1" x14ac:dyDescent="0.45"/>
  <cols>
    <col min="1" max="1" width="2.46484375" customWidth="1"/>
    <col min="2" max="2" width="46" customWidth="1"/>
    <col min="3" max="3" width="17" customWidth="1"/>
    <col min="4" max="8" width="15" customWidth="1"/>
  </cols>
  <sheetData>
    <row r="1" spans="2:6" ht="7.5" customHeight="1" x14ac:dyDescent="0.45"/>
    <row r="2" spans="2:6" ht="18" customHeight="1" x14ac:dyDescent="0.45">
      <c r="B2" s="1" t="s">
        <v>0</v>
      </c>
      <c r="C2" s="2"/>
      <c r="D2" s="2"/>
      <c r="E2" s="2"/>
      <c r="F2" s="2"/>
    </row>
    <row r="3" spans="2:6" ht="15" customHeight="1" x14ac:dyDescent="0.45">
      <c r="B3" s="3" t="s">
        <v>1</v>
      </c>
    </row>
    <row r="4" spans="2:6" ht="15" customHeight="1" x14ac:dyDescent="0.45">
      <c r="B4" s="4" t="s">
        <v>2</v>
      </c>
    </row>
    <row r="5" spans="2:6" ht="6" customHeight="1" x14ac:dyDescent="0.45"/>
    <row r="6" spans="2:6" ht="15" customHeight="1" x14ac:dyDescent="0.45">
      <c r="B6" s="5" t="s">
        <v>3</v>
      </c>
      <c r="C6" s="5"/>
      <c r="D6" s="5"/>
      <c r="E6" s="5"/>
      <c r="F6" s="5"/>
    </row>
    <row r="7" spans="2:6" ht="15" customHeight="1" x14ac:dyDescent="0.45">
      <c r="B7" s="6" t="s">
        <v>4</v>
      </c>
      <c r="C7" s="7">
        <v>60.5</v>
      </c>
    </row>
    <row r="8" spans="2:6" ht="15" customHeight="1" x14ac:dyDescent="0.45">
      <c r="B8" s="6" t="s">
        <v>5</v>
      </c>
      <c r="C8" s="8">
        <v>882.1</v>
      </c>
    </row>
    <row r="9" spans="2:6" ht="15" customHeight="1" x14ac:dyDescent="0.45">
      <c r="B9" s="6" t="s">
        <v>6</v>
      </c>
      <c r="C9" s="9">
        <v>2328</v>
      </c>
    </row>
    <row r="10" spans="2:6" ht="15" customHeight="1" x14ac:dyDescent="0.45">
      <c r="B10" s="6" t="s">
        <v>7</v>
      </c>
      <c r="C10" s="10">
        <v>2.5000000000000001E-2</v>
      </c>
    </row>
    <row r="11" spans="2:6" ht="15" customHeight="1" x14ac:dyDescent="0.45">
      <c r="B11" s="6" t="s">
        <v>8</v>
      </c>
      <c r="C11" s="8">
        <v>4</v>
      </c>
    </row>
    <row r="12" spans="2:6" ht="15" customHeight="1" x14ac:dyDescent="0.45">
      <c r="B12" s="11" t="s">
        <v>9</v>
      </c>
      <c r="C12" s="12">
        <f>C7*C8</f>
        <v>53367.05</v>
      </c>
    </row>
    <row r="13" spans="2:6" ht="15" customHeight="1" x14ac:dyDescent="0.45">
      <c r="B13" s="11" t="s">
        <v>10</v>
      </c>
      <c r="C13" s="12">
        <f>(C12+C9)*(1+C10)</f>
        <v>57087.426249999997</v>
      </c>
    </row>
    <row r="14" spans="2:6" ht="14.25" x14ac:dyDescent="0.45"/>
    <row r="15" spans="2:6" ht="15" customHeight="1" x14ac:dyDescent="0.45">
      <c r="B15" s="5" t="s">
        <v>11</v>
      </c>
      <c r="C15" s="5"/>
      <c r="D15" s="5"/>
      <c r="E15" s="5"/>
      <c r="F15" s="5"/>
    </row>
    <row r="16" spans="2:6" ht="15" customHeight="1" x14ac:dyDescent="0.45">
      <c r="B16" s="6" t="s">
        <v>12</v>
      </c>
      <c r="C16" s="9">
        <v>1945792</v>
      </c>
    </row>
    <row r="17" spans="2:6" ht="15" customHeight="1" x14ac:dyDescent="0.45">
      <c r="B17" s="6" t="s">
        <v>13</v>
      </c>
      <c r="C17" s="9">
        <v>375224</v>
      </c>
    </row>
    <row r="18" spans="2:6" ht="15" customHeight="1" x14ac:dyDescent="0.45">
      <c r="B18" s="6" t="s">
        <v>14</v>
      </c>
      <c r="C18" s="9">
        <v>15600</v>
      </c>
    </row>
    <row r="19" spans="2:6" ht="15" customHeight="1" x14ac:dyDescent="0.45">
      <c r="B19" s="6" t="s">
        <v>15</v>
      </c>
      <c r="C19" s="9">
        <v>13814</v>
      </c>
    </row>
    <row r="20" spans="2:6" ht="15" customHeight="1" x14ac:dyDescent="0.45">
      <c r="B20" s="6" t="s">
        <v>16</v>
      </c>
      <c r="C20" s="9">
        <v>6768</v>
      </c>
    </row>
    <row r="21" spans="2:6" ht="15" customHeight="1" x14ac:dyDescent="0.45">
      <c r="B21" s="6" t="s">
        <v>17</v>
      </c>
      <c r="C21" s="9">
        <v>446</v>
      </c>
    </row>
    <row r="22" spans="2:6" ht="15" customHeight="1" x14ac:dyDescent="0.45">
      <c r="B22" s="6" t="s">
        <v>18</v>
      </c>
      <c r="C22" s="9">
        <v>1000</v>
      </c>
    </row>
    <row r="23" spans="2:6" ht="15" customHeight="1" x14ac:dyDescent="0.45">
      <c r="B23" s="6" t="s">
        <v>19</v>
      </c>
      <c r="C23" s="10">
        <v>0.02</v>
      </c>
    </row>
    <row r="24" spans="2:6" ht="15" customHeight="1" x14ac:dyDescent="0.45">
      <c r="B24" s="11" t="s">
        <v>20</v>
      </c>
      <c r="C24" s="12">
        <f>C18-(C20-C21)</f>
        <v>9278</v>
      </c>
    </row>
    <row r="25" spans="2:6" ht="14.25" x14ac:dyDescent="0.45"/>
    <row r="26" spans="2:6" ht="15" customHeight="1" x14ac:dyDescent="0.45">
      <c r="B26" s="5" t="s">
        <v>21</v>
      </c>
      <c r="C26" s="5"/>
      <c r="D26" s="5"/>
      <c r="E26" s="5"/>
      <c r="F26" s="5"/>
    </row>
    <row r="27" spans="2:6" ht="15" customHeight="1" x14ac:dyDescent="0.45">
      <c r="B27" s="13" t="s">
        <v>22</v>
      </c>
    </row>
    <row r="28" spans="2:6" ht="15" customHeight="1" x14ac:dyDescent="0.45">
      <c r="B28" s="6" t="s">
        <v>23</v>
      </c>
      <c r="C28" s="10">
        <v>0.46700000000000003</v>
      </c>
    </row>
    <row r="29" spans="2:6" ht="15" customHeight="1" x14ac:dyDescent="0.45">
      <c r="B29" s="6" t="s">
        <v>24</v>
      </c>
      <c r="C29" s="10">
        <v>0.65900000000000003</v>
      </c>
    </row>
    <row r="30" spans="2:6" ht="15" customHeight="1" x14ac:dyDescent="0.45">
      <c r="B30" s="11" t="s">
        <v>25</v>
      </c>
      <c r="C30" s="12">
        <f>(C29-C28)*C19</f>
        <v>2652.288</v>
      </c>
    </row>
    <row r="31" spans="2:6" ht="15" customHeight="1" x14ac:dyDescent="0.45">
      <c r="B31" s="6" t="s">
        <v>26</v>
      </c>
      <c r="C31" s="8">
        <v>4</v>
      </c>
    </row>
    <row r="32" spans="2:6" ht="14.25" x14ac:dyDescent="0.45"/>
    <row r="33" spans="2:6" ht="15" customHeight="1" x14ac:dyDescent="0.45">
      <c r="B33" s="5" t="s">
        <v>27</v>
      </c>
      <c r="C33" s="5"/>
      <c r="D33" s="5"/>
      <c r="E33" s="5"/>
      <c r="F33" s="5"/>
    </row>
    <row r="34" spans="2:6" ht="15" customHeight="1" x14ac:dyDescent="0.45">
      <c r="B34" s="6" t="s">
        <v>28</v>
      </c>
      <c r="C34" s="9">
        <v>1900000</v>
      </c>
    </row>
    <row r="35" spans="2:6" ht="15" customHeight="1" x14ac:dyDescent="0.45">
      <c r="B35" s="6" t="s">
        <v>29</v>
      </c>
      <c r="C35" s="14">
        <v>4.4999999999999997E-3</v>
      </c>
    </row>
    <row r="36" spans="2:6" ht="15" customHeight="1" x14ac:dyDescent="0.45">
      <c r="B36" s="6" t="s">
        <v>30</v>
      </c>
      <c r="C36" s="10">
        <v>0.3</v>
      </c>
    </row>
    <row r="37" spans="2:6" ht="15" customHeight="1" x14ac:dyDescent="0.45">
      <c r="B37" s="6" t="s">
        <v>31</v>
      </c>
      <c r="C37" s="10">
        <v>0.2</v>
      </c>
    </row>
    <row r="38" spans="2:6" ht="15" customHeight="1" x14ac:dyDescent="0.45">
      <c r="B38" s="6" t="s">
        <v>32</v>
      </c>
      <c r="C38" s="10">
        <v>0.03</v>
      </c>
    </row>
    <row r="39" spans="2:6" ht="15" customHeight="1" x14ac:dyDescent="0.45">
      <c r="B39" s="6" t="s">
        <v>33</v>
      </c>
      <c r="C39" s="9">
        <v>159000</v>
      </c>
    </row>
    <row r="40" spans="2:6" ht="15" customHeight="1" x14ac:dyDescent="0.45">
      <c r="B40" s="6" t="s">
        <v>34</v>
      </c>
      <c r="C40" s="10">
        <v>0.2</v>
      </c>
    </row>
    <row r="41" spans="2:6" ht="15" customHeight="1" x14ac:dyDescent="0.45">
      <c r="B41" s="11" t="s">
        <v>35</v>
      </c>
      <c r="C41" s="12">
        <f>C34*C35</f>
        <v>8550</v>
      </c>
    </row>
    <row r="42" spans="2:6" ht="15" customHeight="1" x14ac:dyDescent="0.45">
      <c r="B42" s="11" t="s">
        <v>36</v>
      </c>
      <c r="C42" s="12">
        <f>C41*C36</f>
        <v>2565</v>
      </c>
    </row>
    <row r="43" spans="2:6" ht="15" customHeight="1" x14ac:dyDescent="0.45">
      <c r="B43" s="11" t="s">
        <v>37</v>
      </c>
      <c r="C43" s="12">
        <f>C39*(1-C40)</f>
        <v>127200</v>
      </c>
    </row>
    <row r="44" spans="2:6" ht="14.25" x14ac:dyDescent="0.45"/>
    <row r="45" spans="2:6" ht="15" customHeight="1" x14ac:dyDescent="0.45">
      <c r="B45" s="5" t="s">
        <v>38</v>
      </c>
      <c r="C45" s="5"/>
      <c r="D45" s="5"/>
      <c r="E45" s="5"/>
      <c r="F45" s="5"/>
    </row>
    <row r="46" spans="2:6" ht="15" customHeight="1" x14ac:dyDescent="0.45">
      <c r="B46" s="13" t="s">
        <v>39</v>
      </c>
    </row>
    <row r="47" spans="2:6" ht="15" customHeight="1" x14ac:dyDescent="0.45">
      <c r="B47" s="6" t="s">
        <v>40</v>
      </c>
      <c r="C47" s="9">
        <v>50000</v>
      </c>
    </row>
    <row r="48" spans="2:6" ht="15" customHeight="1" x14ac:dyDescent="0.45">
      <c r="B48" s="6" t="s">
        <v>41</v>
      </c>
      <c r="C48" s="10">
        <v>8.5000000000000006E-2</v>
      </c>
    </row>
    <row r="49" spans="2:6" ht="15" customHeight="1" x14ac:dyDescent="0.45">
      <c r="B49" s="6" t="s">
        <v>42</v>
      </c>
      <c r="C49" s="10">
        <v>0.2</v>
      </c>
    </row>
    <row r="50" spans="2:6" ht="15" customHeight="1" x14ac:dyDescent="0.45">
      <c r="B50" s="6" t="s">
        <v>43</v>
      </c>
      <c r="C50" s="15">
        <v>9</v>
      </c>
    </row>
    <row r="51" spans="2:6" ht="15" customHeight="1" x14ac:dyDescent="0.45">
      <c r="B51" s="6" t="s">
        <v>44</v>
      </c>
      <c r="C51" s="15">
        <v>25</v>
      </c>
    </row>
    <row r="52" spans="2:6" ht="14.25" x14ac:dyDescent="0.45"/>
    <row r="53" spans="2:6" ht="15" customHeight="1" x14ac:dyDescent="0.45">
      <c r="B53" s="5" t="s">
        <v>45</v>
      </c>
      <c r="C53" s="5"/>
      <c r="D53" s="5"/>
      <c r="E53" s="5"/>
      <c r="F53" s="5"/>
    </row>
    <row r="54" spans="2:6" ht="15" customHeight="1" x14ac:dyDescent="0.45">
      <c r="B54" s="13" t="s">
        <v>46</v>
      </c>
    </row>
    <row r="55" spans="2:6" ht="15" customHeight="1" x14ac:dyDescent="0.45">
      <c r="B55" s="6" t="s">
        <v>47</v>
      </c>
      <c r="C55" s="10">
        <v>0.36</v>
      </c>
    </row>
    <row r="56" spans="2:6" ht="15" customHeight="1" x14ac:dyDescent="0.45">
      <c r="B56" s="6" t="s">
        <v>48</v>
      </c>
      <c r="C56" s="10">
        <v>0.19</v>
      </c>
    </row>
    <row r="57" spans="2:6" ht="15" customHeight="1" x14ac:dyDescent="0.45">
      <c r="B57" s="6" t="s">
        <v>49</v>
      </c>
      <c r="C57" s="10">
        <v>0.45</v>
      </c>
    </row>
    <row r="58" spans="2:6" ht="15" customHeight="1" x14ac:dyDescent="0.45">
      <c r="B58" s="6" t="s">
        <v>50</v>
      </c>
      <c r="C58" s="14">
        <v>4.4999999999999997E-3</v>
      </c>
    </row>
    <row r="59" spans="2:6" ht="15" customHeight="1" x14ac:dyDescent="0.45">
      <c r="B59" s="6" t="s">
        <v>51</v>
      </c>
      <c r="C59" s="14">
        <v>2E-3</v>
      </c>
    </row>
    <row r="60" spans="2:6" ht="15" customHeight="1" x14ac:dyDescent="0.45">
      <c r="B60" s="6" t="s">
        <v>52</v>
      </c>
      <c r="C60" s="10">
        <v>0.68</v>
      </c>
    </row>
    <row r="61" spans="2:6" ht="15" customHeight="1" x14ac:dyDescent="0.45">
      <c r="B61" s="6" t="s">
        <v>53</v>
      </c>
      <c r="C61" s="10">
        <v>0.16</v>
      </c>
    </row>
    <row r="62" spans="2:6" ht="15" customHeight="1" x14ac:dyDescent="0.45">
      <c r="B62" s="6" t="s">
        <v>54</v>
      </c>
      <c r="C62" s="10">
        <v>0.16</v>
      </c>
    </row>
    <row r="63" spans="2:6" ht="15" customHeight="1" x14ac:dyDescent="0.45">
      <c r="B63" s="6" t="s">
        <v>55</v>
      </c>
      <c r="C63" s="15">
        <v>9</v>
      </c>
    </row>
    <row r="64" spans="2:6" ht="15" customHeight="1" x14ac:dyDescent="0.45">
      <c r="B64" s="6" t="s">
        <v>56</v>
      </c>
      <c r="C64" s="15">
        <v>20</v>
      </c>
    </row>
    <row r="65" spans="2:6" ht="15" customHeight="1" x14ac:dyDescent="0.45">
      <c r="B65" s="67" t="s">
        <v>292</v>
      </c>
      <c r="C65" s="15">
        <v>6</v>
      </c>
    </row>
    <row r="66" spans="2:6" ht="15" customHeight="1" x14ac:dyDescent="0.45">
      <c r="B66" s="6" t="s">
        <v>57</v>
      </c>
      <c r="C66" s="10">
        <v>0.12</v>
      </c>
    </row>
    <row r="67" spans="2:6" ht="15" customHeight="1" x14ac:dyDescent="0.45">
      <c r="B67" s="6" t="s">
        <v>58</v>
      </c>
      <c r="C67" s="10">
        <v>0.08</v>
      </c>
    </row>
    <row r="68" spans="2:6" ht="15" customHeight="1" x14ac:dyDescent="0.45">
      <c r="B68" s="6" t="s">
        <v>59</v>
      </c>
      <c r="C68" s="14">
        <v>5.4999999999999997E-3</v>
      </c>
    </row>
    <row r="69" spans="2:6" ht="15" customHeight="1" x14ac:dyDescent="0.45">
      <c r="B69" s="6" t="s">
        <v>60</v>
      </c>
      <c r="C69" s="10">
        <v>7.0000000000000007E-2</v>
      </c>
    </row>
    <row r="70" spans="2:6" ht="15" customHeight="1" x14ac:dyDescent="0.45">
      <c r="B70" s="6" t="s">
        <v>61</v>
      </c>
      <c r="C70" s="9">
        <v>250</v>
      </c>
    </row>
    <row r="71" spans="2:6" ht="15" customHeight="1" x14ac:dyDescent="0.45">
      <c r="B71" s="6" t="s">
        <v>62</v>
      </c>
      <c r="C71" s="15">
        <v>4</v>
      </c>
    </row>
    <row r="72" spans="2:6" ht="15" customHeight="1" x14ac:dyDescent="0.45">
      <c r="B72" s="6" t="s">
        <v>63</v>
      </c>
      <c r="C72" s="15">
        <v>12</v>
      </c>
    </row>
    <row r="73" spans="2:6" ht="14.25" x14ac:dyDescent="0.45"/>
    <row r="74" spans="2:6" ht="15" customHeight="1" x14ac:dyDescent="0.45">
      <c r="B74" s="5" t="s">
        <v>64</v>
      </c>
      <c r="C74" s="5"/>
      <c r="D74" s="5"/>
      <c r="E74" s="5"/>
      <c r="F74" s="5"/>
    </row>
    <row r="75" spans="2:6" ht="15" customHeight="1" x14ac:dyDescent="0.45">
      <c r="B75" s="6" t="s">
        <v>65</v>
      </c>
      <c r="C75" s="9">
        <v>26000</v>
      </c>
    </row>
    <row r="76" spans="2:6" ht="15" customHeight="1" x14ac:dyDescent="0.45">
      <c r="B76" s="6" t="s">
        <v>66</v>
      </c>
      <c r="C76" s="10">
        <v>0.2</v>
      </c>
    </row>
    <row r="77" spans="2:6" ht="14.25" x14ac:dyDescent="0.45"/>
    <row r="78" spans="2:6" ht="15" customHeight="1" x14ac:dyDescent="0.45">
      <c r="B78" s="5" t="s">
        <v>67</v>
      </c>
      <c r="C78" s="5"/>
      <c r="D78" s="5"/>
      <c r="E78" s="5"/>
      <c r="F78" s="5"/>
    </row>
    <row r="79" spans="2:6" ht="15" customHeight="1" x14ac:dyDescent="0.45">
      <c r="B79" s="13" t="s">
        <v>68</v>
      </c>
    </row>
    <row r="80" spans="2:6" ht="15" customHeight="1" x14ac:dyDescent="0.45">
      <c r="B80" s="6" t="s">
        <v>69</v>
      </c>
      <c r="C80" s="10">
        <v>0.11</v>
      </c>
    </row>
    <row r="81" spans="2:3" ht="15" customHeight="1" x14ac:dyDescent="0.45">
      <c r="B81" s="6" t="s">
        <v>70</v>
      </c>
      <c r="C81" s="10">
        <v>0.05</v>
      </c>
    </row>
  </sheetData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FE9E0"/>
    <pageSetUpPr fitToPage="1"/>
  </sheetPr>
  <dimension ref="B1:G97"/>
  <sheetViews>
    <sheetView showGridLines="0" zoomScale="150" zoomScaleNormal="150" workbookViewId="0"/>
  </sheetViews>
  <sheetFormatPr defaultColWidth="8.6640625" defaultRowHeight="15" customHeight="1" x14ac:dyDescent="0.45"/>
  <cols>
    <col min="1" max="1" width="2.46484375" customWidth="1"/>
    <col min="2" max="2" width="46" customWidth="1"/>
    <col min="3" max="8" width="15" customWidth="1"/>
  </cols>
  <sheetData>
    <row r="1" spans="2:7" ht="7.5" customHeight="1" x14ac:dyDescent="0.45"/>
    <row r="2" spans="2:7" ht="18" customHeight="1" x14ac:dyDescent="0.45">
      <c r="B2" s="1" t="s">
        <v>71</v>
      </c>
      <c r="C2" s="2"/>
      <c r="D2" s="2"/>
      <c r="E2" s="2"/>
      <c r="F2" s="2"/>
      <c r="G2" s="2"/>
    </row>
    <row r="3" spans="2:7" ht="15" customHeight="1" x14ac:dyDescent="0.45">
      <c r="B3" s="3" t="s">
        <v>72</v>
      </c>
    </row>
    <row r="4" spans="2:7" ht="15" customHeight="1" x14ac:dyDescent="0.45">
      <c r="B4" s="4" t="s">
        <v>73</v>
      </c>
    </row>
    <row r="5" spans="2:7" ht="6" customHeight="1" x14ac:dyDescent="0.45"/>
    <row r="6" spans="2:7" ht="15" customHeight="1" x14ac:dyDescent="0.45">
      <c r="B6" s="5" t="s">
        <v>74</v>
      </c>
      <c r="C6" s="5"/>
      <c r="D6" s="5"/>
      <c r="E6" s="5"/>
      <c r="F6" s="5"/>
      <c r="G6" s="5"/>
    </row>
    <row r="7" spans="2:7" ht="15" customHeight="1" x14ac:dyDescent="0.45">
      <c r="B7" s="16" t="s">
        <v>75</v>
      </c>
      <c r="C7" s="17">
        <f>Assumptions!C13</f>
        <v>57087.426249999997</v>
      </c>
    </row>
    <row r="8" spans="2:7" ht="15" customHeight="1" x14ac:dyDescent="0.45">
      <c r="B8" s="16" t="s">
        <v>76</v>
      </c>
      <c r="C8" s="17">
        <f>Assumptions!C47</f>
        <v>50000</v>
      </c>
    </row>
    <row r="9" spans="2:7" ht="15" customHeight="1" x14ac:dyDescent="0.45">
      <c r="B9" s="16" t="s">
        <v>77</v>
      </c>
      <c r="C9" s="17">
        <f>Assumptions!C43</f>
        <v>127200</v>
      </c>
    </row>
    <row r="10" spans="2:7" ht="15" customHeight="1" x14ac:dyDescent="0.45">
      <c r="B10" s="16" t="s">
        <v>78</v>
      </c>
      <c r="C10" s="17">
        <f>Assumptions!C20</f>
        <v>6768</v>
      </c>
    </row>
    <row r="11" spans="2:7" ht="15" customHeight="1" x14ac:dyDescent="0.45">
      <c r="B11" s="16" t="s">
        <v>79</v>
      </c>
      <c r="C11" s="17">
        <f>Assumptions!C42</f>
        <v>2565</v>
      </c>
    </row>
    <row r="12" spans="2:7" ht="15" customHeight="1" x14ac:dyDescent="0.45">
      <c r="B12" s="16" t="s">
        <v>25</v>
      </c>
      <c r="C12" s="17">
        <f>Assumptions!C30</f>
        <v>2652.288</v>
      </c>
    </row>
    <row r="13" spans="2:7" ht="15" customHeight="1" x14ac:dyDescent="0.45">
      <c r="B13" s="16" t="s">
        <v>80</v>
      </c>
      <c r="C13" s="18">
        <f>Assumptions!C31</f>
        <v>4</v>
      </c>
    </row>
    <row r="14" spans="2:7" ht="15" customHeight="1" x14ac:dyDescent="0.45">
      <c r="B14" s="16" t="s">
        <v>81</v>
      </c>
      <c r="C14" s="19">
        <f>Assumptions!C23</f>
        <v>0.02</v>
      </c>
    </row>
    <row r="15" spans="2:7" ht="15" customHeight="1" x14ac:dyDescent="0.45">
      <c r="B15" s="16" t="s">
        <v>82</v>
      </c>
      <c r="C15" s="19">
        <f>Assumptions!C37</f>
        <v>0.2</v>
      </c>
    </row>
    <row r="16" spans="2:7" ht="15" customHeight="1" x14ac:dyDescent="0.45">
      <c r="B16" s="16" t="s">
        <v>83</v>
      </c>
      <c r="C16" s="17">
        <f>Assumptions!C22</f>
        <v>1000</v>
      </c>
    </row>
    <row r="17" spans="2:7" ht="15" customHeight="1" x14ac:dyDescent="0.45">
      <c r="B17" s="16" t="s">
        <v>84</v>
      </c>
      <c r="C17" s="17">
        <f>Assumptions!C41</f>
        <v>8550</v>
      </c>
    </row>
    <row r="18" spans="2:7" ht="15" customHeight="1" x14ac:dyDescent="0.45">
      <c r="B18" s="16" t="s">
        <v>85</v>
      </c>
      <c r="C18" s="19">
        <f>Assumptions!C38</f>
        <v>0.03</v>
      </c>
    </row>
    <row r="19" spans="2:7" ht="15" customHeight="1" x14ac:dyDescent="0.45">
      <c r="B19" s="16" t="s">
        <v>86</v>
      </c>
      <c r="C19" s="17">
        <f>Assumptions!C21</f>
        <v>446</v>
      </c>
    </row>
    <row r="20" spans="2:7" ht="15" customHeight="1" x14ac:dyDescent="0.45">
      <c r="B20" s="16" t="s">
        <v>41</v>
      </c>
      <c r="C20" s="19">
        <f>Assumptions!C48</f>
        <v>8.5000000000000006E-2</v>
      </c>
    </row>
    <row r="21" spans="2:7" ht="15" customHeight="1" x14ac:dyDescent="0.45">
      <c r="B21" s="16" t="s">
        <v>42</v>
      </c>
      <c r="C21" s="19">
        <f>Assumptions!C49</f>
        <v>0.2</v>
      </c>
    </row>
    <row r="22" spans="2:7" ht="15" customHeight="1" x14ac:dyDescent="0.45">
      <c r="B22" s="16" t="s">
        <v>87</v>
      </c>
      <c r="C22" s="20">
        <f>Assumptions!C50</f>
        <v>9</v>
      </c>
    </row>
    <row r="23" spans="2:7" ht="15" customHeight="1" x14ac:dyDescent="0.45">
      <c r="B23" s="16" t="s">
        <v>88</v>
      </c>
      <c r="C23" s="20">
        <f>Assumptions!C51</f>
        <v>25</v>
      </c>
    </row>
    <row r="24" spans="2:7" ht="15" customHeight="1" x14ac:dyDescent="0.45">
      <c r="B24" s="16" t="s">
        <v>8</v>
      </c>
      <c r="C24" s="18">
        <f>Assumptions!C11</f>
        <v>4</v>
      </c>
    </row>
    <row r="25" spans="2:7" ht="15" customHeight="1" x14ac:dyDescent="0.45">
      <c r="B25" s="16" t="s">
        <v>89</v>
      </c>
      <c r="C25" s="17">
        <f>Assumptions!C75</f>
        <v>26000</v>
      </c>
    </row>
    <row r="26" spans="2:7" ht="15" customHeight="1" x14ac:dyDescent="0.45">
      <c r="B26" s="16" t="s">
        <v>66</v>
      </c>
      <c r="C26" s="19">
        <f>Assumptions!C76</f>
        <v>0.2</v>
      </c>
    </row>
    <row r="27" spans="2:7" ht="14.25" x14ac:dyDescent="0.45"/>
    <row r="28" spans="2:7" ht="15" customHeight="1" x14ac:dyDescent="0.45">
      <c r="B28" s="5" t="s">
        <v>90</v>
      </c>
      <c r="C28" s="5"/>
      <c r="D28" s="5"/>
      <c r="E28" s="5"/>
      <c r="F28" s="5"/>
      <c r="G28" s="5"/>
    </row>
    <row r="29" spans="2:7" ht="15" customHeight="1" x14ac:dyDescent="0.45">
      <c r="B29" s="6" t="s">
        <v>91</v>
      </c>
      <c r="C29" s="21">
        <f>C7</f>
        <v>57087.426249999997</v>
      </c>
    </row>
    <row r="30" spans="2:7" ht="15" customHeight="1" x14ac:dyDescent="0.45">
      <c r="B30" s="22" t="s">
        <v>92</v>
      </c>
      <c r="C30" s="21">
        <f>C8</f>
        <v>50000</v>
      </c>
    </row>
    <row r="31" spans="2:7" ht="15" customHeight="1" x14ac:dyDescent="0.45">
      <c r="B31" s="23" t="s">
        <v>93</v>
      </c>
      <c r="C31" s="12">
        <f>C7-C8</f>
        <v>7087.4262499999968</v>
      </c>
    </row>
    <row r="32" spans="2:7" ht="15" customHeight="1" x14ac:dyDescent="0.45">
      <c r="B32" s="6" t="s">
        <v>94</v>
      </c>
      <c r="C32" s="21">
        <f>C9</f>
        <v>127200</v>
      </c>
    </row>
    <row r="33" spans="2:7" ht="15" customHeight="1" x14ac:dyDescent="0.45">
      <c r="B33" s="11" t="s">
        <v>95</v>
      </c>
      <c r="C33" s="12">
        <f>C31+C9</f>
        <v>134287.42624999999</v>
      </c>
    </row>
    <row r="34" spans="2:7" ht="15" customHeight="1" x14ac:dyDescent="0.45">
      <c r="B34" s="16" t="s">
        <v>96</v>
      </c>
      <c r="C34" s="24">
        <f>C31/C33</f>
        <v>5.2778033267280651E-2</v>
      </c>
    </row>
    <row r="35" spans="2:7" ht="15" customHeight="1" x14ac:dyDescent="0.45">
      <c r="B35" s="16" t="s">
        <v>97</v>
      </c>
      <c r="C35" s="24">
        <f>C9/C33</f>
        <v>0.94722196673271941</v>
      </c>
    </row>
    <row r="36" spans="2:7" ht="15" customHeight="1" x14ac:dyDescent="0.45">
      <c r="B36" s="16" t="s">
        <v>98</v>
      </c>
      <c r="C36" s="24">
        <f>C31/C25</f>
        <v>0.27259331730769221</v>
      </c>
    </row>
    <row r="37" spans="2:7" ht="15" customHeight="1" x14ac:dyDescent="0.45">
      <c r="B37" s="6" t="s">
        <v>99</v>
      </c>
      <c r="C37" s="21">
        <f>C10+C11</f>
        <v>9333</v>
      </c>
    </row>
    <row r="38" spans="2:7" ht="15" customHeight="1" x14ac:dyDescent="0.45">
      <c r="B38" s="16" t="s">
        <v>100</v>
      </c>
      <c r="C38" s="25">
        <f>C8/C37</f>
        <v>5.3573341905068039</v>
      </c>
    </row>
    <row r="39" spans="2:7" ht="14.25" x14ac:dyDescent="0.45"/>
    <row r="40" spans="2:7" ht="15" customHeight="1" x14ac:dyDescent="0.45">
      <c r="B40" s="5" t="s">
        <v>101</v>
      </c>
      <c r="C40" s="5"/>
      <c r="D40" s="5"/>
      <c r="E40" s="5"/>
      <c r="F40" s="5"/>
      <c r="G40" s="5"/>
    </row>
    <row r="41" spans="2:7" ht="15" customHeight="1" x14ac:dyDescent="0.45">
      <c r="B41" s="26"/>
      <c r="C41" s="26" t="s">
        <v>102</v>
      </c>
      <c r="D41" s="26" t="s">
        <v>103</v>
      </c>
      <c r="E41" s="26" t="s">
        <v>104</v>
      </c>
      <c r="F41" s="26" t="s">
        <v>105</v>
      </c>
    </row>
    <row r="42" spans="2:7" ht="15" customHeight="1" x14ac:dyDescent="0.45">
      <c r="B42" s="6" t="s">
        <v>106</v>
      </c>
      <c r="C42" s="21">
        <f>$C$10*(1+$C$14)</f>
        <v>6903.36</v>
      </c>
      <c r="D42" s="21">
        <f>C42*(1+$C$14)</f>
        <v>7041.4272000000001</v>
      </c>
      <c r="E42" s="21">
        <f>D42*(1+$C$14)</f>
        <v>7182.255744</v>
      </c>
      <c r="F42" s="21">
        <f>E42*(1+$C$14)</f>
        <v>7325.9008588799998</v>
      </c>
    </row>
    <row r="43" spans="2:7" ht="15" customHeight="1" x14ac:dyDescent="0.45">
      <c r="B43" s="6" t="s">
        <v>107</v>
      </c>
      <c r="C43" s="21">
        <f>$C$12*1/$C$13</f>
        <v>663.072</v>
      </c>
      <c r="D43" s="21">
        <f>$C$12*2/$C$13</f>
        <v>1326.144</v>
      </c>
      <c r="E43" s="21">
        <f>$C$12*3/$C$13</f>
        <v>1989.2159999999999</v>
      </c>
      <c r="F43" s="21">
        <f>$C$12*4/$C$13</f>
        <v>2652.288</v>
      </c>
    </row>
    <row r="44" spans="2:7" ht="15" customHeight="1" x14ac:dyDescent="0.45">
      <c r="B44" s="6" t="s">
        <v>108</v>
      </c>
      <c r="C44" s="21">
        <f>$C$11*(1+$C$15)</f>
        <v>3078</v>
      </c>
      <c r="D44" s="21">
        <f>C44*(1+$C$15)</f>
        <v>3693.6</v>
      </c>
      <c r="E44" s="21">
        <f>D44*(1+$C$15)</f>
        <v>4432.32</v>
      </c>
      <c r="F44" s="21">
        <f>E44*(1+$C$15)</f>
        <v>5318.7839999999997</v>
      </c>
    </row>
    <row r="45" spans="2:7" ht="15" customHeight="1" x14ac:dyDescent="0.45">
      <c r="B45" s="11" t="s">
        <v>109</v>
      </c>
      <c r="C45" s="12">
        <f>C42+C43+C44</f>
        <v>10644.432000000001</v>
      </c>
      <c r="D45" s="12">
        <f>D42+D43+D44</f>
        <v>12061.171200000001</v>
      </c>
      <c r="E45" s="12">
        <f>E42+E43+E44</f>
        <v>13603.791744</v>
      </c>
      <c r="F45" s="12">
        <f>F42+F43+F44</f>
        <v>15296.972858879999</v>
      </c>
    </row>
    <row r="46" spans="2:7" ht="15" customHeight="1" x14ac:dyDescent="0.45">
      <c r="B46" s="6" t="s">
        <v>18</v>
      </c>
      <c r="C46" s="21">
        <f>-($C$16*(1+$C$14)^1+$C$17*(1+$C$15)^1*$C$18)</f>
        <v>-1327.8</v>
      </c>
      <c r="D46" s="21">
        <f>-($C$16*(1+$C$14)^2+$C$17*(1+$C$15)^2*$C$18)</f>
        <v>-1409.7600000000002</v>
      </c>
      <c r="E46" s="21">
        <f>-($C$16*(1+$C$14)^3+$C$17*(1+$C$15)^3*$C$18)</f>
        <v>-1504.4399999999998</v>
      </c>
      <c r="F46" s="21">
        <f>-($C$16*(1+$C$14)^4+$C$17*(1+$C$15)^4*$C$18)</f>
        <v>-1614.3105599999999</v>
      </c>
    </row>
    <row r="47" spans="2:7" ht="15" customHeight="1" x14ac:dyDescent="0.45">
      <c r="B47" s="6" t="s">
        <v>110</v>
      </c>
      <c r="C47" s="21">
        <f>C8</f>
        <v>50000</v>
      </c>
      <c r="D47" s="21">
        <f>C52</f>
        <v>46123.054400000001</v>
      </c>
      <c r="E47" s="21">
        <f>D52</f>
        <v>40931.045139200003</v>
      </c>
      <c r="F47" s="21">
        <f>E52</f>
        <v>34246.5628134656</v>
      </c>
    </row>
    <row r="48" spans="2:7" ht="15" customHeight="1" x14ac:dyDescent="0.45">
      <c r="B48" s="6" t="s">
        <v>111</v>
      </c>
      <c r="C48" s="21">
        <f>-C47*$C$20</f>
        <v>-4250</v>
      </c>
      <c r="D48" s="21">
        <f>-D47*$C$20</f>
        <v>-3920.4596240000005</v>
      </c>
      <c r="E48" s="21">
        <f>-E47*$C$20</f>
        <v>-3479.1388368320004</v>
      </c>
      <c r="F48" s="21">
        <f>-F47*$C$20</f>
        <v>-2910.9578391445762</v>
      </c>
    </row>
    <row r="49" spans="2:7" ht="15" customHeight="1" x14ac:dyDescent="0.45">
      <c r="B49" s="6" t="s">
        <v>112</v>
      </c>
      <c r="C49" s="21">
        <f>-MAX(0,C45-$C$19+C48)*$C$21</f>
        <v>-1189.6864000000003</v>
      </c>
      <c r="D49" s="21">
        <f>-MAX(0,D45-$C$19+D48)*$C$21</f>
        <v>-1538.9423151999999</v>
      </c>
      <c r="E49" s="21">
        <f>-MAX(0,E45-$C$19+E48)*$C$21</f>
        <v>-1935.7305814336</v>
      </c>
      <c r="F49" s="21">
        <f>-MAX(0,F45-$C$19+F48)*$C$21</f>
        <v>-2388.0030039470848</v>
      </c>
    </row>
    <row r="50" spans="2:7" ht="15" customHeight="1" x14ac:dyDescent="0.45">
      <c r="B50" s="11" t="s">
        <v>113</v>
      </c>
      <c r="C50" s="12">
        <f>C45+C46+C48+C49</f>
        <v>3876.9456000000009</v>
      </c>
      <c r="D50" s="12">
        <f>D45+D46+D48+D49</f>
        <v>5192.0092607999995</v>
      </c>
      <c r="E50" s="12">
        <f>E45+E46+E48+E49</f>
        <v>6684.4823257343996</v>
      </c>
      <c r="F50" s="12">
        <f>F45+F46+F48+F49</f>
        <v>8383.7014557883376</v>
      </c>
    </row>
    <row r="51" spans="2:7" ht="15" customHeight="1" x14ac:dyDescent="0.45">
      <c r="B51" s="6" t="s">
        <v>114</v>
      </c>
      <c r="C51" s="21">
        <f>-MIN(C47,MAX(0,C50))</f>
        <v>-3876.9456000000009</v>
      </c>
      <c r="D51" s="21">
        <f>-MIN(D47,MAX(0,D50))</f>
        <v>-5192.0092607999995</v>
      </c>
      <c r="E51" s="21">
        <f>-MIN(E47,MAX(0,E50))</f>
        <v>-6684.4823257343996</v>
      </c>
      <c r="F51" s="21">
        <f>-MIN(F47,MAX(0,F50))</f>
        <v>-8383.7014557883376</v>
      </c>
    </row>
    <row r="52" spans="2:7" ht="15" customHeight="1" x14ac:dyDescent="0.45">
      <c r="B52" s="11" t="s">
        <v>115</v>
      </c>
      <c r="C52" s="12">
        <f>C47+C51</f>
        <v>46123.054400000001</v>
      </c>
      <c r="D52" s="12">
        <f>D47+D51</f>
        <v>40931.045139200003</v>
      </c>
      <c r="E52" s="12">
        <f>E47+E51</f>
        <v>34246.5628134656</v>
      </c>
      <c r="F52" s="12">
        <f>F47+F51</f>
        <v>25862.861357677262</v>
      </c>
    </row>
    <row r="53" spans="2:7" ht="15" customHeight="1" x14ac:dyDescent="0.45">
      <c r="B53" s="16" t="s">
        <v>116</v>
      </c>
      <c r="C53" s="25">
        <f>C52/C45</f>
        <v>4.333068631562492</v>
      </c>
      <c r="D53" s="25">
        <f>D52/D45</f>
        <v>3.3936211053201863</v>
      </c>
      <c r="E53" s="25">
        <f>E52/E45</f>
        <v>2.5174277479343337</v>
      </c>
      <c r="F53" s="25">
        <f>F52/F45</f>
        <v>1.6907176077431354</v>
      </c>
    </row>
    <row r="54" spans="2:7" ht="15" customHeight="1" x14ac:dyDescent="0.45">
      <c r="B54" s="16" t="s">
        <v>117</v>
      </c>
      <c r="C54" s="25">
        <f>C45/-C48</f>
        <v>2.504572235294118</v>
      </c>
      <c r="D54" s="25">
        <f>D45/-D48</f>
        <v>3.0764686686644471</v>
      </c>
      <c r="E54" s="25">
        <f>E45/-E48</f>
        <v>3.9101031554081946</v>
      </c>
      <c r="F54" s="25">
        <f>F45/-F48</f>
        <v>5.2549620105027763</v>
      </c>
    </row>
    <row r="55" spans="2:7" ht="14.25" x14ac:dyDescent="0.45"/>
    <row r="56" spans="2:7" ht="15" customHeight="1" x14ac:dyDescent="0.45">
      <c r="B56" s="5" t="s">
        <v>118</v>
      </c>
      <c r="C56" s="5"/>
      <c r="D56" s="5"/>
      <c r="E56" s="5"/>
      <c r="F56" s="5"/>
      <c r="G56" s="5"/>
    </row>
    <row r="57" spans="2:7" ht="15" customHeight="1" x14ac:dyDescent="0.45">
      <c r="B57" s="6" t="s">
        <v>119</v>
      </c>
      <c r="C57" s="21">
        <f>F42+F43</f>
        <v>9978.1888588799993</v>
      </c>
    </row>
    <row r="58" spans="2:7" ht="15" customHeight="1" x14ac:dyDescent="0.45">
      <c r="B58" s="6" t="s">
        <v>120</v>
      </c>
      <c r="C58" s="21">
        <f>F44</f>
        <v>5318.7839999999997</v>
      </c>
    </row>
    <row r="59" spans="2:7" ht="15" customHeight="1" x14ac:dyDescent="0.45">
      <c r="B59" s="6" t="s">
        <v>121</v>
      </c>
      <c r="C59" s="21">
        <f>C57*C22</f>
        <v>89803.699729919987</v>
      </c>
    </row>
    <row r="60" spans="2:7" ht="15" customHeight="1" x14ac:dyDescent="0.45">
      <c r="B60" s="6" t="s">
        <v>122</v>
      </c>
      <c r="C60" s="21">
        <f>C58*C23</f>
        <v>132969.59999999998</v>
      </c>
    </row>
    <row r="61" spans="2:7" ht="15" customHeight="1" x14ac:dyDescent="0.45">
      <c r="B61" s="11" t="s">
        <v>123</v>
      </c>
      <c r="C61" s="12">
        <f>C59+C60</f>
        <v>222773.29972991996</v>
      </c>
    </row>
    <row r="62" spans="2:7" ht="15" customHeight="1" x14ac:dyDescent="0.45">
      <c r="B62" s="6" t="s">
        <v>124</v>
      </c>
      <c r="C62" s="21">
        <f>-F52</f>
        <v>-25862.861357677262</v>
      </c>
    </row>
    <row r="63" spans="2:7" ht="15" customHeight="1" x14ac:dyDescent="0.45">
      <c r="B63" s="11" t="s">
        <v>125</v>
      </c>
      <c r="C63" s="12">
        <f>C61+C62</f>
        <v>196910.4383722427</v>
      </c>
    </row>
    <row r="64" spans="2:7" ht="14.25" x14ac:dyDescent="0.45"/>
    <row r="65" spans="2:7" ht="15" customHeight="1" x14ac:dyDescent="0.45">
      <c r="B65" s="5" t="s">
        <v>126</v>
      </c>
      <c r="C65" s="5"/>
      <c r="D65" s="5"/>
      <c r="E65" s="5"/>
      <c r="F65" s="5"/>
      <c r="G65" s="5"/>
    </row>
    <row r="66" spans="2:7" ht="15" customHeight="1" x14ac:dyDescent="0.45">
      <c r="B66" s="6" t="s">
        <v>127</v>
      </c>
      <c r="C66" s="21">
        <f>C63*C34</f>
        <v>10392.545667085042</v>
      </c>
    </row>
    <row r="67" spans="2:7" ht="15" customHeight="1" x14ac:dyDescent="0.45">
      <c r="B67" s="6" t="s">
        <v>128</v>
      </c>
      <c r="C67" s="21">
        <f>C31</f>
        <v>7087.4262499999968</v>
      </c>
    </row>
    <row r="68" spans="2:7" ht="15" customHeight="1" x14ac:dyDescent="0.45">
      <c r="B68" s="11" t="s">
        <v>129</v>
      </c>
      <c r="C68" s="27">
        <f>C66/C67</f>
        <v>1.46633563447451</v>
      </c>
    </row>
    <row r="69" spans="2:7" ht="15" customHeight="1" x14ac:dyDescent="0.45">
      <c r="B69" s="11" t="s">
        <v>130</v>
      </c>
      <c r="C69" s="28">
        <f>(C66/C67)^(1/C24)-1</f>
        <v>0.10041967608186808</v>
      </c>
    </row>
    <row r="70" spans="2:7" ht="15" customHeight="1" x14ac:dyDescent="0.45">
      <c r="B70" s="16" t="s">
        <v>131</v>
      </c>
      <c r="C70" s="24">
        <f>C69-C26</f>
        <v>-9.958032391813193E-2</v>
      </c>
    </row>
    <row r="71" spans="2:7" ht="14.25" x14ac:dyDescent="0.45"/>
    <row r="72" spans="2:7" ht="15" customHeight="1" x14ac:dyDescent="0.45">
      <c r="B72" s="13" t="s">
        <v>132</v>
      </c>
    </row>
    <row r="73" spans="2:7" ht="14.25" x14ac:dyDescent="0.45"/>
    <row r="74" spans="2:7" ht="15" customHeight="1" x14ac:dyDescent="0.45">
      <c r="B74" s="5" t="s">
        <v>133</v>
      </c>
      <c r="C74" s="5"/>
      <c r="D74" s="5"/>
      <c r="E74" s="5"/>
      <c r="F74" s="5"/>
      <c r="G74" s="5"/>
    </row>
    <row r="75" spans="2:7" ht="15" customHeight="1" x14ac:dyDescent="0.45">
      <c r="B75" s="13" t="s">
        <v>134</v>
      </c>
    </row>
    <row r="76" spans="2:7" ht="15" customHeight="1" x14ac:dyDescent="0.45">
      <c r="B76" s="16" t="s">
        <v>135</v>
      </c>
      <c r="C76" s="19">
        <f>Assumptions!C80</f>
        <v>0.11</v>
      </c>
    </row>
    <row r="77" spans="2:7" ht="15" customHeight="1" x14ac:dyDescent="0.45">
      <c r="B77" s="16" t="s">
        <v>70</v>
      </c>
      <c r="C77" s="19">
        <f>Assumptions!C81</f>
        <v>0.05</v>
      </c>
    </row>
    <row r="78" spans="2:7" ht="15" customHeight="1" x14ac:dyDescent="0.45">
      <c r="B78" s="6" t="s">
        <v>136</v>
      </c>
      <c r="C78" s="21">
        <f>C31</f>
        <v>7087.4262499999968</v>
      </c>
    </row>
    <row r="79" spans="2:7" ht="15" customHeight="1" x14ac:dyDescent="0.45">
      <c r="B79" s="11" t="s">
        <v>137</v>
      </c>
      <c r="C79" s="12">
        <f>C78*(1+C76)^C24</f>
        <v>10759.212073182262</v>
      </c>
    </row>
    <row r="80" spans="2:7" ht="15" customHeight="1" x14ac:dyDescent="0.45">
      <c r="B80" s="6" t="s">
        <v>125</v>
      </c>
      <c r="C80" s="21">
        <f>C63</f>
        <v>196910.4383722427</v>
      </c>
    </row>
    <row r="81" spans="2:7" ht="15" customHeight="1" x14ac:dyDescent="0.45">
      <c r="B81" s="6" t="s">
        <v>138</v>
      </c>
      <c r="C81" s="21">
        <f>MAX(0,C80-C79)</f>
        <v>186151.22629906045</v>
      </c>
    </row>
    <row r="82" spans="2:7" ht="15" customHeight="1" x14ac:dyDescent="0.45">
      <c r="B82" s="6" t="s">
        <v>139</v>
      </c>
      <c r="C82" s="21">
        <f>C81*C77</f>
        <v>9307.5613149530236</v>
      </c>
    </row>
    <row r="83" spans="2:7" ht="15" customHeight="1" x14ac:dyDescent="0.45">
      <c r="B83" s="11" t="s">
        <v>140</v>
      </c>
      <c r="C83" s="12">
        <f>MIN(C80,C79)+C82</f>
        <v>20066.773388135283</v>
      </c>
    </row>
    <row r="84" spans="2:7" ht="15" customHeight="1" x14ac:dyDescent="0.45">
      <c r="B84" s="11" t="s">
        <v>129</v>
      </c>
      <c r="C84" s="27">
        <f>C83/C78</f>
        <v>2.8313202395771375</v>
      </c>
    </row>
    <row r="85" spans="2:7" ht="15" customHeight="1" x14ac:dyDescent="0.45">
      <c r="B85" s="11" t="s">
        <v>130</v>
      </c>
      <c r="C85" s="28">
        <f>(C83/C78)^(1/C24)-1</f>
        <v>0.29717105227308749</v>
      </c>
    </row>
    <row r="86" spans="2:7" ht="15" customHeight="1" x14ac:dyDescent="0.45">
      <c r="B86" s="16" t="s">
        <v>131</v>
      </c>
      <c r="C86" s="24">
        <f>C85-C26</f>
        <v>9.7171052273087477E-2</v>
      </c>
    </row>
    <row r="87" spans="2:7" ht="15" customHeight="1" x14ac:dyDescent="0.45">
      <c r="B87" s="16" t="s">
        <v>141</v>
      </c>
      <c r="C87" s="24">
        <f>C85-C69</f>
        <v>0.19675137619121941</v>
      </c>
    </row>
    <row r="88" spans="2:7" ht="14.25" x14ac:dyDescent="0.45"/>
    <row r="89" spans="2:7" ht="15" customHeight="1" x14ac:dyDescent="0.45">
      <c r="B89" s="5" t="s">
        <v>142</v>
      </c>
      <c r="C89" s="5"/>
      <c r="D89" s="5"/>
      <c r="E89" s="5"/>
      <c r="F89" s="5"/>
      <c r="G89" s="5"/>
    </row>
    <row r="90" spans="2:7" ht="15" customHeight="1" x14ac:dyDescent="0.45">
      <c r="B90" s="26" t="s">
        <v>143</v>
      </c>
      <c r="C90" s="26" t="s">
        <v>144</v>
      </c>
      <c r="D90" s="26" t="s">
        <v>145</v>
      </c>
      <c r="E90" s="26" t="s">
        <v>146</v>
      </c>
    </row>
    <row r="91" spans="2:7" ht="15" customHeight="1" x14ac:dyDescent="0.45">
      <c r="B91" s="10">
        <v>0.4</v>
      </c>
      <c r="C91" s="21">
        <f>B91*$C$80</f>
        <v>78764.175348897086</v>
      </c>
      <c r="D91" s="29">
        <f>((MIN(C91,$C$79)+MAX(0,C91-$C$79)*$C$77)/$C$78)^(1/$C$24)-1</f>
        <v>0.1888841478467207</v>
      </c>
      <c r="E91" s="29">
        <f>((C91*$C$34)/$C$78)^(1/$C$24)-1</f>
        <v>-0.12486844225277094</v>
      </c>
    </row>
    <row r="92" spans="2:7" ht="15" customHeight="1" x14ac:dyDescent="0.45">
      <c r="B92" s="10">
        <v>0.6</v>
      </c>
      <c r="C92" s="21">
        <f>B92*$C$80</f>
        <v>118146.26302334561</v>
      </c>
      <c r="D92" s="29">
        <f>((MIN(C92,$C$79)+MAX(0,C92-$C$79)*$C$77)/$C$78)^(1/$C$24)-1</f>
        <v>0.22822177157041734</v>
      </c>
      <c r="E92" s="29">
        <f>((C92*$C$34)/$C$78)^(1/$C$24)-1</f>
        <v>-3.1507727681963638E-2</v>
      </c>
    </row>
    <row r="93" spans="2:7" ht="15" customHeight="1" x14ac:dyDescent="0.45">
      <c r="B93" s="10">
        <v>0.8</v>
      </c>
      <c r="C93" s="21">
        <f>B93*$C$80</f>
        <v>157528.35069779417</v>
      </c>
      <c r="D93" s="29">
        <f>((MIN(C93,$C$79)+MAX(0,C93-$C$79)*$C$77)/$C$78)^(1/$C$24)-1</f>
        <v>0.26410608547367653</v>
      </c>
      <c r="E93" s="29">
        <f>((C93*$C$34)/$C$78)^(1/$C$24)-1</f>
        <v>4.071267503641951E-2</v>
      </c>
    </row>
    <row r="94" spans="2:7" ht="15" customHeight="1" x14ac:dyDescent="0.45">
      <c r="B94" s="10">
        <v>1</v>
      </c>
      <c r="C94" s="30">
        <f>B94*$C$80</f>
        <v>196910.4383722427</v>
      </c>
      <c r="D94" s="29">
        <f>((MIN(C94,$C$79)+MAX(0,C94-$C$79)*$C$77)/$C$78)^(1/$C$24)-1</f>
        <v>0.29717105227308749</v>
      </c>
      <c r="E94" s="29">
        <f>((C94*$C$34)/$C$78)^(1/$C$24)-1</f>
        <v>0.10041967608186808</v>
      </c>
    </row>
    <row r="95" spans="2:7" ht="15" customHeight="1" x14ac:dyDescent="0.45">
      <c r="B95" s="10">
        <v>1.2</v>
      </c>
      <c r="C95" s="21">
        <f>B95*$C$80</f>
        <v>236292.52604669123</v>
      </c>
      <c r="D95" s="29">
        <f>((MIN(C95,$C$79)+MAX(0,C95-$C$79)*$C$77)/$C$78)^(1/$C$24)-1</f>
        <v>0.32788495545439744</v>
      </c>
      <c r="E95" s="29">
        <f>((C95*$C$34)/$C$78)^(1/$C$24)-1</f>
        <v>0.15173790106576179</v>
      </c>
    </row>
    <row r="96" spans="2:7" ht="14.25" x14ac:dyDescent="0.45"/>
    <row r="97" spans="2:2" ht="15" customHeight="1" x14ac:dyDescent="0.45">
      <c r="B97" s="13" t="s">
        <v>147</v>
      </c>
    </row>
  </sheetData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FE9E0"/>
    <pageSetUpPr fitToPage="1"/>
  </sheetPr>
  <dimension ref="B1:G92"/>
  <sheetViews>
    <sheetView showGridLines="0" zoomScale="150" zoomScaleNormal="150" workbookViewId="0"/>
  </sheetViews>
  <sheetFormatPr defaultColWidth="8.6640625" defaultRowHeight="15" customHeight="1" x14ac:dyDescent="0.45"/>
  <cols>
    <col min="1" max="1" width="2.46484375" customWidth="1"/>
    <col min="2" max="2" width="46" customWidth="1"/>
    <col min="3" max="8" width="15" customWidth="1"/>
  </cols>
  <sheetData>
    <row r="1" spans="2:7" ht="7.5" customHeight="1" x14ac:dyDescent="0.45"/>
    <row r="2" spans="2:7" ht="18" customHeight="1" x14ac:dyDescent="0.45">
      <c r="B2" s="1" t="s">
        <v>148</v>
      </c>
      <c r="C2" s="2"/>
      <c r="D2" s="2"/>
      <c r="E2" s="2"/>
      <c r="F2" s="2"/>
      <c r="G2" s="2"/>
    </row>
    <row r="3" spans="2:7" ht="15" customHeight="1" x14ac:dyDescent="0.45">
      <c r="B3" s="3" t="s">
        <v>149</v>
      </c>
    </row>
    <row r="4" spans="2:7" ht="15" customHeight="1" x14ac:dyDescent="0.45">
      <c r="B4" s="4" t="s">
        <v>73</v>
      </c>
    </row>
    <row r="5" spans="2:7" ht="6" customHeight="1" x14ac:dyDescent="0.45"/>
    <row r="6" spans="2:7" ht="15" customHeight="1" x14ac:dyDescent="0.45">
      <c r="B6" s="5" t="s">
        <v>74</v>
      </c>
      <c r="C6" s="5"/>
      <c r="D6" s="5"/>
      <c r="E6" s="5"/>
      <c r="F6" s="5"/>
      <c r="G6" s="5"/>
    </row>
    <row r="7" spans="2:7" ht="15" customHeight="1" x14ac:dyDescent="0.45">
      <c r="B7" s="16" t="s">
        <v>150</v>
      </c>
      <c r="C7" s="17">
        <f>Assumptions!C16</f>
        <v>1945792</v>
      </c>
    </row>
    <row r="8" spans="2:7" ht="15" customHeight="1" x14ac:dyDescent="0.45">
      <c r="B8" s="16" t="s">
        <v>151</v>
      </c>
      <c r="C8" s="17">
        <f>Assumptions!C18</f>
        <v>15600</v>
      </c>
    </row>
    <row r="9" spans="2:7" ht="15" customHeight="1" x14ac:dyDescent="0.45">
      <c r="B9" s="16" t="s">
        <v>78</v>
      </c>
      <c r="C9" s="17">
        <f>Assumptions!C20</f>
        <v>6768</v>
      </c>
    </row>
    <row r="10" spans="2:7" ht="15" customHeight="1" x14ac:dyDescent="0.45">
      <c r="B10" s="16" t="s">
        <v>86</v>
      </c>
      <c r="C10" s="17">
        <f>Assumptions!C21</f>
        <v>446</v>
      </c>
    </row>
    <row r="11" spans="2:7" ht="15" customHeight="1" x14ac:dyDescent="0.45">
      <c r="B11" s="16" t="s">
        <v>152</v>
      </c>
      <c r="C11" s="17">
        <f>Assumptions!C24</f>
        <v>9278</v>
      </c>
    </row>
    <row r="12" spans="2:7" ht="15" customHeight="1" x14ac:dyDescent="0.45">
      <c r="B12" s="16" t="s">
        <v>25</v>
      </c>
      <c r="C12" s="17">
        <f>Assumptions!C30</f>
        <v>2652.288</v>
      </c>
    </row>
    <row r="13" spans="2:7" ht="15" customHeight="1" x14ac:dyDescent="0.45">
      <c r="B13" s="16" t="s">
        <v>80</v>
      </c>
      <c r="C13" s="18">
        <f>Assumptions!C31</f>
        <v>4</v>
      </c>
    </row>
    <row r="14" spans="2:7" ht="15" customHeight="1" x14ac:dyDescent="0.45">
      <c r="B14" s="16" t="s">
        <v>75</v>
      </c>
      <c r="C14" s="17">
        <f>Assumptions!C13</f>
        <v>57087.426249999997</v>
      </c>
    </row>
    <row r="15" spans="2:7" ht="15" customHeight="1" x14ac:dyDescent="0.45">
      <c r="B15" s="16" t="s">
        <v>153</v>
      </c>
      <c r="C15" s="19">
        <f>Assumptions!C10</f>
        <v>2.5000000000000001E-2</v>
      </c>
    </row>
    <row r="16" spans="2:7" ht="15" customHeight="1" x14ac:dyDescent="0.45">
      <c r="B16" s="16" t="s">
        <v>154</v>
      </c>
      <c r="C16" s="19">
        <f>Assumptions!C55</f>
        <v>0.36</v>
      </c>
    </row>
    <row r="17" spans="2:3" ht="15" customHeight="1" x14ac:dyDescent="0.45">
      <c r="B17" s="16" t="s">
        <v>48</v>
      </c>
      <c r="C17" s="19">
        <f>Assumptions!C56</f>
        <v>0.19</v>
      </c>
    </row>
    <row r="18" spans="2:3" ht="15" customHeight="1" x14ac:dyDescent="0.45">
      <c r="B18" s="16" t="s">
        <v>49</v>
      </c>
      <c r="C18" s="19">
        <f>Assumptions!C57</f>
        <v>0.45</v>
      </c>
    </row>
    <row r="19" spans="2:3" ht="15" customHeight="1" x14ac:dyDescent="0.45">
      <c r="B19" s="16" t="s">
        <v>155</v>
      </c>
      <c r="C19" s="31">
        <f>Assumptions!C58</f>
        <v>4.4999999999999997E-3</v>
      </c>
    </row>
    <row r="20" spans="2:3" ht="15" customHeight="1" x14ac:dyDescent="0.45">
      <c r="B20" s="16" t="s">
        <v>156</v>
      </c>
      <c r="C20" s="31">
        <f>Assumptions!C59</f>
        <v>2E-3</v>
      </c>
    </row>
    <row r="21" spans="2:3" ht="15" customHeight="1" x14ac:dyDescent="0.45">
      <c r="B21" s="16" t="s">
        <v>157</v>
      </c>
      <c r="C21" s="19">
        <f>Assumptions!C60</f>
        <v>0.68</v>
      </c>
    </row>
    <row r="22" spans="2:3" ht="15" customHeight="1" x14ac:dyDescent="0.45">
      <c r="B22" s="16" t="s">
        <v>158</v>
      </c>
      <c r="C22" s="19">
        <f>Assumptions!C61</f>
        <v>0.16</v>
      </c>
    </row>
    <row r="23" spans="2:3" ht="15" customHeight="1" x14ac:dyDescent="0.45">
      <c r="B23" s="16" t="s">
        <v>159</v>
      </c>
      <c r="C23" s="19">
        <f>Assumptions!C62</f>
        <v>0.16</v>
      </c>
    </row>
    <row r="24" spans="2:3" ht="15" customHeight="1" x14ac:dyDescent="0.45">
      <c r="B24" s="16" t="s">
        <v>160</v>
      </c>
      <c r="C24" s="20">
        <f>Assumptions!C63</f>
        <v>9</v>
      </c>
    </row>
    <row r="25" spans="2:3" ht="15" customHeight="1" x14ac:dyDescent="0.45">
      <c r="B25" s="16" t="s">
        <v>161</v>
      </c>
      <c r="C25" s="20">
        <f>Assumptions!C64</f>
        <v>20</v>
      </c>
    </row>
    <row r="26" spans="2:3" ht="15" customHeight="1" x14ac:dyDescent="0.45">
      <c r="B26" s="16" t="s">
        <v>162</v>
      </c>
      <c r="C26" s="20">
        <f>Assumptions!C65</f>
        <v>6</v>
      </c>
    </row>
    <row r="27" spans="2:3" ht="15" customHeight="1" x14ac:dyDescent="0.45">
      <c r="B27" s="16" t="s">
        <v>163</v>
      </c>
      <c r="C27" s="19">
        <f>Assumptions!C66</f>
        <v>0.12</v>
      </c>
    </row>
    <row r="28" spans="2:3" ht="15" customHeight="1" x14ac:dyDescent="0.45">
      <c r="B28" s="16" t="s">
        <v>164</v>
      </c>
      <c r="C28" s="19">
        <f>Assumptions!C67</f>
        <v>0.08</v>
      </c>
    </row>
    <row r="29" spans="2:3" ht="15" customHeight="1" x14ac:dyDescent="0.45">
      <c r="B29" s="16" t="s">
        <v>59</v>
      </c>
      <c r="C29" s="31">
        <f>Assumptions!C68</f>
        <v>5.4999999999999997E-3</v>
      </c>
    </row>
    <row r="30" spans="2:3" ht="15" customHeight="1" x14ac:dyDescent="0.45">
      <c r="B30" s="16" t="s">
        <v>165</v>
      </c>
      <c r="C30" s="19">
        <f>Assumptions!C69</f>
        <v>7.0000000000000007E-2</v>
      </c>
    </row>
    <row r="31" spans="2:3" ht="15" customHeight="1" x14ac:dyDescent="0.45">
      <c r="B31" s="16" t="s">
        <v>166</v>
      </c>
      <c r="C31" s="17">
        <f>Assumptions!C70</f>
        <v>250</v>
      </c>
    </row>
    <row r="32" spans="2:3" ht="15" customHeight="1" x14ac:dyDescent="0.45">
      <c r="B32" s="16" t="s">
        <v>100</v>
      </c>
      <c r="C32" s="20">
        <f>Assumptions!C71</f>
        <v>4</v>
      </c>
    </row>
    <row r="33" spans="2:7" ht="15" customHeight="1" x14ac:dyDescent="0.45">
      <c r="B33" s="16" t="s">
        <v>167</v>
      </c>
      <c r="C33" s="20">
        <f>Assumptions!C72</f>
        <v>12</v>
      </c>
    </row>
    <row r="34" spans="2:7" ht="15" customHeight="1" x14ac:dyDescent="0.45">
      <c r="B34" s="16" t="s">
        <v>41</v>
      </c>
      <c r="C34" s="19">
        <f>Assumptions!C48</f>
        <v>8.5000000000000006E-2</v>
      </c>
    </row>
    <row r="35" spans="2:7" ht="15" customHeight="1" x14ac:dyDescent="0.45">
      <c r="B35" s="16" t="s">
        <v>42</v>
      </c>
      <c r="C35" s="19">
        <f>Assumptions!C49</f>
        <v>0.2</v>
      </c>
    </row>
    <row r="36" spans="2:7" ht="15" customHeight="1" x14ac:dyDescent="0.45">
      <c r="B36" s="16" t="s">
        <v>8</v>
      </c>
      <c r="C36" s="18">
        <f>Assumptions!C11</f>
        <v>4</v>
      </c>
    </row>
    <row r="37" spans="2:7" ht="15" customHeight="1" x14ac:dyDescent="0.45">
      <c r="B37" s="16" t="s">
        <v>89</v>
      </c>
      <c r="C37" s="17">
        <f>Assumptions!C75</f>
        <v>26000</v>
      </c>
    </row>
    <row r="38" spans="2:7" ht="15" customHeight="1" x14ac:dyDescent="0.45">
      <c r="B38" s="16" t="s">
        <v>66</v>
      </c>
      <c r="C38" s="19">
        <f>Assumptions!C76</f>
        <v>0.2</v>
      </c>
    </row>
    <row r="39" spans="2:7" ht="14.25" x14ac:dyDescent="0.45"/>
    <row r="40" spans="2:7" ht="15" customHeight="1" x14ac:dyDescent="0.45">
      <c r="B40" s="5" t="s">
        <v>168</v>
      </c>
      <c r="C40" s="5"/>
      <c r="D40" s="5"/>
      <c r="E40" s="5"/>
      <c r="F40" s="5"/>
      <c r="G40" s="5"/>
    </row>
    <row r="41" spans="2:7" ht="15" customHeight="1" x14ac:dyDescent="0.45">
      <c r="B41" s="26"/>
      <c r="C41" s="26" t="s">
        <v>169</v>
      </c>
      <c r="D41" s="26" t="s">
        <v>170</v>
      </c>
      <c r="E41" s="26" t="s">
        <v>171</v>
      </c>
      <c r="F41" s="26" t="s">
        <v>172</v>
      </c>
    </row>
    <row r="42" spans="2:7" ht="15" customHeight="1" x14ac:dyDescent="0.45">
      <c r="B42" s="6" t="s">
        <v>173</v>
      </c>
      <c r="C42" s="21">
        <f>$C$7*$C$16</f>
        <v>700485.12</v>
      </c>
      <c r="D42" s="21">
        <f>$C$7*$C$17</f>
        <v>369700.48</v>
      </c>
      <c r="E42" s="21">
        <f>$C$7*$C$18</f>
        <v>875606.4</v>
      </c>
      <c r="F42" s="21">
        <f>SUM(C42:E42)</f>
        <v>1945792</v>
      </c>
    </row>
    <row r="43" spans="2:7" ht="15" customHeight="1" x14ac:dyDescent="0.45">
      <c r="B43" s="11" t="s">
        <v>151</v>
      </c>
      <c r="C43" s="12">
        <f>$C$8-D43-E43</f>
        <v>12185.135040000001</v>
      </c>
      <c r="D43" s="12">
        <f>D42*$C$19</f>
        <v>1663.6521599999999</v>
      </c>
      <c r="E43" s="12">
        <f>E42*$C$20</f>
        <v>1751.2128</v>
      </c>
      <c r="F43" s="12">
        <f>SUM(C43:E43)</f>
        <v>15600</v>
      </c>
    </row>
    <row r="44" spans="2:7" ht="15" customHeight="1" x14ac:dyDescent="0.45">
      <c r="B44" s="16" t="s">
        <v>174</v>
      </c>
      <c r="C44" s="32">
        <f>C43/C42</f>
        <v>1.739528034514138E-2</v>
      </c>
      <c r="D44" s="32">
        <f>D43/D42</f>
        <v>4.4999999999999997E-3</v>
      </c>
      <c r="E44" s="32">
        <f>E43/E42</f>
        <v>2E-3</v>
      </c>
      <c r="F44" s="32">
        <f>F43/F42</f>
        <v>8.0173009242508961E-3</v>
      </c>
    </row>
    <row r="45" spans="2:7" ht="15" customHeight="1" x14ac:dyDescent="0.45">
      <c r="B45" s="6" t="s">
        <v>175</v>
      </c>
      <c r="C45" s="21">
        <f>-$C$11*$C$21</f>
        <v>-6309.0400000000009</v>
      </c>
      <c r="D45" s="21">
        <f>-$C$11*$C$22</f>
        <v>-1484.48</v>
      </c>
      <c r="E45" s="21">
        <f>-$C$11*$C$23</f>
        <v>-1484.48</v>
      </c>
      <c r="F45" s="21">
        <f>SUM(C45:E45)</f>
        <v>-9278</v>
      </c>
    </row>
    <row r="46" spans="2:7" ht="15" customHeight="1" x14ac:dyDescent="0.45">
      <c r="B46" s="6" t="s">
        <v>176</v>
      </c>
      <c r="C46" s="21">
        <f>$C$10*$C$21</f>
        <v>303.28000000000003</v>
      </c>
      <c r="D46" s="21">
        <f>$C$10*$C$22</f>
        <v>71.36</v>
      </c>
      <c r="E46" s="21">
        <f>$C$10*$C$23</f>
        <v>71.36</v>
      </c>
      <c r="F46" s="21">
        <f>SUM(C46:E46)</f>
        <v>446.00000000000006</v>
      </c>
    </row>
    <row r="47" spans="2:7" ht="15" customHeight="1" x14ac:dyDescent="0.45">
      <c r="B47" s="11" t="s">
        <v>177</v>
      </c>
      <c r="C47" s="12">
        <f>C43+C45+C46</f>
        <v>6179.3750399999999</v>
      </c>
      <c r="D47" s="12">
        <f>D43+D45+D46</f>
        <v>250.53215999999986</v>
      </c>
      <c r="E47" s="12">
        <f>E43+E45+E46</f>
        <v>338.09280000000001</v>
      </c>
      <c r="F47" s="12">
        <f>F43+F45+F46</f>
        <v>6768</v>
      </c>
    </row>
    <row r="48" spans="2:7" ht="15" customHeight="1" x14ac:dyDescent="0.45">
      <c r="B48" s="16" t="s">
        <v>178</v>
      </c>
      <c r="C48" s="24">
        <f>C47/$F$47</f>
        <v>0.91302822695035457</v>
      </c>
      <c r="D48" s="24">
        <f>D47/$F$47</f>
        <v>3.7017163120567353E-2</v>
      </c>
      <c r="E48" s="24">
        <f>E47/$F$47</f>
        <v>4.9954609929078013E-2</v>
      </c>
    </row>
    <row r="49" spans="2:7" ht="15" customHeight="1" x14ac:dyDescent="0.45">
      <c r="B49" s="16" t="s">
        <v>179</v>
      </c>
      <c r="F49" s="33">
        <f>F47-C9</f>
        <v>0</v>
      </c>
    </row>
    <row r="50" spans="2:7" ht="15" customHeight="1" x14ac:dyDescent="0.45">
      <c r="B50" s="16" t="s">
        <v>180</v>
      </c>
      <c r="C50" s="25">
        <f>C24</f>
        <v>9</v>
      </c>
      <c r="D50" s="25">
        <f>C25</f>
        <v>20</v>
      </c>
      <c r="E50" s="25">
        <f>C26</f>
        <v>6</v>
      </c>
    </row>
    <row r="51" spans="2:7" ht="15" customHeight="1" x14ac:dyDescent="0.45">
      <c r="B51" s="11" t="s">
        <v>181</v>
      </c>
      <c r="C51" s="12">
        <f>C50*C47</f>
        <v>55614.375359999998</v>
      </c>
      <c r="D51" s="12">
        <f>D50*D47</f>
        <v>5010.6431999999968</v>
      </c>
      <c r="E51" s="12">
        <f>E50*E47</f>
        <v>2028.5568000000001</v>
      </c>
      <c r="F51" s="12">
        <f>SUM(C51:E51)</f>
        <v>62653.575359999995</v>
      </c>
    </row>
    <row r="52" spans="2:7" ht="14.25" x14ac:dyDescent="0.45">
      <c r="E52" s="68"/>
    </row>
    <row r="53" spans="2:7" ht="15" customHeight="1" x14ac:dyDescent="0.45">
      <c r="B53" s="5" t="s">
        <v>182</v>
      </c>
      <c r="C53" s="5"/>
      <c r="D53" s="5"/>
      <c r="E53" s="5"/>
      <c r="F53" s="5"/>
      <c r="G53" s="5"/>
    </row>
    <row r="54" spans="2:7" ht="15" customHeight="1" x14ac:dyDescent="0.45">
      <c r="B54" s="6" t="s">
        <v>183</v>
      </c>
      <c r="C54" s="21">
        <f>F51</f>
        <v>62653.575359999995</v>
      </c>
    </row>
    <row r="55" spans="2:7" ht="15" customHeight="1" x14ac:dyDescent="0.45">
      <c r="B55" s="6" t="s">
        <v>184</v>
      </c>
      <c r="C55" s="21">
        <f>C14</f>
        <v>57087.426249999997</v>
      </c>
    </row>
    <row r="56" spans="2:7" ht="15" customHeight="1" x14ac:dyDescent="0.45">
      <c r="B56" s="11" t="s">
        <v>185</v>
      </c>
      <c r="C56" s="12">
        <f>C54-C55</f>
        <v>5566.1491099999985</v>
      </c>
    </row>
    <row r="57" spans="2:7" ht="14.25" x14ac:dyDescent="0.45"/>
    <row r="58" spans="2:7" ht="15" customHeight="1" x14ac:dyDescent="0.45">
      <c r="B58" s="5" t="s">
        <v>186</v>
      </c>
      <c r="C58" s="5"/>
      <c r="D58" s="5"/>
      <c r="E58" s="5"/>
      <c r="F58" s="5"/>
      <c r="G58" s="5"/>
    </row>
    <row r="59" spans="2:7" ht="15" customHeight="1" x14ac:dyDescent="0.45">
      <c r="B59" s="6" t="s">
        <v>187</v>
      </c>
      <c r="C59" s="21">
        <f>D51+E51</f>
        <v>7039.1999999999971</v>
      </c>
    </row>
    <row r="60" spans="2:7" ht="15" customHeight="1" x14ac:dyDescent="0.45">
      <c r="B60" s="6" t="s">
        <v>188</v>
      </c>
      <c r="C60" s="21">
        <f>D47+E47</f>
        <v>588.62495999999987</v>
      </c>
    </row>
    <row r="61" spans="2:7" ht="15" customHeight="1" x14ac:dyDescent="0.45">
      <c r="B61" s="16" t="s">
        <v>189</v>
      </c>
      <c r="C61" s="25">
        <f>C59/C60</f>
        <v>11.958718162410236</v>
      </c>
    </row>
    <row r="62" spans="2:7" ht="15" customHeight="1" x14ac:dyDescent="0.45">
      <c r="B62" s="22" t="s">
        <v>190</v>
      </c>
      <c r="C62" s="21">
        <f>C32*C60</f>
        <v>2354.4998399999995</v>
      </c>
    </row>
    <row r="63" spans="2:7" ht="15" customHeight="1" x14ac:dyDescent="0.45">
      <c r="B63" s="23" t="s">
        <v>191</v>
      </c>
      <c r="C63" s="12">
        <f>C59*(1+C15)-C62</f>
        <v>4860.6801599999972</v>
      </c>
    </row>
    <row r="64" spans="2:7" ht="15" customHeight="1" x14ac:dyDescent="0.45">
      <c r="B64" s="16" t="s">
        <v>192</v>
      </c>
      <c r="C64" s="24">
        <f>C63/C37</f>
        <v>0.1869492369230768</v>
      </c>
    </row>
    <row r="65" spans="2:7" ht="15" customHeight="1" x14ac:dyDescent="0.45">
      <c r="B65" s="6" t="s">
        <v>193</v>
      </c>
      <c r="C65" s="21">
        <f>(D43+E43)/$F$43*C12</f>
        <v>580.59008686080006</v>
      </c>
    </row>
    <row r="66" spans="2:7" ht="14.25" x14ac:dyDescent="0.45"/>
    <row r="67" spans="2:7" ht="15" customHeight="1" x14ac:dyDescent="0.45">
      <c r="B67" s="5" t="s">
        <v>101</v>
      </c>
      <c r="C67" s="5"/>
      <c r="D67" s="5"/>
      <c r="E67" s="5"/>
      <c r="F67" s="5"/>
      <c r="G67" s="5"/>
    </row>
    <row r="68" spans="2:7" ht="15" customHeight="1" x14ac:dyDescent="0.45">
      <c r="B68" s="26"/>
      <c r="C68" s="26" t="s">
        <v>102</v>
      </c>
      <c r="D68" s="26" t="s">
        <v>103</v>
      </c>
      <c r="E68" s="26" t="s">
        <v>104</v>
      </c>
      <c r="F68" s="26" t="s">
        <v>105</v>
      </c>
    </row>
    <row r="69" spans="2:7" ht="15" customHeight="1" x14ac:dyDescent="0.45">
      <c r="B69" s="6" t="s">
        <v>194</v>
      </c>
      <c r="C69" s="21">
        <f>$D$42*(1+$C$27)</f>
        <v>414064.53760000004</v>
      </c>
      <c r="D69" s="21">
        <f>C69*(1+$C$27)</f>
        <v>463752.2821120001</v>
      </c>
      <c r="E69" s="21">
        <f>D69*(1+$C$27)</f>
        <v>519402.55596544017</v>
      </c>
      <c r="F69" s="21">
        <f>E69*(1+$C$27)</f>
        <v>581730.86268129305</v>
      </c>
    </row>
    <row r="70" spans="2:7" ht="15" customHeight="1" x14ac:dyDescent="0.45">
      <c r="B70" s="16" t="s">
        <v>155</v>
      </c>
      <c r="C70" s="32">
        <f>$C$19+($C$29-$C$19)*1/$C$36</f>
        <v>4.7499999999999999E-3</v>
      </c>
      <c r="D70" s="32">
        <f>$C$19+($C$29-$C$19)*2/$C$36</f>
        <v>4.9999999999999992E-3</v>
      </c>
      <c r="E70" s="32">
        <f>$C$19+($C$29-$C$19)*3/$C$36</f>
        <v>5.2499999999999995E-3</v>
      </c>
      <c r="F70" s="32">
        <f>$C$19+($C$29-$C$19)*4/$C$36</f>
        <v>5.4999999999999997E-3</v>
      </c>
    </row>
    <row r="71" spans="2:7" ht="15" customHeight="1" x14ac:dyDescent="0.45">
      <c r="B71" s="6" t="s">
        <v>195</v>
      </c>
      <c r="C71" s="21">
        <f>$E$42*(1+$C$28)</f>
        <v>945654.91200000013</v>
      </c>
      <c r="D71" s="21">
        <f>C71*(1+$C$28)</f>
        <v>1021307.3049600002</v>
      </c>
      <c r="E71" s="21">
        <f>D71*(1+$C$28)</f>
        <v>1103011.8893568004</v>
      </c>
      <c r="F71" s="21">
        <f>E71*(1+$C$28)</f>
        <v>1191252.8405053446</v>
      </c>
    </row>
    <row r="72" spans="2:7" ht="15" customHeight="1" x14ac:dyDescent="0.45">
      <c r="B72" s="11" t="s">
        <v>196</v>
      </c>
      <c r="C72" s="12">
        <f>C69*C70+C71*$C$20</f>
        <v>3858.1163776000003</v>
      </c>
      <c r="D72" s="12">
        <f>D69*D70+D71*$C$20</f>
        <v>4361.3760204800001</v>
      </c>
      <c r="E72" s="12">
        <f>E69*E70+E71*$C$20</f>
        <v>4932.8871975321617</v>
      </c>
      <c r="F72" s="12">
        <f>F69*F70+F71*$C$20</f>
        <v>5582.0254257578008</v>
      </c>
    </row>
    <row r="73" spans="2:7" ht="15" customHeight="1" x14ac:dyDescent="0.45">
      <c r="B73" s="6" t="s">
        <v>197</v>
      </c>
      <c r="C73" s="21">
        <f>(-$D$45-$E$45+$C$31)*-(1+$C$30)</f>
        <v>-3444.2872000000002</v>
      </c>
      <c r="D73" s="21">
        <f>C73*(1+$C$30)</f>
        <v>-3685.3873040000003</v>
      </c>
      <c r="E73" s="21">
        <f>D73*(1+$C$30)</f>
        <v>-3943.3644152800007</v>
      </c>
      <c r="F73" s="21">
        <f>E73*(1+$C$30)</f>
        <v>-4219.399924349601</v>
      </c>
    </row>
    <row r="74" spans="2:7" ht="15" customHeight="1" x14ac:dyDescent="0.45">
      <c r="B74" s="6" t="s">
        <v>107</v>
      </c>
      <c r="C74" s="21">
        <f>$C$65*1/$C$13</f>
        <v>145.14752171520001</v>
      </c>
      <c r="D74" s="21">
        <f>$C$65*2/$C$13</f>
        <v>290.29504343040003</v>
      </c>
      <c r="E74" s="21">
        <f>$C$65*3/$C$13</f>
        <v>435.44256514560004</v>
      </c>
      <c r="F74" s="21">
        <f>$C$65*4/$C$13</f>
        <v>580.59008686080006</v>
      </c>
    </row>
    <row r="75" spans="2:7" ht="15" customHeight="1" x14ac:dyDescent="0.45">
      <c r="B75" s="11" t="s">
        <v>177</v>
      </c>
      <c r="C75" s="12">
        <f>C72+C73+C74</f>
        <v>558.97669931520011</v>
      </c>
      <c r="D75" s="12">
        <f>D72+D73+D74</f>
        <v>966.28375991039979</v>
      </c>
      <c r="E75" s="12">
        <f>E72+E73+E74</f>
        <v>1424.965347397761</v>
      </c>
      <c r="F75" s="12">
        <f>F72+F73+F74</f>
        <v>1943.2155882689999</v>
      </c>
    </row>
    <row r="76" spans="2:7" ht="15" customHeight="1" x14ac:dyDescent="0.45">
      <c r="B76" s="6" t="s">
        <v>110</v>
      </c>
      <c r="C76" s="21">
        <f>C62</f>
        <v>2354.4998399999995</v>
      </c>
      <c r="D76" s="21">
        <f>C80</f>
        <v>2076.9630716267516</v>
      </c>
      <c r="E76" s="21">
        <f>D80</f>
        <v>1479.1465781636748</v>
      </c>
      <c r="F76" s="21">
        <f>E80</f>
        <v>501.25418840446162</v>
      </c>
    </row>
    <row r="77" spans="2:7" ht="15" customHeight="1" x14ac:dyDescent="0.45">
      <c r="B77" s="6" t="s">
        <v>198</v>
      </c>
      <c r="C77" s="21">
        <f>-C75*0.06-C76*$C$34-MAX(0,C75-120-C76*$C$34)*$C$35</f>
        <v>-281.43993094195201</v>
      </c>
      <c r="D77" s="21">
        <f>-D75*0.06-D76*$C$34-MAX(0,D75-120-D76*$C$34)*$C$35</f>
        <v>-368.46726644732308</v>
      </c>
      <c r="E77" s="21">
        <f>-E75*0.06-E76*$C$34-MAX(0,E75-120-E76*$C$34)*$C$35</f>
        <v>-447.07295763854779</v>
      </c>
      <c r="F77" s="21">
        <f>-F75*0.06-F76*$C$34-MAX(0,F75-120-F76*$C$34)*$C$35</f>
        <v>-515.32133776144337</v>
      </c>
    </row>
    <row r="78" spans="2:7" ht="15" customHeight="1" x14ac:dyDescent="0.45">
      <c r="B78" s="11" t="s">
        <v>113</v>
      </c>
      <c r="C78" s="12">
        <f>C75+C77</f>
        <v>277.53676837324809</v>
      </c>
      <c r="D78" s="12">
        <f>D75+D77</f>
        <v>597.81649346307677</v>
      </c>
      <c r="E78" s="12">
        <f>E75+E77</f>
        <v>977.89238975921319</v>
      </c>
      <c r="F78" s="12">
        <f>F75+F77</f>
        <v>1427.8942505075565</v>
      </c>
    </row>
    <row r="79" spans="2:7" ht="15" customHeight="1" x14ac:dyDescent="0.45">
      <c r="B79" s="6" t="s">
        <v>114</v>
      </c>
      <c r="C79" s="21">
        <f>-MIN(C76,MAX(0,C78))</f>
        <v>-277.53676837324809</v>
      </c>
      <c r="D79" s="21">
        <f>-MIN(D76,MAX(0,D78))</f>
        <v>-597.81649346307677</v>
      </c>
      <c r="E79" s="21">
        <f>-MIN(E76,MAX(0,E78))</f>
        <v>-977.89238975921319</v>
      </c>
      <c r="F79" s="21">
        <f>-MIN(F76,MAX(0,F78))</f>
        <v>-501.25418840446162</v>
      </c>
    </row>
    <row r="80" spans="2:7" ht="15" customHeight="1" x14ac:dyDescent="0.45">
      <c r="B80" s="11" t="s">
        <v>115</v>
      </c>
      <c r="C80" s="12">
        <f>C76+C79</f>
        <v>2076.9630716267516</v>
      </c>
      <c r="D80" s="12">
        <f>D76+D79</f>
        <v>1479.1465781636748</v>
      </c>
      <c r="E80" s="12">
        <f>E76+E79</f>
        <v>501.25418840446162</v>
      </c>
      <c r="F80" s="12">
        <f>F76+F79</f>
        <v>0</v>
      </c>
    </row>
    <row r="81" spans="2:7" ht="15" customHeight="1" x14ac:dyDescent="0.45">
      <c r="B81" s="6" t="s">
        <v>199</v>
      </c>
      <c r="C81" s="21">
        <f>C78+C79</f>
        <v>0</v>
      </c>
      <c r="D81" s="21">
        <f>C81+D78+D79</f>
        <v>0</v>
      </c>
      <c r="E81" s="21">
        <f>D81+E78+E79</f>
        <v>0</v>
      </c>
      <c r="F81" s="21">
        <f>E81+F78+F79</f>
        <v>926.64006210309492</v>
      </c>
    </row>
    <row r="82" spans="2:7" ht="14.25" x14ac:dyDescent="0.45"/>
    <row r="83" spans="2:7" ht="15" customHeight="1" x14ac:dyDescent="0.45">
      <c r="B83" s="5" t="s">
        <v>118</v>
      </c>
      <c r="C83" s="5"/>
      <c r="D83" s="5"/>
      <c r="E83" s="5"/>
      <c r="F83" s="5"/>
      <c r="G83" s="5"/>
    </row>
    <row r="84" spans="2:7" ht="15" customHeight="1" x14ac:dyDescent="0.45">
      <c r="B84" s="6" t="s">
        <v>200</v>
      </c>
      <c r="C84" s="21">
        <f>F75</f>
        <v>1943.2155882689999</v>
      </c>
    </row>
    <row r="85" spans="2:7" ht="15" customHeight="1" x14ac:dyDescent="0.45">
      <c r="B85" s="6" t="s">
        <v>123</v>
      </c>
      <c r="C85" s="21">
        <f>C84*C33</f>
        <v>23318.587059227997</v>
      </c>
    </row>
    <row r="86" spans="2:7" ht="15" customHeight="1" x14ac:dyDescent="0.45">
      <c r="B86" s="6" t="s">
        <v>201</v>
      </c>
      <c r="C86" s="21">
        <f>-(F80-F81)</f>
        <v>926.64006210309492</v>
      </c>
    </row>
    <row r="87" spans="2:7" ht="15" customHeight="1" x14ac:dyDescent="0.45">
      <c r="B87" s="11" t="s">
        <v>125</v>
      </c>
      <c r="C87" s="12">
        <f>C85+C86</f>
        <v>24245.227121331092</v>
      </c>
    </row>
    <row r="88" spans="2:7" ht="15" customHeight="1" x14ac:dyDescent="0.45">
      <c r="B88" s="11" t="s">
        <v>129</v>
      </c>
      <c r="C88" s="27">
        <f>C87/C63</f>
        <v>4.9880317822292399</v>
      </c>
    </row>
    <row r="89" spans="2:7" ht="15" customHeight="1" x14ac:dyDescent="0.45">
      <c r="B89" s="11" t="s">
        <v>130</v>
      </c>
      <c r="C89" s="28">
        <f>(C87/C63)^(1/C36)-1</f>
        <v>0.4944531438882922</v>
      </c>
    </row>
    <row r="90" spans="2:7" ht="15" customHeight="1" x14ac:dyDescent="0.45">
      <c r="B90" s="16" t="s">
        <v>131</v>
      </c>
      <c r="C90" s="24">
        <f>C89-C38</f>
        <v>0.29445314388829219</v>
      </c>
    </row>
    <row r="91" spans="2:7" ht="14.25" x14ac:dyDescent="0.45"/>
    <row r="92" spans="2:7" ht="15" customHeight="1" x14ac:dyDescent="0.45">
      <c r="B92" s="13" t="s">
        <v>202</v>
      </c>
    </row>
  </sheetData>
  <pageMargins left="0.75" right="0.75" top="1" bottom="1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93"/>
  <sheetViews>
    <sheetView showGridLines="0" zoomScale="150" zoomScaleNormal="150" workbookViewId="0">
      <pane xSplit="2" ySplit="5" topLeftCell="C6" activePane="bottomRight" state="frozen"/>
      <selection pane="topRight"/>
      <selection pane="bottomLeft"/>
      <selection pane="bottomRight" activeCell="C6" sqref="C6"/>
    </sheetView>
  </sheetViews>
  <sheetFormatPr defaultColWidth="8.6640625" defaultRowHeight="15" customHeight="1" x14ac:dyDescent="0.45"/>
  <cols>
    <col min="1" max="1" width="3.53125" customWidth="1"/>
    <col min="2" max="2" width="58.6640625" customWidth="1"/>
    <col min="3" max="3" width="12.06640625" bestFit="1" customWidth="1"/>
    <col min="4" max="4" width="22.53125" bestFit="1" customWidth="1"/>
    <col min="5" max="5" width="9.9296875" bestFit="1" customWidth="1"/>
    <col min="6" max="6" width="8" bestFit="1" customWidth="1"/>
    <col min="7" max="7" width="16.86328125" bestFit="1" customWidth="1"/>
    <col min="8" max="8" width="6.796875" bestFit="1" customWidth="1"/>
  </cols>
  <sheetData>
    <row r="1" spans="2:6" ht="14.25" x14ac:dyDescent="0.45"/>
    <row r="2" spans="2:6" ht="17.25" customHeight="1" x14ac:dyDescent="0.55000000000000004">
      <c r="B2" s="34" t="s">
        <v>203</v>
      </c>
    </row>
    <row r="3" spans="2:6" ht="15" customHeight="1" x14ac:dyDescent="0.45">
      <c r="B3" s="35" t="s">
        <v>204</v>
      </c>
    </row>
    <row r="4" spans="2:6" ht="15" customHeight="1" x14ac:dyDescent="0.45">
      <c r="B4" s="36" t="s">
        <v>205</v>
      </c>
    </row>
    <row r="5" spans="2:6" ht="14.25" x14ac:dyDescent="0.45"/>
    <row r="6" spans="2:6" ht="15" customHeight="1" x14ac:dyDescent="0.45">
      <c r="B6" s="37" t="s">
        <v>206</v>
      </c>
      <c r="C6" s="37"/>
      <c r="D6" s="37"/>
      <c r="E6" s="37"/>
      <c r="F6" s="37"/>
    </row>
    <row r="7" spans="2:6" ht="15" customHeight="1" x14ac:dyDescent="0.45">
      <c r="B7" s="38" t="s">
        <v>207</v>
      </c>
      <c r="C7" s="39">
        <f>Assumptions!C8</f>
        <v>882.1</v>
      </c>
    </row>
    <row r="8" spans="2:6" ht="15" customHeight="1" x14ac:dyDescent="0.45">
      <c r="B8" s="38" t="s">
        <v>208</v>
      </c>
      <c r="C8" s="40">
        <f>Assumptions!C9</f>
        <v>2328</v>
      </c>
    </row>
    <row r="9" spans="2:6" ht="15" customHeight="1" x14ac:dyDescent="0.45">
      <c r="B9" s="38" t="s">
        <v>209</v>
      </c>
      <c r="C9" s="41">
        <f>Assumptions!C10</f>
        <v>2.5000000000000001E-2</v>
      </c>
    </row>
    <row r="10" spans="2:6" ht="15" customHeight="1" x14ac:dyDescent="0.45">
      <c r="B10" s="38" t="s">
        <v>8</v>
      </c>
      <c r="C10" s="42">
        <f>Assumptions!C11</f>
        <v>4</v>
      </c>
    </row>
    <row r="11" spans="2:6" ht="15" customHeight="1" x14ac:dyDescent="0.45">
      <c r="B11" s="38" t="s">
        <v>210</v>
      </c>
      <c r="C11" s="40">
        <f>Assumptions!C47</f>
        <v>50000</v>
      </c>
    </row>
    <row r="12" spans="2:6" ht="15" customHeight="1" x14ac:dyDescent="0.45">
      <c r="B12" s="38" t="s">
        <v>77</v>
      </c>
      <c r="C12" s="40">
        <f>Assumptions!C43</f>
        <v>127200</v>
      </c>
    </row>
    <row r="13" spans="2:6" ht="15" customHeight="1" x14ac:dyDescent="0.45">
      <c r="B13" s="38" t="s">
        <v>211</v>
      </c>
      <c r="C13" s="40">
        <f>'Option 1 Combined'!C63</f>
        <v>196910.4383722427</v>
      </c>
    </row>
    <row r="14" spans="2:6" ht="15" customHeight="1" x14ac:dyDescent="0.45">
      <c r="B14" s="38" t="s">
        <v>135</v>
      </c>
      <c r="C14" s="41">
        <f>Assumptions!C80</f>
        <v>0.11</v>
      </c>
    </row>
    <row r="15" spans="2:6" ht="15" customHeight="1" x14ac:dyDescent="0.45">
      <c r="B15" s="38" t="s">
        <v>70</v>
      </c>
      <c r="C15" s="41">
        <f>Assumptions!C81</f>
        <v>0.05</v>
      </c>
    </row>
    <row r="16" spans="2:6" ht="15" customHeight="1" x14ac:dyDescent="0.45">
      <c r="B16" s="38" t="s">
        <v>89</v>
      </c>
      <c r="C16" s="40">
        <f>Assumptions!C75</f>
        <v>26000</v>
      </c>
    </row>
    <row r="17" spans="2:6" ht="15" customHeight="1" x14ac:dyDescent="0.45">
      <c r="B17" s="38" t="s">
        <v>66</v>
      </c>
      <c r="C17" s="41">
        <f>Assumptions!C76</f>
        <v>0.2</v>
      </c>
    </row>
    <row r="18" spans="2:6" ht="15" customHeight="1" x14ac:dyDescent="0.45">
      <c r="B18" s="38" t="s">
        <v>212</v>
      </c>
      <c r="C18" s="40">
        <f>'Option 2 Breakup'!C87</f>
        <v>24245.227121331092</v>
      </c>
    </row>
    <row r="19" spans="2:6" ht="15" customHeight="1" x14ac:dyDescent="0.45">
      <c r="B19" s="38" t="s">
        <v>213</v>
      </c>
      <c r="C19" s="40">
        <f>'Option 2 Breakup'!C62</f>
        <v>2354.4998399999995</v>
      </c>
    </row>
    <row r="20" spans="2:6" ht="15" customHeight="1" x14ac:dyDescent="0.45">
      <c r="B20" s="38" t="s">
        <v>214</v>
      </c>
      <c r="C20" s="40">
        <f>'Option 2 Breakup'!C51</f>
        <v>55614.375359999998</v>
      </c>
    </row>
    <row r="21" spans="2:6" ht="15" customHeight="1" x14ac:dyDescent="0.45">
      <c r="B21" s="38" t="s">
        <v>215</v>
      </c>
      <c r="C21" s="40">
        <f>'Option 2 Breakup'!C60</f>
        <v>588.62495999999987</v>
      </c>
    </row>
    <row r="22" spans="2:6" ht="15" customHeight="1" x14ac:dyDescent="0.45">
      <c r="B22" s="38" t="s">
        <v>216</v>
      </c>
      <c r="C22" s="43">
        <v>47.37</v>
      </c>
    </row>
    <row r="23" spans="2:6" ht="15" customHeight="1" x14ac:dyDescent="0.45">
      <c r="B23" s="38" t="s">
        <v>217</v>
      </c>
      <c r="C23" s="44">
        <f>Assumptions!C7</f>
        <v>60.5</v>
      </c>
    </row>
    <row r="24" spans="2:6" ht="14.25" x14ac:dyDescent="0.45"/>
    <row r="25" spans="2:6" ht="15" customHeight="1" x14ac:dyDescent="0.45">
      <c r="B25" s="37" t="s">
        <v>218</v>
      </c>
      <c r="C25" s="37"/>
      <c r="D25" s="37"/>
      <c r="E25" s="37"/>
      <c r="F25" s="37"/>
    </row>
    <row r="26" spans="2:6" ht="15" customHeight="1" x14ac:dyDescent="0.45">
      <c r="B26" s="36" t="s">
        <v>219</v>
      </c>
    </row>
    <row r="27" spans="2:6" ht="15" customHeight="1" x14ac:dyDescent="0.45">
      <c r="B27" s="38" t="s">
        <v>220</v>
      </c>
      <c r="C27" s="40">
        <f>'Option 1 Combined'!C33</f>
        <v>134287.42624999999</v>
      </c>
    </row>
    <row r="28" spans="2:6" ht="15" customHeight="1" x14ac:dyDescent="0.45">
      <c r="B28" s="38" t="s">
        <v>221</v>
      </c>
      <c r="C28" s="45">
        <f>C13</f>
        <v>196910.4383722427</v>
      </c>
    </row>
    <row r="29" spans="2:6" ht="15" customHeight="1" x14ac:dyDescent="0.45">
      <c r="B29" s="46" t="s">
        <v>222</v>
      </c>
      <c r="C29" s="47">
        <f>C28/C27</f>
        <v>1.46633563447451</v>
      </c>
    </row>
    <row r="30" spans="2:6" ht="15" customHeight="1" x14ac:dyDescent="0.45">
      <c r="B30" s="46" t="s">
        <v>223</v>
      </c>
      <c r="C30" s="48">
        <f>(C28/C27)^(1/C10)-1</f>
        <v>0.10041967608186808</v>
      </c>
    </row>
    <row r="31" spans="2:6" ht="15" customHeight="1" x14ac:dyDescent="0.45">
      <c r="B31" s="36" t="s">
        <v>224</v>
      </c>
    </row>
    <row r="32" spans="2:6" ht="14.25" x14ac:dyDescent="0.45"/>
    <row r="33" spans="2:6" ht="15" customHeight="1" x14ac:dyDescent="0.45">
      <c r="B33" s="37" t="s">
        <v>225</v>
      </c>
      <c r="C33" s="37"/>
      <c r="D33" s="37"/>
      <c r="E33" s="37"/>
      <c r="F33" s="37"/>
    </row>
    <row r="34" spans="2:6" ht="15" customHeight="1" x14ac:dyDescent="0.45">
      <c r="B34" s="36" t="s">
        <v>226</v>
      </c>
    </row>
    <row r="35" spans="2:6" ht="15" customHeight="1" x14ac:dyDescent="0.45">
      <c r="B35" s="49" t="s">
        <v>227</v>
      </c>
      <c r="C35" s="50" t="s">
        <v>228</v>
      </c>
      <c r="D35" s="50" t="s">
        <v>229</v>
      </c>
      <c r="E35" s="50" t="s">
        <v>230</v>
      </c>
      <c r="F35" s="50" t="s">
        <v>231</v>
      </c>
    </row>
    <row r="36" spans="2:6" ht="15" customHeight="1" x14ac:dyDescent="0.45">
      <c r="B36" s="38" t="s">
        <v>232</v>
      </c>
      <c r="C36" s="51" t="s">
        <v>233</v>
      </c>
      <c r="D36" s="52" t="s">
        <v>234</v>
      </c>
      <c r="E36" s="51" t="s">
        <v>235</v>
      </c>
      <c r="F36" s="51" t="s">
        <v>235</v>
      </c>
    </row>
    <row r="37" spans="2:6" ht="15" customHeight="1" x14ac:dyDescent="0.45">
      <c r="B37" s="36" t="s">
        <v>236</v>
      </c>
    </row>
    <row r="38" spans="2:6" ht="15" customHeight="1" x14ac:dyDescent="0.45">
      <c r="B38" s="38" t="s">
        <v>237</v>
      </c>
      <c r="C38" s="45">
        <f>$C$13*$C$15/((1+$C$17)^$C$10-(1+$C$14)^$C$10*(1-$C$15))</f>
        <v>15592.343440488845</v>
      </c>
      <c r="D38" s="53">
        <f>((C38+$C$11)/(1+$C$9)-$C$8)/$C$7</f>
        <v>69.906507409412512</v>
      </c>
      <c r="E38" s="54">
        <f>((C38*(1+$C$14)^$C$10+MAX(0,$C$13-C38*(1+$C$14)^$C$10)*$C$15)/C38)^(1/$C$10)-1</f>
        <v>0.19999999999999996</v>
      </c>
      <c r="F38" s="54">
        <f>(((1-$C$15)*MAX(0,$C$13-C38*(1+$C$14)^$C$10))/$C$12)^(1/$C$10)-1</f>
        <v>6.6525563571044444E-2</v>
      </c>
    </row>
    <row r="39" spans="2:6" ht="15" customHeight="1" x14ac:dyDescent="0.45">
      <c r="B39" s="38" t="s">
        <v>238</v>
      </c>
      <c r="C39" s="45">
        <f>($C$13-1.08^$C$10*$C$12/(1-$C$15))/(1+$C$14)^$C$10</f>
        <v>9715.0481290608604</v>
      </c>
      <c r="D39" s="53">
        <f>((C39+$C$11)/(1+$C$9)-$C$8)/$C$7</f>
        <v>63.406171115006437</v>
      </c>
      <c r="E39" s="54">
        <f>((C39*(1+$C$14)^$C$10+MAX(0,$C$13-C39*(1+$C$14)^$C$10)*$C$15)/C39)^(1/$C$10)-1</f>
        <v>0.25181246514111466</v>
      </c>
      <c r="F39" s="54">
        <f>(((1-$C$15)*MAX(0,$C$13-C39*(1+$C$14)^$C$10))/$C$12)^(1/$C$10)-1</f>
        <v>8.0000000000000071E-2</v>
      </c>
    </row>
    <row r="40" spans="2:6" ht="15" customHeight="1" x14ac:dyDescent="0.45">
      <c r="B40" s="38" t="s">
        <v>239</v>
      </c>
      <c r="C40" s="45">
        <f>0.25*$C$16</f>
        <v>6500</v>
      </c>
      <c r="D40" s="53">
        <f>((C40+$C$11)/(1+$C$9)-$C$8)/$C$7</f>
        <v>59.850301801963724</v>
      </c>
      <c r="E40" s="54">
        <f>((C40*(1+$C$14)^$C$10+MAX(0,$C$13-C40*(1+$C$14)^$C$10)*$C$15)/C40)^(1/$C$10)-1</f>
        <v>0.31131728212005494</v>
      </c>
      <c r="F40" s="54">
        <f>(((1-$C$15)*MAX(0,$C$13-C40*(1+$C$14)^$C$10))/$C$12)^(1/$C$10)-1</f>
        <v>8.7162533854387547E-2</v>
      </c>
    </row>
    <row r="41" spans="2:6" ht="15" customHeight="1" x14ac:dyDescent="0.45">
      <c r="B41" s="38" t="s">
        <v>240</v>
      </c>
      <c r="C41" s="45">
        <f>0.15*$C$16</f>
        <v>3900</v>
      </c>
      <c r="D41" s="53">
        <f>((C41+$C$11)/(1+$C$9)-$C$8)/$C$7</f>
        <v>56.974680709283007</v>
      </c>
      <c r="E41" s="54">
        <f>((C41*(1+$C$14)^$C$10+MAX(0,$C$13-C41*(1+$C$14)^$C$10)*$C$15)/C41)^(1/$C$10)-1</f>
        <v>0.4112574113687486</v>
      </c>
      <c r="F41" s="54">
        <f>(((1-$C$15)*MAX(0,$C$13-C41*(1+$C$14)^$C$10))/$C$12)^(1/$C$10)-1</f>
        <v>9.2853028408048877E-2</v>
      </c>
    </row>
    <row r="42" spans="2:6" ht="15" customHeight="1" x14ac:dyDescent="0.45">
      <c r="B42" s="55" t="s">
        <v>241</v>
      </c>
      <c r="C42" s="56">
        <f>'Option 1 Combined'!C31</f>
        <v>7087.4262499999968</v>
      </c>
      <c r="D42" s="57">
        <f>C23</f>
        <v>60.5</v>
      </c>
      <c r="E42" s="58">
        <f>'Option 1 Combined'!C85</f>
        <v>0.29717105227308749</v>
      </c>
      <c r="F42" s="58">
        <f>(((1-$C$15)*MAX(0,$C$13-'Option 1 Combined'!C31*(1+$C$14)^$C$10))/$C$12)^(1/$C$10)-1</f>
        <v>8.5864409595488134E-2</v>
      </c>
    </row>
    <row r="43" spans="2:6" ht="14.25" x14ac:dyDescent="0.45"/>
    <row r="44" spans="2:6" ht="15" customHeight="1" x14ac:dyDescent="0.45">
      <c r="B44" s="37" t="s">
        <v>242</v>
      </c>
      <c r="C44" s="37"/>
      <c r="D44" s="37"/>
      <c r="E44" s="37"/>
      <c r="F44" s="37"/>
    </row>
    <row r="45" spans="2:6" ht="15" customHeight="1" x14ac:dyDescent="0.45">
      <c r="B45" s="36" t="s">
        <v>243</v>
      </c>
    </row>
    <row r="46" spans="2:6" ht="15" customHeight="1" x14ac:dyDescent="0.45">
      <c r="B46" s="38" t="s">
        <v>244</v>
      </c>
      <c r="C46" s="45">
        <f>C18</f>
        <v>24245.227121331092</v>
      </c>
      <c r="E46" s="68" t="s">
        <v>316</v>
      </c>
    </row>
    <row r="47" spans="2:6" ht="15" customHeight="1" x14ac:dyDescent="0.45">
      <c r="B47" s="38" t="s">
        <v>245</v>
      </c>
      <c r="C47" s="45">
        <f>C46/(1+$C$17)^$C$10</f>
        <v>11692.335610209826</v>
      </c>
      <c r="E47" s="88" t="s">
        <v>315</v>
      </c>
    </row>
    <row r="48" spans="2:6" ht="15" customHeight="1" x14ac:dyDescent="0.45">
      <c r="B48" s="38" t="s">
        <v>246</v>
      </c>
      <c r="C48" s="45">
        <f>C19</f>
        <v>2354.4998399999995</v>
      </c>
    </row>
    <row r="49" spans="2:6" ht="15" customHeight="1" x14ac:dyDescent="0.45">
      <c r="B49" s="46" t="s">
        <v>247</v>
      </c>
      <c r="C49" s="59">
        <f>C47+C48</f>
        <v>14046.835450209826</v>
      </c>
    </row>
    <row r="50" spans="2:6" ht="15" customHeight="1" x14ac:dyDescent="0.45">
      <c r="B50" s="55" t="s">
        <v>248</v>
      </c>
      <c r="C50" s="60">
        <f>C49/C21</f>
        <v>23.863812112571356</v>
      </c>
    </row>
    <row r="51" spans="2:6" ht="15" customHeight="1" x14ac:dyDescent="0.45">
      <c r="B51" s="38" t="s">
        <v>249</v>
      </c>
      <c r="C51" s="45">
        <f>C20</f>
        <v>55614.375359999998</v>
      </c>
    </row>
    <row r="52" spans="2:6" ht="15" customHeight="1" x14ac:dyDescent="0.45">
      <c r="B52" s="46" t="s">
        <v>250</v>
      </c>
      <c r="C52" s="59">
        <f>C49+C51</f>
        <v>69661.210810209828</v>
      </c>
    </row>
    <row r="53" spans="2:6" ht="15" customHeight="1" x14ac:dyDescent="0.45">
      <c r="B53" s="46" t="s">
        <v>251</v>
      </c>
      <c r="C53" s="53">
        <f>(C52/(1+$C$9)-$C$8)/$C$7</f>
        <v>74.406707729293259</v>
      </c>
    </row>
    <row r="54" spans="2:6" ht="15" customHeight="1" x14ac:dyDescent="0.45">
      <c r="B54" s="55" t="s">
        <v>98</v>
      </c>
      <c r="C54" s="61">
        <f>C47/$C$16</f>
        <v>0.44970521577730099</v>
      </c>
    </row>
    <row r="55" spans="2:6" ht="15" customHeight="1" x14ac:dyDescent="0.45">
      <c r="B55" s="36" t="s">
        <v>252</v>
      </c>
    </row>
    <row r="56" spans="2:6" ht="14.25" x14ac:dyDescent="0.45"/>
    <row r="57" spans="2:6" ht="15" customHeight="1" x14ac:dyDescent="0.45">
      <c r="B57" s="37" t="s">
        <v>253</v>
      </c>
      <c r="C57" s="37"/>
      <c r="D57" s="37"/>
      <c r="E57" s="37"/>
      <c r="F57" s="37"/>
    </row>
    <row r="58" spans="2:6" ht="21.75" customHeight="1" x14ac:dyDescent="0.45">
      <c r="B58" s="49" t="s">
        <v>254</v>
      </c>
      <c r="C58" s="50" t="s">
        <v>229</v>
      </c>
      <c r="D58" s="50" t="s">
        <v>255</v>
      </c>
    </row>
    <row r="59" spans="2:6" ht="15" customHeight="1" x14ac:dyDescent="0.45">
      <c r="B59" s="38" t="s">
        <v>256</v>
      </c>
      <c r="C59" s="52" t="s">
        <v>234</v>
      </c>
      <c r="D59" s="51" t="s">
        <v>235</v>
      </c>
    </row>
    <row r="60" spans="2:6" ht="15" customHeight="1" x14ac:dyDescent="0.45">
      <c r="B60" s="38" t="s">
        <v>257</v>
      </c>
      <c r="C60" s="53">
        <f>D38</f>
        <v>69.906507409412512</v>
      </c>
      <c r="D60" s="54">
        <f>C60/$C$22-1</f>
        <v>0.47575485348137048</v>
      </c>
    </row>
    <row r="61" spans="2:6" ht="15" customHeight="1" x14ac:dyDescent="0.45">
      <c r="B61" s="38" t="s">
        <v>258</v>
      </c>
      <c r="C61" s="53">
        <f>D39</f>
        <v>63.406171115006437</v>
      </c>
      <c r="D61" s="54">
        <f>C61/$C$22-1</f>
        <v>0.33853010586882926</v>
      </c>
    </row>
    <row r="62" spans="2:6" ht="15" customHeight="1" x14ac:dyDescent="0.45">
      <c r="B62" s="38" t="s">
        <v>259</v>
      </c>
      <c r="C62" s="53">
        <f>D40</f>
        <v>59.850301801963724</v>
      </c>
      <c r="D62" s="54">
        <f>C62/$C$22-1</f>
        <v>0.26346425589959321</v>
      </c>
    </row>
    <row r="63" spans="2:6" ht="15" customHeight="1" x14ac:dyDescent="0.45">
      <c r="B63" s="38" t="s">
        <v>260</v>
      </c>
      <c r="C63" s="53">
        <f>C53</f>
        <v>74.406707729293259</v>
      </c>
      <c r="D63" s="54">
        <f>C63/$C$22-1</f>
        <v>0.57075591575455475</v>
      </c>
    </row>
    <row r="64" spans="2:6" ht="15" customHeight="1" x14ac:dyDescent="0.45">
      <c r="B64" s="55" t="s">
        <v>261</v>
      </c>
      <c r="C64" s="57">
        <f>C23</f>
        <v>60.5</v>
      </c>
      <c r="D64" s="61">
        <f>C64/$C$22-1</f>
        <v>0.27717964956723673</v>
      </c>
    </row>
    <row r="65" spans="2:8" ht="14.25" x14ac:dyDescent="0.45"/>
    <row r="66" spans="2:8" ht="15" customHeight="1" x14ac:dyDescent="0.45">
      <c r="B66" s="37" t="s">
        <v>262</v>
      </c>
      <c r="C66" s="37"/>
      <c r="D66" s="37"/>
      <c r="E66" s="37"/>
      <c r="F66" s="37"/>
    </row>
    <row r="67" spans="2:8" ht="15" customHeight="1" x14ac:dyDescent="0.45">
      <c r="B67" s="38" t="s">
        <v>263</v>
      </c>
    </row>
    <row r="68" spans="2:8" ht="15" customHeight="1" x14ac:dyDescent="0.45">
      <c r="B68" s="38" t="s">
        <v>264</v>
      </c>
    </row>
    <row r="69" spans="2:8" ht="15" customHeight="1" x14ac:dyDescent="0.45">
      <c r="B69" s="38" t="s">
        <v>265</v>
      </c>
    </row>
    <row r="70" spans="2:8" ht="15" customHeight="1" x14ac:dyDescent="0.45">
      <c r="B70" s="38" t="s">
        <v>266</v>
      </c>
    </row>
    <row r="71" spans="2:8" ht="15" customHeight="1" x14ac:dyDescent="0.45">
      <c r="B71" s="38" t="s">
        <v>267</v>
      </c>
    </row>
    <row r="72" spans="2:8" ht="14.25" x14ac:dyDescent="0.45"/>
    <row r="73" spans="2:8" ht="15" customHeight="1" x14ac:dyDescent="0.45">
      <c r="B73" s="36" t="s">
        <v>268</v>
      </c>
    </row>
    <row r="75" spans="2:8" ht="15" customHeight="1" x14ac:dyDescent="0.45">
      <c r="B75" s="69" t="s">
        <v>294</v>
      </c>
      <c r="C75" s="69"/>
      <c r="D75" s="69"/>
      <c r="E75" s="69"/>
      <c r="F75" s="69"/>
      <c r="G75" s="69"/>
      <c r="H75" s="69"/>
    </row>
    <row r="76" spans="2:8" ht="15" customHeight="1" x14ac:dyDescent="0.45">
      <c r="B76" s="70" t="s">
        <v>295</v>
      </c>
    </row>
    <row r="77" spans="2:8" ht="15" customHeight="1" x14ac:dyDescent="0.45">
      <c r="B77" s="71" t="s">
        <v>296</v>
      </c>
    </row>
    <row r="78" spans="2:8" ht="15" customHeight="1" x14ac:dyDescent="0.45">
      <c r="B78" t="s">
        <v>297</v>
      </c>
      <c r="C78" s="75">
        <f>'Option 2 Breakup'!C84</f>
        <v>1943.2155882689999</v>
      </c>
    </row>
    <row r="79" spans="2:8" ht="15" customHeight="1" x14ac:dyDescent="0.45">
      <c r="B79" t="s">
        <v>298</v>
      </c>
      <c r="C79" s="75">
        <f>'Option 2 Breakup'!C86</f>
        <v>926.64006210309492</v>
      </c>
    </row>
    <row r="80" spans="2:8" ht="15" customHeight="1" x14ac:dyDescent="0.45">
      <c r="B80" t="s">
        <v>299</v>
      </c>
      <c r="C80" s="76">
        <f>'Option 2 Breakup'!C32</f>
        <v>4</v>
      </c>
    </row>
    <row r="81" spans="2:8" ht="15" customHeight="1" x14ac:dyDescent="0.45">
      <c r="B81" t="s">
        <v>300</v>
      </c>
      <c r="C81" s="76">
        <f>'Option 2 Breakup'!C33</f>
        <v>12</v>
      </c>
    </row>
    <row r="83" spans="2:8" ht="15" customHeight="1" x14ac:dyDescent="0.45">
      <c r="B83" s="72" t="s">
        <v>301</v>
      </c>
      <c r="C83" s="73" t="s">
        <v>302</v>
      </c>
      <c r="D83" s="73" t="s">
        <v>303</v>
      </c>
      <c r="E83" s="73" t="s">
        <v>191</v>
      </c>
      <c r="F83" s="73" t="s">
        <v>230</v>
      </c>
      <c r="G83" s="73" t="s">
        <v>304</v>
      </c>
      <c r="H83" s="73" t="s">
        <v>305</v>
      </c>
    </row>
    <row r="84" spans="2:8" ht="15" customHeight="1" x14ac:dyDescent="0.45">
      <c r="B84" t="s">
        <v>306</v>
      </c>
      <c r="C84" s="77">
        <v>8.98</v>
      </c>
      <c r="D84" s="78">
        <f>C84*$C$21</f>
        <v>5285.8521407999988</v>
      </c>
      <c r="E84" s="78">
        <f>D84*(1+$C$9)-$C$80*$C$21</f>
        <v>3063.4986043199988</v>
      </c>
      <c r="F84" s="79">
        <f>(($C$81*$C$78+$C$79)/E84)^(1/$C$10)-1</f>
        <v>0.67726676873855873</v>
      </c>
      <c r="G84" s="80">
        <f>((D84+$C$20)/(1+$C$9)-$C$8)/$C$7</f>
        <v>64.716989114999961</v>
      </c>
      <c r="H84" s="79">
        <f>G84/$C$22-1</f>
        <v>0.36620200791640212</v>
      </c>
    </row>
    <row r="85" spans="2:8" ht="15" customHeight="1" x14ac:dyDescent="0.45">
      <c r="B85" t="s">
        <v>307</v>
      </c>
      <c r="C85" s="77">
        <v>12.2</v>
      </c>
      <c r="D85" s="78">
        <f>C85*$C$21</f>
        <v>7181.224511999998</v>
      </c>
      <c r="E85" s="78">
        <f>D85*(1+$C$9)-$C$80*$C$21</f>
        <v>5006.2552847999978</v>
      </c>
      <c r="F85" s="79">
        <f>(($C$81*$C$78+$C$79)/E85)^(1/$C$10)-1</f>
        <v>0.48346845660203042</v>
      </c>
      <c r="G85" s="80">
        <f>((D85+$C$20)/(1+$C$9)-$C$8)/$C$7</f>
        <v>66.813286333887262</v>
      </c>
      <c r="H85" s="79">
        <f>G85/$C$22-1</f>
        <v>0.41045569630329881</v>
      </c>
    </row>
    <row r="86" spans="2:8" ht="15" customHeight="1" x14ac:dyDescent="0.45">
      <c r="B86" t="s">
        <v>308</v>
      </c>
      <c r="C86" s="77">
        <v>13.7</v>
      </c>
      <c r="D86" s="78">
        <f>C86*$C$21</f>
        <v>8064.1619519999977</v>
      </c>
      <c r="E86" s="78">
        <f>D86*(1+$C$9)-$C$80*$C$21</f>
        <v>5911.2661607999971</v>
      </c>
      <c r="F86" s="79">
        <f>(($C$81*$C$78+$C$79)/E86)^(1/$C$10)-1</f>
        <v>0.4231033323936404</v>
      </c>
      <c r="G86" s="80">
        <f>((D86+$C$20)/(1+$C$9)-$C$8)/$C$7</f>
        <v>67.78982230541861</v>
      </c>
      <c r="H86" s="79">
        <f>G86/$C$22-1</f>
        <v>0.43107076853321957</v>
      </c>
    </row>
    <row r="87" spans="2:8" ht="15" customHeight="1" x14ac:dyDescent="0.45">
      <c r="B87" t="s">
        <v>309</v>
      </c>
      <c r="C87" s="76">
        <f>'Option 2 Breakup'!C61</f>
        <v>11.958718162410236</v>
      </c>
      <c r="D87" s="78">
        <f>C87*$C$21</f>
        <v>7039.1999999999971</v>
      </c>
      <c r="E87" s="78">
        <f>D87*(1+$C$9)-$C$80*$C$21</f>
        <v>4860.6801599999972</v>
      </c>
      <c r="F87" s="79">
        <f>(($C$81*$C$78+$C$79)/E87)^(1/$C$10)-1</f>
        <v>0.4944531438882922</v>
      </c>
      <c r="G87" s="80">
        <f>((D87+$C$20)/(1+$C$9)-$C$8)/$C$7</f>
        <v>66.656206071431527</v>
      </c>
      <c r="H87" s="79">
        <f>G87/$C$22-1</f>
        <v>0.40713966796351131</v>
      </c>
    </row>
    <row r="88" spans="2:8" ht="15" customHeight="1" x14ac:dyDescent="0.45">
      <c r="B88" t="s">
        <v>310</v>
      </c>
      <c r="C88" s="74">
        <f>C81</f>
        <v>12</v>
      </c>
      <c r="D88" s="78">
        <f>C88*$C$21</f>
        <v>7063.4995199999985</v>
      </c>
      <c r="E88" s="78">
        <f>D88*(1+$C$9)-$C$80*$C$21</f>
        <v>4885.5871679999982</v>
      </c>
      <c r="F88" s="79">
        <f>(($C$81*$C$78+$C$79)/E88)^(1/$C$10)-1</f>
        <v>0.49254478936774126</v>
      </c>
      <c r="G88" s="80">
        <f>((D88+$C$20)/(1+$C$9)-$C$8)/$C$7</f>
        <v>66.68308153768308</v>
      </c>
      <c r="H88" s="79">
        <f>G88/$C$22-1</f>
        <v>0.40770702000597603</v>
      </c>
    </row>
    <row r="89" spans="2:8" ht="15" customHeight="1" x14ac:dyDescent="0.45">
      <c r="B89" s="87" t="s">
        <v>311</v>
      </c>
      <c r="C89" s="83">
        <f>C50</f>
        <v>23.863812112571356</v>
      </c>
      <c r="D89" s="84">
        <f>C89*$C$21</f>
        <v>14046.835450209826</v>
      </c>
      <c r="E89" s="84">
        <f>D89*(1+$C$9)-$C$80*$C$21</f>
        <v>12043.50649646507</v>
      </c>
      <c r="F89" s="85">
        <f>(($C$81*$C$78+$C$79)/E89)^(1/$C$10)-1</f>
        <v>0.19115513250874772</v>
      </c>
      <c r="G89" s="86">
        <f>((D89+$C$20)/(1+$C$9)-$C$8)/$C$7</f>
        <v>74.406707729293259</v>
      </c>
      <c r="H89" s="85">
        <f>G89/$C$22-1</f>
        <v>0.57075591575455475</v>
      </c>
    </row>
    <row r="91" spans="2:8" ht="15" customHeight="1" x14ac:dyDescent="0.45">
      <c r="B91" s="70" t="s">
        <v>312</v>
      </c>
      <c r="C91" s="81">
        <f>(E87*(1+$C$17)^$C$10-$C$79)/$C$78</f>
        <v>4.7099592926927061</v>
      </c>
    </row>
    <row r="92" spans="2:8" ht="15" customHeight="1" x14ac:dyDescent="0.45">
      <c r="B92" s="70" t="s">
        <v>313</v>
      </c>
      <c r="C92" s="81">
        <f>$C$81-C89</f>
        <v>-11.863812112571356</v>
      </c>
    </row>
    <row r="93" spans="2:8" ht="15" customHeight="1" x14ac:dyDescent="0.45">
      <c r="B93" s="70" t="s">
        <v>314</v>
      </c>
      <c r="C93" s="82">
        <f>($C$78/$C$21)^(1/$C$10)-1</f>
        <v>0.34794005208109779</v>
      </c>
    </row>
  </sheetData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7E5E4"/>
    <pageSetUpPr fitToPage="1"/>
  </sheetPr>
  <dimension ref="B1:E28"/>
  <sheetViews>
    <sheetView showGridLines="0" zoomScale="150" zoomScaleNormal="150" workbookViewId="0"/>
  </sheetViews>
  <sheetFormatPr defaultColWidth="8.6640625" defaultRowHeight="15" customHeight="1" x14ac:dyDescent="0.45"/>
  <cols>
    <col min="1" max="1" width="2.46484375" customWidth="1"/>
    <col min="2" max="2" width="46" customWidth="1"/>
    <col min="3" max="8" width="15" customWidth="1"/>
  </cols>
  <sheetData>
    <row r="1" spans="2:5" ht="7.5" customHeight="1" x14ac:dyDescent="0.45"/>
    <row r="2" spans="2:5" ht="18" customHeight="1" x14ac:dyDescent="0.45">
      <c r="B2" s="1" t="s">
        <v>269</v>
      </c>
      <c r="C2" s="2"/>
      <c r="D2" s="2"/>
      <c r="E2" s="2"/>
    </row>
    <row r="3" spans="2:5" ht="15" customHeight="1" x14ac:dyDescent="0.45">
      <c r="B3" s="3" t="s">
        <v>270</v>
      </c>
    </row>
    <row r="4" spans="2:5" ht="15" customHeight="1" x14ac:dyDescent="0.45">
      <c r="B4" s="4" t="s">
        <v>73</v>
      </c>
    </row>
    <row r="5" spans="2:5" ht="6" customHeight="1" x14ac:dyDescent="0.45"/>
    <row r="6" spans="2:5" ht="15" customHeight="1" x14ac:dyDescent="0.45">
      <c r="B6" s="26"/>
      <c r="C6" s="26" t="s">
        <v>271</v>
      </c>
      <c r="D6" s="26" t="s">
        <v>272</v>
      </c>
      <c r="E6" s="26" t="s">
        <v>273</v>
      </c>
    </row>
    <row r="7" spans="2:5" ht="15" customHeight="1" x14ac:dyDescent="0.45">
      <c r="B7" s="6" t="s">
        <v>274</v>
      </c>
      <c r="C7" s="62" t="s">
        <v>275</v>
      </c>
      <c r="D7" s="62" t="s">
        <v>276</v>
      </c>
      <c r="E7" s="62" t="s">
        <v>277</v>
      </c>
    </row>
    <row r="8" spans="2:5" ht="15" customHeight="1" x14ac:dyDescent="0.45">
      <c r="B8" s="11" t="s">
        <v>278</v>
      </c>
      <c r="C8" s="63">
        <f>'Option 1 Combined'!C31</f>
        <v>7087.4262499999968</v>
      </c>
      <c r="D8" s="63">
        <f>'Option 1 Combined'!C31</f>
        <v>7087.4262499999968</v>
      </c>
      <c r="E8" s="63">
        <f>'Option 2 Breakup'!C63</f>
        <v>4860.6801599999972</v>
      </c>
    </row>
    <row r="9" spans="2:5" ht="15" customHeight="1" x14ac:dyDescent="0.45">
      <c r="B9" s="16" t="s">
        <v>279</v>
      </c>
      <c r="C9" s="19">
        <f>'Option 1 Combined'!C36</f>
        <v>0.27259331730769221</v>
      </c>
      <c r="D9" s="19">
        <f>'Option 1 Combined'!C36</f>
        <v>0.27259331730769221</v>
      </c>
      <c r="E9" s="19">
        <f>'Option 2 Breakup'!C64</f>
        <v>0.1869492369230768</v>
      </c>
    </row>
    <row r="10" spans="2:5" ht="15" customHeight="1" x14ac:dyDescent="0.45">
      <c r="B10" s="6" t="s">
        <v>280</v>
      </c>
      <c r="C10" s="64">
        <f>'Option 1 Combined'!C30</f>
        <v>50000</v>
      </c>
      <c r="D10" s="64">
        <f>'Option 1 Combined'!C30</f>
        <v>50000</v>
      </c>
      <c r="E10" s="64">
        <f>'Option 2 Breakup'!C62</f>
        <v>2354.4998399999995</v>
      </c>
    </row>
    <row r="11" spans="2:5" ht="15" customHeight="1" x14ac:dyDescent="0.45">
      <c r="B11" s="6" t="s">
        <v>281</v>
      </c>
      <c r="C11" s="64">
        <f>'Option 1 Combined'!C37</f>
        <v>9333</v>
      </c>
      <c r="D11" s="64">
        <f>'Option 1 Combined'!C37</f>
        <v>9333</v>
      </c>
      <c r="E11" s="64">
        <f>'Option 2 Breakup'!C60</f>
        <v>588.62495999999987</v>
      </c>
    </row>
    <row r="12" spans="2:5" ht="15" customHeight="1" x14ac:dyDescent="0.45">
      <c r="B12" s="6" t="s">
        <v>282</v>
      </c>
      <c r="C12" s="64">
        <f>'Option 1 Combined'!F45</f>
        <v>15296.972858879999</v>
      </c>
      <c r="D12" s="64">
        <f>'Option 1 Combined'!F45</f>
        <v>15296.972858879999</v>
      </c>
      <c r="E12" s="64">
        <f>'Option 2 Breakup'!C84</f>
        <v>1943.2155882689999</v>
      </c>
    </row>
    <row r="13" spans="2:5" ht="15" customHeight="1" x14ac:dyDescent="0.45">
      <c r="B13" s="6" t="s">
        <v>125</v>
      </c>
      <c r="C13" s="64">
        <f>'Option 1 Combined'!C63</f>
        <v>196910.4383722427</v>
      </c>
      <c r="D13" s="64">
        <f>'Option 1 Combined'!C63</f>
        <v>196910.4383722427</v>
      </c>
      <c r="E13" s="64">
        <f>'Option 2 Breakup'!C87</f>
        <v>24245.227121331092</v>
      </c>
    </row>
    <row r="14" spans="2:5" ht="15" customHeight="1" x14ac:dyDescent="0.45">
      <c r="B14" s="6" t="s">
        <v>283</v>
      </c>
      <c r="C14" s="64">
        <f>'Option 1 Combined'!C66</f>
        <v>10392.545667085042</v>
      </c>
      <c r="D14" s="64">
        <f>'Option 1 Combined'!C83</f>
        <v>20066.773388135283</v>
      </c>
      <c r="E14" s="64">
        <f>'Option 2 Breakup'!C87</f>
        <v>24245.227121331092</v>
      </c>
    </row>
    <row r="15" spans="2:5" ht="15" customHeight="1" x14ac:dyDescent="0.45">
      <c r="B15" s="11" t="s">
        <v>129</v>
      </c>
      <c r="C15" s="65">
        <f>'Option 1 Combined'!C68</f>
        <v>1.46633563447451</v>
      </c>
      <c r="D15" s="65">
        <f>'Option 1 Combined'!C84</f>
        <v>2.8313202395771375</v>
      </c>
      <c r="E15" s="65">
        <f>'Option 2 Breakup'!C88</f>
        <v>4.9880317822292399</v>
      </c>
    </row>
    <row r="16" spans="2:5" ht="15" customHeight="1" x14ac:dyDescent="0.45">
      <c r="B16" s="11" t="s">
        <v>130</v>
      </c>
      <c r="C16" s="66">
        <f>'Option 1 Combined'!C69</f>
        <v>0.10041967608186808</v>
      </c>
      <c r="D16" s="66">
        <f>'Option 1 Combined'!C85</f>
        <v>0.29717105227308749</v>
      </c>
      <c r="E16" s="66">
        <f>'Option 2 Breakup'!C89</f>
        <v>0.4944531438882922</v>
      </c>
    </row>
    <row r="17" spans="2:5" ht="15" customHeight="1" x14ac:dyDescent="0.45">
      <c r="B17" s="16" t="s">
        <v>66</v>
      </c>
      <c r="C17" s="19">
        <f>Assumptions!C76</f>
        <v>0.2</v>
      </c>
    </row>
    <row r="18" spans="2:5" ht="15" customHeight="1" x14ac:dyDescent="0.45">
      <c r="B18" s="16" t="s">
        <v>131</v>
      </c>
      <c r="C18" s="24">
        <f>C16-$C$17</f>
        <v>-9.958032391813193E-2</v>
      </c>
      <c r="D18" s="24">
        <f>D16-$C$17</f>
        <v>9.7171052273087477E-2</v>
      </c>
      <c r="E18" s="24">
        <f>E16-$C$17</f>
        <v>0.29445314388829219</v>
      </c>
    </row>
    <row r="19" spans="2:5" ht="15" customHeight="1" x14ac:dyDescent="0.45">
      <c r="B19" s="16" t="s">
        <v>284</v>
      </c>
      <c r="C19" s="19">
        <f>'Option 1 Combined'!E91</f>
        <v>-0.12486844225277094</v>
      </c>
      <c r="D19" s="19">
        <f>'Option 1 Combined'!D91</f>
        <v>0.1888841478467207</v>
      </c>
    </row>
    <row r="20" spans="2:5" ht="14.25" x14ac:dyDescent="0.45"/>
    <row r="21" spans="2:5" ht="15" customHeight="1" x14ac:dyDescent="0.45">
      <c r="B21" s="5" t="s">
        <v>285</v>
      </c>
      <c r="C21" s="5"/>
      <c r="D21" s="5"/>
      <c r="E21" s="5"/>
    </row>
    <row r="22" spans="2:5" ht="15" customHeight="1" x14ac:dyDescent="0.45">
      <c r="B22" s="6" t="s">
        <v>286</v>
      </c>
    </row>
    <row r="23" spans="2:5" ht="15" customHeight="1" x14ac:dyDescent="0.45">
      <c r="B23" s="6" t="s">
        <v>287</v>
      </c>
    </row>
    <row r="24" spans="2:5" ht="15" customHeight="1" x14ac:dyDescent="0.45">
      <c r="B24" s="6" t="s">
        <v>288</v>
      </c>
    </row>
    <row r="25" spans="2:5" ht="15" customHeight="1" x14ac:dyDescent="0.45">
      <c r="B25" s="6" t="s">
        <v>289</v>
      </c>
    </row>
    <row r="26" spans="2:5" ht="15" customHeight="1" x14ac:dyDescent="0.45">
      <c r="B26" s="6" t="s">
        <v>290</v>
      </c>
    </row>
    <row r="27" spans="2:5" ht="14.25" x14ac:dyDescent="0.45"/>
    <row r="28" spans="2:5" ht="15" customHeight="1" x14ac:dyDescent="0.45">
      <c r="B28" s="13" t="s">
        <v>291</v>
      </c>
    </row>
  </sheetData>
  <pageMargins left="0.75" right="0.75" top="1" bottom="1" header="0.511811023622047" footer="0.511811023622047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7D68-7757-43F7-BCC9-D6D11F9AA6F5}">
  <dimension ref="A1"/>
  <sheetViews>
    <sheetView workbookViewId="0"/>
  </sheetViews>
  <sheetFormatPr defaultRowHeight="14.25" x14ac:dyDescent="0.45"/>
  <sheetData>
    <row r="1" spans="1:1" x14ac:dyDescent="0.45">
      <c r="A1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Assumptions</vt:lpstr>
      <vt:lpstr>Option 1 Combined</vt:lpstr>
      <vt:lpstr>Option 2 Breakup</vt:lpstr>
      <vt:lpstr>Ability to Pay</vt:lpstr>
      <vt:lpstr>Comparison</vt:lpstr>
      <vt:lpstr>'Ability to Pay'!Print_Area</vt:lpstr>
      <vt:lpstr>Assumptions!Print_Area</vt:lpstr>
      <vt:lpstr>Comparison!Print_Area</vt:lpstr>
      <vt:lpstr>'Option 1 Combined'!Print_Area</vt:lpstr>
      <vt:lpstr>'Option 2 Breakup'!Print_Area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Alastair Matchett</cp:lastModifiedBy>
  <cp:revision>0</cp:revision>
  <dcterms:created xsi:type="dcterms:W3CDTF">2026-08-14T12:18:02Z</dcterms:created>
  <dcterms:modified xsi:type="dcterms:W3CDTF">2026-08-14T14:33:28Z</dcterms:modified>
  <dc:language>en-US</dc:language>
</cp:coreProperties>
</file>