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andrew_jones_fe_training/Documents/Content/Materials Changes/7090/"/>
    </mc:Choice>
  </mc:AlternateContent>
  <xr:revisionPtr revIDLastSave="22" documentId="8_{8458B641-A358-4FD9-8B07-E8F438E7B444}" xr6:coauthVersionLast="47" xr6:coauthVersionMax="47" xr10:uidLastSave="{BFBAA02A-0711-4F7E-B692-229AD2D37D49}"/>
  <bookViews>
    <workbookView xWindow="-120" yWindow="-120" windowWidth="29040" windowHeight="15720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witch">Info!$N$12</definedName>
    <definedName name="Switch2">Input!$F$5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6" l="1"/>
  <c r="J20" i="24"/>
  <c r="K20" i="24"/>
  <c r="L20" i="24"/>
  <c r="M20" i="24"/>
  <c r="N20" i="24"/>
  <c r="O20" i="24"/>
  <c r="P20" i="24"/>
  <c r="Q20" i="24"/>
  <c r="K17" i="24"/>
  <c r="L17" i="24"/>
  <c r="M17" i="24"/>
  <c r="N17" i="24"/>
  <c r="O17" i="24"/>
  <c r="P17" i="24"/>
  <c r="Q17" i="24"/>
  <c r="J17" i="24"/>
  <c r="D17" i="24"/>
  <c r="E17" i="24"/>
  <c r="F17" i="24"/>
  <c r="C17" i="24"/>
  <c r="C24" i="27" l="1"/>
  <c r="C27" i="27" s="1"/>
  <c r="D26" i="27" s="1"/>
  <c r="A1" i="28"/>
  <c r="A1" i="26"/>
  <c r="A1" i="24"/>
  <c r="A1" i="25"/>
  <c r="A1" i="23"/>
  <c r="A1" i="27"/>
  <c r="A1" i="22"/>
  <c r="D24" i="27" l="1"/>
  <c r="D27" i="27" s="1"/>
  <c r="K15" i="22"/>
  <c r="L15" i="22"/>
  <c r="M15" i="22"/>
  <c r="N15" i="22"/>
  <c r="O15" i="22"/>
  <c r="P15" i="22"/>
  <c r="Q15" i="22"/>
  <c r="J15" i="22"/>
  <c r="K31" i="27" l="1"/>
  <c r="K27" i="25"/>
  <c r="L27" i="25"/>
  <c r="M27" i="25"/>
  <c r="N27" i="25"/>
  <c r="O27" i="25"/>
  <c r="P27" i="25"/>
  <c r="Q27" i="25"/>
  <c r="K13" i="25"/>
  <c r="L13" i="25"/>
  <c r="M13" i="25"/>
  <c r="N13" i="25"/>
  <c r="O13" i="25"/>
  <c r="P13" i="25"/>
  <c r="Q13" i="25"/>
  <c r="L13" i="24"/>
  <c r="M13" i="24"/>
  <c r="N13" i="24"/>
  <c r="O13" i="24"/>
  <c r="P13" i="24"/>
  <c r="Q13" i="24"/>
  <c r="J27" i="25"/>
  <c r="J13" i="25"/>
  <c r="K13" i="24"/>
  <c r="J13" i="24"/>
  <c r="J5" i="24"/>
  <c r="K5" i="24" s="1"/>
  <c r="I43" i="28"/>
  <c r="I49" i="28"/>
  <c r="I55" i="28"/>
  <c r="I22" i="23"/>
  <c r="I9" i="23"/>
  <c r="J6" i="23" s="1"/>
  <c r="J8" i="23" s="1"/>
  <c r="J12" i="24" s="1"/>
  <c r="I21" i="23"/>
  <c r="I20" i="23"/>
  <c r="I19" i="23"/>
  <c r="K17" i="27"/>
  <c r="K15" i="27"/>
  <c r="K16" i="27"/>
  <c r="K14" i="27"/>
  <c r="I23" i="23" l="1"/>
  <c r="I25" i="26"/>
  <c r="J6" i="24"/>
  <c r="J7" i="25" s="1"/>
  <c r="J20" i="23" s="1"/>
  <c r="J8" i="25"/>
  <c r="J21" i="23" s="1"/>
  <c r="J9" i="24"/>
  <c r="J12" i="25"/>
  <c r="K12" i="25" s="1"/>
  <c r="L12" i="25" s="1"/>
  <c r="M12" i="25" s="1"/>
  <c r="N12" i="25" s="1"/>
  <c r="O12" i="25" s="1"/>
  <c r="P12" i="25" s="1"/>
  <c r="Q12" i="25" s="1"/>
  <c r="I25" i="28"/>
  <c r="L31" i="27"/>
  <c r="K6" i="25"/>
  <c r="K19" i="23" s="1"/>
  <c r="L5" i="24"/>
  <c r="L6" i="24" s="1"/>
  <c r="K8" i="25"/>
  <c r="K21" i="23" s="1"/>
  <c r="K9" i="24"/>
  <c r="K6" i="24"/>
  <c r="K7" i="23"/>
  <c r="J7" i="23"/>
  <c r="J6" i="25"/>
  <c r="J19" i="23" s="1"/>
  <c r="I34" i="28"/>
  <c r="J3" i="28"/>
  <c r="K3" i="28" s="1"/>
  <c r="L3" i="28" s="1"/>
  <c r="M3" i="28" s="1"/>
  <c r="N3" i="28" s="1"/>
  <c r="O3" i="28" s="1"/>
  <c r="P3" i="28" s="1"/>
  <c r="Q3" i="28" s="1"/>
  <c r="E3" i="28"/>
  <c r="D3" i="28" s="1"/>
  <c r="C3" i="28" s="1"/>
  <c r="J7" i="24" l="1"/>
  <c r="J10" i="24" s="1"/>
  <c r="J14" i="24" s="1"/>
  <c r="J18" i="25"/>
  <c r="J22" i="23" s="1"/>
  <c r="J23" i="23" s="1"/>
  <c r="M31" i="27"/>
  <c r="N31" i="27" s="1"/>
  <c r="J66" i="28"/>
  <c r="M5" i="24"/>
  <c r="L7" i="23"/>
  <c r="L6" i="25"/>
  <c r="L19" i="23" s="1"/>
  <c r="L8" i="25"/>
  <c r="L21" i="23" s="1"/>
  <c r="L9" i="24"/>
  <c r="K18" i="25"/>
  <c r="K22" i="23" s="1"/>
  <c r="K7" i="25"/>
  <c r="K20" i="23" s="1"/>
  <c r="K7" i="24"/>
  <c r="K10" i="24" s="1"/>
  <c r="L7" i="24"/>
  <c r="L18" i="25"/>
  <c r="L22" i="23" s="1"/>
  <c r="L7" i="25"/>
  <c r="L20" i="23" s="1"/>
  <c r="J9" i="23"/>
  <c r="I68" i="28"/>
  <c r="B26" i="25"/>
  <c r="B25" i="25"/>
  <c r="B24" i="25"/>
  <c r="B23" i="25"/>
  <c r="B22" i="25"/>
  <c r="B6" i="28" s="1"/>
  <c r="B17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 s="1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14" i="27"/>
  <c r="F9" i="27"/>
  <c r="L10" i="24" l="1"/>
  <c r="K23" i="23"/>
  <c r="L23" i="23"/>
  <c r="O31" i="27"/>
  <c r="J67" i="28"/>
  <c r="M8" i="25"/>
  <c r="M21" i="23" s="1"/>
  <c r="M6" i="25"/>
  <c r="M19" i="23" s="1"/>
  <c r="M7" i="23"/>
  <c r="N5" i="24"/>
  <c r="M9" i="24"/>
  <c r="M6" i="24"/>
  <c r="J11" i="25"/>
  <c r="K6" i="23"/>
  <c r="B19" i="26"/>
  <c r="B7" i="28"/>
  <c r="B18" i="28" s="1"/>
  <c r="B20" i="26"/>
  <c r="B8" i="28"/>
  <c r="B19" i="28" s="1"/>
  <c r="B18" i="26"/>
  <c r="P31" i="27" l="1"/>
  <c r="Q31" i="27" s="1"/>
  <c r="M7" i="24"/>
  <c r="M10" i="24" s="1"/>
  <c r="M18" i="25"/>
  <c r="M22" i="23" s="1"/>
  <c r="M7" i="25"/>
  <c r="M20" i="23" s="1"/>
  <c r="K8" i="23"/>
  <c r="K12" i="24" s="1"/>
  <c r="K14" i="24" s="1"/>
  <c r="N8" i="25"/>
  <c r="N21" i="23" s="1"/>
  <c r="N6" i="25"/>
  <c r="N19" i="23" s="1"/>
  <c r="N6" i="24"/>
  <c r="O5" i="24"/>
  <c r="N9" i="24"/>
  <c r="N7" i="23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28" i="25" s="1"/>
  <c r="D31" i="25" s="1"/>
  <c r="E19" i="25"/>
  <c r="E28" i="25" s="1"/>
  <c r="E31" i="25" s="1"/>
  <c r="F19" i="25"/>
  <c r="C19" i="25"/>
  <c r="C28" i="25" s="1"/>
  <c r="C31" i="25" s="1"/>
  <c r="F20" i="24" l="1"/>
  <c r="F23" i="24" s="1"/>
  <c r="F14" i="24"/>
  <c r="F6" i="27" s="1"/>
  <c r="K66" i="28"/>
  <c r="K67" i="28" s="1"/>
  <c r="M23" i="23"/>
  <c r="N7" i="24"/>
  <c r="N10" i="24" s="1"/>
  <c r="N18" i="25"/>
  <c r="N22" i="23" s="1"/>
  <c r="N7" i="25"/>
  <c r="N20" i="23" s="1"/>
  <c r="O6" i="25"/>
  <c r="O19" i="23" s="1"/>
  <c r="O8" i="25"/>
  <c r="O21" i="23" s="1"/>
  <c r="O6" i="24"/>
  <c r="O9" i="24"/>
  <c r="P5" i="24"/>
  <c r="O7" i="23"/>
  <c r="K9" i="23"/>
  <c r="F28" i="25"/>
  <c r="C20" i="24"/>
  <c r="C23" i="24" s="1"/>
  <c r="E20" i="24"/>
  <c r="E23" i="24" s="1"/>
  <c r="D20" i="24"/>
  <c r="D23" i="24" s="1"/>
  <c r="D9" i="25"/>
  <c r="C9" i="25"/>
  <c r="C15" i="25" l="1"/>
  <c r="C33" i="25" s="1"/>
  <c r="N23" i="23"/>
  <c r="D15" i="25"/>
  <c r="D33" i="25" s="1"/>
  <c r="H14" i="27"/>
  <c r="H15" i="27" s="1"/>
  <c r="H16" i="27" s="1"/>
  <c r="H17" i="27" s="1"/>
  <c r="H18" i="27" s="1"/>
  <c r="I16" i="23"/>
  <c r="J13" i="23" s="1"/>
  <c r="O18" i="25"/>
  <c r="O22" i="23" s="1"/>
  <c r="O7" i="25"/>
  <c r="O20" i="23" s="1"/>
  <c r="P8" i="25"/>
  <c r="P21" i="23" s="1"/>
  <c r="P6" i="25"/>
  <c r="P19" i="23" s="1"/>
  <c r="P6" i="24"/>
  <c r="P9" i="24"/>
  <c r="Q5" i="24"/>
  <c r="P7" i="23"/>
  <c r="K11" i="25"/>
  <c r="L6" i="23"/>
  <c r="O7" i="24"/>
  <c r="O10" i="24" s="1"/>
  <c r="F31" i="25"/>
  <c r="E16" i="22"/>
  <c r="F16" i="22"/>
  <c r="D16" i="22"/>
  <c r="C16" i="22"/>
  <c r="O23" i="23" l="1"/>
  <c r="L8" i="23"/>
  <c r="L12" i="24" s="1"/>
  <c r="L14" i="24" s="1"/>
  <c r="P7" i="24"/>
  <c r="P10" i="24" s="1"/>
  <c r="P18" i="25"/>
  <c r="P22" i="23" s="1"/>
  <c r="P7" i="25"/>
  <c r="P20" i="23" s="1"/>
  <c r="Q8" i="25"/>
  <c r="Q21" i="23" s="1"/>
  <c r="Q6" i="25"/>
  <c r="Q19" i="23" s="1"/>
  <c r="Q9" i="24"/>
  <c r="Q6" i="24"/>
  <c r="Q7" i="23"/>
  <c r="F15" i="22"/>
  <c r="B22" i="23"/>
  <c r="B21" i="23"/>
  <c r="B20" i="23"/>
  <c r="B19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P23" i="23" l="1"/>
  <c r="L66" i="28"/>
  <c r="L67" i="28" s="1"/>
  <c r="Q7" i="24"/>
  <c r="Q10" i="24" s="1"/>
  <c r="Q18" i="25"/>
  <c r="Q22" i="23" s="1"/>
  <c r="Q7" i="25"/>
  <c r="Q20" i="23" s="1"/>
  <c r="Q23" i="23" s="1"/>
  <c r="L9" i="23"/>
  <c r="I19" i="27"/>
  <c r="F13" i="22"/>
  <c r="M6" i="23" l="1"/>
  <c r="L11" i="25"/>
  <c r="I60" i="28"/>
  <c r="I15" i="27"/>
  <c r="I16" i="27"/>
  <c r="I20" i="27"/>
  <c r="I17" i="27"/>
  <c r="I14" i="27"/>
  <c r="I18" i="27"/>
  <c r="A1" i="6"/>
  <c r="M8" i="23" l="1"/>
  <c r="M12" i="24" s="1"/>
  <c r="M14" i="24" s="1"/>
  <c r="E9" i="25"/>
  <c r="F9" i="25"/>
  <c r="F15" i="25" s="1"/>
  <c r="E15" i="25" l="1"/>
  <c r="E33" i="25" s="1"/>
  <c r="M9" i="23"/>
  <c r="N6" i="23" s="1"/>
  <c r="M66" i="28"/>
  <c r="M67" i="28" s="1"/>
  <c r="F33" i="25"/>
  <c r="M11" i="25" l="1"/>
  <c r="N8" i="23"/>
  <c r="N12" i="24" s="1"/>
  <c r="N14" i="24" s="1"/>
  <c r="N9" i="23" l="1"/>
  <c r="O6" i="23" s="1"/>
  <c r="N66" i="28"/>
  <c r="N67" i="28" s="1"/>
  <c r="N11" i="25" l="1"/>
  <c r="O8" i="23"/>
  <c r="O12" i="24" s="1"/>
  <c r="O14" i="24" s="1"/>
  <c r="O9" i="23" l="1"/>
  <c r="P6" i="23" s="1"/>
  <c r="O66" i="28"/>
  <c r="O67" i="28" s="1"/>
  <c r="O11" i="25" l="1"/>
  <c r="P8" i="23"/>
  <c r="P12" i="24" s="1"/>
  <c r="P14" i="24" s="1"/>
  <c r="P9" i="23" l="1"/>
  <c r="P11" i="25" s="1"/>
  <c r="P66" i="28"/>
  <c r="P67" i="28" s="1"/>
  <c r="Q6" i="23"/>
  <c r="Q8" i="23" l="1"/>
  <c r="Q12" i="24" s="1"/>
  <c r="Q14" i="24" s="1"/>
  <c r="Q66" i="28" l="1"/>
  <c r="Q67" i="28" s="1"/>
  <c r="Q9" i="23"/>
  <c r="Q11" i="25" s="1"/>
  <c r="N22" i="24" l="1"/>
  <c r="P22" i="24"/>
  <c r="P23" i="24" s="1"/>
  <c r="P14" i="23" s="1"/>
  <c r="M22" i="24"/>
  <c r="L22" i="24"/>
  <c r="L23" i="24" l="1"/>
  <c r="L14" i="23" s="1"/>
  <c r="K22" i="24"/>
  <c r="J22" i="24"/>
  <c r="O22" i="24"/>
  <c r="O23" i="24"/>
  <c r="O14" i="23" s="1"/>
  <c r="M23" i="24"/>
  <c r="M14" i="23" s="1"/>
  <c r="N23" i="24"/>
  <c r="N14" i="23" s="1"/>
  <c r="Q22" i="24"/>
  <c r="J23" i="24" l="1"/>
  <c r="J14" i="23" s="1"/>
  <c r="J16" i="23" s="1"/>
  <c r="K23" i="24"/>
  <c r="K14" i="23" s="1"/>
  <c r="Q23" i="24"/>
  <c r="Q14" i="23" s="1"/>
  <c r="J30" i="25" l="1"/>
  <c r="K13" i="23"/>
  <c r="K16" i="23" s="1"/>
  <c r="K30" i="25" l="1"/>
  <c r="L13" i="23"/>
  <c r="L16" i="23" s="1"/>
  <c r="L30" i="25" l="1"/>
  <c r="M13" i="23"/>
  <c r="M16" i="23" s="1"/>
  <c r="J19" i="25"/>
  <c r="N13" i="23" l="1"/>
  <c r="N16" i="23" s="1"/>
  <c r="M30" i="25"/>
  <c r="J68" i="28"/>
  <c r="J71" i="28" l="1"/>
  <c r="J74" i="28"/>
  <c r="J70" i="28"/>
  <c r="N30" i="25"/>
  <c r="O13" i="23"/>
  <c r="O16" i="23" s="1"/>
  <c r="J28" i="25"/>
  <c r="J31" i="25" s="1"/>
  <c r="P13" i="23" l="1"/>
  <c r="P16" i="23" s="1"/>
  <c r="O30" i="25"/>
  <c r="P30" i="25" l="1"/>
  <c r="Q13" i="23"/>
  <c r="Q16" i="23" s="1"/>
  <c r="Q30" i="25" s="1"/>
  <c r="J73" i="28"/>
  <c r="J72" i="28"/>
  <c r="J9" i="25" l="1"/>
  <c r="J15" i="25" s="1"/>
  <c r="J33" i="25" s="1"/>
  <c r="K19" i="25" l="1"/>
  <c r="K68" i="28" l="1"/>
  <c r="K28" i="25"/>
  <c r="K31" i="25" s="1"/>
  <c r="K72" i="28" l="1"/>
  <c r="K70" i="28"/>
  <c r="K74" i="28"/>
  <c r="K71" i="28"/>
  <c r="K73" i="28"/>
  <c r="K9" i="25" l="1"/>
  <c r="K15" i="25" s="1"/>
  <c r="K33" i="25" s="1"/>
  <c r="L19" i="25" l="1"/>
  <c r="L68" i="28" l="1"/>
  <c r="L72" i="28" l="1"/>
  <c r="L70" i="28"/>
  <c r="L71" i="28"/>
  <c r="L74" i="28"/>
  <c r="L28" i="25"/>
  <c r="L31" i="25" s="1"/>
  <c r="L73" i="28" l="1"/>
  <c r="L9" i="25" l="1"/>
  <c r="L15" i="25" s="1"/>
  <c r="L33" i="25" s="1"/>
  <c r="M19" i="25" l="1"/>
  <c r="M68" i="28" l="1"/>
  <c r="M72" i="28" l="1"/>
  <c r="M73" i="28"/>
  <c r="M28" i="25"/>
  <c r="M31" i="25" s="1"/>
  <c r="M74" i="28"/>
  <c r="M71" i="28"/>
  <c r="M70" i="28"/>
  <c r="M9" i="25" l="1"/>
  <c r="M15" i="25" s="1"/>
  <c r="M33" i="25" s="1"/>
  <c r="N19" i="25" l="1"/>
  <c r="N28" i="25" l="1"/>
  <c r="N31" i="25" s="1"/>
  <c r="N68" i="28"/>
  <c r="N72" i="28" l="1"/>
  <c r="N73" i="28"/>
  <c r="N70" i="28"/>
  <c r="N71" i="28"/>
  <c r="N74" i="28"/>
  <c r="N9" i="25" l="1"/>
  <c r="N15" i="25" s="1"/>
  <c r="N33" i="25" s="1"/>
  <c r="O19" i="25" l="1"/>
  <c r="O68" i="28" l="1"/>
  <c r="O74" i="28" l="1"/>
  <c r="O71" i="28"/>
  <c r="O70" i="28"/>
  <c r="O73" i="28" l="1"/>
  <c r="O72" i="28"/>
  <c r="O28" i="25"/>
  <c r="O31" i="25" s="1"/>
  <c r="O9" i="25" l="1"/>
  <c r="O15" i="25" s="1"/>
  <c r="O33" i="25" s="1"/>
  <c r="P19" i="25" l="1"/>
  <c r="P68" i="28" l="1"/>
  <c r="P28" i="25" l="1"/>
  <c r="P31" i="25" s="1"/>
  <c r="P74" i="28"/>
  <c r="P70" i="28"/>
  <c r="P71" i="28"/>
  <c r="P73" i="28" l="1"/>
  <c r="P72" i="28"/>
  <c r="P9" i="25" l="1"/>
  <c r="P15" i="25" s="1"/>
  <c r="P33" i="25" s="1"/>
  <c r="Q19" i="25" l="1"/>
  <c r="Q68" i="28" l="1"/>
  <c r="Q28" i="25"/>
  <c r="Q31" i="25" s="1"/>
  <c r="Q71" i="28" l="1"/>
  <c r="Q70" i="28"/>
  <c r="Q74" i="28"/>
  <c r="Q73" i="28" l="1"/>
  <c r="Q72" i="28"/>
  <c r="Q9" i="25" l="1"/>
  <c r="Q15" i="25" s="1"/>
  <c r="Q33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<sst xmlns="http://schemas.openxmlformats.org/spreadsheetml/2006/main" count="336" uniqueCount="195">
  <si>
    <t>Features</t>
  </si>
  <si>
    <t>◦</t>
  </si>
  <si>
    <t>Model Details</t>
  </si>
  <si>
    <t>Units</t>
  </si>
  <si>
    <t>Analyst Name</t>
  </si>
  <si>
    <t>Circular Switch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</si>
  <si>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</si>
  <si>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</si>
  <si>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</si>
  <si>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</si>
  <si>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</si>
  <si>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</si>
  <si>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</si>
  <si>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</si>
  <si>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Tab name here</t>
  </si>
  <si>
    <t>Tab description here</t>
  </si>
  <si>
    <t>Analysis date</t>
  </si>
  <si>
    <t>Goodwill</t>
  </si>
  <si>
    <t>Depreciation</t>
  </si>
  <si>
    <t>Target</t>
  </si>
  <si>
    <t>Model information</t>
  </si>
  <si>
    <t>Acquirer latest year end</t>
  </si>
  <si>
    <t>Figures in MMs</t>
  </si>
  <si>
    <t>Hist.</t>
  </si>
  <si>
    <t>Proj.</t>
  </si>
  <si>
    <t>Assumptions</t>
  </si>
  <si>
    <t>Circ switch</t>
  </si>
  <si>
    <t>COGS % sales</t>
  </si>
  <si>
    <t>Depreciation % of last year's net PP&amp;E</t>
  </si>
  <si>
    <t>SG&amp;A % sales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</si>
  <si>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</si>
  <si>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</si>
  <si>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</si>
  <si>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</si>
  <si>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</si>
  <si>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</si>
  <si>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>Payable days</t>
  </si>
  <si>
    <t>Net PP&amp;E</t>
  </si>
  <si>
    <t>Beginning</t>
  </si>
  <si>
    <t>Capex</t>
  </si>
  <si>
    <t xml:space="preserve"> Ending</t>
  </si>
  <si>
    <t>Equity</t>
  </si>
  <si>
    <t>Net income</t>
  </si>
  <si>
    <t>Operating working capital</t>
  </si>
  <si>
    <t xml:space="preserve"> OWC</t>
  </si>
  <si>
    <t>Beginning cash</t>
  </si>
  <si>
    <t>Net sales</t>
  </si>
  <si>
    <t>Cost of sales</t>
  </si>
  <si>
    <t xml:space="preserve"> Gross profit</t>
  </si>
  <si>
    <t>SG&amp;A</t>
  </si>
  <si>
    <t xml:space="preserve"> EBIT</t>
  </si>
  <si>
    <t>Interest expense</t>
  </si>
  <si>
    <t>Income before tax</t>
  </si>
  <si>
    <t>Provision for income taxes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</si>
  <si>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</si>
  <si>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</si>
  <si>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</si>
  <si>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</si>
  <si>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</si>
  <si>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</si>
  <si>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</si>
  <si>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 xml:space="preserve"> Total assets</t>
  </si>
  <si>
    <t>Revolver</t>
  </si>
  <si>
    <t>Accounts payable</t>
  </si>
  <si>
    <t xml:space="preserve"> Total current liabilities</t>
  </si>
  <si>
    <t xml:space="preserve"> Total liabilities</t>
  </si>
  <si>
    <t xml:space="preserve"> Total liabilities and equity</t>
  </si>
  <si>
    <t>Balance?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</si>
  <si>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</si>
  <si>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</si>
  <si>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</si>
  <si>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</si>
  <si>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</si>
  <si>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</si>
  <si>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</si>
  <si>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 xml:space="preserve"> Cash flow from financing activities</t>
  </si>
  <si>
    <t>Net cash flow</t>
  </si>
  <si>
    <t xml:space="preserve"> Ending cash</t>
  </si>
  <si>
    <t>Debenhams LBO model</t>
  </si>
  <si>
    <t xml:space="preserve"> EBITDA</t>
  </si>
  <si>
    <t>Other LT assets</t>
  </si>
  <si>
    <t>Debt</t>
  </si>
  <si>
    <t>Other LT liabilities</t>
  </si>
  <si>
    <t>Sales growth rate</t>
  </si>
  <si>
    <t>Income statement assumptions</t>
  </si>
  <si>
    <t>Amortization</t>
  </si>
  <si>
    <t>Amortization amount</t>
  </si>
  <si>
    <t>Inc (dec) in LT debt</t>
  </si>
  <si>
    <t>LBO</t>
  </si>
  <si>
    <t>Key assumptions</t>
  </si>
  <si>
    <t>Historic EBITDA</t>
  </si>
  <si>
    <t>EV/LTM EBITDA</t>
  </si>
  <si>
    <t>Acquisition EV</t>
  </si>
  <si>
    <t>Fees % EV</t>
  </si>
  <si>
    <t>LIBOR</t>
  </si>
  <si>
    <t>8 year GILT</t>
  </si>
  <si>
    <t>Exit year</t>
  </si>
  <si>
    <t>Sources and uses</t>
  </si>
  <si>
    <t>Net debt</t>
  </si>
  <si>
    <t>Acquisition equity value</t>
  </si>
  <si>
    <t>Refinanced net debt</t>
  </si>
  <si>
    <t>Fees</t>
  </si>
  <si>
    <t xml:space="preserve"> Total uses</t>
  </si>
  <si>
    <t>First Lien</t>
  </si>
  <si>
    <t>Second Lien</t>
  </si>
  <si>
    <t>Junior notes</t>
  </si>
  <si>
    <t>Prefs</t>
  </si>
  <si>
    <t>Common equity</t>
  </si>
  <si>
    <t xml:space="preserve"> Total sources</t>
  </si>
  <si>
    <t>Spread</t>
  </si>
  <si>
    <t>Rate</t>
  </si>
  <si>
    <t>Ownership</t>
  </si>
  <si>
    <t>At exit</t>
  </si>
  <si>
    <t>Institutions</t>
  </si>
  <si>
    <t>Mezzanine</t>
  </si>
  <si>
    <t>At entry</t>
  </si>
  <si>
    <t xml:space="preserve"> Total</t>
  </si>
  <si>
    <t>Equity purchase price</t>
  </si>
  <si>
    <t xml:space="preserve"> Goodwill</t>
  </si>
  <si>
    <t>Accounting</t>
  </si>
  <si>
    <t>Financing</t>
  </si>
  <si>
    <t>Combo</t>
  </si>
  <si>
    <t>Beginning cash balance</t>
  </si>
  <si>
    <t>Cash flow from operations</t>
  </si>
  <si>
    <t>Cash flow from investing</t>
  </si>
  <si>
    <t>Mandatory repayment</t>
  </si>
  <si>
    <t xml:space="preserve"> Cash flow for debt repayment</t>
  </si>
  <si>
    <t>Mandatory repayments</t>
  </si>
  <si>
    <t>Beginning balance</t>
  </si>
  <si>
    <t>Accelerated repayment</t>
  </si>
  <si>
    <t xml:space="preserve"> Ending balance</t>
  </si>
  <si>
    <t xml:space="preserve"> Cash flow for second lien acceleration</t>
  </si>
  <si>
    <t>Repayment</t>
  </si>
  <si>
    <t xml:space="preserve">Beginning </t>
  </si>
  <si>
    <t>Accrued interest</t>
  </si>
  <si>
    <t>Cash flow</t>
  </si>
  <si>
    <t>Preference shares</t>
  </si>
  <si>
    <t>Accrued dividends</t>
  </si>
  <si>
    <t xml:space="preserve"> Cash flow for revolver</t>
  </si>
  <si>
    <t>Issuance (repayment)</t>
  </si>
  <si>
    <t>Cash flow for first lien acceleration</t>
  </si>
  <si>
    <t>Total interest expense</t>
  </si>
  <si>
    <t>Total cash interest</t>
  </si>
  <si>
    <t>Preference dividends</t>
  </si>
  <si>
    <t>Income statement</t>
  </si>
  <si>
    <t>Balance sheet</t>
  </si>
  <si>
    <t>Cash flow statement</t>
  </si>
  <si>
    <t>Management</t>
  </si>
  <si>
    <t>PIK</t>
  </si>
  <si>
    <t>Mandatory repayment assumptions</t>
  </si>
  <si>
    <t>Cash interest</t>
  </si>
  <si>
    <t>Tax expense</t>
  </si>
  <si>
    <t>Credit ratios</t>
  </si>
  <si>
    <t>EBITDA</t>
  </si>
  <si>
    <t>EBITDA - capex</t>
  </si>
  <si>
    <t>Total debt</t>
  </si>
  <si>
    <t>Total debt / EBITDA</t>
  </si>
  <si>
    <t>Total debt / EBITDA - capex</t>
  </si>
  <si>
    <t>EBITDA / cash interest</t>
  </si>
  <si>
    <t>% of total debt repaid</t>
  </si>
  <si>
    <t>EBITDA - capex / cash interest</t>
  </si>
  <si>
    <t>Equity returns</t>
  </si>
  <si>
    <t>Year count</t>
  </si>
  <si>
    <t>Avg. life</t>
  </si>
  <si>
    <t>Repaid by year</t>
  </si>
  <si>
    <t>Debt/EBITDA</t>
  </si>
  <si>
    <t>% total</t>
  </si>
  <si>
    <t>Bank case</t>
  </si>
  <si>
    <t>Management case</t>
  </si>
  <si>
    <t>% cash sweep</t>
  </si>
  <si>
    <t>Enterprise value</t>
  </si>
  <si>
    <t>+ Cash</t>
  </si>
  <si>
    <t>- Preference shares</t>
  </si>
  <si>
    <t xml:space="preserve"> = Equity value</t>
  </si>
  <si>
    <t>- Total debt excluding mezzanine</t>
  </si>
  <si>
    <t>- Mezzanine</t>
  </si>
  <si>
    <t>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</si>
  <si>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</si>
  <si>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</si>
  <si>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</si>
  <si>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</si>
  <si>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</si>
  <si>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</si>
  <si>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PE institution cash flows</t>
  </si>
  <si>
    <t>Management cash flows</t>
  </si>
  <si>
    <t xml:space="preserve">Other LT assets amount </t>
  </si>
  <si>
    <t>Other LT liabilities amount</t>
  </si>
  <si>
    <t>LBO Model</t>
  </si>
  <si>
    <t>Debenhams</t>
  </si>
  <si>
    <t>© 2025 Financial Edge Training</t>
  </si>
  <si>
    <t>Net identifiable assets</t>
  </si>
  <si>
    <t>EBITDA improvement (% net sales)</t>
  </si>
  <si>
    <t>Adjusted EBITDA</t>
  </si>
  <si>
    <t>EBITDA improvements</t>
  </si>
  <si>
    <t xml:space="preserve"> Adjusted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</si>
</sst>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</numFmts>
  <fonts count="50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5" fontId="44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4" fontId="46" fillId="0" borderId="0"/>
    <xf numFmtId="0" fontId="47" fillId="0" borderId="0" applyFill="0" applyBorder="0" applyAlignment="0" applyProtection="0"/>
    <xf numFmtId="0" fontId="48" fillId="4" borderId="0" applyNumberFormat="0" applyFill="0" applyBorder="0" applyAlignment="0" applyProtection="0">
      <alignment horizontal="right"/>
    </xf>
  </cellStyleXfs>
  <cellXfs count="93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5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9" fillId="0" borderId="0" xfId="0" applyFont="1"/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168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  <xf numFmtId="172" fontId="32" fillId="37" borderId="0" xfId="72" applyFont="1" applyFill="1" applyBorder="1" applyProtection="1">
      <protection locked="0"/>
    </xf>
    <xf numFmtId="172" fontId="32" fillId="37" borderId="11" xfId="61" applyNumberFormat="1">
      <protection locked="0"/>
    </xf>
    <xf numFmtId="174" fontId="32" fillId="0" borderId="0" xfId="58" applyNumberFormat="1" applyFill="1"/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 cent" xfId="6" builtinId="5" hidden="1"/>
    <cellStyle name="Per 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40625" defaultRowHeight="15" x14ac:dyDescent="0.25"/>
  <cols>
    <col min="1" max="1" width="9.85546875" style="30" customWidth="1"/>
    <col min="2" max="13" width="9.28515625" style="30" customWidth="1"/>
    <col min="14" max="14" width="9.85546875" style="30" customWidth="1"/>
    <col min="15" max="26" width="9.140625" style="30" customWidth="1"/>
    <col min="27" max="16384" width="9.140625" style="30"/>
  </cols>
  <sheetData>
    <row r="1" spans="1:14" s="34" customFormat="1" ht="189.75" customHeight="1" x14ac:dyDescent="0.4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s="20" customFormat="1" ht="75" customHeight="1" x14ac:dyDescent="0.25">
      <c r="A2" s="81" t="s">
        <v>78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21" customFormat="1" ht="7.5" customHeight="1" x14ac:dyDescent="0.2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25">
      <c r="A4" s="37"/>
      <c r="B4" s="38"/>
      <c r="C4" s="80"/>
      <c r="D4" s="80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25">
      <c r="A5" s="82" t="s">
        <v>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4" s="21" customFormat="1" ht="15" customHeight="1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4" s="21" customFormat="1" ht="15" customHeight="1" x14ac:dyDescent="0.25">
      <c r="A7" s="82" t="s">
        <v>189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s="21" customFormat="1" ht="15" customHeight="1" thickBot="1" x14ac:dyDescent="0.3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25">
      <c r="F9" s="26"/>
      <c r="G9" s="83"/>
      <c r="H9" s="83"/>
      <c r="I9" s="83"/>
      <c r="J9" s="83"/>
      <c r="K9" s="26"/>
    </row>
    <row r="10" spans="1:14" s="21" customFormat="1" ht="15" customHeight="1" x14ac:dyDescent="0.25">
      <c r="B10" s="22"/>
      <c r="C10" s="22"/>
      <c r="F10" s="26"/>
      <c r="G10" s="83"/>
      <c r="H10" s="83"/>
      <c r="I10" s="83"/>
      <c r="J10" s="83"/>
      <c r="K10" s="26"/>
    </row>
    <row r="11" spans="1:14" s="21" customFormat="1" ht="15" customHeight="1" x14ac:dyDescent="0.2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25">
      <c r="A12" s="24"/>
      <c r="B12" s="18"/>
      <c r="C12" s="18"/>
      <c r="D12" s="27"/>
      <c r="F12" s="23"/>
      <c r="G12" s="79"/>
      <c r="H12" s="79"/>
      <c r="I12" s="79"/>
      <c r="J12" s="79"/>
      <c r="K12" s="23"/>
    </row>
    <row r="13" spans="1:14" s="21" customFormat="1" ht="15" customHeight="1" x14ac:dyDescent="0.25">
      <c r="A13" s="17"/>
      <c r="B13" s="18"/>
      <c r="C13" s="18"/>
      <c r="D13" s="28"/>
      <c r="F13" s="23"/>
      <c r="G13" s="79"/>
      <c r="H13" s="79"/>
      <c r="I13" s="79"/>
      <c r="J13" s="79"/>
      <c r="K13" s="23"/>
    </row>
    <row r="14" spans="1:14" s="21" customFormat="1" ht="15" customHeight="1" x14ac:dyDescent="0.25">
      <c r="A14" s="20"/>
      <c r="B14" s="18"/>
      <c r="C14" s="18"/>
      <c r="D14" s="28"/>
      <c r="F14" s="23"/>
      <c r="G14" s="79"/>
      <c r="H14" s="79"/>
      <c r="I14" s="79"/>
      <c r="J14" s="79"/>
      <c r="K14" s="23"/>
    </row>
    <row r="15" spans="1:14" s="21" customFormat="1" ht="15" customHeight="1" x14ac:dyDescent="0.2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25">
      <c r="A16" s="20"/>
      <c r="B16" s="18"/>
      <c r="C16" s="18"/>
      <c r="D16" s="29"/>
      <c r="F16" s="23"/>
      <c r="G16" s="79"/>
      <c r="H16" s="79"/>
      <c r="I16" s="79"/>
      <c r="J16" s="79"/>
      <c r="K16" s="23"/>
    </row>
    <row r="17" spans="1:12" s="21" customFormat="1" ht="15" customHeight="1" x14ac:dyDescent="0.2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40625" defaultRowHeight="15" x14ac:dyDescent="0.25"/>
  <cols>
    <col min="1" max="1" width="1.42578125" customWidth="1"/>
    <col min="2" max="2" width="2.85546875" customWidth="1"/>
    <col min="3" max="3" width="13.28515625" customWidth="1"/>
    <col min="4" max="4" width="2.85546875" customWidth="1"/>
    <col min="5" max="7" width="1.42578125" customWidth="1"/>
    <col min="8" max="8" width="2.85546875" customWidth="1"/>
    <col min="9" max="9" width="42.7109375" customWidth="1"/>
    <col min="10" max="11" width="1.42578125" customWidth="1"/>
    <col min="12" max="12" width="31.42578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  <col min="23" max="23" width="17.7109375" bestFit="1" customWidth="1"/>
  </cols>
  <sheetData>
    <row r="1" spans="1:18" s="34" customFormat="1" ht="45" customHeight="1" x14ac:dyDescent="0.4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3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25"/>
    <row r="4" spans="1:18" s="2" customFormat="1" ht="22.5" customHeight="1" x14ac:dyDescent="0.25">
      <c r="A4" s="1"/>
      <c r="B4" s="88" t="s">
        <v>0</v>
      </c>
      <c r="C4" s="88"/>
      <c r="D4" s="88"/>
      <c r="E4" s="88"/>
      <c r="F4" s="88"/>
      <c r="G4" s="88"/>
      <c r="H4" s="88"/>
      <c r="I4" s="88"/>
      <c r="K4" s="1"/>
      <c r="L4" s="88" t="s">
        <v>2</v>
      </c>
      <c r="M4" s="88"/>
      <c r="N4" s="88"/>
      <c r="O4" s="88"/>
      <c r="P4" s="88"/>
      <c r="Q4" s="40"/>
      <c r="R4" s="40"/>
    </row>
    <row r="5" spans="1:18" s="2" customFormat="1" ht="15" customHeight="1" x14ac:dyDescent="0.25">
      <c r="A5" s="15"/>
      <c r="B5" s="8" t="s">
        <v>1</v>
      </c>
      <c r="C5" s="54" t="s">
        <v>187</v>
      </c>
      <c r="D5" s="16"/>
      <c r="E5" s="16"/>
      <c r="F5" s="16"/>
      <c r="G5" s="16"/>
      <c r="H5" s="16"/>
      <c r="I5" s="16"/>
      <c r="K5" s="1"/>
      <c r="L5" s="9"/>
      <c r="M5" s="9"/>
      <c r="N5" s="85"/>
      <c r="O5" s="85"/>
      <c r="P5" s="85"/>
      <c r="Q5" s="85"/>
      <c r="R5" s="40"/>
    </row>
    <row r="6" spans="1:18" s="2" customFormat="1" ht="15" customHeight="1" x14ac:dyDescent="0.2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19</v>
      </c>
      <c r="M6" s="9"/>
      <c r="N6" s="59" t="s">
        <v>188</v>
      </c>
      <c r="O6" s="59"/>
      <c r="P6" s="59"/>
      <c r="Q6" s="59"/>
      <c r="R6" s="40"/>
    </row>
    <row r="7" spans="1:18" s="2" customFormat="1" ht="15" customHeight="1" x14ac:dyDescent="0.2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16</v>
      </c>
      <c r="M7" s="9"/>
      <c r="N7" s="86">
        <v>42496</v>
      </c>
      <c r="O7" s="86"/>
      <c r="P7" s="86"/>
      <c r="Q7" s="86"/>
      <c r="R7" s="40"/>
    </row>
    <row r="8" spans="1:18" s="2" customFormat="1" ht="15" customHeight="1" x14ac:dyDescent="0.2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21</v>
      </c>
      <c r="M8" s="9"/>
      <c r="N8" s="86">
        <v>42369</v>
      </c>
      <c r="O8" s="86"/>
      <c r="P8" s="86"/>
      <c r="Q8" s="86"/>
      <c r="R8" s="40"/>
    </row>
    <row r="9" spans="1:18" s="2" customFormat="1" ht="15" customHeight="1" x14ac:dyDescent="0.2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85"/>
      <c r="O9" s="85"/>
      <c r="P9" s="85"/>
      <c r="Q9" s="85"/>
      <c r="R9" s="40"/>
    </row>
    <row r="10" spans="1:18" s="2" customFormat="1" ht="15" customHeight="1" x14ac:dyDescent="0.2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3</v>
      </c>
      <c r="M10" s="9"/>
      <c r="N10" s="85" t="s">
        <v>6</v>
      </c>
      <c r="O10" s="85"/>
      <c r="P10" s="85"/>
      <c r="Q10" s="85"/>
      <c r="R10" s="40"/>
    </row>
    <row r="11" spans="1:18" s="2" customFormat="1" ht="15" customHeight="1" x14ac:dyDescent="0.2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4</v>
      </c>
      <c r="M11" s="9"/>
      <c r="N11" s="85" t="s">
        <v>7</v>
      </c>
      <c r="O11" s="85"/>
      <c r="P11" s="85"/>
      <c r="Q11" s="85"/>
      <c r="R11" s="40"/>
    </row>
    <row r="12" spans="1:18" s="2" customFormat="1" ht="1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5</v>
      </c>
      <c r="M12" s="9"/>
      <c r="N12" s="87">
        <v>0</v>
      </c>
      <c r="O12" s="87"/>
      <c r="P12" s="87"/>
      <c r="Q12" s="87"/>
      <c r="R12" s="46"/>
    </row>
    <row r="13" spans="1:18" s="2" customFormat="1" ht="15" customHeight="1" thickBot="1" x14ac:dyDescent="0.3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2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25">
      <c r="A15" s="54"/>
      <c r="B15" s="89" t="s">
        <v>13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N15" s="1"/>
      <c r="O15" s="88" t="s">
        <v>9</v>
      </c>
      <c r="P15" s="88"/>
      <c r="Q15" s="88"/>
      <c r="R15" s="57"/>
    </row>
    <row r="16" spans="1:18" s="2" customFormat="1" ht="15" customHeight="1" x14ac:dyDescent="0.25">
      <c r="A16" s="55"/>
      <c r="B16" s="84" t="s">
        <v>14</v>
      </c>
      <c r="C16" s="84"/>
      <c r="D16" s="84" t="s">
        <v>15</v>
      </c>
      <c r="E16" s="84"/>
      <c r="F16" s="84"/>
      <c r="G16" s="84"/>
      <c r="H16" s="84"/>
      <c r="I16" s="84"/>
      <c r="J16" s="84"/>
      <c r="K16" s="84"/>
      <c r="L16" s="84"/>
      <c r="N16" s="15"/>
      <c r="O16" s="25"/>
      <c r="P16" s="20"/>
      <c r="Q16" s="20"/>
      <c r="R16" s="55"/>
    </row>
    <row r="17" spans="1:18" s="2" customFormat="1" ht="15" customHeight="1" x14ac:dyDescent="0.25">
      <c r="A17" s="55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N17" s="3"/>
      <c r="O17" s="25"/>
      <c r="P17" s="51" t="s">
        <v>10</v>
      </c>
      <c r="Q17" s="20"/>
      <c r="R17" s="55"/>
    </row>
    <row r="18" spans="1:18" s="2" customFormat="1" ht="15" customHeight="1" x14ac:dyDescent="0.25">
      <c r="A18" s="55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N18" s="16"/>
      <c r="O18" s="25"/>
      <c r="P18" s="36" t="s">
        <v>11</v>
      </c>
      <c r="Q18" s="20"/>
      <c r="R18" s="55"/>
    </row>
    <row r="19" spans="1:18" s="2" customFormat="1" ht="15" customHeight="1" x14ac:dyDescent="0.25">
      <c r="A19" s="55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N19" s="16"/>
      <c r="O19" s="25"/>
      <c r="P19" t="s">
        <v>12</v>
      </c>
      <c r="Q19" s="20"/>
      <c r="R19" s="55"/>
    </row>
    <row r="20" spans="1:18" s="2" customFormat="1" ht="15" customHeight="1" x14ac:dyDescent="0.25">
      <c r="A20" s="39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N20" s="39"/>
      <c r="O20" s="52"/>
      <c r="P20" s="52"/>
      <c r="Q20" s="52"/>
      <c r="R20" s="39"/>
    </row>
    <row r="21" spans="1:18" ht="15.75" thickBot="1" x14ac:dyDescent="0.3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25">
      <c r="Q22" s="53"/>
      <c r="R22" s="33"/>
    </row>
    <row r="23" spans="1:18" x14ac:dyDescent="0.2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2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2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2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2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19:C19"/>
    <mergeCell ref="L4:P4"/>
    <mergeCell ref="B4:I4"/>
    <mergeCell ref="B15:L15"/>
    <mergeCell ref="N8:Q8"/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2" ySplit="3" topLeftCell="C5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4" width="10.5703125" customWidth="1"/>
    <col min="5" max="5" width="14.28515625" customWidth="1"/>
    <col min="6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88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89</v>
      </c>
    </row>
    <row r="6" spans="1:17" x14ac:dyDescent="0.25">
      <c r="B6" t="s">
        <v>90</v>
      </c>
      <c r="F6">
        <f>IS!F14</f>
        <v>238.5999999999998</v>
      </c>
      <c r="H6" t="s">
        <v>93</v>
      </c>
      <c r="J6" s="70">
        <v>0.03</v>
      </c>
    </row>
    <row r="7" spans="1:17" x14ac:dyDescent="0.25">
      <c r="B7" t="s">
        <v>91</v>
      </c>
      <c r="F7" s="68">
        <v>7.5</v>
      </c>
      <c r="H7" t="s">
        <v>94</v>
      </c>
      <c r="J7" s="70">
        <v>7.0000000000000001E-3</v>
      </c>
    </row>
    <row r="8" spans="1:17" x14ac:dyDescent="0.25">
      <c r="B8" t="s">
        <v>92</v>
      </c>
      <c r="H8" t="s">
        <v>95</v>
      </c>
      <c r="J8" s="70">
        <v>0.01</v>
      </c>
    </row>
    <row r="9" spans="1:17" x14ac:dyDescent="0.25">
      <c r="B9" t="s">
        <v>98</v>
      </c>
      <c r="F9">
        <f>BS!F17+BS!F21-BS!F5</f>
        <v>302.39999999999998</v>
      </c>
      <c r="H9" t="s">
        <v>96</v>
      </c>
      <c r="J9" s="69">
        <v>7</v>
      </c>
    </row>
    <row r="10" spans="1:17" x14ac:dyDescent="0.25">
      <c r="B10" t="s">
        <v>99</v>
      </c>
      <c r="H10" t="s">
        <v>169</v>
      </c>
      <c r="J10" s="70">
        <v>0.75</v>
      </c>
    </row>
    <row r="11" spans="1:17" x14ac:dyDescent="0.25">
      <c r="B11" t="s">
        <v>191</v>
      </c>
      <c r="F11" s="91">
        <v>0.02</v>
      </c>
      <c r="J11" s="90"/>
    </row>
    <row r="13" spans="1:17" x14ac:dyDescent="0.25">
      <c r="A13" s="62" t="s">
        <v>97</v>
      </c>
      <c r="H13" s="66" t="s">
        <v>165</v>
      </c>
      <c r="I13" s="66" t="s">
        <v>166</v>
      </c>
      <c r="J13" s="66" t="s">
        <v>109</v>
      </c>
      <c r="K13" s="66" t="s">
        <v>110</v>
      </c>
      <c r="L13" t="s">
        <v>163</v>
      </c>
      <c r="M13" t="s">
        <v>164</v>
      </c>
    </row>
    <row r="14" spans="1:17" x14ac:dyDescent="0.25">
      <c r="B14" t="str">
        <f>B10</f>
        <v>Acquisition equity value</v>
      </c>
      <c r="E14" t="s">
        <v>62</v>
      </c>
      <c r="G14" s="69">
        <v>0</v>
      </c>
      <c r="H14" s="67">
        <f>G14/$F$6</f>
        <v>0</v>
      </c>
      <c r="I14" s="65" t="e">
        <f>G14/$G$21</f>
        <v>#DIV/0!</v>
      </c>
      <c r="J14" s="71">
        <v>0.05</v>
      </c>
      <c r="K14" s="72">
        <f>J14+$J$7</f>
        <v>5.7000000000000002E-2</v>
      </c>
    </row>
    <row r="15" spans="1:17" x14ac:dyDescent="0.25">
      <c r="B15" t="s">
        <v>100</v>
      </c>
      <c r="E15" t="s">
        <v>103</v>
      </c>
      <c r="G15" s="69">
        <v>400</v>
      </c>
      <c r="H15" s="67">
        <f>G15/$F$6+H14</f>
        <v>1.67644593461861</v>
      </c>
      <c r="I15" s="65" t="e">
        <f t="shared" ref="I15:I20" si="1">G15/$G$21</f>
        <v>#DIV/0!</v>
      </c>
      <c r="J15" s="71">
        <v>0.05</v>
      </c>
      <c r="K15" s="72">
        <f>J15+$J$7</f>
        <v>5.7000000000000002E-2</v>
      </c>
    </row>
    <row r="16" spans="1:17" x14ac:dyDescent="0.25">
      <c r="B16" t="s">
        <v>101</v>
      </c>
      <c r="E16" t="s">
        <v>104</v>
      </c>
      <c r="G16" s="69">
        <v>511</v>
      </c>
      <c r="H16" s="67">
        <f t="shared" ref="H16:H18" si="2">G16/$F$6+H15</f>
        <v>3.8181056160938844</v>
      </c>
      <c r="I16" s="65" t="e">
        <f t="shared" si="1"/>
        <v>#DIV/0!</v>
      </c>
      <c r="J16" s="71">
        <v>0.09</v>
      </c>
      <c r="K16" s="72">
        <f>J16+$J$7</f>
        <v>9.7000000000000003E-2</v>
      </c>
    </row>
    <row r="17" spans="1:17" x14ac:dyDescent="0.25">
      <c r="B17" t="s">
        <v>102</v>
      </c>
      <c r="E17" t="s">
        <v>105</v>
      </c>
      <c r="G17" s="69">
        <v>0</v>
      </c>
      <c r="H17" s="67">
        <f t="shared" si="2"/>
        <v>3.8181056160938844</v>
      </c>
      <c r="I17" s="65" t="e">
        <f t="shared" si="1"/>
        <v>#DIV/0!</v>
      </c>
      <c r="J17" s="71">
        <v>0.09</v>
      </c>
      <c r="K17" s="72">
        <f>J17+J8</f>
        <v>9.9999999999999992E-2</v>
      </c>
    </row>
    <row r="18" spans="1:17" x14ac:dyDescent="0.25">
      <c r="E18" t="s">
        <v>114</v>
      </c>
      <c r="G18" s="69">
        <v>300</v>
      </c>
      <c r="H18" s="67">
        <f t="shared" si="2"/>
        <v>5.0754400670578423</v>
      </c>
      <c r="I18" s="65" t="e">
        <f t="shared" si="1"/>
        <v>#DIV/0!</v>
      </c>
      <c r="K18" s="71">
        <v>0.12</v>
      </c>
      <c r="L18" t="s">
        <v>148</v>
      </c>
    </row>
    <row r="19" spans="1:17" x14ac:dyDescent="0.25">
      <c r="E19" t="s">
        <v>106</v>
      </c>
      <c r="I19" s="65" t="e">
        <f t="shared" si="1"/>
        <v>#DIV/0!</v>
      </c>
      <c r="K19" s="71">
        <v>0.12</v>
      </c>
      <c r="L19" t="s">
        <v>148</v>
      </c>
    </row>
    <row r="20" spans="1:17" x14ac:dyDescent="0.25">
      <c r="E20" t="s">
        <v>107</v>
      </c>
      <c r="G20" s="69">
        <v>10</v>
      </c>
      <c r="I20" s="65" t="e">
        <f t="shared" si="1"/>
        <v>#DIV/0!</v>
      </c>
    </row>
    <row r="21" spans="1:17" x14ac:dyDescent="0.25">
      <c r="E21" t="s">
        <v>108</v>
      </c>
    </row>
    <row r="23" spans="1:17" x14ac:dyDescent="0.25">
      <c r="A23" s="62" t="s">
        <v>111</v>
      </c>
      <c r="C23" s="66" t="s">
        <v>115</v>
      </c>
      <c r="D23" s="66" t="s">
        <v>112</v>
      </c>
      <c r="F23" s="62" t="s">
        <v>17</v>
      </c>
    </row>
    <row r="24" spans="1:17" x14ac:dyDescent="0.25">
      <c r="B24" t="s">
        <v>113</v>
      </c>
      <c r="C24" s="65">
        <f>1-C25-C26</f>
        <v>0.9</v>
      </c>
      <c r="D24" s="65">
        <f>C24*(C27-D25)</f>
        <v>0.85499999999999998</v>
      </c>
      <c r="F24" t="s">
        <v>117</v>
      </c>
    </row>
    <row r="25" spans="1:17" x14ac:dyDescent="0.25">
      <c r="B25" t="s">
        <v>114</v>
      </c>
      <c r="C25" s="70">
        <v>0</v>
      </c>
      <c r="D25" s="70">
        <v>0.05</v>
      </c>
      <c r="F25" t="s">
        <v>190</v>
      </c>
    </row>
    <row r="26" spans="1:17" x14ac:dyDescent="0.25">
      <c r="B26" t="s">
        <v>147</v>
      </c>
      <c r="C26" s="70">
        <v>0.1</v>
      </c>
      <c r="D26" s="65">
        <f>C26*(C27-D25)</f>
        <v>9.5000000000000001E-2</v>
      </c>
      <c r="F26" t="s">
        <v>118</v>
      </c>
    </row>
    <row r="27" spans="1:17" x14ac:dyDescent="0.25">
      <c r="B27" t="s">
        <v>116</v>
      </c>
      <c r="C27" s="65">
        <f>SUM(C24:C26)</f>
        <v>1</v>
      </c>
      <c r="D27" s="65">
        <f>SUM(D24:D26)</f>
        <v>1</v>
      </c>
    </row>
    <row r="28" spans="1:17" x14ac:dyDescent="0.25">
      <c r="C28" s="65"/>
      <c r="D28" s="65"/>
    </row>
    <row r="30" spans="1:17" x14ac:dyDescent="0.25">
      <c r="A30" s="62" t="s">
        <v>161</v>
      </c>
    </row>
    <row r="31" spans="1:17" x14ac:dyDescent="0.25">
      <c r="B31" t="s">
        <v>162</v>
      </c>
      <c r="J31" s="74">
        <v>1</v>
      </c>
      <c r="K31" s="75">
        <f>J31+1</f>
        <v>2</v>
      </c>
      <c r="L31" s="75">
        <f t="shared" ref="L31:Q31" si="3">K31+1</f>
        <v>3</v>
      </c>
      <c r="M31" s="75">
        <f t="shared" si="3"/>
        <v>4</v>
      </c>
      <c r="N31" s="75">
        <f t="shared" si="3"/>
        <v>5</v>
      </c>
      <c r="O31" s="75">
        <f t="shared" si="3"/>
        <v>6</v>
      </c>
      <c r="P31" s="75">
        <f t="shared" si="3"/>
        <v>7</v>
      </c>
      <c r="Q31" s="75">
        <f t="shared" si="3"/>
        <v>8</v>
      </c>
    </row>
    <row r="32" spans="1:17" x14ac:dyDescent="0.25">
      <c r="B32" t="s">
        <v>192</v>
      </c>
    </row>
    <row r="33" spans="2:17" x14ac:dyDescent="0.25">
      <c r="B33" t="s">
        <v>170</v>
      </c>
    </row>
    <row r="34" spans="2:17" x14ac:dyDescent="0.25">
      <c r="B34" s="76" t="s">
        <v>171</v>
      </c>
    </row>
    <row r="35" spans="2:17" x14ac:dyDescent="0.25">
      <c r="B35" s="76" t="s">
        <v>174</v>
      </c>
    </row>
    <row r="36" spans="2:17" x14ac:dyDescent="0.25">
      <c r="B36" s="76" t="s">
        <v>175</v>
      </c>
    </row>
    <row r="37" spans="2:17" x14ac:dyDescent="0.25">
      <c r="B37" s="76" t="s">
        <v>172</v>
      </c>
    </row>
    <row r="38" spans="2:17" x14ac:dyDescent="0.25">
      <c r="B38" t="s">
        <v>173</v>
      </c>
    </row>
    <row r="39" spans="2:17" x14ac:dyDescent="0.25">
      <c r="K39" s="65"/>
      <c r="L39" s="65"/>
      <c r="M39" s="65"/>
      <c r="N39" s="65"/>
      <c r="O39" s="65"/>
      <c r="P39" s="65"/>
      <c r="Q39" s="65"/>
    </row>
    <row r="40" spans="2:17" x14ac:dyDescent="0.25">
      <c r="B40" s="77" t="s">
        <v>114</v>
      </c>
    </row>
    <row r="41" spans="2:17" x14ac:dyDescent="0.25">
      <c r="B41" t="s">
        <v>177</v>
      </c>
    </row>
    <row r="42" spans="2:17" x14ac:dyDescent="0.25">
      <c r="B42" t="s">
        <v>178</v>
      </c>
    </row>
    <row r="43" spans="2:17" x14ac:dyDescent="0.25">
      <c r="B43" t="s">
        <v>179</v>
      </c>
    </row>
    <row r="44" spans="2:17" x14ac:dyDescent="0.25">
      <c r="B44" t="s">
        <v>180</v>
      </c>
      <c r="I44" s="65"/>
    </row>
    <row r="46" spans="2:17" x14ac:dyDescent="0.25">
      <c r="B46" s="77" t="s">
        <v>181</v>
      </c>
    </row>
    <row r="47" spans="2:17" x14ac:dyDescent="0.25">
      <c r="B47" t="s">
        <v>182</v>
      </c>
    </row>
    <row r="48" spans="2:17" x14ac:dyDescent="0.25">
      <c r="B48" t="s">
        <v>176</v>
      </c>
    </row>
    <row r="49" spans="2:9" x14ac:dyDescent="0.25">
      <c r="B49" t="s">
        <v>183</v>
      </c>
    </row>
    <row r="50" spans="2:9" x14ac:dyDescent="0.25">
      <c r="I50" s="60"/>
    </row>
    <row r="52" spans="2:9" x14ac:dyDescent="0.25">
      <c r="B52" s="77" t="s">
        <v>147</v>
      </c>
    </row>
    <row r="53" spans="2:9" x14ac:dyDescent="0.25">
      <c r="B53" t="s">
        <v>184</v>
      </c>
    </row>
    <row r="54" spans="2:9" x14ac:dyDescent="0.25">
      <c r="I54" s="65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7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25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25">
      <c r="B5" t="s">
        <v>26</v>
      </c>
      <c r="F5" s="61">
        <v>0</v>
      </c>
      <c r="G5" s="61"/>
      <c r="H5" s="61"/>
      <c r="I5" s="61"/>
    </row>
    <row r="6" spans="1:17" x14ac:dyDescent="0.25">
      <c r="B6" t="s">
        <v>29</v>
      </c>
      <c r="J6" t="s">
        <v>168</v>
      </c>
    </row>
    <row r="7" spans="1:17" x14ac:dyDescent="0.25">
      <c r="B7" t="s">
        <v>167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25">
      <c r="B8" t="s">
        <v>168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25">
      <c r="A10" s="62" t="s">
        <v>84</v>
      </c>
    </row>
    <row r="11" spans="1:17" x14ac:dyDescent="0.25">
      <c r="B11" t="s">
        <v>83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25">
      <c r="B12" t="s">
        <v>27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25">
      <c r="B13" t="s">
        <v>28</v>
      </c>
      <c r="C13" s="60"/>
      <c r="D13" s="60"/>
      <c r="E13" s="60"/>
      <c r="F13" s="60" t="e">
        <f>Calc!F8/Calc!E9</f>
        <v>#DIV/0!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25">
      <c r="B14" t="s">
        <v>86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25">
      <c r="B15" t="s">
        <v>29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25">
      <c r="B16" t="s">
        <v>30</v>
      </c>
      <c r="C16" s="60">
        <f>IS!C22/IS!C20</f>
        <v>-0.20560747663551376</v>
      </c>
      <c r="D16" s="60">
        <f>IS!D22/IS!D20</f>
        <v>-0.16108786610878664</v>
      </c>
      <c r="E16" s="60">
        <f>IS!E22/IS!E20</f>
        <v>-0.16258741258741291</v>
      </c>
      <c r="F16" s="60">
        <f>IS!F22/IS!F20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25">
      <c r="A18" s="62" t="s">
        <v>31</v>
      </c>
    </row>
    <row r="19" spans="1:17" x14ac:dyDescent="0.25">
      <c r="B19" t="s">
        <v>32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25">
      <c r="B20" t="s">
        <v>33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25">
      <c r="B21" t="s">
        <v>34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25">
      <c r="B22" t="s">
        <v>35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25">
      <c r="B23" t="s">
        <v>185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25">
      <c r="B25" t="s">
        <v>36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25">
      <c r="B26" t="s">
        <v>186</v>
      </c>
      <c r="C26">
        <f>BS!C27</f>
        <v>699.2</v>
      </c>
      <c r="D26">
        <f>BS!D27</f>
        <v>644.40000000000009</v>
      </c>
      <c r="E26">
        <f>BS!E27</f>
        <v>628.90000000000009</v>
      </c>
      <c r="F26">
        <f>BS!F27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88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37</v>
      </c>
    </row>
    <row r="6" spans="1:17" x14ac:dyDescent="0.25">
      <c r="B6" t="s">
        <v>38</v>
      </c>
      <c r="J6">
        <f>I9</f>
        <v>0</v>
      </c>
      <c r="K6">
        <f>J9</f>
        <v>79.998433399999996</v>
      </c>
      <c r="L6">
        <f t="shared" ref="L6:Q6" si="1">K9</f>
        <v>151.59703129299999</v>
      </c>
      <c r="M6">
        <f t="shared" si="1"/>
        <v>235.47098879906295</v>
      </c>
      <c r="N6">
        <f t="shared" si="1"/>
        <v>311.90945151355402</v>
      </c>
      <c r="O6">
        <f t="shared" si="1"/>
        <v>381.64979860006304</v>
      </c>
      <c r="P6">
        <f t="shared" si="1"/>
        <v>445.44826349096638</v>
      </c>
      <c r="Q6">
        <f t="shared" si="1"/>
        <v>503.97906839577422</v>
      </c>
    </row>
    <row r="7" spans="1:17" x14ac:dyDescent="0.25">
      <c r="B7" t="s">
        <v>39</v>
      </c>
      <c r="C7" s="61">
        <v>101.4</v>
      </c>
      <c r="D7" s="61">
        <v>113.7</v>
      </c>
      <c r="E7" s="61">
        <v>102.3</v>
      </c>
      <c r="F7" s="61">
        <v>79.599999999999994</v>
      </c>
      <c r="J7">
        <f>Input!J22*IS!J5</f>
        <v>79.998433399999996</v>
      </c>
      <c r="K7">
        <f>Input!K22*IS!K5</f>
        <v>80.318427133599997</v>
      </c>
      <c r="L7">
        <f>Input!L22*IS!L5</f>
        <v>100.39803391699998</v>
      </c>
      <c r="M7">
        <f>Input!M22*IS!M5</f>
        <v>102.10480049358897</v>
      </c>
      <c r="N7">
        <f>Input!N22*IS!N5</f>
        <v>103.7384773014864</v>
      </c>
      <c r="O7">
        <f>Input!O22*IS!O5</f>
        <v>105.39829293831018</v>
      </c>
      <c r="P7">
        <f>Input!P22*IS!P5</f>
        <v>107.08466562532315</v>
      </c>
      <c r="Q7">
        <f>Input!Q22*IS!Q5</f>
        <v>108.79802027532831</v>
      </c>
    </row>
    <row r="8" spans="1:17" x14ac:dyDescent="0.25">
      <c r="B8" t="s">
        <v>18</v>
      </c>
      <c r="J8">
        <f>Input!J13*Calc!J6</f>
        <v>0</v>
      </c>
      <c r="K8">
        <f>Input!K13*Calc!K6</f>
        <v>-8.7198292405999993</v>
      </c>
      <c r="L8">
        <f>Input!L13*Calc!L6</f>
        <v>-16.524076410936999</v>
      </c>
      <c r="M8">
        <f>Input!M13*Calc!M6</f>
        <v>-25.666337779097862</v>
      </c>
      <c r="N8">
        <f>Input!N13*Calc!N6</f>
        <v>-33.998130214977387</v>
      </c>
      <c r="O8">
        <f>Input!O13*Calc!O6</f>
        <v>-41.599828047406874</v>
      </c>
      <c r="P8">
        <f>Input!P13*Calc!P6</f>
        <v>-48.553860720515338</v>
      </c>
      <c r="Q8">
        <f>Input!Q13*Calc!Q6</f>
        <v>-54.933718455139392</v>
      </c>
    </row>
    <row r="9" spans="1:17" x14ac:dyDescent="0.25">
      <c r="B9" t="s">
        <v>40</v>
      </c>
      <c r="I9">
        <f>BS!I11</f>
        <v>0</v>
      </c>
      <c r="J9">
        <f>SUM(J6:J8)</f>
        <v>79.998433399999996</v>
      </c>
      <c r="K9">
        <f>SUM(K6:K8)</f>
        <v>151.59703129299999</v>
      </c>
      <c r="L9">
        <f t="shared" ref="L9:Q9" si="2">SUM(L6:L8)</f>
        <v>235.47098879906295</v>
      </c>
      <c r="M9">
        <f t="shared" si="2"/>
        <v>311.90945151355402</v>
      </c>
      <c r="N9">
        <f t="shared" si="2"/>
        <v>381.64979860006304</v>
      </c>
      <c r="O9">
        <f t="shared" si="2"/>
        <v>445.44826349096638</v>
      </c>
      <c r="P9">
        <f t="shared" si="2"/>
        <v>503.97906839577422</v>
      </c>
      <c r="Q9">
        <f t="shared" si="2"/>
        <v>557.8433702159632</v>
      </c>
    </row>
    <row r="12" spans="1:17" x14ac:dyDescent="0.25">
      <c r="A12" s="62" t="s">
        <v>41</v>
      </c>
    </row>
    <row r="13" spans="1:17" x14ac:dyDescent="0.25">
      <c r="B13" t="s">
        <v>38</v>
      </c>
      <c r="J13">
        <f>I16</f>
        <v>0</v>
      </c>
      <c r="K13">
        <f>J16</f>
        <v>126.11517735999992</v>
      </c>
      <c r="L13">
        <f t="shared" ref="L13:Q13" si="3">K16</f>
        <v>271.63326887264009</v>
      </c>
      <c r="M13">
        <f t="shared" si="3"/>
        <v>453.53088326343993</v>
      </c>
      <c r="N13">
        <f t="shared" si="3"/>
        <v>638.52075709888334</v>
      </c>
      <c r="O13">
        <f t="shared" si="3"/>
        <v>826.47046891569391</v>
      </c>
      <c r="P13">
        <f t="shared" si="3"/>
        <v>1017.4273761215735</v>
      </c>
      <c r="Q13">
        <f t="shared" si="3"/>
        <v>1211.4395938427472</v>
      </c>
    </row>
    <row r="14" spans="1:17" x14ac:dyDescent="0.25">
      <c r="B14" t="s">
        <v>42</v>
      </c>
      <c r="J14">
        <f>IS!J23</f>
        <v>126.11517735999992</v>
      </c>
      <c r="K14">
        <f>IS!K23</f>
        <v>145.51809151264015</v>
      </c>
      <c r="L14">
        <f>IS!L23</f>
        <v>181.89761439079982</v>
      </c>
      <c r="M14">
        <f>IS!M23</f>
        <v>184.98987383544343</v>
      </c>
      <c r="N14">
        <f>IS!N23</f>
        <v>187.94971181681055</v>
      </c>
      <c r="O14">
        <f>IS!O23</f>
        <v>190.95690720587956</v>
      </c>
      <c r="P14">
        <f>IS!P23</f>
        <v>194.01221772117361</v>
      </c>
      <c r="Q14">
        <f>IS!Q23</f>
        <v>197.11641320471256</v>
      </c>
    </row>
    <row r="15" spans="1:17" x14ac:dyDescent="0.25">
      <c r="B15" t="s">
        <v>143</v>
      </c>
    </row>
    <row r="16" spans="1:17" x14ac:dyDescent="0.25">
      <c r="B16" t="s">
        <v>40</v>
      </c>
      <c r="I16">
        <f>BS!I30</f>
        <v>0</v>
      </c>
      <c r="J16">
        <f>SUM(J13:J15)</f>
        <v>126.11517735999992</v>
      </c>
      <c r="K16">
        <f>SUM(K13:K15)</f>
        <v>271.63326887264009</v>
      </c>
      <c r="L16">
        <f t="shared" ref="L16:Q16" si="4">SUM(L13:L15)</f>
        <v>453.53088326343993</v>
      </c>
      <c r="M16">
        <f t="shared" si="4"/>
        <v>638.52075709888334</v>
      </c>
      <c r="N16">
        <f t="shared" si="4"/>
        <v>826.47046891569391</v>
      </c>
      <c r="O16">
        <f t="shared" si="4"/>
        <v>1017.4273761215735</v>
      </c>
      <c r="P16">
        <f t="shared" si="4"/>
        <v>1211.4395938427472</v>
      </c>
      <c r="Q16">
        <f t="shared" si="4"/>
        <v>1408.5560070474598</v>
      </c>
    </row>
    <row r="18" spans="1:17" x14ac:dyDescent="0.25">
      <c r="A18" s="62" t="s">
        <v>43</v>
      </c>
    </row>
    <row r="19" spans="1:17" x14ac:dyDescent="0.25">
      <c r="B19" t="str">
        <f>BS!B6</f>
        <v>Accounts receivable</v>
      </c>
      <c r="I19">
        <f>BS!I6</f>
        <v>0</v>
      </c>
      <c r="J19">
        <f>BS!J6</f>
        <v>25.140522986301367</v>
      </c>
      <c r="K19">
        <f>BS!K6</f>
        <v>25.24108507824657</v>
      </c>
      <c r="L19">
        <f>BS!L6</f>
        <v>31.551356347808209</v>
      </c>
      <c r="M19">
        <f>BS!M6</f>
        <v>32.087729405720943</v>
      </c>
      <c r="N19">
        <f>BS!N6</f>
        <v>32.601133076212477</v>
      </c>
      <c r="O19">
        <f>BS!O6</f>
        <v>33.122751205431882</v>
      </c>
      <c r="P19">
        <f>BS!P6</f>
        <v>33.65271522471879</v>
      </c>
      <c r="Q19">
        <f>BS!Q6</f>
        <v>34.191158668314294</v>
      </c>
    </row>
    <row r="20" spans="1:17" x14ac:dyDescent="0.25">
      <c r="B20" t="str">
        <f>BS!B7</f>
        <v>Inventories</v>
      </c>
      <c r="I20">
        <f>BS!I7</f>
        <v>0</v>
      </c>
      <c r="J20">
        <f>BS!J7</f>
        <v>335.9682797570137</v>
      </c>
      <c r="K20">
        <f>BS!K7</f>
        <v>337.31215287604164</v>
      </c>
      <c r="L20">
        <f>BS!L7</f>
        <v>421.64019109505216</v>
      </c>
      <c r="M20">
        <f>BS!M7</f>
        <v>428.80807434366795</v>
      </c>
      <c r="N20">
        <f>BS!N7</f>
        <v>435.66900353316663</v>
      </c>
      <c r="O20">
        <f>BS!O7</f>
        <v>442.63970758969731</v>
      </c>
      <c r="P20">
        <f>BS!P7</f>
        <v>449.72194291113249</v>
      </c>
      <c r="Q20">
        <f>BS!Q7</f>
        <v>456.91749399771055</v>
      </c>
    </row>
    <row r="21" spans="1:17" x14ac:dyDescent="0.25">
      <c r="B21" t="str">
        <f>BS!B8</f>
        <v>Other current assets</v>
      </c>
      <c r="I21">
        <f>BS!I8</f>
        <v>0</v>
      </c>
      <c r="J21">
        <f>BS!J8</f>
        <v>54.116587299999992</v>
      </c>
      <c r="K21">
        <f>BS!K8</f>
        <v>54.333053649199989</v>
      </c>
      <c r="L21">
        <f>BS!L8</f>
        <v>67.916317061499981</v>
      </c>
      <c r="M21">
        <f>BS!M8</f>
        <v>69.07089445154547</v>
      </c>
      <c r="N21">
        <f>BS!N8</f>
        <v>70.176028762770201</v>
      </c>
      <c r="O21">
        <f>BS!O8</f>
        <v>71.298845222974535</v>
      </c>
      <c r="P21">
        <f>BS!P8</f>
        <v>72.439626746542118</v>
      </c>
      <c r="Q21">
        <f>BS!Q8</f>
        <v>73.598660774486802</v>
      </c>
    </row>
    <row r="22" spans="1:17" x14ac:dyDescent="0.25">
      <c r="B22" t="str">
        <f>BS!B18</f>
        <v>Accounts payable</v>
      </c>
      <c r="I22">
        <f>BS!I18</f>
        <v>0</v>
      </c>
      <c r="J22">
        <f>BS!J18</f>
        <v>330.90343131846572</v>
      </c>
      <c r="K22">
        <f>BS!K18</f>
        <v>332.22704504373951</v>
      </c>
      <c r="L22">
        <f>BS!L18</f>
        <v>415.28380630467444</v>
      </c>
      <c r="M22">
        <f>BS!M18</f>
        <v>422.34363101185386</v>
      </c>
      <c r="N22">
        <f>BS!N18</f>
        <v>429.10112910804349</v>
      </c>
      <c r="O22">
        <f>BS!O18</f>
        <v>435.96674717377221</v>
      </c>
      <c r="P22">
        <f>BS!P18</f>
        <v>442.94221512855256</v>
      </c>
      <c r="Q22">
        <f>BS!Q18</f>
        <v>450.02929057060936</v>
      </c>
    </row>
    <row r="23" spans="1:17" x14ac:dyDescent="0.25">
      <c r="B23" t="s">
        <v>44</v>
      </c>
      <c r="I23">
        <f>SUM(I19:I21)-I22</f>
        <v>0</v>
      </c>
      <c r="J23">
        <f t="shared" ref="J23:K23" si="5">SUM(J19:J21)-J22</f>
        <v>84.321958724849367</v>
      </c>
      <c r="K23">
        <f t="shared" si="5"/>
        <v>84.659246559748681</v>
      </c>
      <c r="L23">
        <f t="shared" ref="L23" si="6">SUM(L19:L21)-L22</f>
        <v>105.82405819968591</v>
      </c>
      <c r="M23">
        <f t="shared" ref="M23" si="7">SUM(M19:M21)-M22</f>
        <v>107.62306718908053</v>
      </c>
      <c r="N23">
        <f t="shared" ref="N23" si="8">SUM(N19:N21)-N22</f>
        <v>109.34503626410577</v>
      </c>
      <c r="O23">
        <f t="shared" ref="O23" si="9">SUM(O19:O21)-O22</f>
        <v>111.09455684433158</v>
      </c>
      <c r="P23">
        <f t="shared" ref="P23" si="10">SUM(P19:P21)-P22</f>
        <v>112.87206975384083</v>
      </c>
      <c r="Q23">
        <f t="shared" ref="Q23" si="11">SUM(Q19:Q21)-Q22</f>
        <v>114.67802286990224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4" width="11.7109375" customWidth="1"/>
    <col min="5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144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">
        <v>46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  <c r="J5">
        <f>(Input!J11+1)*IS!F5</f>
        <v>2352.8950999999997</v>
      </c>
      <c r="K5">
        <f>(Input!K11+1)*IS!J5</f>
        <v>2362.3066803999995</v>
      </c>
      <c r="L5">
        <f>(Input!L11+1)*IS!K5</f>
        <v>2952.8833504999993</v>
      </c>
      <c r="M5">
        <f>(Input!M11+1)*IS!L5</f>
        <v>3003.082367458499</v>
      </c>
      <c r="N5">
        <f>(Input!N11+1)*IS!M5</f>
        <v>3051.1316853378348</v>
      </c>
      <c r="O5">
        <f>(Input!O11+1)*IS!N5</f>
        <v>3099.9497923032404</v>
      </c>
      <c r="P5">
        <f>(Input!P11+1)*IS!O5</f>
        <v>3149.5489889800924</v>
      </c>
      <c r="Q5">
        <f>(Input!Q11+1)*IS!P5</f>
        <v>3199.9417728037738</v>
      </c>
    </row>
    <row r="6" spans="1:17" x14ac:dyDescent="0.25">
      <c r="B6" t="s">
        <v>47</v>
      </c>
      <c r="C6" s="61">
        <v>-1929</v>
      </c>
      <c r="D6" s="61">
        <v>-1984.3999999999999</v>
      </c>
      <c r="E6" s="61">
        <v>-2035.7</v>
      </c>
      <c r="F6" s="61">
        <v>-2026.7</v>
      </c>
      <c r="J6">
        <f>Input!J12*IS!J5</f>
        <v>-2054.0774222999999</v>
      </c>
      <c r="K6">
        <f>Input!K12*IS!K5</f>
        <v>-2062.2937319891994</v>
      </c>
      <c r="L6">
        <f>Input!L12*IS!L5</f>
        <v>-2577.8671649864996</v>
      </c>
      <c r="M6">
        <f>Input!M12*IS!M5</f>
        <v>-2621.6909067912698</v>
      </c>
      <c r="N6">
        <f>Input!N12*IS!N5</f>
        <v>-2663.6379612999299</v>
      </c>
      <c r="O6">
        <f>Input!O12*IS!O5</f>
        <v>-2706.2561686807289</v>
      </c>
      <c r="P6">
        <f>Input!P12*IS!P5</f>
        <v>-2749.5562673796207</v>
      </c>
      <c r="Q6">
        <f>Input!Q12*IS!Q5</f>
        <v>-2793.5491676576944</v>
      </c>
    </row>
    <row r="7" spans="1:17" x14ac:dyDescent="0.25">
      <c r="B7" t="s">
        <v>48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  <c r="J7">
        <f t="shared" ref="J7:K7" si="2">SUM(J5:J6)</f>
        <v>298.81767769999988</v>
      </c>
      <c r="K7">
        <f t="shared" si="2"/>
        <v>300.01294841080016</v>
      </c>
      <c r="L7">
        <f t="shared" ref="L7:Q7" si="3">SUM(L5:L6)</f>
        <v>375.01618551349975</v>
      </c>
      <c r="M7">
        <f t="shared" si="3"/>
        <v>381.39146066722924</v>
      </c>
      <c r="N7">
        <f t="shared" si="3"/>
        <v>387.49372403790494</v>
      </c>
      <c r="O7">
        <f t="shared" si="3"/>
        <v>393.6936236225115</v>
      </c>
      <c r="P7">
        <f t="shared" si="3"/>
        <v>399.99272160047167</v>
      </c>
      <c r="Q7">
        <f t="shared" si="3"/>
        <v>406.3926051460794</v>
      </c>
    </row>
    <row r="9" spans="1:17" x14ac:dyDescent="0.25">
      <c r="B9" t="s">
        <v>49</v>
      </c>
      <c r="C9" s="61">
        <v>-125.6</v>
      </c>
      <c r="D9" s="61">
        <v>-142.19999999999999</v>
      </c>
      <c r="E9" s="61">
        <v>-147</v>
      </c>
      <c r="F9" s="61">
        <v>-161.6</v>
      </c>
      <c r="J9">
        <f>Input!J15*IS!J5</f>
        <v>-141.17370599999998</v>
      </c>
      <c r="K9">
        <f>Input!K15*IS!K5</f>
        <v>-118.11533401999998</v>
      </c>
      <c r="L9">
        <f>Input!L15*IS!L5</f>
        <v>-147.64416752499997</v>
      </c>
      <c r="M9">
        <f>Input!M15*IS!M5</f>
        <v>-150.15411837292496</v>
      </c>
      <c r="N9">
        <f>Input!N15*IS!N5</f>
        <v>-152.55658426689175</v>
      </c>
      <c r="O9">
        <f>Input!O15*IS!O5</f>
        <v>-154.99748961516204</v>
      </c>
      <c r="P9">
        <f>Input!P15*IS!P5</f>
        <v>-157.47744944900464</v>
      </c>
      <c r="Q9">
        <f>Input!Q15*IS!Q5</f>
        <v>-159.99708864018871</v>
      </c>
    </row>
    <row r="10" spans="1:17" x14ac:dyDescent="0.25">
      <c r="B10" t="s">
        <v>50</v>
      </c>
      <c r="C10">
        <f>C7+C9</f>
        <v>175.20000000000019</v>
      </c>
      <c r="D10">
        <f t="shared" ref="D10:F10" si="4">D7+D9</f>
        <v>155.59999999999997</v>
      </c>
      <c r="E10">
        <f t="shared" si="4"/>
        <v>129.99999999999977</v>
      </c>
      <c r="F10">
        <f t="shared" si="4"/>
        <v>134.39999999999978</v>
      </c>
      <c r="J10">
        <f>J7+J9</f>
        <v>157.6439716999999</v>
      </c>
      <c r="K10">
        <f>K7+K9</f>
        <v>181.89761439080019</v>
      </c>
      <c r="L10">
        <f t="shared" ref="L10:Q10" si="5">L7+L9</f>
        <v>227.37201798849978</v>
      </c>
      <c r="M10">
        <f t="shared" si="5"/>
        <v>231.23734229430428</v>
      </c>
      <c r="N10">
        <f t="shared" si="5"/>
        <v>234.93713977101319</v>
      </c>
      <c r="O10">
        <f t="shared" si="5"/>
        <v>238.69613400734946</v>
      </c>
      <c r="P10">
        <f t="shared" si="5"/>
        <v>242.51527215146703</v>
      </c>
      <c r="Q10">
        <f t="shared" si="5"/>
        <v>246.3955165058907</v>
      </c>
    </row>
    <row r="12" spans="1:17" x14ac:dyDescent="0.25">
      <c r="B12" t="s">
        <v>18</v>
      </c>
      <c r="C12" s="61">
        <v>-91.6</v>
      </c>
      <c r="D12" s="61">
        <v>-94.6</v>
      </c>
      <c r="E12" s="61">
        <v>-100.8</v>
      </c>
      <c r="F12" s="61">
        <v>-104.2</v>
      </c>
      <c r="J12">
        <f>Calc!J8</f>
        <v>0</v>
      </c>
      <c r="K12">
        <f>Calc!K8</f>
        <v>-8.7198292405999993</v>
      </c>
      <c r="L12">
        <f>Calc!L8</f>
        <v>-16.524076410936999</v>
      </c>
      <c r="M12">
        <f>Calc!M8</f>
        <v>-25.666337779097862</v>
      </c>
      <c r="N12">
        <f>Calc!N8</f>
        <v>-33.998130214977387</v>
      </c>
      <c r="O12">
        <f>Calc!O8</f>
        <v>-41.599828047406874</v>
      </c>
      <c r="P12">
        <f>Calc!P8</f>
        <v>-48.553860720515338</v>
      </c>
      <c r="Q12">
        <f>Calc!Q8</f>
        <v>-54.933718455139392</v>
      </c>
    </row>
    <row r="13" spans="1:17" x14ac:dyDescent="0.25">
      <c r="B13" t="s">
        <v>85</v>
      </c>
      <c r="C13" s="61">
        <v>0</v>
      </c>
      <c r="D13" s="61">
        <v>-11.4</v>
      </c>
      <c r="E13" s="61">
        <v>0</v>
      </c>
      <c r="F13" s="61">
        <v>0</v>
      </c>
      <c r="J13">
        <f>Input!J14</f>
        <v>0</v>
      </c>
      <c r="K13">
        <f>Input!K14</f>
        <v>0</v>
      </c>
      <c r="L13">
        <f>Input!L14</f>
        <v>0</v>
      </c>
      <c r="M13">
        <f>Input!M14</f>
        <v>0</v>
      </c>
      <c r="N13">
        <f>Input!N14</f>
        <v>0</v>
      </c>
      <c r="O13">
        <f>Input!O14</f>
        <v>0</v>
      </c>
      <c r="P13">
        <f>Input!P14</f>
        <v>0</v>
      </c>
      <c r="Q13">
        <f>Input!Q14</f>
        <v>0</v>
      </c>
    </row>
    <row r="14" spans="1:17" x14ac:dyDescent="0.25">
      <c r="B14" t="s">
        <v>79</v>
      </c>
      <c r="C14">
        <f>C10-C12-C13</f>
        <v>266.80000000000018</v>
      </c>
      <c r="D14">
        <f t="shared" ref="D14:F14" si="6">D10-D12-D13</f>
        <v>261.59999999999997</v>
      </c>
      <c r="E14">
        <f t="shared" si="6"/>
        <v>230.79999999999978</v>
      </c>
      <c r="F14">
        <f t="shared" si="6"/>
        <v>238.5999999999998</v>
      </c>
      <c r="J14">
        <f t="shared" ref="J14:K14" si="7">J10-J12-J13</f>
        <v>157.6439716999999</v>
      </c>
      <c r="K14">
        <f t="shared" si="7"/>
        <v>190.61744363140019</v>
      </c>
      <c r="L14">
        <f t="shared" ref="L14" si="8">L10-L12-L13</f>
        <v>243.89609439943678</v>
      </c>
      <c r="M14">
        <f t="shared" ref="M14" si="9">M10-M12-M13</f>
        <v>256.90368007340214</v>
      </c>
      <c r="N14">
        <f t="shared" ref="N14" si="10">N10-N12-N13</f>
        <v>268.9352699859906</v>
      </c>
      <c r="O14">
        <f t="shared" ref="O14" si="11">O10-O12-O13</f>
        <v>280.29596205475633</v>
      </c>
      <c r="P14">
        <f t="shared" ref="P14" si="12">P10-P12-P13</f>
        <v>291.06913287198239</v>
      </c>
      <c r="Q14">
        <f t="shared" ref="Q14" si="13">Q10-Q12-Q13</f>
        <v>301.32923496103007</v>
      </c>
    </row>
    <row r="16" spans="1:17" x14ac:dyDescent="0.25">
      <c r="B16" t="s">
        <v>193</v>
      </c>
      <c r="C16" s="92">
        <v>0</v>
      </c>
      <c r="D16" s="92">
        <v>0</v>
      </c>
      <c r="E16" s="92">
        <v>0</v>
      </c>
      <c r="F16" s="92">
        <v>0</v>
      </c>
    </row>
    <row r="17" spans="2:17" x14ac:dyDescent="0.25">
      <c r="B17" t="s">
        <v>194</v>
      </c>
      <c r="C17">
        <f>C14+C16</f>
        <v>266.80000000000018</v>
      </c>
      <c r="D17">
        <f t="shared" ref="D17:F17" si="14">D14+D16</f>
        <v>261.59999999999997</v>
      </c>
      <c r="E17">
        <f t="shared" si="14"/>
        <v>230.79999999999978</v>
      </c>
      <c r="F17">
        <f t="shared" si="14"/>
        <v>238.5999999999998</v>
      </c>
      <c r="J17">
        <f t="shared" ref="J17" si="15">J14+J16</f>
        <v>157.6439716999999</v>
      </c>
      <c r="K17">
        <f t="shared" ref="K17" si="16">K14+K16</f>
        <v>190.61744363140019</v>
      </c>
      <c r="L17">
        <f t="shared" ref="L17" si="17">L14+L16</f>
        <v>243.89609439943678</v>
      </c>
      <c r="M17">
        <f t="shared" ref="M17" si="18">M14+M16</f>
        <v>256.90368007340214</v>
      </c>
      <c r="N17">
        <f t="shared" ref="N17" si="19">N14+N16</f>
        <v>268.9352699859906</v>
      </c>
      <c r="O17">
        <f t="shared" ref="O17" si="20">O14+O16</f>
        <v>280.29596205475633</v>
      </c>
      <c r="P17">
        <f t="shared" ref="P17" si="21">P14+P16</f>
        <v>291.06913287198239</v>
      </c>
      <c r="Q17">
        <f t="shared" ref="Q17" si="22">Q14+Q16</f>
        <v>301.32923496103007</v>
      </c>
    </row>
    <row r="19" spans="2:17" x14ac:dyDescent="0.25">
      <c r="B19" t="s">
        <v>51</v>
      </c>
      <c r="C19" s="61">
        <v>-14.7</v>
      </c>
      <c r="D19" s="61">
        <v>-12.2</v>
      </c>
      <c r="E19" s="61">
        <v>-15.6</v>
      </c>
      <c r="F19" s="61">
        <v>-19.2</v>
      </c>
    </row>
    <row r="20" spans="2:17" x14ac:dyDescent="0.25">
      <c r="B20" t="s">
        <v>52</v>
      </c>
      <c r="C20">
        <f>SUM(C10,C19:C19)</f>
        <v>160.5000000000002</v>
      </c>
      <c r="D20">
        <f>SUM(D10,D19:D19)</f>
        <v>143.39999999999998</v>
      </c>
      <c r="E20">
        <f>SUM(E10,E19:E19)</f>
        <v>114.39999999999978</v>
      </c>
      <c r="F20">
        <f>SUM(F10,F19:F19)</f>
        <v>115.19999999999978</v>
      </c>
      <c r="J20">
        <f>SUM(J10,J16,J19:J19)</f>
        <v>157.6439716999999</v>
      </c>
      <c r="K20">
        <f t="shared" ref="K20:Q20" si="23">SUM(K10,K16,K19:K19)</f>
        <v>181.89761439080019</v>
      </c>
      <c r="L20">
        <f t="shared" si="23"/>
        <v>227.37201798849978</v>
      </c>
      <c r="M20">
        <f t="shared" si="23"/>
        <v>231.23734229430428</v>
      </c>
      <c r="N20">
        <f t="shared" si="23"/>
        <v>234.93713977101319</v>
      </c>
      <c r="O20">
        <f t="shared" si="23"/>
        <v>238.69613400734946</v>
      </c>
      <c r="P20">
        <f t="shared" si="23"/>
        <v>242.51527215146703</v>
      </c>
      <c r="Q20">
        <f t="shared" si="23"/>
        <v>246.3955165058907</v>
      </c>
    </row>
    <row r="22" spans="2:17" x14ac:dyDescent="0.25">
      <c r="B22" t="s">
        <v>53</v>
      </c>
      <c r="C22" s="61">
        <v>-33</v>
      </c>
      <c r="D22" s="61">
        <v>-23.1</v>
      </c>
      <c r="E22" s="61">
        <v>-18.600000000000001</v>
      </c>
      <c r="F22" s="61">
        <v>-20</v>
      </c>
      <c r="J22">
        <f>Input!J16*IS!J20</f>
        <v>-31.52879433999998</v>
      </c>
      <c r="K22">
        <f>Input!K16*IS!K20</f>
        <v>-36.379522878160039</v>
      </c>
      <c r="L22">
        <f>Input!L16*IS!L20</f>
        <v>-45.474403597699961</v>
      </c>
      <c r="M22">
        <f>Input!M16*IS!M20</f>
        <v>-46.247468458860858</v>
      </c>
      <c r="N22">
        <f>Input!N16*IS!N20</f>
        <v>-46.987427954202644</v>
      </c>
      <c r="O22">
        <f>Input!O16*IS!O20</f>
        <v>-47.739226801469897</v>
      </c>
      <c r="P22">
        <f>Input!P16*IS!P20</f>
        <v>-48.50305443029341</v>
      </c>
      <c r="Q22">
        <f>Input!Q16*IS!Q20</f>
        <v>-49.279103301178139</v>
      </c>
    </row>
    <row r="23" spans="2:17" x14ac:dyDescent="0.25">
      <c r="B23" t="s">
        <v>42</v>
      </c>
      <c r="C23">
        <f>C20+C22</f>
        <v>127.5000000000002</v>
      </c>
      <c r="D23">
        <f t="shared" ref="D23:F23" si="24">D20+D22</f>
        <v>120.29999999999998</v>
      </c>
      <c r="E23">
        <f t="shared" si="24"/>
        <v>95.799999999999784</v>
      </c>
      <c r="F23">
        <f t="shared" si="24"/>
        <v>95.199999999999775</v>
      </c>
      <c r="J23">
        <f>J20+J22</f>
        <v>126.11517735999992</v>
      </c>
      <c r="K23">
        <f>K20+K22</f>
        <v>145.51809151264015</v>
      </c>
      <c r="L23">
        <f t="shared" ref="L23:Q23" si="25">L20+L22</f>
        <v>181.89761439079982</v>
      </c>
      <c r="M23">
        <f t="shared" si="25"/>
        <v>184.98987383544343</v>
      </c>
      <c r="N23">
        <f t="shared" si="25"/>
        <v>187.94971181681055</v>
      </c>
      <c r="O23">
        <f t="shared" si="25"/>
        <v>190.95690720587956</v>
      </c>
      <c r="P23">
        <f t="shared" si="25"/>
        <v>194.01221772117361</v>
      </c>
      <c r="Q23">
        <f t="shared" si="25"/>
        <v>197.11641320471256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8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">
        <v>54</v>
      </c>
      <c r="C5" s="61">
        <v>51.8</v>
      </c>
      <c r="D5" s="61">
        <v>34.299999999999997</v>
      </c>
      <c r="E5" s="61">
        <v>65.900000000000006</v>
      </c>
      <c r="F5" s="61">
        <v>50.1</v>
      </c>
    </row>
    <row r="6" spans="1:17" x14ac:dyDescent="0.25">
      <c r="B6" t="s">
        <v>55</v>
      </c>
      <c r="C6" s="61">
        <v>20.9</v>
      </c>
      <c r="D6" s="61">
        <v>19.8</v>
      </c>
      <c r="E6" s="61">
        <v>25.3</v>
      </c>
      <c r="F6" s="61">
        <v>24.9</v>
      </c>
      <c r="J6">
        <f>Input!J20/365*IS!J5</f>
        <v>25.140522986301367</v>
      </c>
      <c r="K6">
        <f>Input!K20/365*IS!K5</f>
        <v>25.24108507824657</v>
      </c>
      <c r="L6">
        <f>Input!L20/365*IS!L5</f>
        <v>31.551356347808209</v>
      </c>
      <c r="M6">
        <f>Input!M20/365*IS!M5</f>
        <v>32.087729405720943</v>
      </c>
      <c r="N6">
        <f>Input!N20/365*IS!N5</f>
        <v>32.601133076212477</v>
      </c>
      <c r="O6">
        <f>Input!O20/365*IS!O5</f>
        <v>33.122751205431882</v>
      </c>
      <c r="P6">
        <f>Input!P20/365*IS!P5</f>
        <v>33.65271522471879</v>
      </c>
      <c r="Q6">
        <f>Input!Q20/365*IS!Q5</f>
        <v>34.191158668314294</v>
      </c>
    </row>
    <row r="7" spans="1:17" x14ac:dyDescent="0.25">
      <c r="B7" t="s">
        <v>56</v>
      </c>
      <c r="C7" s="61">
        <v>332.3</v>
      </c>
      <c r="D7" s="61">
        <v>357.9</v>
      </c>
      <c r="E7" s="61">
        <v>345.7</v>
      </c>
      <c r="F7" s="61">
        <v>331.6</v>
      </c>
      <c r="J7">
        <f>Input!J19/365*IS!J6</f>
        <v>335.9682797570137</v>
      </c>
      <c r="K7">
        <f>Input!K19/365*IS!K6</f>
        <v>337.31215287604164</v>
      </c>
      <c r="L7">
        <f>Input!L19/365*IS!L6</f>
        <v>421.64019109505216</v>
      </c>
      <c r="M7">
        <f>Input!M19/365*IS!M6</f>
        <v>428.80807434366795</v>
      </c>
      <c r="N7">
        <f>Input!N19/365*IS!N6</f>
        <v>435.66900353316663</v>
      </c>
      <c r="O7">
        <f>Input!O19/365*IS!O6</f>
        <v>442.63970758969731</v>
      </c>
      <c r="P7">
        <f>Input!P19/365*IS!P6</f>
        <v>449.72194291113249</v>
      </c>
      <c r="Q7">
        <f>Input!Q19/365*IS!Q6</f>
        <v>456.91749399771055</v>
      </c>
    </row>
    <row r="8" spans="1:17" x14ac:dyDescent="0.25">
      <c r="B8" t="s">
        <v>57</v>
      </c>
      <c r="C8" s="61">
        <v>54.5</v>
      </c>
      <c r="D8" s="61">
        <v>58.5</v>
      </c>
      <c r="E8" s="61">
        <v>49.400000000000034</v>
      </c>
      <c r="F8" s="61">
        <v>53.099999999999966</v>
      </c>
      <c r="J8">
        <f>Input!J21*IS!J5</f>
        <v>54.116587299999992</v>
      </c>
      <c r="K8">
        <f>Input!K21*IS!K5</f>
        <v>54.333053649199989</v>
      </c>
      <c r="L8">
        <f>Input!L21*IS!L5</f>
        <v>67.916317061499981</v>
      </c>
      <c r="M8">
        <f>Input!M21*IS!M5</f>
        <v>69.07089445154547</v>
      </c>
      <c r="N8">
        <f>Input!N21*IS!N5</f>
        <v>70.176028762770201</v>
      </c>
      <c r="O8">
        <f>Input!O21*IS!O5</f>
        <v>71.298845222974535</v>
      </c>
      <c r="P8">
        <f>Input!P21*IS!P5</f>
        <v>72.439626746542118</v>
      </c>
      <c r="Q8">
        <f>Input!Q21*IS!Q5</f>
        <v>73.598660774486802</v>
      </c>
    </row>
    <row r="9" spans="1:17" x14ac:dyDescent="0.25">
      <c r="B9" t="s">
        <v>58</v>
      </c>
      <c r="C9">
        <f t="shared" ref="C9:D9" si="1">SUM(C5:C8)</f>
        <v>459.5</v>
      </c>
      <c r="D9">
        <f t="shared" si="1"/>
        <v>470.5</v>
      </c>
      <c r="E9">
        <f>SUM(E5:E8)</f>
        <v>486.3</v>
      </c>
      <c r="F9">
        <f>SUM(F5:F8)</f>
        <v>459.7</v>
      </c>
      <c r="J9">
        <f>SUM(J5:J8)</f>
        <v>415.22539004331509</v>
      </c>
      <c r="K9">
        <f t="shared" ref="K9:Q9" si="2">SUM(K5:K8)</f>
        <v>416.88629160348819</v>
      </c>
      <c r="L9">
        <f t="shared" si="2"/>
        <v>521.10786450436035</v>
      </c>
      <c r="M9">
        <f t="shared" si="2"/>
        <v>529.96669820093439</v>
      </c>
      <c r="N9">
        <f t="shared" si="2"/>
        <v>538.44616537214927</v>
      </c>
      <c r="O9">
        <f t="shared" si="2"/>
        <v>547.06130401810378</v>
      </c>
      <c r="P9">
        <f t="shared" si="2"/>
        <v>555.81428488239339</v>
      </c>
      <c r="Q9">
        <f t="shared" si="2"/>
        <v>564.7073134405116</v>
      </c>
    </row>
    <row r="11" spans="1:17" x14ac:dyDescent="0.25">
      <c r="B11" t="s">
        <v>59</v>
      </c>
      <c r="C11" s="61">
        <v>661.6</v>
      </c>
      <c r="D11" s="61">
        <v>692.1</v>
      </c>
      <c r="E11" s="61">
        <v>689.2</v>
      </c>
      <c r="F11" s="61">
        <v>675.3</v>
      </c>
      <c r="J11">
        <f>Calc!J9</f>
        <v>79.998433399999996</v>
      </c>
      <c r="K11">
        <f>Calc!K9</f>
        <v>151.59703129299999</v>
      </c>
      <c r="L11">
        <f>Calc!L9</f>
        <v>235.47098879906295</v>
      </c>
      <c r="M11">
        <f>Calc!M9</f>
        <v>311.90945151355402</v>
      </c>
      <c r="N11">
        <f>Calc!N9</f>
        <v>381.64979860006304</v>
      </c>
      <c r="O11">
        <f>Calc!O9</f>
        <v>445.44826349096638</v>
      </c>
      <c r="P11">
        <f>Calc!P9</f>
        <v>503.97906839577422</v>
      </c>
      <c r="Q11">
        <f>Calc!Q9</f>
        <v>557.8433702159632</v>
      </c>
    </row>
    <row r="12" spans="1:17" x14ac:dyDescent="0.25">
      <c r="B12" t="s">
        <v>60</v>
      </c>
      <c r="C12" s="61">
        <v>864.9</v>
      </c>
      <c r="D12" s="61">
        <v>876.5</v>
      </c>
      <c r="E12" s="61">
        <v>892.8</v>
      </c>
      <c r="F12" s="61">
        <v>931.5</v>
      </c>
      <c r="J12">
        <f>I12+IS!J13</f>
        <v>0</v>
      </c>
      <c r="K12">
        <f>J12+IS!K13</f>
        <v>0</v>
      </c>
      <c r="L12">
        <f>K12+IS!L13</f>
        <v>0</v>
      </c>
      <c r="M12">
        <f>L12+IS!M13</f>
        <v>0</v>
      </c>
      <c r="N12">
        <f>M12+IS!N13</f>
        <v>0</v>
      </c>
      <c r="O12">
        <f>N12+IS!O13</f>
        <v>0</v>
      </c>
      <c r="P12">
        <f>O12+IS!P13</f>
        <v>0</v>
      </c>
      <c r="Q12">
        <f>P12+IS!Q13</f>
        <v>0</v>
      </c>
    </row>
    <row r="13" spans="1:17" x14ac:dyDescent="0.25">
      <c r="B13" t="s">
        <v>80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  <c r="J13">
        <f>Input!J23</f>
        <v>76.099999999999994</v>
      </c>
      <c r="K13">
        <f>Input!K23</f>
        <v>76.099999999999994</v>
      </c>
      <c r="L13">
        <f>Input!L23</f>
        <v>76.099999999999994</v>
      </c>
      <c r="M13">
        <f>Input!M23</f>
        <v>76.099999999999994</v>
      </c>
      <c r="N13">
        <f>Input!N23</f>
        <v>76.099999999999994</v>
      </c>
      <c r="O13">
        <f>Input!O23</f>
        <v>76.099999999999994</v>
      </c>
      <c r="P13">
        <f>Input!P23</f>
        <v>76.099999999999994</v>
      </c>
      <c r="Q13">
        <f>Input!Q23</f>
        <v>76.099999999999994</v>
      </c>
    </row>
    <row r="14" spans="1:17" x14ac:dyDescent="0.25">
      <c r="B14" t="s">
        <v>17</v>
      </c>
      <c r="C14" s="61">
        <v>0</v>
      </c>
      <c r="D14" s="61">
        <v>0</v>
      </c>
      <c r="E14" s="61">
        <v>0</v>
      </c>
      <c r="F14" s="61">
        <v>0</v>
      </c>
    </row>
    <row r="15" spans="1:17" x14ac:dyDescent="0.25">
      <c r="B15" t="s">
        <v>61</v>
      </c>
      <c r="C15">
        <f>SUM(C9,C11:C14)</f>
        <v>2091.1999999999998</v>
      </c>
      <c r="D15">
        <f t="shared" ref="D15:F15" si="3">SUM(D9,D11:D14)</f>
        <v>2132.8000000000002</v>
      </c>
      <c r="E15">
        <f t="shared" si="3"/>
        <v>2148.4000000000005</v>
      </c>
      <c r="F15">
        <f t="shared" si="3"/>
        <v>2142.6</v>
      </c>
      <c r="J15">
        <f>SUM(J9,J11:J14)</f>
        <v>571.32382344331506</v>
      </c>
      <c r="K15">
        <f t="shared" ref="K15:Q15" si="4">SUM(K9,K11:K14)</f>
        <v>644.5833228964882</v>
      </c>
      <c r="L15">
        <f t="shared" si="4"/>
        <v>832.67885330342335</v>
      </c>
      <c r="M15">
        <f t="shared" si="4"/>
        <v>917.97614971448843</v>
      </c>
      <c r="N15">
        <f t="shared" si="4"/>
        <v>996.19596397221233</v>
      </c>
      <c r="O15">
        <f t="shared" si="4"/>
        <v>1068.6095675090701</v>
      </c>
      <c r="P15">
        <f t="shared" si="4"/>
        <v>1135.8933532781675</v>
      </c>
      <c r="Q15">
        <f t="shared" si="4"/>
        <v>1198.6506836564747</v>
      </c>
    </row>
    <row r="17" spans="2:17" x14ac:dyDescent="0.25">
      <c r="B17" t="s">
        <v>62</v>
      </c>
      <c r="C17" s="61">
        <v>163.4</v>
      </c>
      <c r="D17" s="61">
        <v>163.1</v>
      </c>
      <c r="E17" s="61">
        <v>202.1</v>
      </c>
      <c r="F17" s="61">
        <v>155.4</v>
      </c>
    </row>
    <row r="18" spans="2:17" x14ac:dyDescent="0.25">
      <c r="B18" t="s">
        <v>63</v>
      </c>
      <c r="C18" s="61">
        <v>318.3</v>
      </c>
      <c r="D18" s="61">
        <v>345</v>
      </c>
      <c r="E18" s="61">
        <v>326.2</v>
      </c>
      <c r="F18" s="61">
        <v>326.7</v>
      </c>
      <c r="J18">
        <f>Input!J25/365*IS!J6</f>
        <v>330.90343131846572</v>
      </c>
      <c r="K18">
        <f>Input!K25/365*IS!K6</f>
        <v>332.22704504373951</v>
      </c>
      <c r="L18">
        <f>Input!L25/365*IS!L6</f>
        <v>415.28380630467444</v>
      </c>
      <c r="M18">
        <f>Input!M25/365*IS!M6</f>
        <v>422.34363101185386</v>
      </c>
      <c r="N18">
        <f>Input!N25/365*IS!N6</f>
        <v>429.10112910804349</v>
      </c>
      <c r="O18">
        <f>Input!O25/365*IS!O6</f>
        <v>435.96674717377221</v>
      </c>
      <c r="P18">
        <f>Input!P25/365*IS!P6</f>
        <v>442.94221512855256</v>
      </c>
      <c r="Q18">
        <f>Input!Q25/365*IS!Q6</f>
        <v>450.02929057060936</v>
      </c>
    </row>
    <row r="19" spans="2:17" x14ac:dyDescent="0.25">
      <c r="B19" t="s">
        <v>64</v>
      </c>
      <c r="C19">
        <f>SUM(C17:C18)</f>
        <v>481.70000000000005</v>
      </c>
      <c r="D19">
        <f t="shared" ref="D19:F19" si="5">SUM(D17:D18)</f>
        <v>508.1</v>
      </c>
      <c r="E19">
        <f t="shared" si="5"/>
        <v>528.29999999999995</v>
      </c>
      <c r="F19">
        <f t="shared" si="5"/>
        <v>482.1</v>
      </c>
      <c r="J19">
        <f>SUM(J17:J18)</f>
        <v>330.90343131846572</v>
      </c>
      <c r="K19">
        <f t="shared" ref="K19:Q19" si="6">SUM(K17:K18)</f>
        <v>332.22704504373951</v>
      </c>
      <c r="L19">
        <f t="shared" si="6"/>
        <v>415.28380630467444</v>
      </c>
      <c r="M19">
        <f t="shared" si="6"/>
        <v>422.34363101185386</v>
      </c>
      <c r="N19">
        <f t="shared" si="6"/>
        <v>429.10112910804349</v>
      </c>
      <c r="O19">
        <f t="shared" si="6"/>
        <v>435.96674717377221</v>
      </c>
      <c r="P19">
        <f t="shared" si="6"/>
        <v>442.94221512855256</v>
      </c>
      <c r="Q19">
        <f t="shared" si="6"/>
        <v>450.02929057060936</v>
      </c>
    </row>
    <row r="21" spans="2:17" x14ac:dyDescent="0.25">
      <c r="B21" t="s">
        <v>81</v>
      </c>
      <c r="C21" s="61">
        <v>249.3</v>
      </c>
      <c r="D21" s="61">
        <v>235.9</v>
      </c>
      <c r="E21" s="61">
        <v>223.79999999999998</v>
      </c>
      <c r="F21" s="61">
        <v>197.10000000000002</v>
      </c>
    </row>
    <row r="22" spans="2:17" x14ac:dyDescent="0.25">
      <c r="B22" t="str">
        <f>LBO!E15</f>
        <v>First Lien</v>
      </c>
      <c r="C22" s="61"/>
      <c r="D22" s="61"/>
      <c r="E22" s="61"/>
      <c r="F22" s="61"/>
    </row>
    <row r="23" spans="2:17" x14ac:dyDescent="0.25">
      <c r="B23" t="str">
        <f>LBO!E16</f>
        <v>Second Lien</v>
      </c>
      <c r="C23" s="61"/>
      <c r="D23" s="61"/>
      <c r="E23" s="61"/>
      <c r="F23" s="61"/>
    </row>
    <row r="24" spans="2:17" x14ac:dyDescent="0.25">
      <c r="B24" t="str">
        <f>LBO!E17</f>
        <v>Junior notes</v>
      </c>
      <c r="C24" s="61"/>
      <c r="D24" s="61"/>
      <c r="E24" s="61"/>
      <c r="F24" s="61"/>
    </row>
    <row r="25" spans="2:17" x14ac:dyDescent="0.25">
      <c r="B25" t="str">
        <f>LBO!E18</f>
        <v>Mezzanine</v>
      </c>
      <c r="C25" s="61"/>
      <c r="D25" s="61"/>
      <c r="E25" s="61"/>
      <c r="F25" s="61"/>
    </row>
    <row r="26" spans="2:17" x14ac:dyDescent="0.25">
      <c r="B26" t="str">
        <f>LBO!E19</f>
        <v>Prefs</v>
      </c>
      <c r="C26" s="61"/>
      <c r="D26" s="61"/>
      <c r="E26" s="61"/>
      <c r="F26" s="61"/>
    </row>
    <row r="27" spans="2:17" x14ac:dyDescent="0.25">
      <c r="B27" t="s">
        <v>82</v>
      </c>
      <c r="C27" s="61">
        <v>699.2</v>
      </c>
      <c r="D27" s="61">
        <v>644.40000000000009</v>
      </c>
      <c r="E27" s="61">
        <v>628.90000000000009</v>
      </c>
      <c r="F27" s="61">
        <v>610.09999999999991</v>
      </c>
      <c r="J27">
        <f>Input!J26</f>
        <v>610.1</v>
      </c>
      <c r="K27">
        <f>Input!K26</f>
        <v>610.1</v>
      </c>
      <c r="L27">
        <f>Input!L26</f>
        <v>610.1</v>
      </c>
      <c r="M27">
        <f>Input!M26</f>
        <v>610.1</v>
      </c>
      <c r="N27">
        <f>Input!N26</f>
        <v>610.1</v>
      </c>
      <c r="O27">
        <f>Input!O26</f>
        <v>610.1</v>
      </c>
      <c r="P27">
        <f>Input!P26</f>
        <v>610.1</v>
      </c>
      <c r="Q27">
        <f>Input!Q26</f>
        <v>610.1</v>
      </c>
    </row>
    <row r="28" spans="2:17" x14ac:dyDescent="0.25">
      <c r="B28" t="s">
        <v>65</v>
      </c>
      <c r="C28">
        <f>SUM(C19,C21:C27)</f>
        <v>1430.2</v>
      </c>
      <c r="D28">
        <f>SUM(D19,D21:D27)</f>
        <v>1388.4</v>
      </c>
      <c r="E28">
        <f>SUM(E19,E21:E27)</f>
        <v>1381</v>
      </c>
      <c r="F28">
        <f>SUM(F19,F21:F27)</f>
        <v>1289.3</v>
      </c>
      <c r="J28">
        <f>SUM(J19,J21:J27)</f>
        <v>941.0034313184658</v>
      </c>
      <c r="K28">
        <f t="shared" ref="K28:Q28" si="7">SUM(K19,K21:K27)</f>
        <v>942.32704504373953</v>
      </c>
      <c r="L28">
        <f t="shared" si="7"/>
        <v>1025.3838063046744</v>
      </c>
      <c r="M28">
        <f t="shared" si="7"/>
        <v>1032.443631011854</v>
      </c>
      <c r="N28">
        <f t="shared" si="7"/>
        <v>1039.2011291080435</v>
      </c>
      <c r="O28">
        <f t="shared" si="7"/>
        <v>1046.0667471737722</v>
      </c>
      <c r="P28">
        <f t="shared" si="7"/>
        <v>1053.0422151285525</v>
      </c>
      <c r="Q28">
        <f t="shared" si="7"/>
        <v>1060.1292905706093</v>
      </c>
    </row>
    <row r="30" spans="2:17" x14ac:dyDescent="0.25">
      <c r="B30" t="s">
        <v>41</v>
      </c>
      <c r="C30" s="61">
        <v>661</v>
      </c>
      <c r="D30" s="61">
        <v>744.4</v>
      </c>
      <c r="E30" s="61">
        <v>767.4</v>
      </c>
      <c r="F30" s="61">
        <v>853.3</v>
      </c>
      <c r="J30">
        <f>Calc!J16</f>
        <v>126.11517735999992</v>
      </c>
      <c r="K30">
        <f>Calc!K16</f>
        <v>271.63326887264009</v>
      </c>
      <c r="L30">
        <f>Calc!L16</f>
        <v>453.53088326343993</v>
      </c>
      <c r="M30">
        <f>Calc!M16</f>
        <v>638.52075709888334</v>
      </c>
      <c r="N30">
        <f>Calc!N16</f>
        <v>826.47046891569391</v>
      </c>
      <c r="O30">
        <f>Calc!O16</f>
        <v>1017.4273761215735</v>
      </c>
      <c r="P30">
        <f>Calc!P16</f>
        <v>1211.4395938427472</v>
      </c>
      <c r="Q30">
        <f>Calc!Q16</f>
        <v>1408.5560070474598</v>
      </c>
    </row>
    <row r="31" spans="2:17" x14ac:dyDescent="0.25">
      <c r="B31" t="s">
        <v>66</v>
      </c>
      <c r="C31">
        <f>SUM(C28,C30)</f>
        <v>2091.1999999999998</v>
      </c>
      <c r="D31">
        <f t="shared" ref="D31:F31" si="8">SUM(D28,D30)</f>
        <v>2132.8000000000002</v>
      </c>
      <c r="E31">
        <f t="shared" si="8"/>
        <v>2148.4</v>
      </c>
      <c r="F31">
        <f t="shared" si="8"/>
        <v>2142.6</v>
      </c>
      <c r="J31">
        <f>J28+J30</f>
        <v>1067.1186086784658</v>
      </c>
      <c r="K31">
        <f t="shared" ref="K31:Q31" si="9">K28+K30</f>
        <v>1213.9603139163796</v>
      </c>
      <c r="L31">
        <f t="shared" si="9"/>
        <v>1478.9146895681142</v>
      </c>
      <c r="M31">
        <f t="shared" si="9"/>
        <v>1670.9643881107372</v>
      </c>
      <c r="N31">
        <f t="shared" si="9"/>
        <v>1865.6715980237373</v>
      </c>
      <c r="O31">
        <f t="shared" si="9"/>
        <v>2063.4941232953456</v>
      </c>
      <c r="P31">
        <f t="shared" si="9"/>
        <v>2264.4818089712999</v>
      </c>
      <c r="Q31">
        <f t="shared" si="9"/>
        <v>2468.6852976180689</v>
      </c>
    </row>
    <row r="33" spans="2:17" x14ac:dyDescent="0.25">
      <c r="B33" t="s">
        <v>67</v>
      </c>
      <c r="C33" s="66" t="str">
        <f>IF(C31=C15,"OK",C15-C31)</f>
        <v>OK</v>
      </c>
      <c r="D33" s="66" t="str">
        <f>IF(D31=D15,"OK",D15-D31)</f>
        <v>OK</v>
      </c>
      <c r="E33" s="66" t="str">
        <f>IF(E31=E15,"OK",E15-E31)</f>
        <v>OK</v>
      </c>
      <c r="F33" s="66" t="str">
        <f>IF(F31=F15,"OK",F15-F31)</f>
        <v>OK</v>
      </c>
      <c r="I33" s="66"/>
      <c r="J33" s="66">
        <f>IF(J31=J15,"OK",J15-J31)</f>
        <v>-495.7947852351507</v>
      </c>
      <c r="K33" s="66">
        <f t="shared" ref="K33:Q33" si="10">IF(K31=K15,"OK",K15-K31)</f>
        <v>-569.37699101989142</v>
      </c>
      <c r="L33" s="66">
        <f t="shared" si="10"/>
        <v>-646.23583626469087</v>
      </c>
      <c r="M33" s="66">
        <f t="shared" si="10"/>
        <v>-752.98823839624879</v>
      </c>
      <c r="N33" s="66">
        <f t="shared" si="10"/>
        <v>-869.47563405152493</v>
      </c>
      <c r="O33" s="66">
        <f t="shared" si="10"/>
        <v>-994.88455578627554</v>
      </c>
      <c r="P33" s="66">
        <f t="shared" si="10"/>
        <v>-1128.5884556931323</v>
      </c>
      <c r="Q33" s="66">
        <f t="shared" si="10"/>
        <v>-1270.0346139615942</v>
      </c>
    </row>
    <row r="38" spans="2:17" x14ac:dyDescent="0.25">
      <c r="G38" s="66"/>
      <c r="H38" s="66"/>
      <c r="I38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146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tr">
        <f>IS!B17</f>
        <v xml:space="preserve"> Adjusted EBITDA</v>
      </c>
    </row>
    <row r="6" spans="1:17" x14ac:dyDescent="0.25">
      <c r="B6" t="s">
        <v>150</v>
      </c>
    </row>
    <row r="7" spans="1:17" x14ac:dyDescent="0.25">
      <c r="B7" t="s">
        <v>151</v>
      </c>
    </row>
    <row r="8" spans="1:17" x14ac:dyDescent="0.25">
      <c r="B8" t="s">
        <v>68</v>
      </c>
    </row>
    <row r="9" spans="1:17" x14ac:dyDescent="0.25">
      <c r="B9" t="s">
        <v>69</v>
      </c>
    </row>
    <row r="10" spans="1:17" x14ac:dyDescent="0.25">
      <c r="B10" t="s">
        <v>70</v>
      </c>
    </row>
    <row r="11" spans="1:17" x14ac:dyDescent="0.25">
      <c r="B11" t="s">
        <v>71</v>
      </c>
    </row>
    <row r="13" spans="1:17" x14ac:dyDescent="0.25">
      <c r="B13" t="s">
        <v>72</v>
      </c>
    </row>
    <row r="14" spans="1:17" x14ac:dyDescent="0.25">
      <c r="B14" t="s">
        <v>73</v>
      </c>
    </row>
    <row r="16" spans="1:17" x14ac:dyDescent="0.25">
      <c r="B16" t="s">
        <v>74</v>
      </c>
    </row>
    <row r="17" spans="2:9" x14ac:dyDescent="0.25">
      <c r="B17" t="s">
        <v>87</v>
      </c>
    </row>
    <row r="18" spans="2:9" x14ac:dyDescent="0.25">
      <c r="B18" t="str">
        <f>"Inc (dec) in "&amp;BS!B22</f>
        <v>Inc (dec) in First Lien</v>
      </c>
    </row>
    <row r="19" spans="2:9" x14ac:dyDescent="0.25">
      <c r="B19" t="str">
        <f>"Inc (dec) in "&amp;BS!B23</f>
        <v>Inc (dec) in Second Lien</v>
      </c>
    </row>
    <row r="20" spans="2:9" x14ac:dyDescent="0.25">
      <c r="B20" t="str">
        <f>"Inc (dec) in "&amp;BS!B24</f>
        <v>Inc (dec) in Junior notes</v>
      </c>
    </row>
    <row r="21" spans="2:9" x14ac:dyDescent="0.25">
      <c r="B21" t="s">
        <v>75</v>
      </c>
    </row>
    <row r="23" spans="2:9" x14ac:dyDescent="0.25">
      <c r="B23" t="s">
        <v>45</v>
      </c>
    </row>
    <row r="24" spans="2:9" x14ac:dyDescent="0.25">
      <c r="B24" t="s">
        <v>76</v>
      </c>
    </row>
    <row r="25" spans="2:9" x14ac:dyDescent="0.25">
      <c r="B25" t="s">
        <v>77</v>
      </c>
      <c r="I25">
        <f>BS!I5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4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81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119</v>
      </c>
      <c r="H3" s="11" t="s">
        <v>120</v>
      </c>
      <c r="I3" s="11" t="s">
        <v>121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149</v>
      </c>
    </row>
    <row r="6" spans="1:17" x14ac:dyDescent="0.25">
      <c r="B6" t="str">
        <f>BS!B22</f>
        <v>First Lien</v>
      </c>
      <c r="J6" s="73">
        <v>0.124</v>
      </c>
      <c r="K6" s="73">
        <v>0.13700000000000001</v>
      </c>
      <c r="L6" s="73">
        <v>0.112</v>
      </c>
      <c r="M6" s="73">
        <v>0.17799999999999999</v>
      </c>
      <c r="N6" s="73">
        <v>0.19800000000000001</v>
      </c>
      <c r="O6" s="73">
        <v>0.219</v>
      </c>
      <c r="P6" s="73">
        <v>3.2000000000000001E-2</v>
      </c>
      <c r="Q6" s="73">
        <v>0</v>
      </c>
    </row>
    <row r="7" spans="1:17" x14ac:dyDescent="0.2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25">
      <c r="B8" t="str">
        <f>BS!B24</f>
        <v>Junior notes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25">
      <c r="A10" s="62" t="s">
        <v>135</v>
      </c>
    </row>
    <row r="11" spans="1:17" x14ac:dyDescent="0.25">
      <c r="B11" t="s">
        <v>122</v>
      </c>
    </row>
    <row r="12" spans="1:17" x14ac:dyDescent="0.25">
      <c r="B12" t="s">
        <v>123</v>
      </c>
    </row>
    <row r="13" spans="1:17" x14ac:dyDescent="0.25">
      <c r="B13" t="s">
        <v>124</v>
      </c>
    </row>
    <row r="14" spans="1:17" x14ac:dyDescent="0.25">
      <c r="B14" t="s">
        <v>126</v>
      </c>
    </row>
    <row r="16" spans="1:17" x14ac:dyDescent="0.25">
      <c r="B16" t="s">
        <v>127</v>
      </c>
    </row>
    <row r="17" spans="2:9" x14ac:dyDescent="0.25">
      <c r="B17" t="str">
        <f>B6</f>
        <v>First Lien</v>
      </c>
    </row>
    <row r="18" spans="2:9" x14ac:dyDescent="0.25">
      <c r="B18" t="str">
        <f>B7</f>
        <v>Second Lien</v>
      </c>
    </row>
    <row r="19" spans="2:9" x14ac:dyDescent="0.25">
      <c r="B19" t="str">
        <f>B8</f>
        <v>Junior notes</v>
      </c>
    </row>
    <row r="20" spans="2:9" x14ac:dyDescent="0.25">
      <c r="B20" t="s">
        <v>138</v>
      </c>
    </row>
    <row r="22" spans="2:9" x14ac:dyDescent="0.25">
      <c r="B22" t="s">
        <v>62</v>
      </c>
    </row>
    <row r="23" spans="2:9" x14ac:dyDescent="0.25">
      <c r="B23" t="s">
        <v>38</v>
      </c>
    </row>
    <row r="24" spans="2:9" x14ac:dyDescent="0.25">
      <c r="B24" t="s">
        <v>139</v>
      </c>
    </row>
    <row r="25" spans="2:9" x14ac:dyDescent="0.25">
      <c r="B25" t="s">
        <v>40</v>
      </c>
      <c r="I25">
        <f>BS!I17</f>
        <v>0</v>
      </c>
    </row>
    <row r="26" spans="2:9" x14ac:dyDescent="0.25">
      <c r="B26" t="s">
        <v>51</v>
      </c>
    </row>
    <row r="28" spans="2:9" x14ac:dyDescent="0.25">
      <c r="B28" t="s">
        <v>140</v>
      </c>
    </row>
    <row r="30" spans="2:9" x14ac:dyDescent="0.25">
      <c r="B30" t="s">
        <v>103</v>
      </c>
    </row>
    <row r="31" spans="2:9" x14ac:dyDescent="0.25">
      <c r="B31" t="s">
        <v>128</v>
      </c>
    </row>
    <row r="32" spans="2:9" x14ac:dyDescent="0.25">
      <c r="B32" t="s">
        <v>125</v>
      </c>
    </row>
    <row r="33" spans="2:17" x14ac:dyDescent="0.25">
      <c r="B33" t="s">
        <v>129</v>
      </c>
    </row>
    <row r="34" spans="2:17" x14ac:dyDescent="0.25">
      <c r="B34" t="s">
        <v>130</v>
      </c>
      <c r="I34">
        <f>BS!H22</f>
        <v>0</v>
      </c>
    </row>
    <row r="35" spans="2:17" x14ac:dyDescent="0.25">
      <c r="B35" t="s">
        <v>51</v>
      </c>
    </row>
    <row r="36" spans="2:17" x14ac:dyDescent="0.25">
      <c r="J36" s="60"/>
      <c r="K36" s="60"/>
      <c r="L36" s="60"/>
      <c r="M36" s="60"/>
      <c r="N36" s="60"/>
      <c r="O36" s="60"/>
      <c r="P36" s="60"/>
      <c r="Q36" s="60"/>
    </row>
    <row r="37" spans="2:17" x14ac:dyDescent="0.25">
      <c r="B37" t="s">
        <v>131</v>
      </c>
    </row>
    <row r="39" spans="2:17" x14ac:dyDescent="0.25">
      <c r="B39" t="s">
        <v>104</v>
      </c>
    </row>
    <row r="40" spans="2:17" x14ac:dyDescent="0.25">
      <c r="B40" t="s">
        <v>128</v>
      </c>
    </row>
    <row r="41" spans="2:17" x14ac:dyDescent="0.25">
      <c r="B41" t="s">
        <v>125</v>
      </c>
    </row>
    <row r="42" spans="2:17" x14ac:dyDescent="0.25">
      <c r="B42" t="s">
        <v>129</v>
      </c>
    </row>
    <row r="43" spans="2:17" x14ac:dyDescent="0.25">
      <c r="B43" t="s">
        <v>130</v>
      </c>
      <c r="I43">
        <f>BS!H23</f>
        <v>0</v>
      </c>
    </row>
    <row r="44" spans="2:17" x14ac:dyDescent="0.25">
      <c r="B44" t="s">
        <v>51</v>
      </c>
    </row>
    <row r="46" spans="2:17" x14ac:dyDescent="0.25">
      <c r="B46" t="s">
        <v>105</v>
      </c>
    </row>
    <row r="47" spans="2:17" x14ac:dyDescent="0.25">
      <c r="B47" t="s">
        <v>38</v>
      </c>
    </row>
    <row r="48" spans="2:17" x14ac:dyDescent="0.25">
      <c r="B48" t="s">
        <v>132</v>
      </c>
    </row>
    <row r="49" spans="2:9" x14ac:dyDescent="0.25">
      <c r="B49" t="s">
        <v>40</v>
      </c>
      <c r="I49">
        <f>BS!H24</f>
        <v>0</v>
      </c>
    </row>
    <row r="50" spans="2:9" x14ac:dyDescent="0.25">
      <c r="B50" t="s">
        <v>51</v>
      </c>
    </row>
    <row r="52" spans="2:9" x14ac:dyDescent="0.25">
      <c r="B52" t="s">
        <v>114</v>
      </c>
    </row>
    <row r="53" spans="2:9" x14ac:dyDescent="0.25">
      <c r="B53" t="s">
        <v>133</v>
      </c>
    </row>
    <row r="54" spans="2:9" x14ac:dyDescent="0.25">
      <c r="B54" t="s">
        <v>134</v>
      </c>
    </row>
    <row r="55" spans="2:9" x14ac:dyDescent="0.25">
      <c r="B55" t="s">
        <v>40</v>
      </c>
      <c r="I55">
        <f>BS!I25</f>
        <v>0</v>
      </c>
    </row>
    <row r="57" spans="2:9" x14ac:dyDescent="0.25">
      <c r="B57" t="s">
        <v>136</v>
      </c>
    </row>
    <row r="58" spans="2:9" x14ac:dyDescent="0.25">
      <c r="B58" t="s">
        <v>38</v>
      </c>
    </row>
    <row r="59" spans="2:9" x14ac:dyDescent="0.25">
      <c r="B59" t="s">
        <v>137</v>
      </c>
    </row>
    <row r="60" spans="2:9" x14ac:dyDescent="0.25">
      <c r="B60" t="s">
        <v>40</v>
      </c>
      <c r="I60">
        <f>BS!I26</f>
        <v>0</v>
      </c>
    </row>
    <row r="62" spans="2:9" x14ac:dyDescent="0.25">
      <c r="B62" t="s">
        <v>141</v>
      </c>
    </row>
    <row r="63" spans="2:9" x14ac:dyDescent="0.25">
      <c r="B63" t="s">
        <v>142</v>
      </c>
    </row>
    <row r="65" spans="1:17" x14ac:dyDescent="0.25">
      <c r="A65" s="62" t="s">
        <v>152</v>
      </c>
    </row>
    <row r="66" spans="1:17" x14ac:dyDescent="0.25">
      <c r="B66" t="s">
        <v>153</v>
      </c>
      <c r="J66">
        <f>CFS!J5</f>
        <v>0</v>
      </c>
      <c r="K66">
        <f>CFS!K5</f>
        <v>0</v>
      </c>
      <c r="L66">
        <f>CFS!L5</f>
        <v>0</v>
      </c>
      <c r="M66">
        <f>CFS!M5</f>
        <v>0</v>
      </c>
      <c r="N66">
        <f>CFS!N5</f>
        <v>0</v>
      </c>
      <c r="O66">
        <f>CFS!O5</f>
        <v>0</v>
      </c>
      <c r="P66">
        <f>CFS!P5</f>
        <v>0</v>
      </c>
      <c r="Q66">
        <f>CFS!Q5</f>
        <v>0</v>
      </c>
    </row>
    <row r="67" spans="1:17" x14ac:dyDescent="0.25">
      <c r="B67" t="s">
        <v>154</v>
      </c>
      <c r="J67">
        <f>J66+CFS!J13</f>
        <v>0</v>
      </c>
      <c r="K67">
        <f>K66+CFS!K13</f>
        <v>0</v>
      </c>
      <c r="L67">
        <f>L66+CFS!L13</f>
        <v>0</v>
      </c>
      <c r="M67">
        <f>M66+CFS!M13</f>
        <v>0</v>
      </c>
      <c r="N67">
        <f>N66+CFS!N13</f>
        <v>0</v>
      </c>
      <c r="O67">
        <f>O66+CFS!O13</f>
        <v>0</v>
      </c>
      <c r="P67">
        <f>P66+CFS!P13</f>
        <v>0</v>
      </c>
      <c r="Q67">
        <f>Q66+CFS!Q13</f>
        <v>0</v>
      </c>
    </row>
    <row r="68" spans="1:17" x14ac:dyDescent="0.25">
      <c r="B68" t="s">
        <v>155</v>
      </c>
      <c r="I68">
        <f>SUM(I25,I34,I43,I49,I55)</f>
        <v>0</v>
      </c>
      <c r="J68">
        <f>SUM(J25,J34,J43,J49,J55)</f>
        <v>0</v>
      </c>
      <c r="K68">
        <f t="shared" ref="K68:Q68" si="1">SUM(K25,K34,K43,K49,K55)</f>
        <v>0</v>
      </c>
      <c r="L68">
        <f t="shared" si="1"/>
        <v>0</v>
      </c>
      <c r="M68">
        <f t="shared" si="1"/>
        <v>0</v>
      </c>
      <c r="N68">
        <f t="shared" si="1"/>
        <v>0</v>
      </c>
      <c r="O68">
        <f t="shared" si="1"/>
        <v>0</v>
      </c>
      <c r="P68">
        <f t="shared" si="1"/>
        <v>0</v>
      </c>
      <c r="Q68">
        <f t="shared" si="1"/>
        <v>0</v>
      </c>
    </row>
    <row r="70" spans="1:17" x14ac:dyDescent="0.25">
      <c r="B70" t="s">
        <v>156</v>
      </c>
      <c r="J70" s="67" t="e">
        <f>J68/J66</f>
        <v>#DIV/0!</v>
      </c>
      <c r="K70" s="67" t="e">
        <f t="shared" ref="K70:Q70" si="2">K68/K66</f>
        <v>#DIV/0!</v>
      </c>
      <c r="L70" s="67" t="e">
        <f t="shared" si="2"/>
        <v>#DIV/0!</v>
      </c>
      <c r="M70" s="67" t="e">
        <f t="shared" si="2"/>
        <v>#DIV/0!</v>
      </c>
      <c r="N70" s="67" t="e">
        <f t="shared" si="2"/>
        <v>#DIV/0!</v>
      </c>
      <c r="O70" s="67" t="e">
        <f t="shared" si="2"/>
        <v>#DIV/0!</v>
      </c>
      <c r="P70" s="67" t="e">
        <f t="shared" si="2"/>
        <v>#DIV/0!</v>
      </c>
      <c r="Q70" s="67" t="e">
        <f t="shared" si="2"/>
        <v>#DIV/0!</v>
      </c>
    </row>
    <row r="71" spans="1:17" x14ac:dyDescent="0.25">
      <c r="B71" t="s">
        <v>157</v>
      </c>
      <c r="J71" s="67" t="e">
        <f>J68/J67</f>
        <v>#DIV/0!</v>
      </c>
      <c r="K71" s="67" t="e">
        <f t="shared" ref="K71:Q71" si="3">K68/K67</f>
        <v>#DIV/0!</v>
      </c>
      <c r="L71" s="67" t="e">
        <f t="shared" si="3"/>
        <v>#DIV/0!</v>
      </c>
      <c r="M71" s="67" t="e">
        <f t="shared" si="3"/>
        <v>#DIV/0!</v>
      </c>
      <c r="N71" s="67" t="e">
        <f t="shared" si="3"/>
        <v>#DIV/0!</v>
      </c>
      <c r="O71" s="67" t="e">
        <f t="shared" si="3"/>
        <v>#DIV/0!</v>
      </c>
      <c r="P71" s="67" t="e">
        <f t="shared" si="3"/>
        <v>#DIV/0!</v>
      </c>
      <c r="Q71" s="67" t="e">
        <f t="shared" si="3"/>
        <v>#DIV/0!</v>
      </c>
    </row>
    <row r="72" spans="1:17" x14ac:dyDescent="0.25">
      <c r="B72" t="s">
        <v>158</v>
      </c>
      <c r="J72" s="67" t="e">
        <f>J66/-J63</f>
        <v>#DIV/0!</v>
      </c>
      <c r="K72" s="67" t="e">
        <f t="shared" ref="K72:Q72" si="4">K66/-K63</f>
        <v>#DIV/0!</v>
      </c>
      <c r="L72" s="67" t="e">
        <f t="shared" si="4"/>
        <v>#DIV/0!</v>
      </c>
      <c r="M72" s="67" t="e">
        <f t="shared" si="4"/>
        <v>#DIV/0!</v>
      </c>
      <c r="N72" s="67" t="e">
        <f t="shared" si="4"/>
        <v>#DIV/0!</v>
      </c>
      <c r="O72" s="67" t="e">
        <f t="shared" si="4"/>
        <v>#DIV/0!</v>
      </c>
      <c r="P72" s="67" t="e">
        <f t="shared" si="4"/>
        <v>#DIV/0!</v>
      </c>
      <c r="Q72" s="67" t="e">
        <f t="shared" si="4"/>
        <v>#DIV/0!</v>
      </c>
    </row>
    <row r="73" spans="1:17" x14ac:dyDescent="0.25">
      <c r="B73" t="s">
        <v>160</v>
      </c>
      <c r="J73" s="67" t="e">
        <f>J67/-J63</f>
        <v>#DIV/0!</v>
      </c>
      <c r="K73" s="67" t="e">
        <f t="shared" ref="K73:Q73" si="5">K67/-K63</f>
        <v>#DIV/0!</v>
      </c>
      <c r="L73" s="67" t="e">
        <f t="shared" si="5"/>
        <v>#DIV/0!</v>
      </c>
      <c r="M73" s="67" t="e">
        <f t="shared" si="5"/>
        <v>#DIV/0!</v>
      </c>
      <c r="N73" s="67" t="e">
        <f t="shared" si="5"/>
        <v>#DIV/0!</v>
      </c>
      <c r="O73" s="67" t="e">
        <f t="shared" si="5"/>
        <v>#DIV/0!</v>
      </c>
      <c r="P73" s="67" t="e">
        <f t="shared" si="5"/>
        <v>#DIV/0!</v>
      </c>
      <c r="Q73" s="67" t="e">
        <f t="shared" si="5"/>
        <v>#DIV/0!</v>
      </c>
    </row>
    <row r="74" spans="1:17" x14ac:dyDescent="0.25">
      <c r="B74" t="s">
        <v>159</v>
      </c>
      <c r="J74" s="65" t="e">
        <f>1-J68/$I$68</f>
        <v>#DIV/0!</v>
      </c>
      <c r="K74" s="65" t="e">
        <f t="shared" ref="K74:Q74" si="6">1-K68/$I$68</f>
        <v>#DIV/0!</v>
      </c>
      <c r="L74" s="65" t="e">
        <f t="shared" si="6"/>
        <v>#DIV/0!</v>
      </c>
      <c r="M74" s="65" t="e">
        <f t="shared" si="6"/>
        <v>#DIV/0!</v>
      </c>
      <c r="N74" s="65" t="e">
        <f t="shared" si="6"/>
        <v>#DIV/0!</v>
      </c>
      <c r="O74" s="65" t="e">
        <f t="shared" si="6"/>
        <v>#DIV/0!</v>
      </c>
      <c r="P74" s="65" t="e">
        <f t="shared" si="6"/>
        <v>#DIV/0!</v>
      </c>
      <c r="Q74" s="65" t="e">
        <f t="shared" si="6"/>
        <v>#DIV/0!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951C2754-4E13-4172-A3B6-7F3C05B27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3083CC-8437-416A-8A9C-67C46E4376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3DD98D-E8AF-42C2-90A5-4922190C08CB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Andrew Jones</cp:lastModifiedBy>
  <cp:lastPrinted>2016-08-02T18:28:31Z</cp:lastPrinted>
  <dcterms:created xsi:type="dcterms:W3CDTF">2016-02-03T14:06:14Z</dcterms:created>
  <dcterms:modified xsi:type="dcterms:W3CDTF">2025-05-15T15:42:15Z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