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ibhero-my.sharepoint.com/personal/maria_weber_fe_training/Documents/Maria Weber/Glitch Fixes/7020 Private Equity Acquisition Analysis/"/>
    </mc:Choice>
  </mc:AlternateContent>
  <xr:revisionPtr revIDLastSave="5" documentId="13_ncr:1_{64BC5004-1836-4913-B036-C2CA12E8B4F3}" xr6:coauthVersionLast="47" xr6:coauthVersionMax="47" xr10:uidLastSave="{B368A615-3DB7-49B7-8A55-48B7128B9D11}"/>
  <bookViews>
    <workbookView xWindow="-98" yWindow="-98" windowWidth="21795" windowHeight="13875" xr2:uid="{F7EDF1FA-EC1D-41A1-A85C-D45CBE39E123}"/>
  </bookViews>
  <sheets>
    <sheet name="Welcome" sheetId="2" r:id="rId1"/>
    <sheet name="Info" sheetId="3" r:id="rId2"/>
    <sheet name="LBO 1" sheetId="20" r:id="rId3"/>
    <sheet name="LBO 2" sheetId="23" r:id="rId4"/>
    <sheet name="LBO 3" sheetId="24" r:id="rId5"/>
    <sheet name="LBO 4" sheetId="27" r:id="rId6"/>
    <sheet name="Factset codes" sheetId="22" state="hidden" r:id="rId7"/>
  </sheets>
  <definedNames>
    <definedName name="CIQWBGuid" hidden="1">"571ab0c3-d74c-43bc-a7ba-442a57d4d174"</definedName>
    <definedName name="Circswitch">Info!$N$10</definedName>
    <definedName name="COMP_CALENDARIZE_PERCENTAGES" localSheetId="6">'Factset codes'!$R$64:$V$64</definedName>
    <definedName name="COMP_EQ_VALUE" localSheetId="6">'Factset codes'!$R$10</definedName>
    <definedName name="COMP_EV" localSheetId="6">'Factset codes'!$L$10</definedName>
    <definedName name="Comp_MTR" localSheetId="6">'Factset codes'!$D$19</definedName>
    <definedName name="COMP_SHAREPRICE" localSheetId="6">'Factset codes'!$D$13</definedName>
    <definedName name="EBIT_LTM" localSheetId="6">'Factset codes'!$J$14</definedName>
    <definedName name="EBITDA_LTM" localSheetId="6">'Factset codes'!$J$13</definedName>
    <definedName name="EV_EBIT_CY1" localSheetId="6">'Factset codes'!$L$21</definedName>
    <definedName name="EV_EBIT_CY2" localSheetId="6">'Factset codes'!$N$21</definedName>
    <definedName name="EV_EBIT_CY3" localSheetId="6">'Factset codes'!$P$21</definedName>
    <definedName name="EV_EBIT_CY4" localSheetId="6">'Factset codes'!$R$21</definedName>
    <definedName name="EV_EBIT_LTM" localSheetId="6">'Factset codes'!$J$21</definedName>
    <definedName name="EV_EBITDA_CY1" localSheetId="6">'Factset codes'!$L$20</definedName>
    <definedName name="EV_EBITDA_CY2" localSheetId="6">'Factset codes'!$N$20</definedName>
    <definedName name="EV_EBITDA_CY3" localSheetId="6">'Factset codes'!$P$20</definedName>
    <definedName name="EV_EBITDA_CY4" localSheetId="6">'Factset codes'!$R$20</definedName>
    <definedName name="EV_EBITDA_LMT" localSheetId="6">'Factset codes'!$J$20</definedName>
    <definedName name="EV_REVENUE_CY1" localSheetId="6">'Factset codes'!$L$19</definedName>
    <definedName name="EV_REVENUE_CY2" localSheetId="6">'Factset codes'!$N$19</definedName>
    <definedName name="EV_REVENUE_CY3" localSheetId="6">'Factset codes'!$P$19</definedName>
    <definedName name="EV_REVENUE_CY4" localSheetId="6">'Factset codes'!$R$19</definedName>
    <definedName name="EV_REVENUE_LTM" localSheetId="6">'Factset codes'!$J$19</definedName>
    <definedName name="FCF_LTM" localSheetId="6">'Factset codes'!$J$15</definedName>
    <definedName name="GROSS_DEBT_LTM_EBITDA" localSheetId="6">#REF!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"01/29/2016 15:32:18"</definedName>
    <definedName name="IQ_QTD" hidden="1">750000</definedName>
    <definedName name="IQ_TODAY" hidden="1">0</definedName>
    <definedName name="IQ_YTDMONTH" hidden="1">130000</definedName>
    <definedName name="IQRBWSM104" hidden="1">#REF!</definedName>
    <definedName name="IQRDECKM104" hidden="1">#REF!</definedName>
    <definedName name="IQRDSWM104" hidden="1">#REF!</definedName>
    <definedName name="IQRFINLM104" hidden="1">#REF!</definedName>
    <definedName name="IQRGCOM104" hidden="1">#REF!</definedName>
    <definedName name="IQRSHOOM104" hidden="1">#REF!</definedName>
    <definedName name="IQRSKXM104" hidden="1">#REF!</definedName>
    <definedName name="IQRTargetM104" hidden="1">#REF!</definedName>
    <definedName name="IQRTODM104" hidden="1">#REF!</definedName>
    <definedName name="IQRWWWM104" hidden="1">#REF!</definedName>
    <definedName name="P_BV" localSheetId="6">#REF!</definedName>
    <definedName name="PE_CY1" localSheetId="6">'Factset codes'!$L$22</definedName>
    <definedName name="PE_CY2" localSheetId="6">'Factset codes'!$N$22</definedName>
    <definedName name="PE_CY3" localSheetId="6">'Factset codes'!$P$22</definedName>
    <definedName name="PE_CY4" localSheetId="6">'Factset codes'!$R$22</definedName>
    <definedName name="_xlnm.Print_Area" localSheetId="4">'LBO 3'!$A$1:$U$253</definedName>
    <definedName name="_xlnm.Print_Area" localSheetId="5">'LBO 4'!$A$1:$U$275</definedName>
    <definedName name="SALES_LTM" localSheetId="6">'Factset codes'!$J$12</definedName>
  </definedNames>
  <calcPr calcId="191028" iterate="1"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27" l="1"/>
  <c r="C40" i="27"/>
  <c r="C43" i="24"/>
  <c r="C40" i="24"/>
  <c r="L3" i="27"/>
  <c r="L3" i="24"/>
  <c r="U234" i="27"/>
  <c r="T234" i="27"/>
  <c r="S234" i="27"/>
  <c r="R234" i="27"/>
  <c r="Q234" i="27"/>
  <c r="P234" i="27"/>
  <c r="O234" i="27"/>
  <c r="N234" i="27"/>
  <c r="M234" i="27"/>
  <c r="B182" i="27"/>
  <c r="B181" i="27"/>
  <c r="I148" i="27"/>
  <c r="I141" i="27"/>
  <c r="B108" i="27"/>
  <c r="B107" i="27"/>
  <c r="B106" i="27"/>
  <c r="B105" i="27"/>
  <c r="D98" i="27"/>
  <c r="C98" i="27"/>
  <c r="D94" i="27"/>
  <c r="C94" i="27"/>
  <c r="D83" i="27"/>
  <c r="C83" i="27"/>
  <c r="U226" i="24"/>
  <c r="T226" i="24"/>
  <c r="S226" i="24"/>
  <c r="R226" i="24"/>
  <c r="Q226" i="24"/>
  <c r="P226" i="24"/>
  <c r="O226" i="24"/>
  <c r="N226" i="24"/>
  <c r="M226" i="24"/>
  <c r="B174" i="24"/>
  <c r="B173" i="24"/>
  <c r="U112" i="24"/>
  <c r="T112" i="24"/>
  <c r="S112" i="24"/>
  <c r="R112" i="24"/>
  <c r="Q112" i="24"/>
  <c r="P112" i="24"/>
  <c r="O112" i="24"/>
  <c r="N112" i="24"/>
  <c r="M112" i="24"/>
  <c r="B101" i="24"/>
  <c r="B100" i="24"/>
  <c r="B99" i="24"/>
  <c r="B98" i="24"/>
  <c r="U90" i="24"/>
  <c r="T90" i="24"/>
  <c r="S90" i="24"/>
  <c r="R90" i="24"/>
  <c r="Q90" i="24"/>
  <c r="P90" i="24"/>
  <c r="O90" i="24"/>
  <c r="N90" i="24"/>
  <c r="M90" i="24"/>
  <c r="C90" i="24"/>
  <c r="C73" i="24"/>
  <c r="D63" i="27" l="1"/>
  <c r="C61" i="27"/>
  <c r="C64" i="27" s="1"/>
  <c r="D61" i="27" l="1"/>
  <c r="D64" i="27" s="1"/>
  <c r="C29" i="27" l="1"/>
  <c r="G135" i="27" s="1"/>
  <c r="N78" i="27"/>
  <c r="C150" i="27"/>
  <c r="D150" i="27"/>
  <c r="F150" i="27" s="1"/>
  <c r="D144" i="27"/>
  <c r="D87" i="27" s="1"/>
  <c r="C144" i="27"/>
  <c r="C87" i="27" s="1"/>
  <c r="D145" i="27"/>
  <c r="C22" i="27" s="1"/>
  <c r="C145" i="27"/>
  <c r="D143" i="27"/>
  <c r="C143" i="27"/>
  <c r="D137" i="27"/>
  <c r="D84" i="27" s="1"/>
  <c r="C137" i="27"/>
  <c r="C84" i="27" s="1"/>
  <c r="N122" i="27"/>
  <c r="O122" i="27"/>
  <c r="P122" i="27"/>
  <c r="Q122" i="27"/>
  <c r="R122" i="27"/>
  <c r="S122" i="27"/>
  <c r="T122" i="27"/>
  <c r="U122" i="27"/>
  <c r="M122" i="27"/>
  <c r="C122" i="27"/>
  <c r="C76" i="27" s="1"/>
  <c r="D122" i="27"/>
  <c r="L122" i="27" s="1"/>
  <c r="D124" i="27"/>
  <c r="L124" i="27" s="1"/>
  <c r="C124" i="27"/>
  <c r="C119" i="27"/>
  <c r="C118" i="27"/>
  <c r="C93" i="27" s="1"/>
  <c r="D118" i="27"/>
  <c r="D119" i="27"/>
  <c r="C113" i="27"/>
  <c r="D113" i="27"/>
  <c r="C114" i="27"/>
  <c r="D114" i="27"/>
  <c r="C115" i="27"/>
  <c r="D115" i="27"/>
  <c r="D75" i="27" s="1"/>
  <c r="A1" i="27"/>
  <c r="B251" i="27"/>
  <c r="B250" i="27"/>
  <c r="B249" i="27"/>
  <c r="M243" i="27"/>
  <c r="M125" i="27" s="1"/>
  <c r="E149" i="27"/>
  <c r="E141" i="27"/>
  <c r="L127" i="27"/>
  <c r="L125" i="27"/>
  <c r="L123" i="27"/>
  <c r="D50" i="27"/>
  <c r="B44" i="27"/>
  <c r="B43" i="27"/>
  <c r="G42" i="27"/>
  <c r="B42" i="27"/>
  <c r="G41" i="27"/>
  <c r="B41" i="27"/>
  <c r="G40" i="27"/>
  <c r="B40" i="27"/>
  <c r="C23" i="27"/>
  <c r="C21" i="27"/>
  <c r="C20" i="27"/>
  <c r="B14" i="27"/>
  <c r="C3" i="27"/>
  <c r="C111" i="24"/>
  <c r="C86" i="24" s="1"/>
  <c r="D50" i="24"/>
  <c r="C85" i="24"/>
  <c r="D85" i="24"/>
  <c r="C142" i="24"/>
  <c r="D142" i="24"/>
  <c r="C136" i="24"/>
  <c r="C80" i="24" s="1"/>
  <c r="D136" i="24"/>
  <c r="C137" i="24"/>
  <c r="D137" i="24"/>
  <c r="C135" i="24"/>
  <c r="C133" i="24"/>
  <c r="D133" i="24"/>
  <c r="D135" i="24"/>
  <c r="C134" i="24"/>
  <c r="D134" i="24"/>
  <c r="C126" i="24"/>
  <c r="C76" i="24" s="1"/>
  <c r="D126" i="24"/>
  <c r="C129" i="24"/>
  <c r="C77" i="24" s="1"/>
  <c r="D129" i="24"/>
  <c r="D77" i="24" s="1"/>
  <c r="C130" i="24"/>
  <c r="D130" i="24"/>
  <c r="C29" i="24" s="1"/>
  <c r="C128" i="24"/>
  <c r="C91" i="24" s="1"/>
  <c r="D128" i="24"/>
  <c r="D91" i="24" s="1"/>
  <c r="C127" i="24"/>
  <c r="C87" i="24" s="1"/>
  <c r="D127" i="24"/>
  <c r="D87" i="24" s="1"/>
  <c r="C125" i="24"/>
  <c r="D125" i="24"/>
  <c r="C124" i="24"/>
  <c r="D124" i="24"/>
  <c r="C123" i="24"/>
  <c r="D123" i="24"/>
  <c r="C119" i="24"/>
  <c r="C115" i="24"/>
  <c r="C116" i="24"/>
  <c r="C108" i="24"/>
  <c r="C69" i="24" s="1"/>
  <c r="C107" i="24"/>
  <c r="C106" i="24"/>
  <c r="D115" i="24"/>
  <c r="D116" i="24"/>
  <c r="D112" i="24"/>
  <c r="D111" i="24"/>
  <c r="D86" i="24" s="1"/>
  <c r="D72" i="24" s="1"/>
  <c r="D108" i="24"/>
  <c r="D107" i="24"/>
  <c r="D106" i="24"/>
  <c r="N235" i="24"/>
  <c r="N117" i="24" s="1"/>
  <c r="O235" i="24"/>
  <c r="O117" i="24" s="1"/>
  <c r="P235" i="24"/>
  <c r="P117" i="24" s="1"/>
  <c r="Q235" i="24"/>
  <c r="Q117" i="24" s="1"/>
  <c r="R235" i="24"/>
  <c r="R117" i="24" s="1"/>
  <c r="S235" i="24"/>
  <c r="S117" i="24" s="1"/>
  <c r="T235" i="24"/>
  <c r="T117" i="24" s="1"/>
  <c r="U235" i="24"/>
  <c r="U117" i="24" s="1"/>
  <c r="C78" i="27" l="1"/>
  <c r="C81" i="27"/>
  <c r="L119" i="27"/>
  <c r="D80" i="27"/>
  <c r="D97" i="27"/>
  <c r="B211" i="27"/>
  <c r="B208" i="27"/>
  <c r="B205" i="27"/>
  <c r="B146" i="27"/>
  <c r="B170" i="27" s="1"/>
  <c r="B12" i="27"/>
  <c r="B147" i="27"/>
  <c r="B171" i="27" s="1"/>
  <c r="B222" i="27"/>
  <c r="B219" i="27"/>
  <c r="C75" i="27"/>
  <c r="C97" i="27"/>
  <c r="C80" i="27"/>
  <c r="C86" i="27"/>
  <c r="D82" i="27"/>
  <c r="D85" i="27"/>
  <c r="D74" i="27"/>
  <c r="D86" i="27"/>
  <c r="M86" i="27" s="1"/>
  <c r="L118" i="27"/>
  <c r="D93" i="27"/>
  <c r="D79" i="27" s="1"/>
  <c r="B148" i="27"/>
  <c r="B172" i="27" s="1"/>
  <c r="B227" i="27"/>
  <c r="B230" i="27"/>
  <c r="C82" i="27"/>
  <c r="C74" i="27"/>
  <c r="C85" i="27"/>
  <c r="B255" i="27"/>
  <c r="B149" i="27"/>
  <c r="D78" i="27"/>
  <c r="D73" i="27"/>
  <c r="D81" i="27"/>
  <c r="C71" i="24"/>
  <c r="D67" i="24"/>
  <c r="C68" i="24"/>
  <c r="C74" i="24"/>
  <c r="D68" i="24"/>
  <c r="D75" i="24"/>
  <c r="D71" i="24"/>
  <c r="C75" i="24"/>
  <c r="D76" i="24"/>
  <c r="M76" i="24" s="1"/>
  <c r="C79" i="24"/>
  <c r="D69" i="24"/>
  <c r="D90" i="24"/>
  <c r="D73" i="24"/>
  <c r="D78" i="24"/>
  <c r="D80" i="24"/>
  <c r="C78" i="24"/>
  <c r="D74" i="24"/>
  <c r="D79" i="24"/>
  <c r="M79" i="24" s="1"/>
  <c r="M84" i="27"/>
  <c r="M137" i="27" s="1"/>
  <c r="C28" i="27"/>
  <c r="C30" i="27" s="1"/>
  <c r="D151" i="27"/>
  <c r="M87" i="27"/>
  <c r="N87" i="27" s="1"/>
  <c r="O87" i="27" s="1"/>
  <c r="P87" i="27" s="1"/>
  <c r="D76" i="27"/>
  <c r="C151" i="27"/>
  <c r="O78" i="27"/>
  <c r="C35" i="27"/>
  <c r="B13" i="27"/>
  <c r="M79" i="27"/>
  <c r="M80" i="27"/>
  <c r="C116" i="27"/>
  <c r="M75" i="27"/>
  <c r="B252" i="27"/>
  <c r="L115" i="27"/>
  <c r="L113" i="27"/>
  <c r="M113" i="27" s="1"/>
  <c r="B212" i="27"/>
  <c r="L114" i="27"/>
  <c r="M69" i="27"/>
  <c r="M74" i="27" s="1"/>
  <c r="M114" i="27" s="1"/>
  <c r="B11" i="27"/>
  <c r="D139" i="27"/>
  <c r="E131" i="27"/>
  <c r="L246" i="27"/>
  <c r="M3" i="27"/>
  <c r="M85" i="27"/>
  <c r="D116" i="27"/>
  <c r="D126" i="27" s="1"/>
  <c r="D77" i="27" s="1"/>
  <c r="M82" i="27"/>
  <c r="M81" i="27"/>
  <c r="M83" i="27"/>
  <c r="C139" i="27"/>
  <c r="E145" i="27"/>
  <c r="G130" i="24"/>
  <c r="C35" i="24"/>
  <c r="E133" i="24"/>
  <c r="N113" i="27" l="1"/>
  <c r="M191" i="27"/>
  <c r="M132" i="27"/>
  <c r="M105" i="27" s="1"/>
  <c r="M119" i="27"/>
  <c r="M97" i="27"/>
  <c r="N161" i="27"/>
  <c r="M142" i="27"/>
  <c r="M108" i="27" s="1"/>
  <c r="N75" i="27"/>
  <c r="M115" i="27"/>
  <c r="N86" i="27"/>
  <c r="M143" i="27"/>
  <c r="M133" i="27"/>
  <c r="M106" i="27" s="1"/>
  <c r="N76" i="24"/>
  <c r="N126" i="24" s="1"/>
  <c r="N100" i="24" s="1"/>
  <c r="M126" i="24"/>
  <c r="M100" i="24" s="1"/>
  <c r="C153" i="27"/>
  <c r="N84" i="27"/>
  <c r="N137" i="27" s="1"/>
  <c r="M144" i="27"/>
  <c r="O144" i="27"/>
  <c r="O162" i="27" s="1"/>
  <c r="D153" i="27"/>
  <c r="N80" i="27"/>
  <c r="P78" i="27"/>
  <c r="C120" i="27"/>
  <c r="C126" i="27"/>
  <c r="N79" i="27"/>
  <c r="N144" i="27"/>
  <c r="N162" i="27" s="1"/>
  <c r="M70" i="27"/>
  <c r="N69" i="27"/>
  <c r="N74" i="27" s="1"/>
  <c r="N114" i="27" s="1"/>
  <c r="O86" i="27"/>
  <c r="D120" i="27"/>
  <c r="C17" i="27" s="1"/>
  <c r="B254" i="27"/>
  <c r="M134" i="27"/>
  <c r="M107" i="27" s="1"/>
  <c r="N83" i="27"/>
  <c r="L116" i="27"/>
  <c r="L126" i="27" s="1"/>
  <c r="B253" i="27"/>
  <c r="N81" i="27"/>
  <c r="N132" i="27" s="1"/>
  <c r="N105" i="27" s="1"/>
  <c r="N85" i="27"/>
  <c r="M246" i="27"/>
  <c r="M271" i="27" s="1"/>
  <c r="M272" i="27" s="1"/>
  <c r="N3" i="27"/>
  <c r="P144" i="27"/>
  <c r="Q87" i="27"/>
  <c r="N82" i="27"/>
  <c r="N79" i="24"/>
  <c r="D7" i="27"/>
  <c r="D9" i="27"/>
  <c r="G18" i="20"/>
  <c r="D6" i="27"/>
  <c r="D8" i="27"/>
  <c r="G17" i="20"/>
  <c r="N142" i="27" l="1"/>
  <c r="N108" i="27" s="1"/>
  <c r="P162" i="27"/>
  <c r="C128" i="27"/>
  <c r="C77" i="27"/>
  <c r="N191" i="27"/>
  <c r="O113" i="27"/>
  <c r="O76" i="24"/>
  <c r="L136" i="27"/>
  <c r="L98" i="27" s="1"/>
  <c r="M96" i="27" s="1"/>
  <c r="M98" i="27" s="1"/>
  <c r="M136" i="27" s="1"/>
  <c r="U123" i="27"/>
  <c r="U157" i="27" s="1"/>
  <c r="L133" i="27"/>
  <c r="L106" i="27" s="1"/>
  <c r="L142" i="27"/>
  <c r="L108" i="27" s="1"/>
  <c r="L141" i="27"/>
  <c r="L200" i="27" s="1"/>
  <c r="M198" i="27" s="1"/>
  <c r="L148" i="27"/>
  <c r="L230" i="27" s="1"/>
  <c r="M227" i="27" s="1"/>
  <c r="M228" i="27" s="1"/>
  <c r="L136" i="24"/>
  <c r="L145" i="27"/>
  <c r="M145" i="27" s="1"/>
  <c r="M169" i="27" s="1"/>
  <c r="L143" i="27"/>
  <c r="L109" i="27" s="1"/>
  <c r="L144" i="27"/>
  <c r="M162" i="27" s="1"/>
  <c r="L137" i="27"/>
  <c r="M161" i="27" s="1"/>
  <c r="L134" i="27"/>
  <c r="L107" i="27" s="1"/>
  <c r="L135" i="24"/>
  <c r="L102" i="24" s="1"/>
  <c r="L135" i="27"/>
  <c r="L94" i="27" s="1"/>
  <c r="M91" i="27" s="1"/>
  <c r="M93" i="27" s="1"/>
  <c r="M118" i="27" s="1"/>
  <c r="L131" i="27"/>
  <c r="L239" i="27" s="1"/>
  <c r="L132" i="27"/>
  <c r="L105" i="27" s="1"/>
  <c r="N97" i="27"/>
  <c r="N119" i="27"/>
  <c r="N133" i="27"/>
  <c r="N106" i="27" s="1"/>
  <c r="O75" i="27"/>
  <c r="N115" i="27"/>
  <c r="O79" i="27"/>
  <c r="N143" i="27"/>
  <c r="M266" i="27"/>
  <c r="M267" i="27" s="1"/>
  <c r="M259" i="27"/>
  <c r="M260" i="27"/>
  <c r="O84" i="27"/>
  <c r="O137" i="27" s="1"/>
  <c r="M109" i="27"/>
  <c r="M92" i="27"/>
  <c r="M165" i="27" s="1"/>
  <c r="O80" i="27"/>
  <c r="Q78" i="27"/>
  <c r="O69" i="27"/>
  <c r="N70" i="27"/>
  <c r="D128" i="27"/>
  <c r="C55" i="27"/>
  <c r="C42" i="27" s="1"/>
  <c r="I147" i="27" s="1"/>
  <c r="C54" i="27"/>
  <c r="C57" i="27"/>
  <c r="C44" i="27" s="1"/>
  <c r="I149" i="27" s="1"/>
  <c r="O82" i="27"/>
  <c r="P79" i="27"/>
  <c r="O81" i="27"/>
  <c r="O132" i="27" s="1"/>
  <c r="O105" i="27" s="1"/>
  <c r="L128" i="27"/>
  <c r="L120" i="27"/>
  <c r="O85" i="27"/>
  <c r="N134" i="27"/>
  <c r="N107" i="27" s="1"/>
  <c r="O83" i="27"/>
  <c r="Q144" i="27"/>
  <c r="Q162" i="27" s="1"/>
  <c r="R87" i="27"/>
  <c r="P86" i="27"/>
  <c r="N246" i="27"/>
  <c r="N271" i="27" s="1"/>
  <c r="N272" i="27" s="1"/>
  <c r="O3" i="27"/>
  <c r="O79" i="24"/>
  <c r="P76" i="24"/>
  <c r="O126" i="24"/>
  <c r="O100" i="24" s="1"/>
  <c r="O191" i="27" l="1"/>
  <c r="P113" i="27"/>
  <c r="R181" i="27"/>
  <c r="C41" i="27"/>
  <c r="I146" i="27" s="1"/>
  <c r="Q181" i="27"/>
  <c r="P181" i="27"/>
  <c r="O181" i="27"/>
  <c r="T181" i="27"/>
  <c r="N181" i="27"/>
  <c r="U181" i="27"/>
  <c r="S181" i="27"/>
  <c r="M181" i="27"/>
  <c r="N145" i="27"/>
  <c r="N169" i="27" s="1"/>
  <c r="L178" i="27"/>
  <c r="M176" i="27" s="1"/>
  <c r="M185" i="27" s="1"/>
  <c r="M251" i="27"/>
  <c r="N96" i="27"/>
  <c r="N98" i="27" s="1"/>
  <c r="N136" i="27" s="1"/>
  <c r="L110" i="27"/>
  <c r="P75" i="27"/>
  <c r="O115" i="27"/>
  <c r="O97" i="27"/>
  <c r="O119" i="27"/>
  <c r="O161" i="27"/>
  <c r="P84" i="27"/>
  <c r="P137" i="27" s="1"/>
  <c r="P161" i="27" s="1"/>
  <c r="N266" i="27"/>
  <c r="N267" i="27" s="1"/>
  <c r="N259" i="27"/>
  <c r="N260" i="27"/>
  <c r="M77" i="27"/>
  <c r="M116" i="27"/>
  <c r="P80" i="27"/>
  <c r="N92" i="27"/>
  <c r="P69" i="27"/>
  <c r="P74" i="27" s="1"/>
  <c r="P114" i="27" s="1"/>
  <c r="P143" i="27" s="1"/>
  <c r="O74" i="27"/>
  <c r="O114" i="27" s="1"/>
  <c r="O143" i="27" s="1"/>
  <c r="R78" i="27"/>
  <c r="O70" i="27"/>
  <c r="N109" i="27"/>
  <c r="O134" i="27"/>
  <c r="O107" i="27" s="1"/>
  <c r="P83" i="27"/>
  <c r="C12" i="27"/>
  <c r="O246" i="27"/>
  <c r="O271" i="27" s="1"/>
  <c r="O272" i="27" s="1"/>
  <c r="P3" i="27"/>
  <c r="R144" i="27"/>
  <c r="R162" i="27" s="1"/>
  <c r="S87" i="27"/>
  <c r="P85" i="27"/>
  <c r="C19" i="27"/>
  <c r="D40" i="27"/>
  <c r="C13" i="27"/>
  <c r="L262" i="27"/>
  <c r="Q79" i="27"/>
  <c r="M166" i="27"/>
  <c r="M187" i="27" s="1"/>
  <c r="M94" i="27"/>
  <c r="M135" i="27" s="1"/>
  <c r="D56" i="27"/>
  <c r="C11" i="27"/>
  <c r="P82" i="27"/>
  <c r="O92" i="27"/>
  <c r="O165" i="27" s="1"/>
  <c r="Q86" i="27"/>
  <c r="Q84" i="27"/>
  <c r="Q137" i="27" s="1"/>
  <c r="P81" i="27"/>
  <c r="P132" i="27" s="1"/>
  <c r="P105" i="27" s="1"/>
  <c r="P79" i="24"/>
  <c r="Q76" i="24"/>
  <c r="P126" i="24"/>
  <c r="P100" i="24" s="1"/>
  <c r="P191" i="27" l="1"/>
  <c r="Q113" i="27"/>
  <c r="O145" i="27"/>
  <c r="O169" i="27" s="1"/>
  <c r="N251" i="27"/>
  <c r="N165" i="27"/>
  <c r="N166" i="27" s="1"/>
  <c r="N187" i="27" s="1"/>
  <c r="Q161" i="27"/>
  <c r="P97" i="27"/>
  <c r="P119" i="27"/>
  <c r="Q75" i="27"/>
  <c r="P115" i="27"/>
  <c r="P133" i="27"/>
  <c r="P106" i="27" s="1"/>
  <c r="P142" i="27"/>
  <c r="P108" i="27" s="1"/>
  <c r="O133" i="27"/>
  <c r="O106" i="27" s="1"/>
  <c r="R161" i="27"/>
  <c r="O142" i="27"/>
  <c r="O108" i="27" s="1"/>
  <c r="N77" i="27"/>
  <c r="O266" i="27"/>
  <c r="O267" i="27" s="1"/>
  <c r="O259" i="27"/>
  <c r="O260" i="27"/>
  <c r="M110" i="27"/>
  <c r="O96" i="27"/>
  <c r="O98" i="27" s="1"/>
  <c r="O136" i="27" s="1"/>
  <c r="M120" i="27"/>
  <c r="Q69" i="27"/>
  <c r="Q74" i="27" s="1"/>
  <c r="Q114" i="27" s="1"/>
  <c r="Q143" i="27" s="1"/>
  <c r="Q80" i="27"/>
  <c r="P70" i="27"/>
  <c r="S78" i="27"/>
  <c r="C14" i="27"/>
  <c r="G43" i="27" s="1"/>
  <c r="N116" i="27"/>
  <c r="D41" i="27"/>
  <c r="D42" i="27" s="1"/>
  <c r="D43" i="27" s="1"/>
  <c r="D44" i="27" s="1"/>
  <c r="L146" i="27"/>
  <c r="L208" i="27" s="1"/>
  <c r="O166" i="27"/>
  <c r="O187" i="27" s="1"/>
  <c r="N91" i="27"/>
  <c r="N93" i="27" s="1"/>
  <c r="N118" i="27" s="1"/>
  <c r="Q81" i="27"/>
  <c r="Q132" i="27" s="1"/>
  <c r="Q105" i="27" s="1"/>
  <c r="R84" i="27"/>
  <c r="R137" i="27" s="1"/>
  <c r="L147" i="27"/>
  <c r="L222" i="27" s="1"/>
  <c r="R79" i="27"/>
  <c r="Q85" i="27"/>
  <c r="P134" i="27"/>
  <c r="P107" i="27" s="1"/>
  <c r="Q83" i="27"/>
  <c r="P246" i="27"/>
  <c r="Q3" i="27"/>
  <c r="Q82" i="27"/>
  <c r="C24" i="27"/>
  <c r="C36" i="27"/>
  <c r="K150" i="27" s="1"/>
  <c r="R86" i="27"/>
  <c r="L149" i="27"/>
  <c r="L235" i="27" s="1"/>
  <c r="T87" i="27"/>
  <c r="S144" i="27"/>
  <c r="S162" i="27" s="1"/>
  <c r="Q79" i="24"/>
  <c r="R76" i="24"/>
  <c r="Q126" i="24"/>
  <c r="Q100" i="24" s="1"/>
  <c r="M235" i="24"/>
  <c r="M117" i="24" s="1"/>
  <c r="R113" i="27" l="1"/>
  <c r="Q191" i="27"/>
  <c r="P145" i="27"/>
  <c r="P169" i="27" s="1"/>
  <c r="O251" i="27"/>
  <c r="O77" i="27"/>
  <c r="R75" i="27"/>
  <c r="Q115" i="27"/>
  <c r="Q97" i="27"/>
  <c r="Q119" i="27"/>
  <c r="M156" i="27"/>
  <c r="M210" i="27"/>
  <c r="Q142" i="27"/>
  <c r="Q108" i="27" s="1"/>
  <c r="Q133" i="27"/>
  <c r="Q106" i="27" s="1"/>
  <c r="M160" i="27"/>
  <c r="R69" i="27"/>
  <c r="R74" i="27" s="1"/>
  <c r="R114" i="27" s="1"/>
  <c r="R143" i="27" s="1"/>
  <c r="Q70" i="27"/>
  <c r="M247" i="27"/>
  <c r="M248" i="27" s="1"/>
  <c r="P109" i="27"/>
  <c r="P92" i="27"/>
  <c r="P96" i="27"/>
  <c r="P98" i="27" s="1"/>
  <c r="P136" i="27" s="1"/>
  <c r="R80" i="27"/>
  <c r="T78" i="27"/>
  <c r="O116" i="27"/>
  <c r="N110" i="27"/>
  <c r="Q134" i="27"/>
  <c r="Q107" i="27" s="1"/>
  <c r="R83" i="27"/>
  <c r="S86" i="27"/>
  <c r="T144" i="27"/>
  <c r="T162" i="27" s="1"/>
  <c r="U87" i="27"/>
  <c r="U144" i="27" s="1"/>
  <c r="U162" i="27" s="1"/>
  <c r="D46" i="27"/>
  <c r="C34" i="27"/>
  <c r="C37" i="27" s="1"/>
  <c r="C27" i="27"/>
  <c r="C31" i="27" s="1"/>
  <c r="H138" i="27" s="1"/>
  <c r="L138" i="27" s="1"/>
  <c r="M205" i="27"/>
  <c r="R82" i="27"/>
  <c r="R85" i="27"/>
  <c r="S79" i="27"/>
  <c r="N120" i="27"/>
  <c r="N210" i="27" s="1"/>
  <c r="Q246" i="27"/>
  <c r="Q271" i="27" s="1"/>
  <c r="Q272" i="27" s="1"/>
  <c r="R3" i="27"/>
  <c r="R81" i="27"/>
  <c r="R132" i="27" s="1"/>
  <c r="R105" i="27" s="1"/>
  <c r="S84" i="27"/>
  <c r="S137" i="27" s="1"/>
  <c r="O109" i="27"/>
  <c r="R79" i="24"/>
  <c r="S76" i="24"/>
  <c r="R126" i="24"/>
  <c r="R100" i="24" s="1"/>
  <c r="M3" i="24"/>
  <c r="C3" i="24"/>
  <c r="A1" i="24"/>
  <c r="B243" i="24"/>
  <c r="B242" i="24"/>
  <c r="B241" i="24"/>
  <c r="D143" i="24"/>
  <c r="C143" i="24"/>
  <c r="F142" i="24"/>
  <c r="E141" i="24"/>
  <c r="E137" i="24"/>
  <c r="L137" i="24" s="1"/>
  <c r="M137" i="24" s="1"/>
  <c r="L134" i="24"/>
  <c r="L101" i="24" s="1"/>
  <c r="D131" i="24"/>
  <c r="L129" i="24"/>
  <c r="L128" i="24"/>
  <c r="L127" i="24"/>
  <c r="L126" i="24"/>
  <c r="L100" i="24" s="1"/>
  <c r="L125" i="24"/>
  <c r="L99" i="24" s="1"/>
  <c r="L124" i="24"/>
  <c r="E123" i="24"/>
  <c r="L123" i="24" s="1"/>
  <c r="L119" i="24"/>
  <c r="L117" i="24"/>
  <c r="L116" i="24"/>
  <c r="L115" i="24"/>
  <c r="L112" i="24"/>
  <c r="L111" i="24"/>
  <c r="D109" i="24"/>
  <c r="L108" i="24"/>
  <c r="L107" i="24"/>
  <c r="L106" i="24"/>
  <c r="M106" i="24" s="1"/>
  <c r="M80" i="24"/>
  <c r="M78" i="24"/>
  <c r="M77" i="24"/>
  <c r="M129" i="24" s="1"/>
  <c r="M75" i="24"/>
  <c r="M74" i="24"/>
  <c r="M63" i="24"/>
  <c r="M68" i="24"/>
  <c r="B44" i="24"/>
  <c r="B43" i="24"/>
  <c r="G42" i="24"/>
  <c r="B42" i="24"/>
  <c r="G41" i="24"/>
  <c r="B41" i="24"/>
  <c r="G40" i="24"/>
  <c r="I133" i="24"/>
  <c r="B40" i="24"/>
  <c r="C28" i="24"/>
  <c r="C30" i="24" s="1"/>
  <c r="C23" i="24"/>
  <c r="C22" i="24"/>
  <c r="C21" i="24"/>
  <c r="C20" i="24"/>
  <c r="B14" i="24"/>
  <c r="S113" i="27" l="1"/>
  <c r="R191" i="27"/>
  <c r="Q145" i="27"/>
  <c r="Q169" i="27" s="1"/>
  <c r="P251" i="27"/>
  <c r="R97" i="27"/>
  <c r="R119" i="27"/>
  <c r="R133" i="27"/>
  <c r="R106" i="27" s="1"/>
  <c r="R70" i="27"/>
  <c r="R142" i="27"/>
  <c r="R108" i="27" s="1"/>
  <c r="S69" i="27"/>
  <c r="S74" i="27" s="1"/>
  <c r="S114" i="27" s="1"/>
  <c r="S143" i="27" s="1"/>
  <c r="P165" i="27"/>
  <c r="P166" i="27" s="1"/>
  <c r="P187" i="27" s="1"/>
  <c r="N160" i="27"/>
  <c r="S75" i="27"/>
  <c r="R115" i="27"/>
  <c r="S161" i="27"/>
  <c r="P77" i="27"/>
  <c r="B222" i="24"/>
  <c r="B219" i="24"/>
  <c r="B140" i="24"/>
  <c r="B164" i="24" s="1"/>
  <c r="L91" i="24"/>
  <c r="M89" i="24" s="1"/>
  <c r="M91" i="24" s="1"/>
  <c r="B141" i="24"/>
  <c r="B247" i="24" s="1"/>
  <c r="N106" i="24"/>
  <c r="M183" i="24"/>
  <c r="M85" i="24"/>
  <c r="M157" i="24" s="1"/>
  <c r="L231" i="24"/>
  <c r="L170" i="24"/>
  <c r="M168" i="24" s="1"/>
  <c r="M177" i="24" s="1"/>
  <c r="B197" i="24"/>
  <c r="B200" i="24"/>
  <c r="B203" i="24"/>
  <c r="B138" i="24"/>
  <c r="B162" i="24" s="1"/>
  <c r="L98" i="24"/>
  <c r="L103" i="24" s="1"/>
  <c r="N137" i="24"/>
  <c r="N161" i="24" s="1"/>
  <c r="M161" i="24"/>
  <c r="B214" i="24"/>
  <c r="B211" i="24"/>
  <c r="B139" i="24"/>
  <c r="B163" i="24" s="1"/>
  <c r="L87" i="24"/>
  <c r="M84" i="24" s="1"/>
  <c r="N68" i="24"/>
  <c r="M107" i="24"/>
  <c r="M135" i="24" s="1"/>
  <c r="N74" i="24"/>
  <c r="O74" i="24" s="1"/>
  <c r="M124" i="24"/>
  <c r="M98" i="24" s="1"/>
  <c r="N75" i="24"/>
  <c r="O75" i="24" s="1"/>
  <c r="M153" i="24"/>
  <c r="N78" i="24"/>
  <c r="Q261" i="27"/>
  <c r="Q266" i="27"/>
  <c r="Q267" i="27" s="1"/>
  <c r="Q259" i="27"/>
  <c r="Q260" i="27"/>
  <c r="P116" i="27"/>
  <c r="S80" i="27"/>
  <c r="Q96" i="27"/>
  <c r="Q98" i="27" s="1"/>
  <c r="Q136" i="27" s="1"/>
  <c r="Q92" i="27"/>
  <c r="U78" i="27"/>
  <c r="Q109" i="27"/>
  <c r="N94" i="27"/>
  <c r="N135" i="27" s="1"/>
  <c r="O110" i="27"/>
  <c r="S82" i="27"/>
  <c r="S133" i="27" s="1"/>
  <c r="S106" i="27" s="1"/>
  <c r="S81" i="27"/>
  <c r="S132" i="27" s="1"/>
  <c r="S105" i="27" s="1"/>
  <c r="T79" i="27"/>
  <c r="R246" i="27"/>
  <c r="R271" i="27" s="1"/>
  <c r="R272" i="27" s="1"/>
  <c r="S3" i="27"/>
  <c r="T86" i="27"/>
  <c r="T84" i="27"/>
  <c r="T137" i="27" s="1"/>
  <c r="T161" i="27" s="1"/>
  <c r="D58" i="27"/>
  <c r="C58" i="27"/>
  <c r="M219" i="27"/>
  <c r="R134" i="27"/>
  <c r="R107" i="27" s="1"/>
  <c r="S83" i="27"/>
  <c r="M206" i="27"/>
  <c r="M138" i="27"/>
  <c r="N138" i="27" s="1"/>
  <c r="O138" i="27" s="1"/>
  <c r="P138" i="27" s="1"/>
  <c r="Q138" i="27" s="1"/>
  <c r="R138" i="27" s="1"/>
  <c r="S138" i="27" s="1"/>
  <c r="T138" i="27" s="1"/>
  <c r="U138" i="27" s="1"/>
  <c r="L139" i="27"/>
  <c r="S85" i="27"/>
  <c r="M233" i="27"/>
  <c r="M235" i="27" s="1"/>
  <c r="N247" i="27"/>
  <c r="N248" i="27" s="1"/>
  <c r="N156" i="27"/>
  <c r="S70" i="27"/>
  <c r="T69" i="27"/>
  <c r="T74" i="27" s="1"/>
  <c r="O78" i="24"/>
  <c r="N80" i="24"/>
  <c r="N136" i="24" s="1"/>
  <c r="M136" i="24"/>
  <c r="M154" i="24" s="1"/>
  <c r="S79" i="24"/>
  <c r="M64" i="24"/>
  <c r="N63" i="24"/>
  <c r="M69" i="24"/>
  <c r="M108" i="24" s="1"/>
  <c r="N77" i="24"/>
  <c r="N129" i="24" s="1"/>
  <c r="N153" i="24" s="1"/>
  <c r="T76" i="24"/>
  <c r="S126" i="24"/>
  <c r="S100" i="24" s="1"/>
  <c r="B11" i="24"/>
  <c r="B13" i="24"/>
  <c r="N3" i="24"/>
  <c r="M238" i="24"/>
  <c r="M250" i="24" s="1"/>
  <c r="M243" i="24"/>
  <c r="L109" i="24"/>
  <c r="L113" i="24" s="1"/>
  <c r="L238" i="24"/>
  <c r="M72" i="24"/>
  <c r="C131" i="24"/>
  <c r="C145" i="24" s="1"/>
  <c r="D145" i="24"/>
  <c r="C109" i="24"/>
  <c r="B204" i="24"/>
  <c r="D113" i="24"/>
  <c r="C17" i="24" s="1"/>
  <c r="D118" i="24"/>
  <c r="D70" i="24" s="1"/>
  <c r="B12" i="24"/>
  <c r="L133" i="24"/>
  <c r="L192" i="24" s="1"/>
  <c r="C45" i="27" l="1"/>
  <c r="L272" i="27" s="1"/>
  <c r="S191" i="27"/>
  <c r="T113" i="27"/>
  <c r="B246" i="24"/>
  <c r="R145" i="27"/>
  <c r="R169" i="27" s="1"/>
  <c r="Q251" i="27"/>
  <c r="Q77" i="27"/>
  <c r="Q165" i="27"/>
  <c r="Q166" i="27" s="1"/>
  <c r="Q187" i="27" s="1"/>
  <c r="M149" i="27"/>
  <c r="M255" i="27" s="1"/>
  <c r="M237" i="27"/>
  <c r="M261" i="27" s="1"/>
  <c r="M262" i="27" s="1"/>
  <c r="O160" i="27"/>
  <c r="T75" i="27"/>
  <c r="S115" i="27"/>
  <c r="S142" i="27"/>
  <c r="S108" i="27" s="1"/>
  <c r="S119" i="27"/>
  <c r="S97" i="27"/>
  <c r="M125" i="24"/>
  <c r="M99" i="24" s="1"/>
  <c r="M134" i="24"/>
  <c r="M101" i="24" s="1"/>
  <c r="M128" i="24"/>
  <c r="N89" i="24"/>
  <c r="N91" i="24" s="1"/>
  <c r="N128" i="24" s="1"/>
  <c r="N124" i="24"/>
  <c r="N98" i="24" s="1"/>
  <c r="N85" i="24"/>
  <c r="N157" i="24" s="1"/>
  <c r="O106" i="24"/>
  <c r="N183" i="24"/>
  <c r="B244" i="24"/>
  <c r="P78" i="24"/>
  <c r="P75" i="24"/>
  <c r="P74" i="24"/>
  <c r="N72" i="24"/>
  <c r="M86" i="24"/>
  <c r="M111" i="24" s="1"/>
  <c r="O68" i="24"/>
  <c r="N107" i="24"/>
  <c r="N135" i="24" s="1"/>
  <c r="N154" i="24"/>
  <c r="L267" i="27"/>
  <c r="R261" i="27"/>
  <c r="R266" i="27"/>
  <c r="R267" i="27" s="1"/>
  <c r="R259" i="27"/>
  <c r="Q262" i="27"/>
  <c r="R260" i="27"/>
  <c r="P110" i="27"/>
  <c r="R96" i="27"/>
  <c r="R98" i="27" s="1"/>
  <c r="R136" i="27" s="1"/>
  <c r="R92" i="27"/>
  <c r="T80" i="27"/>
  <c r="Q116" i="27"/>
  <c r="O91" i="27"/>
  <c r="O93" i="27" s="1"/>
  <c r="O118" i="27" s="1"/>
  <c r="M220" i="27"/>
  <c r="M195" i="27" s="1"/>
  <c r="U79" i="27"/>
  <c r="J150" i="27"/>
  <c r="L150" i="27" s="1"/>
  <c r="L103" i="27" s="1"/>
  <c r="C46" i="27"/>
  <c r="E45" i="27" s="1"/>
  <c r="T70" i="27"/>
  <c r="U69" i="27"/>
  <c r="U74" i="27" s="1"/>
  <c r="S246" i="27"/>
  <c r="S271" i="27" s="1"/>
  <c r="S272" i="27" s="1"/>
  <c r="T3" i="27"/>
  <c r="T85" i="27"/>
  <c r="T81" i="27"/>
  <c r="T82" i="27"/>
  <c r="S134" i="27"/>
  <c r="S107" i="27" s="1"/>
  <c r="T83" i="27"/>
  <c r="U84" i="27"/>
  <c r="U137" i="27" s="1"/>
  <c r="U161" i="27" s="1"/>
  <c r="N233" i="27"/>
  <c r="U86" i="27"/>
  <c r="T79" i="24"/>
  <c r="O80" i="24"/>
  <c r="O77" i="24"/>
  <c r="O129" i="24" s="1"/>
  <c r="O153" i="24" s="1"/>
  <c r="N69" i="24"/>
  <c r="N108" i="24" s="1"/>
  <c r="N64" i="24"/>
  <c r="O63" i="24"/>
  <c r="U76" i="24"/>
  <c r="U126" i="24" s="1"/>
  <c r="U100" i="24" s="1"/>
  <c r="T126" i="24"/>
  <c r="T100" i="24" s="1"/>
  <c r="O3" i="24"/>
  <c r="N238" i="24"/>
  <c r="N250" i="24" s="1"/>
  <c r="O137" i="24"/>
  <c r="O161" i="24" s="1"/>
  <c r="N243" i="24"/>
  <c r="L118" i="24"/>
  <c r="L120" i="24" s="1"/>
  <c r="M102" i="24"/>
  <c r="C113" i="24"/>
  <c r="C118" i="24"/>
  <c r="C70" i="24" s="1"/>
  <c r="C57" i="24"/>
  <c r="C44" i="24" s="1"/>
  <c r="C54" i="24"/>
  <c r="C41" i="24" s="1"/>
  <c r="C55" i="24"/>
  <c r="C42" i="24" s="1"/>
  <c r="M190" i="24"/>
  <c r="B245" i="24"/>
  <c r="D120" i="24"/>
  <c r="U113" i="27" l="1"/>
  <c r="U191" i="27" s="1"/>
  <c r="T191" i="27"/>
  <c r="U114" i="27"/>
  <c r="T132" i="27"/>
  <c r="T105" i="27" s="1"/>
  <c r="U143" i="27"/>
  <c r="T114" i="27"/>
  <c r="T143" i="27" s="1"/>
  <c r="S145" i="27"/>
  <c r="S169" i="27" s="1"/>
  <c r="R251" i="27"/>
  <c r="R77" i="27"/>
  <c r="P160" i="27"/>
  <c r="T97" i="27"/>
  <c r="T119" i="27"/>
  <c r="U75" i="27"/>
  <c r="U115" i="27" s="1"/>
  <c r="T115" i="27"/>
  <c r="R165" i="27"/>
  <c r="R166" i="27" s="1"/>
  <c r="R187" i="27" s="1"/>
  <c r="O89" i="24"/>
  <c r="O91" i="24" s="1"/>
  <c r="O128" i="24" s="1"/>
  <c r="N125" i="24"/>
  <c r="N99" i="24" s="1"/>
  <c r="I141" i="24"/>
  <c r="L141" i="24" s="1"/>
  <c r="L227" i="24" s="1"/>
  <c r="M225" i="24" s="1"/>
  <c r="M227" i="24" s="1"/>
  <c r="M229" i="24" s="1"/>
  <c r="O85" i="24"/>
  <c r="O157" i="24" s="1"/>
  <c r="P106" i="24"/>
  <c r="O183" i="24"/>
  <c r="O124" i="24"/>
  <c r="O98" i="24" s="1"/>
  <c r="P173" i="24"/>
  <c r="O173" i="24"/>
  <c r="N173" i="24"/>
  <c r="Q173" i="24"/>
  <c r="U173" i="24"/>
  <c r="M173" i="24"/>
  <c r="T173" i="24"/>
  <c r="R173" i="24"/>
  <c r="S173" i="24"/>
  <c r="Q74" i="24"/>
  <c r="P68" i="24"/>
  <c r="O107" i="24"/>
  <c r="Q75" i="24"/>
  <c r="O72" i="24"/>
  <c r="N134" i="24"/>
  <c r="N101" i="24" s="1"/>
  <c r="Q78" i="24"/>
  <c r="S261" i="27"/>
  <c r="S266" i="27"/>
  <c r="S267" i="27" s="1"/>
  <c r="S259" i="27"/>
  <c r="R262" i="27"/>
  <c r="N243" i="27"/>
  <c r="N125" i="27" s="1"/>
  <c r="S260" i="27"/>
  <c r="U80" i="27"/>
  <c r="S92" i="27"/>
  <c r="S96" i="27"/>
  <c r="S98" i="27" s="1"/>
  <c r="S136" i="27" s="1"/>
  <c r="Q110" i="27"/>
  <c r="Q160" i="27" s="1"/>
  <c r="O120" i="27"/>
  <c r="O94" i="27"/>
  <c r="O135" i="27" s="1"/>
  <c r="T134" i="27"/>
  <c r="T107" i="27" s="1"/>
  <c r="U83" i="27"/>
  <c r="U134" i="27" s="1"/>
  <c r="U107" i="27" s="1"/>
  <c r="T246" i="27"/>
  <c r="T271" i="27" s="1"/>
  <c r="T272" i="27" s="1"/>
  <c r="U3" i="27"/>
  <c r="U246" i="27" s="1"/>
  <c r="U271" i="27" s="1"/>
  <c r="U272" i="27" s="1"/>
  <c r="E43" i="27"/>
  <c r="E40" i="27"/>
  <c r="E44" i="27"/>
  <c r="E41" i="27"/>
  <c r="E42" i="27"/>
  <c r="U81" i="27"/>
  <c r="U132" i="27" s="1"/>
  <c r="U105" i="27" s="1"/>
  <c r="M100" i="27"/>
  <c r="L151" i="27"/>
  <c r="L153" i="27" s="1"/>
  <c r="R109" i="27"/>
  <c r="U85" i="27"/>
  <c r="U142" i="27" s="1"/>
  <c r="U108" i="27" s="1"/>
  <c r="U70" i="27"/>
  <c r="U82" i="27"/>
  <c r="U133" i="27" s="1"/>
  <c r="U106" i="27" s="1"/>
  <c r="R116" i="27"/>
  <c r="P80" i="24"/>
  <c r="O136" i="24"/>
  <c r="O154" i="24" s="1"/>
  <c r="U79" i="24"/>
  <c r="O69" i="24"/>
  <c r="O108" i="24" s="1"/>
  <c r="O64" i="24"/>
  <c r="P63" i="24"/>
  <c r="P77" i="24"/>
  <c r="P129" i="24" s="1"/>
  <c r="M109" i="24"/>
  <c r="P3" i="24"/>
  <c r="O238" i="24"/>
  <c r="P137" i="24"/>
  <c r="P161" i="24" s="1"/>
  <c r="O243" i="24"/>
  <c r="C13" i="24"/>
  <c r="N158" i="24"/>
  <c r="N179" i="24" s="1"/>
  <c r="M103" i="24"/>
  <c r="M87" i="24"/>
  <c r="M127" i="24" s="1"/>
  <c r="M158" i="24"/>
  <c r="M179" i="24" s="1"/>
  <c r="I139" i="24"/>
  <c r="C12" i="24"/>
  <c r="C19" i="24"/>
  <c r="D40" i="24"/>
  <c r="D56" i="24"/>
  <c r="C11" i="24"/>
  <c r="I138" i="24"/>
  <c r="C120" i="24"/>
  <c r="T142" i="27" l="1"/>
  <c r="T108" i="27" s="1"/>
  <c r="T133" i="27"/>
  <c r="T106" i="27" s="1"/>
  <c r="T145" i="27"/>
  <c r="T169" i="27" s="1"/>
  <c r="S251" i="27"/>
  <c r="S77" i="27"/>
  <c r="U97" i="27"/>
  <c r="U119" i="27"/>
  <c r="S166" i="27"/>
  <c r="S187" i="27" s="1"/>
  <c r="S165" i="27"/>
  <c r="O247" i="27"/>
  <c r="O248" i="27" s="1"/>
  <c r="O210" i="27"/>
  <c r="R160" i="27"/>
  <c r="P89" i="24"/>
  <c r="P91" i="24" s="1"/>
  <c r="P128" i="24" s="1"/>
  <c r="P183" i="24"/>
  <c r="P85" i="24"/>
  <c r="P157" i="24" s="1"/>
  <c r="Q106" i="24"/>
  <c r="Q124" i="24" s="1"/>
  <c r="Q98" i="24" s="1"/>
  <c r="I140" i="24"/>
  <c r="L140" i="24" s="1"/>
  <c r="L222" i="24" s="1"/>
  <c r="M219" i="24" s="1"/>
  <c r="M220" i="24" s="1"/>
  <c r="P124" i="24"/>
  <c r="P98" i="24" s="1"/>
  <c r="P72" i="24"/>
  <c r="R75" i="24"/>
  <c r="O135" i="24"/>
  <c r="O102" i="24" s="1"/>
  <c r="O125" i="24"/>
  <c r="O99" i="24" s="1"/>
  <c r="O134" i="24"/>
  <c r="O101" i="24" s="1"/>
  <c r="R78" i="24"/>
  <c r="Q68" i="24"/>
  <c r="P107" i="24"/>
  <c r="M152" i="24"/>
  <c r="M141" i="24"/>
  <c r="M247" i="24" s="1"/>
  <c r="P153" i="24"/>
  <c r="R74" i="24"/>
  <c r="T261" i="27"/>
  <c r="T259" i="27"/>
  <c r="T266" i="27"/>
  <c r="T267" i="27" s="1"/>
  <c r="U261" i="27"/>
  <c r="U259" i="27"/>
  <c r="U266" i="27"/>
  <c r="U267" i="27" s="1"/>
  <c r="S262" i="27"/>
  <c r="N235" i="27"/>
  <c r="T260" i="27"/>
  <c r="U260" i="27"/>
  <c r="S109" i="27"/>
  <c r="S116" i="27"/>
  <c r="T92" i="27"/>
  <c r="T96" i="27"/>
  <c r="T98" i="27" s="1"/>
  <c r="T136" i="27" s="1"/>
  <c r="P91" i="27"/>
  <c r="O156" i="27"/>
  <c r="T109" i="27"/>
  <c r="E46" i="27"/>
  <c r="R110" i="27"/>
  <c r="N102" i="24"/>
  <c r="N103" i="24" s="1"/>
  <c r="Q80" i="24"/>
  <c r="P136" i="24"/>
  <c r="P154" i="24" s="1"/>
  <c r="Q77" i="24"/>
  <c r="Q129" i="24" s="1"/>
  <c r="Q63" i="24"/>
  <c r="P64" i="24"/>
  <c r="P69" i="24"/>
  <c r="P108" i="24" s="1"/>
  <c r="Q3" i="24"/>
  <c r="P238" i="24"/>
  <c r="Q137" i="24"/>
  <c r="Q161" i="24" s="1"/>
  <c r="P243" i="24"/>
  <c r="C14" i="24"/>
  <c r="G43" i="24" s="1"/>
  <c r="O158" i="24"/>
  <c r="O179" i="24" s="1"/>
  <c r="N84" i="24"/>
  <c r="N86" i="24" s="1"/>
  <c r="N111" i="24" s="1"/>
  <c r="N109" i="24"/>
  <c r="N225" i="24"/>
  <c r="N227" i="24" s="1"/>
  <c r="L139" i="24"/>
  <c r="L214" i="24" s="1"/>
  <c r="D41" i="24"/>
  <c r="D42" i="24" s="1"/>
  <c r="D43" i="24" s="1"/>
  <c r="D44" i="24" s="1"/>
  <c r="L138" i="24"/>
  <c r="L200" i="24" s="1"/>
  <c r="C24" i="24"/>
  <c r="C36" i="24"/>
  <c r="K142" i="24" s="1"/>
  <c r="U145" i="27" l="1"/>
  <c r="U169" i="27" s="1"/>
  <c r="T251" i="27"/>
  <c r="T77" i="27"/>
  <c r="T165" i="27"/>
  <c r="T166" i="27" s="1"/>
  <c r="T187" i="27" s="1"/>
  <c r="U262" i="27"/>
  <c r="N149" i="27"/>
  <c r="N255" i="27" s="1"/>
  <c r="N237" i="27"/>
  <c r="N261" i="27" s="1"/>
  <c r="N262" i="27" s="1"/>
  <c r="P93" i="27"/>
  <c r="P118" i="27" s="1"/>
  <c r="P120" i="27" s="1"/>
  <c r="Q89" i="24"/>
  <c r="Q91" i="24" s="1"/>
  <c r="Q128" i="24" s="1"/>
  <c r="R106" i="24"/>
  <c r="R124" i="24" s="1"/>
  <c r="R98" i="24" s="1"/>
  <c r="Q183" i="24"/>
  <c r="Q85" i="24"/>
  <c r="Q157" i="24" s="1"/>
  <c r="N152" i="24"/>
  <c r="S74" i="24"/>
  <c r="P135" i="24"/>
  <c r="P102" i="24" s="1"/>
  <c r="P125" i="24"/>
  <c r="P99" i="24" s="1"/>
  <c r="P134" i="24"/>
  <c r="P101" i="24" s="1"/>
  <c r="N141" i="24"/>
  <c r="N247" i="24" s="1"/>
  <c r="S75" i="24"/>
  <c r="Q153" i="24"/>
  <c r="N229" i="24"/>
  <c r="R68" i="24"/>
  <c r="Q107" i="24"/>
  <c r="S78" i="24"/>
  <c r="Q72" i="24"/>
  <c r="O233" i="27"/>
  <c r="T262" i="27"/>
  <c r="S110" i="27"/>
  <c r="U92" i="27"/>
  <c r="U96" i="27"/>
  <c r="U98" i="27" s="1"/>
  <c r="U136" i="27" s="1"/>
  <c r="T116" i="27"/>
  <c r="R80" i="24"/>
  <c r="Q136" i="24"/>
  <c r="Q154" i="24" s="1"/>
  <c r="Q64" i="24"/>
  <c r="R63" i="24"/>
  <c r="Q69" i="24"/>
  <c r="Q108" i="24" s="1"/>
  <c r="R77" i="24"/>
  <c r="R129" i="24" s="1"/>
  <c r="R153" i="24" s="1"/>
  <c r="R3" i="24"/>
  <c r="Q238" i="24"/>
  <c r="Q250" i="24" s="1"/>
  <c r="R137" i="24"/>
  <c r="R161" i="24" s="1"/>
  <c r="Q243" i="24"/>
  <c r="P158" i="24"/>
  <c r="P179" i="24" s="1"/>
  <c r="O103" i="24"/>
  <c r="O225" i="24"/>
  <c r="O227" i="24" s="1"/>
  <c r="O229" i="24" s="1"/>
  <c r="O109" i="24"/>
  <c r="M197" i="24"/>
  <c r="C34" i="24"/>
  <c r="C37" i="24" s="1"/>
  <c r="C27" i="24"/>
  <c r="U251" i="27" l="1"/>
  <c r="P94" i="27"/>
  <c r="P135" i="27" s="1"/>
  <c r="P210" i="27"/>
  <c r="P247" i="27"/>
  <c r="P248" i="27" s="1"/>
  <c r="P156" i="27"/>
  <c r="T160" i="27"/>
  <c r="U77" i="27"/>
  <c r="S160" i="27"/>
  <c r="U165" i="27"/>
  <c r="U166" i="27" s="1"/>
  <c r="U187" i="27" s="1"/>
  <c r="R89" i="24"/>
  <c r="R91" i="24" s="1"/>
  <c r="R128" i="24" s="1"/>
  <c r="R183" i="24"/>
  <c r="S106" i="24"/>
  <c r="S124" i="24" s="1"/>
  <c r="S98" i="24" s="1"/>
  <c r="R85" i="24"/>
  <c r="R157" i="24" s="1"/>
  <c r="S68" i="24"/>
  <c r="R107" i="24"/>
  <c r="T74" i="24"/>
  <c r="R72" i="24"/>
  <c r="T75" i="24"/>
  <c r="O141" i="24"/>
  <c r="O247" i="24" s="1"/>
  <c r="T78" i="24"/>
  <c r="Q135" i="24"/>
  <c r="Q102" i="24" s="1"/>
  <c r="Q134" i="24"/>
  <c r="Q101" i="24" s="1"/>
  <c r="Q125" i="24"/>
  <c r="Q99" i="24" s="1"/>
  <c r="O152" i="24"/>
  <c r="O243" i="27"/>
  <c r="O125" i="27" s="1"/>
  <c r="T110" i="27"/>
  <c r="U109" i="27"/>
  <c r="U116" i="27"/>
  <c r="S80" i="24"/>
  <c r="R136" i="24"/>
  <c r="R154" i="24" s="1"/>
  <c r="S77" i="24"/>
  <c r="S129" i="24" s="1"/>
  <c r="S153" i="24" s="1"/>
  <c r="R64" i="24"/>
  <c r="R69" i="24"/>
  <c r="R108" i="24" s="1"/>
  <c r="S63" i="24"/>
  <c r="C31" i="24"/>
  <c r="H130" i="24" s="1"/>
  <c r="L130" i="24" s="1"/>
  <c r="M130" i="24" s="1"/>
  <c r="S3" i="24"/>
  <c r="R238" i="24"/>
  <c r="R250" i="24" s="1"/>
  <c r="P109" i="24"/>
  <c r="S137" i="24"/>
  <c r="S161" i="24" s="1"/>
  <c r="R243" i="24"/>
  <c r="M211" i="24"/>
  <c r="M198" i="24"/>
  <c r="Q158" i="24"/>
  <c r="Q179" i="24" s="1"/>
  <c r="P103" i="24"/>
  <c r="P152" i="24" s="1"/>
  <c r="N87" i="24"/>
  <c r="N127" i="24" s="1"/>
  <c r="P225" i="24"/>
  <c r="P227" i="24" s="1"/>
  <c r="D58" i="24"/>
  <c r="C58" i="24"/>
  <c r="C45" i="24" s="1"/>
  <c r="D46" i="24"/>
  <c r="Q91" i="27" l="1"/>
  <c r="Q93" i="27" s="1"/>
  <c r="Q118" i="27" s="1"/>
  <c r="Q120" i="27" s="1"/>
  <c r="Q210" i="27" s="1"/>
  <c r="S89" i="24"/>
  <c r="S91" i="24" s="1"/>
  <c r="S128" i="24" s="1"/>
  <c r="T106" i="24"/>
  <c r="T124" i="24" s="1"/>
  <c r="T98" i="24" s="1"/>
  <c r="S85" i="24"/>
  <c r="S157" i="24" s="1"/>
  <c r="S183" i="24"/>
  <c r="S72" i="24"/>
  <c r="U78" i="24"/>
  <c r="U74" i="24"/>
  <c r="P141" i="24"/>
  <c r="P247" i="24" s="1"/>
  <c r="P229" i="24"/>
  <c r="R135" i="24"/>
  <c r="R102" i="24" s="1"/>
  <c r="R134" i="24"/>
  <c r="R101" i="24" s="1"/>
  <c r="R125" i="24"/>
  <c r="R99" i="24" s="1"/>
  <c r="U75" i="24"/>
  <c r="T68" i="24"/>
  <c r="S107" i="24"/>
  <c r="O235" i="27"/>
  <c r="U110" i="27"/>
  <c r="U160" i="27" s="1"/>
  <c r="N130" i="24"/>
  <c r="O130" i="24" s="1"/>
  <c r="P130" i="24" s="1"/>
  <c r="Q130" i="24" s="1"/>
  <c r="R130" i="24" s="1"/>
  <c r="S130" i="24" s="1"/>
  <c r="T130" i="24" s="1"/>
  <c r="U130" i="24" s="1"/>
  <c r="T80" i="24"/>
  <c r="S136" i="24"/>
  <c r="S154" i="24" s="1"/>
  <c r="T77" i="24"/>
  <c r="T129" i="24" s="1"/>
  <c r="S64" i="24"/>
  <c r="S69" i="24"/>
  <c r="S108" i="24" s="1"/>
  <c r="T63" i="24"/>
  <c r="C46" i="24"/>
  <c r="E44" i="24" s="1"/>
  <c r="Q109" i="24"/>
  <c r="S238" i="24"/>
  <c r="S250" i="24" s="1"/>
  <c r="T3" i="24"/>
  <c r="S243" i="24"/>
  <c r="T137" i="24"/>
  <c r="T161" i="24" s="1"/>
  <c r="Q225" i="24"/>
  <c r="Q227" i="24" s="1"/>
  <c r="R158" i="24"/>
  <c r="R179" i="24" s="1"/>
  <c r="M212" i="24"/>
  <c r="M187" i="24" s="1"/>
  <c r="Q103" i="24"/>
  <c r="Q152" i="24" s="1"/>
  <c r="O84" i="24"/>
  <c r="O86" i="24" s="1"/>
  <c r="O111" i="24" s="1"/>
  <c r="O149" i="27" l="1"/>
  <c r="O255" i="27" s="1"/>
  <c r="O237" i="27"/>
  <c r="O261" i="27" s="1"/>
  <c r="O262" i="27" s="1"/>
  <c r="T89" i="24"/>
  <c r="T91" i="24" s="1"/>
  <c r="T128" i="24" s="1"/>
  <c r="U106" i="24"/>
  <c r="T85" i="24"/>
  <c r="T157" i="24" s="1"/>
  <c r="T183" i="24"/>
  <c r="Q141" i="24"/>
  <c r="Q247" i="24" s="1"/>
  <c r="S135" i="24"/>
  <c r="S102" i="24" s="1"/>
  <c r="S125" i="24"/>
  <c r="S99" i="24" s="1"/>
  <c r="S134" i="24"/>
  <c r="S101" i="24" s="1"/>
  <c r="T72" i="24"/>
  <c r="U68" i="24"/>
  <c r="T107" i="24"/>
  <c r="Q229" i="24"/>
  <c r="T153" i="24"/>
  <c r="P233" i="27"/>
  <c r="Q156" i="27"/>
  <c r="Q247" i="27"/>
  <c r="Q248" i="27" s="1"/>
  <c r="Q94" i="27"/>
  <c r="Q135" i="27" s="1"/>
  <c r="L250" i="24"/>
  <c r="U80" i="24"/>
  <c r="U136" i="24" s="1"/>
  <c r="T136" i="24"/>
  <c r="T154" i="24" s="1"/>
  <c r="T64" i="24"/>
  <c r="T69" i="24"/>
  <c r="T108" i="24" s="1"/>
  <c r="U63" i="24"/>
  <c r="U77" i="24"/>
  <c r="U129" i="24" s="1"/>
  <c r="U153" i="24" s="1"/>
  <c r="E41" i="24"/>
  <c r="E40" i="24"/>
  <c r="E43" i="24"/>
  <c r="E42" i="24"/>
  <c r="E45" i="24"/>
  <c r="J142" i="24"/>
  <c r="L142" i="24" s="1"/>
  <c r="R109" i="24"/>
  <c r="U3" i="24"/>
  <c r="U238" i="24" s="1"/>
  <c r="U250" i="24" s="1"/>
  <c r="T238" i="24"/>
  <c r="T250" i="24" s="1"/>
  <c r="T243" i="24"/>
  <c r="U137" i="24"/>
  <c r="U161" i="24" s="1"/>
  <c r="N113" i="24"/>
  <c r="N202" i="24" s="1"/>
  <c r="M113" i="24"/>
  <c r="M202" i="24" s="1"/>
  <c r="R225" i="24"/>
  <c r="R227" i="24" s="1"/>
  <c r="S158" i="24"/>
  <c r="S179" i="24" s="1"/>
  <c r="R103" i="24"/>
  <c r="L131" i="24"/>
  <c r="U89" i="24" l="1"/>
  <c r="U91" i="24" s="1"/>
  <c r="U128" i="24" s="1"/>
  <c r="U107" i="24"/>
  <c r="U135" i="24" s="1"/>
  <c r="U154" i="24"/>
  <c r="U85" i="24"/>
  <c r="U157" i="24" s="1"/>
  <c r="U183" i="24"/>
  <c r="U124" i="24"/>
  <c r="U98" i="24" s="1"/>
  <c r="U72" i="24"/>
  <c r="R141" i="24"/>
  <c r="R247" i="24" s="1"/>
  <c r="T135" i="24"/>
  <c r="T102" i="24" s="1"/>
  <c r="T134" i="24"/>
  <c r="T101" i="24" s="1"/>
  <c r="T125" i="24"/>
  <c r="T99" i="24" s="1"/>
  <c r="L96" i="24"/>
  <c r="M93" i="24" s="1"/>
  <c r="R152" i="24"/>
  <c r="R229" i="24"/>
  <c r="P243" i="27"/>
  <c r="P125" i="27" s="1"/>
  <c r="R91" i="27"/>
  <c r="R93" i="27" s="1"/>
  <c r="R118" i="27" s="1"/>
  <c r="E46" i="24"/>
  <c r="U69" i="24"/>
  <c r="U108" i="24" s="1"/>
  <c r="U64" i="24"/>
  <c r="S109" i="24"/>
  <c r="O113" i="24"/>
  <c r="L143" i="24"/>
  <c r="L145" i="24" s="1"/>
  <c r="M148" i="24"/>
  <c r="M239" i="24"/>
  <c r="M240" i="24" s="1"/>
  <c r="U243" i="24"/>
  <c r="N239" i="24"/>
  <c r="N240" i="24" s="1"/>
  <c r="N148" i="24"/>
  <c r="S103" i="24"/>
  <c r="S152" i="24" s="1"/>
  <c r="O87" i="24"/>
  <c r="O127" i="24" s="1"/>
  <c r="S225" i="24"/>
  <c r="S227" i="24" s="1"/>
  <c r="T158" i="24"/>
  <c r="T179" i="24" s="1"/>
  <c r="U125" i="24" l="1"/>
  <c r="U99" i="24" s="1"/>
  <c r="U134" i="24"/>
  <c r="U101" i="24" s="1"/>
  <c r="S141" i="24"/>
  <c r="S247" i="24" s="1"/>
  <c r="O148" i="24"/>
  <c r="O202" i="24"/>
  <c r="S229" i="24"/>
  <c r="P235" i="27"/>
  <c r="R120" i="27"/>
  <c r="R210" i="27" s="1"/>
  <c r="O239" i="24"/>
  <c r="O240" i="24" s="1"/>
  <c r="T225" i="24"/>
  <c r="T227" i="24" s="1"/>
  <c r="T103" i="24"/>
  <c r="T152" i="24" s="1"/>
  <c r="U102" i="24"/>
  <c r="U158" i="24"/>
  <c r="U179" i="24" s="1"/>
  <c r="T109" i="24"/>
  <c r="P84" i="24"/>
  <c r="P86" i="24" s="1"/>
  <c r="P111" i="24" s="1"/>
  <c r="P149" i="27" l="1"/>
  <c r="P255" i="27" s="1"/>
  <c r="P260" i="27" s="1"/>
  <c r="P237" i="27"/>
  <c r="P261" i="27" s="1"/>
  <c r="T141" i="24"/>
  <c r="T247" i="24" s="1"/>
  <c r="T229" i="24"/>
  <c r="Q233" i="27"/>
  <c r="R94" i="27"/>
  <c r="R135" i="27" s="1"/>
  <c r="R156" i="27"/>
  <c r="R247" i="27"/>
  <c r="R248" i="27" s="1"/>
  <c r="U109" i="24"/>
  <c r="P113" i="24"/>
  <c r="P202" i="24" s="1"/>
  <c r="U225" i="24"/>
  <c r="U227" i="24" s="1"/>
  <c r="U103" i="24"/>
  <c r="U152" i="24" s="1"/>
  <c r="U141" i="24" l="1"/>
  <c r="U247" i="24" s="1"/>
  <c r="U229" i="24"/>
  <c r="Q243" i="27"/>
  <c r="Q125" i="27" s="1"/>
  <c r="S91" i="27"/>
  <c r="P87" i="24"/>
  <c r="P148" i="24"/>
  <c r="P239" i="24"/>
  <c r="P240" i="24" s="1"/>
  <c r="S93" i="27" l="1"/>
  <c r="S118" i="27" s="1"/>
  <c r="S120" i="27" s="1"/>
  <c r="Q84" i="24"/>
  <c r="Q86" i="24" s="1"/>
  <c r="Q111" i="24" s="1"/>
  <c r="Q113" i="24" s="1"/>
  <c r="Q202" i="24" s="1"/>
  <c r="P127" i="24"/>
  <c r="Q235" i="27"/>
  <c r="S94" i="27" l="1"/>
  <c r="T91" i="27" s="1"/>
  <c r="T93" i="27" s="1"/>
  <c r="T118" i="27" s="1"/>
  <c r="T120" i="27" s="1"/>
  <c r="T210" i="27" s="1"/>
  <c r="S210" i="27"/>
  <c r="S247" i="27"/>
  <c r="S248" i="27" s="1"/>
  <c r="S156" i="27"/>
  <c r="Q149" i="27"/>
  <c r="Q255" i="27" s="1"/>
  <c r="Q237" i="27"/>
  <c r="R233" i="27"/>
  <c r="Q87" i="24"/>
  <c r="Q127" i="24" s="1"/>
  <c r="Q239" i="24"/>
  <c r="Q240" i="24" s="1"/>
  <c r="Q148" i="24"/>
  <c r="S135" i="27" l="1"/>
  <c r="R243" i="27"/>
  <c r="R125" i="27" s="1"/>
  <c r="T247" i="27"/>
  <c r="T248" i="27" s="1"/>
  <c r="T156" i="27"/>
  <c r="T94" i="27"/>
  <c r="T135" i="27" s="1"/>
  <c r="R84" i="24"/>
  <c r="R86" i="24" s="1"/>
  <c r="R111" i="24" s="1"/>
  <c r="R235" i="27" l="1"/>
  <c r="U91" i="27"/>
  <c r="U93" i="27" s="1"/>
  <c r="U118" i="27" s="1"/>
  <c r="R113" i="24"/>
  <c r="R202" i="24" s="1"/>
  <c r="R149" i="27" l="1"/>
  <c r="R255" i="27" s="1"/>
  <c r="R237" i="27"/>
  <c r="S233" i="27"/>
  <c r="U120" i="27"/>
  <c r="U210" i="27" s="1"/>
  <c r="R87" i="24"/>
  <c r="R127" i="24" s="1"/>
  <c r="R148" i="24"/>
  <c r="R239" i="24"/>
  <c r="R240" i="24" s="1"/>
  <c r="S243" i="27" l="1"/>
  <c r="S125" i="27" s="1"/>
  <c r="U94" i="27"/>
  <c r="U135" i="27" s="1"/>
  <c r="U247" i="27"/>
  <c r="U248" i="27" s="1"/>
  <c r="U156" i="27"/>
  <c r="S84" i="24"/>
  <c r="S86" i="24" s="1"/>
  <c r="S111" i="24" s="1"/>
  <c r="S235" i="27" l="1"/>
  <c r="S113" i="24"/>
  <c r="S202" i="24" s="1"/>
  <c r="S149" i="27" l="1"/>
  <c r="S255" i="27" s="1"/>
  <c r="S237" i="27"/>
  <c r="T233" i="27"/>
  <c r="S87" i="24"/>
  <c r="S127" i="24" s="1"/>
  <c r="S148" i="24"/>
  <c r="S239" i="24"/>
  <c r="S240" i="24" s="1"/>
  <c r="T243" i="27" l="1"/>
  <c r="T125" i="27" s="1"/>
  <c r="T84" i="24"/>
  <c r="T86" i="24" l="1"/>
  <c r="T111" i="24" s="1"/>
  <c r="T113" i="24" s="1"/>
  <c r="T235" i="27"/>
  <c r="T149" i="27" l="1"/>
  <c r="T255" i="27" s="1"/>
  <c r="T237" i="27"/>
  <c r="T87" i="24"/>
  <c r="U84" i="24" s="1"/>
  <c r="U86" i="24" s="1"/>
  <c r="U111" i="24" s="1"/>
  <c r="U113" i="24" s="1"/>
  <c r="U202" i="24" s="1"/>
  <c r="T202" i="24"/>
  <c r="T239" i="24"/>
  <c r="T240" i="24" s="1"/>
  <c r="T148" i="24"/>
  <c r="U233" i="27"/>
  <c r="T127" i="24" l="1"/>
  <c r="U243" i="27"/>
  <c r="U125" i="27" s="1"/>
  <c r="U87" i="24"/>
  <c r="U127" i="24" s="1"/>
  <c r="U239" i="24"/>
  <c r="U240" i="24" s="1"/>
  <c r="U148" i="24"/>
  <c r="U235" i="27" l="1"/>
  <c r="U149" i="27" l="1"/>
  <c r="U255" i="27" s="1"/>
  <c r="U237" i="27"/>
  <c r="C102" i="23" l="1"/>
  <c r="C103" i="23" s="1"/>
  <c r="C104" i="23" s="1"/>
  <c r="C101" i="23"/>
  <c r="F12" i="23"/>
  <c r="J8" i="23" s="1"/>
  <c r="F9" i="23"/>
  <c r="F11" i="23" s="1"/>
  <c r="J7" i="23" s="1"/>
  <c r="F53" i="23"/>
  <c r="F36" i="23" s="1"/>
  <c r="E53" i="23"/>
  <c r="E36" i="23" s="1"/>
  <c r="F35" i="23"/>
  <c r="E35" i="23"/>
  <c r="A1" i="23"/>
  <c r="G79" i="23"/>
  <c r="F51" i="23"/>
  <c r="E51" i="23"/>
  <c r="I33" i="23"/>
  <c r="H33" i="23"/>
  <c r="G33" i="23"/>
  <c r="F32" i="23"/>
  <c r="E32" i="23"/>
  <c r="I31" i="23"/>
  <c r="H31" i="23"/>
  <c r="G31" i="23"/>
  <c r="F30" i="23"/>
  <c r="E30" i="23"/>
  <c r="I29" i="23"/>
  <c r="H29" i="23"/>
  <c r="F28" i="23"/>
  <c r="G29" i="23" s="1"/>
  <c r="G40" i="23" s="1"/>
  <c r="E28" i="23"/>
  <c r="E37" i="23" s="1"/>
  <c r="F21" i="23"/>
  <c r="N8" i="23"/>
  <c r="F14" i="23"/>
  <c r="G3" i="23"/>
  <c r="H3" i="23" s="1"/>
  <c r="E3" i="23"/>
  <c r="G88" i="23" s="1"/>
  <c r="G93" i="23" s="1"/>
  <c r="H45" i="20"/>
  <c r="I45" i="20"/>
  <c r="J45" i="20"/>
  <c r="K45" i="20"/>
  <c r="L45" i="20"/>
  <c r="M45" i="20"/>
  <c r="N45" i="20"/>
  <c r="O45" i="20"/>
  <c r="P45" i="20"/>
  <c r="G45" i="20"/>
  <c r="F46" i="20"/>
  <c r="F29" i="20" s="1"/>
  <c r="E46" i="20"/>
  <c r="E29" i="20" s="1"/>
  <c r="E44" i="20"/>
  <c r="F44" i="20"/>
  <c r="G24" i="20"/>
  <c r="H24" i="20"/>
  <c r="I24" i="20"/>
  <c r="F23" i="20"/>
  <c r="E23" i="20"/>
  <c r="G26" i="20"/>
  <c r="H26" i="20"/>
  <c r="I26" i="20"/>
  <c r="F25" i="20"/>
  <c r="E25" i="20"/>
  <c r="H22" i="20"/>
  <c r="I22" i="20"/>
  <c r="F21" i="20"/>
  <c r="G22" i="20" s="1"/>
  <c r="G33" i="20" s="1"/>
  <c r="G35" i="20" s="1"/>
  <c r="E21" i="20"/>
  <c r="E30" i="20" s="1"/>
  <c r="F13" i="23" l="1"/>
  <c r="D3" i="23"/>
  <c r="C3" i="23" s="1"/>
  <c r="E31" i="23"/>
  <c r="H88" i="23"/>
  <c r="H93" i="23" s="1"/>
  <c r="O8" i="23"/>
  <c r="F73" i="23" s="1"/>
  <c r="G71" i="23" s="1"/>
  <c r="F31" i="23"/>
  <c r="F33" i="23"/>
  <c r="E33" i="23"/>
  <c r="O7" i="23"/>
  <c r="F66" i="23" s="1"/>
  <c r="G64" i="23" s="1"/>
  <c r="G50" i="23"/>
  <c r="G41" i="23"/>
  <c r="I88" i="23"/>
  <c r="I93" i="23" s="1"/>
  <c r="I3" i="23"/>
  <c r="H40" i="23"/>
  <c r="H41" i="23" s="1"/>
  <c r="G54" i="23"/>
  <c r="G60" i="23" s="1"/>
  <c r="G42" i="23"/>
  <c r="G53" i="23"/>
  <c r="F29" i="23"/>
  <c r="F37" i="23"/>
  <c r="G47" i="20"/>
  <c r="G53" i="20" s="1"/>
  <c r="F30" i="20"/>
  <c r="G46" i="20"/>
  <c r="G43" i="20"/>
  <c r="G34" i="20"/>
  <c r="E24" i="20"/>
  <c r="F24" i="20"/>
  <c r="E26" i="20"/>
  <c r="F26" i="20"/>
  <c r="F22" i="20"/>
  <c r="H33" i="20"/>
  <c r="H47" i="20" s="1"/>
  <c r="H53" i="20" s="1"/>
  <c r="F15" i="23" l="1"/>
  <c r="F16" i="23" s="1"/>
  <c r="J9" i="23"/>
  <c r="J10" i="23" s="1"/>
  <c r="O9" i="23" s="1"/>
  <c r="F93" i="23" s="1"/>
  <c r="I40" i="23"/>
  <c r="I41" i="23" s="1"/>
  <c r="H50" i="23"/>
  <c r="H51" i="23" s="1"/>
  <c r="H58" i="23" s="1"/>
  <c r="F84" i="23"/>
  <c r="H53" i="23"/>
  <c r="H54" i="23"/>
  <c r="H60" i="23" s="1"/>
  <c r="H42" i="23"/>
  <c r="G59" i="23"/>
  <c r="G51" i="23"/>
  <c r="G58" i="23" s="1"/>
  <c r="G52" i="23"/>
  <c r="J3" i="23"/>
  <c r="J88" i="23"/>
  <c r="G44" i="20"/>
  <c r="G51" i="20" s="1"/>
  <c r="G52" i="20"/>
  <c r="H43" i="20"/>
  <c r="H46" i="20"/>
  <c r="I33" i="20"/>
  <c r="I47" i="20" s="1"/>
  <c r="I53" i="20" s="1"/>
  <c r="H35" i="20"/>
  <c r="H34" i="20"/>
  <c r="H89" i="23" l="1"/>
  <c r="P89" i="23"/>
  <c r="I89" i="23"/>
  <c r="G89" i="23"/>
  <c r="J89" i="23"/>
  <c r="K89" i="23"/>
  <c r="L89" i="23"/>
  <c r="O89" i="23"/>
  <c r="M89" i="23"/>
  <c r="N89" i="23"/>
  <c r="I54" i="23"/>
  <c r="I60" i="23" s="1"/>
  <c r="I42" i="23"/>
  <c r="J40" i="23"/>
  <c r="J50" i="23" s="1"/>
  <c r="I50" i="23"/>
  <c r="I51" i="23" s="1"/>
  <c r="I58" i="23" s="1"/>
  <c r="I53" i="23"/>
  <c r="I59" i="23" s="1"/>
  <c r="O10" i="23"/>
  <c r="H52" i="23"/>
  <c r="K40" i="23"/>
  <c r="K88" i="23"/>
  <c r="K93" i="23" s="1"/>
  <c r="K3" i="23"/>
  <c r="H59" i="23"/>
  <c r="H44" i="20"/>
  <c r="H51" i="20" s="1"/>
  <c r="H52" i="20"/>
  <c r="I43" i="20"/>
  <c r="I46" i="20"/>
  <c r="J33" i="20"/>
  <c r="J47" i="20" s="1"/>
  <c r="J53" i="20" s="1"/>
  <c r="I35" i="20"/>
  <c r="I34" i="20"/>
  <c r="J53" i="23" l="1"/>
  <c r="J59" i="23" s="1"/>
  <c r="J41" i="23"/>
  <c r="J51" i="23" s="1"/>
  <c r="J58" i="23" s="1"/>
  <c r="J42" i="23"/>
  <c r="J54" i="23"/>
  <c r="J60" i="23" s="1"/>
  <c r="I52" i="23"/>
  <c r="L88" i="23"/>
  <c r="L93" i="23" s="1"/>
  <c r="L3" i="23"/>
  <c r="J52" i="23"/>
  <c r="K50" i="23"/>
  <c r="K53" i="23"/>
  <c r="K41" i="23"/>
  <c r="K54" i="23"/>
  <c r="K60" i="23" s="1"/>
  <c r="K42" i="23"/>
  <c r="L40" i="23"/>
  <c r="I44" i="20"/>
  <c r="I51" i="20" s="1"/>
  <c r="I52" i="20"/>
  <c r="J43" i="20"/>
  <c r="J46" i="20"/>
  <c r="J34" i="20"/>
  <c r="J44" i="20" s="1"/>
  <c r="J51" i="20" s="1"/>
  <c r="J35" i="20"/>
  <c r="K33" i="20"/>
  <c r="K47" i="20" s="1"/>
  <c r="K53" i="20" s="1"/>
  <c r="K52" i="23" l="1"/>
  <c r="K51" i="23"/>
  <c r="K58" i="23" s="1"/>
  <c r="L53" i="23"/>
  <c r="L41" i="23"/>
  <c r="L54" i="23"/>
  <c r="L60" i="23" s="1"/>
  <c r="L42" i="23"/>
  <c r="M40" i="23"/>
  <c r="L50" i="23"/>
  <c r="M88" i="23"/>
  <c r="M93" i="23" s="1"/>
  <c r="M3" i="23"/>
  <c r="K59" i="23"/>
  <c r="J52" i="20"/>
  <c r="K43" i="20"/>
  <c r="K46" i="20"/>
  <c r="K34" i="20"/>
  <c r="K44" i="20" s="1"/>
  <c r="K51" i="20" s="1"/>
  <c r="K35" i="20"/>
  <c r="L33" i="20"/>
  <c r="L47" i="20" s="1"/>
  <c r="L53" i="20" s="1"/>
  <c r="N88" i="23" l="1"/>
  <c r="N93" i="23" s="1"/>
  <c r="N3" i="23"/>
  <c r="L52" i="23"/>
  <c r="L51" i="23"/>
  <c r="L58" i="23" s="1"/>
  <c r="N40" i="23"/>
  <c r="M54" i="23"/>
  <c r="M60" i="23" s="1"/>
  <c r="M42" i="23"/>
  <c r="M50" i="23"/>
  <c r="M53" i="23"/>
  <c r="M41" i="23"/>
  <c r="L59" i="23"/>
  <c r="K52" i="20"/>
  <c r="L43" i="20"/>
  <c r="L46" i="20"/>
  <c r="L34" i="20"/>
  <c r="L44" i="20" s="1"/>
  <c r="L51" i="20" s="1"/>
  <c r="L35" i="20"/>
  <c r="M33" i="20"/>
  <c r="M47" i="20" s="1"/>
  <c r="M53" i="20" s="1"/>
  <c r="N54" i="23" l="1"/>
  <c r="N60" i="23" s="1"/>
  <c r="N42" i="23"/>
  <c r="N50" i="23"/>
  <c r="N53" i="23"/>
  <c r="N41" i="23"/>
  <c r="O40" i="23"/>
  <c r="M52" i="23"/>
  <c r="M51" i="23"/>
  <c r="M58" i="23" s="1"/>
  <c r="M59" i="23"/>
  <c r="O3" i="23"/>
  <c r="O88" i="23"/>
  <c r="O93" i="23" s="1"/>
  <c r="L52" i="20"/>
  <c r="M43" i="20"/>
  <c r="M46" i="20"/>
  <c r="M35" i="20"/>
  <c r="M34" i="20"/>
  <c r="M44" i="20" s="1"/>
  <c r="M51" i="20" s="1"/>
  <c r="N33" i="20"/>
  <c r="N47" i="20" s="1"/>
  <c r="N53" i="20" s="1"/>
  <c r="O54" i="23" l="1"/>
  <c r="O60" i="23" s="1"/>
  <c r="O42" i="23"/>
  <c r="O53" i="23"/>
  <c r="O59" i="23" s="1"/>
  <c r="O41" i="23"/>
  <c r="P40" i="23"/>
  <c r="O50" i="23"/>
  <c r="N59" i="23"/>
  <c r="N51" i="23"/>
  <c r="N58" i="23" s="1"/>
  <c r="N52" i="23"/>
  <c r="P88" i="23"/>
  <c r="P93" i="23" s="1"/>
  <c r="P3" i="23"/>
  <c r="M52" i="20"/>
  <c r="N43" i="20"/>
  <c r="N46" i="20"/>
  <c r="N35" i="20"/>
  <c r="N34" i="20"/>
  <c r="O33" i="20"/>
  <c r="O47" i="20" s="1"/>
  <c r="O53" i="20" s="1"/>
  <c r="O51" i="23" l="1"/>
  <c r="O58" i="23" s="1"/>
  <c r="O52" i="23"/>
  <c r="P53" i="23"/>
  <c r="P59" i="23" s="1"/>
  <c r="P41" i="23"/>
  <c r="P50" i="23"/>
  <c r="P54" i="23"/>
  <c r="P60" i="23" s="1"/>
  <c r="P42" i="23"/>
  <c r="N44" i="20"/>
  <c r="N51" i="20" s="1"/>
  <c r="N52" i="20"/>
  <c r="O43" i="20"/>
  <c r="O46" i="20"/>
  <c r="O35" i="20"/>
  <c r="O34" i="20"/>
  <c r="O44" i="20" s="1"/>
  <c r="O51" i="20" s="1"/>
  <c r="P33" i="20"/>
  <c r="P47" i="20" s="1"/>
  <c r="P53" i="20" s="1"/>
  <c r="P52" i="23" l="1"/>
  <c r="P51" i="23"/>
  <c r="P58" i="23" s="1"/>
  <c r="O52" i="20"/>
  <c r="P43" i="20"/>
  <c r="P46" i="20"/>
  <c r="P52" i="20" s="1"/>
  <c r="P34" i="20"/>
  <c r="P44" i="20" s="1"/>
  <c r="P51" i="20" s="1"/>
  <c r="P35" i="20"/>
  <c r="C94" i="20" l="1"/>
  <c r="C95" i="20" s="1"/>
  <c r="E28" i="20"/>
  <c r="F7" i="20"/>
  <c r="J7" i="20" s="1"/>
  <c r="F28" i="20"/>
  <c r="F14" i="20"/>
  <c r="E3" i="20"/>
  <c r="D3" i="20" s="1"/>
  <c r="C3" i="20" s="1"/>
  <c r="G3" i="20"/>
  <c r="H3" i="20" s="1"/>
  <c r="I3" i="20" s="1"/>
  <c r="J3" i="20" s="1"/>
  <c r="K3" i="20" s="1"/>
  <c r="L3" i="20" s="1"/>
  <c r="M3" i="20" s="1"/>
  <c r="N3" i="20" s="1"/>
  <c r="O3" i="20" s="1"/>
  <c r="P3" i="20" l="1"/>
  <c r="P81" i="20"/>
  <c r="P86" i="20" s="1"/>
  <c r="A1" i="20" l="1"/>
  <c r="H44" i="22"/>
  <c r="F44" i="22"/>
  <c r="D44" i="22"/>
  <c r="R43" i="22"/>
  <c r="P43" i="22"/>
  <c r="N43" i="22"/>
  <c r="L43" i="22"/>
  <c r="R40" i="22"/>
  <c r="P40" i="22"/>
  <c r="N40" i="22"/>
  <c r="L40" i="22"/>
  <c r="F40" i="22"/>
  <c r="D40" i="22"/>
  <c r="B13" i="22"/>
  <c r="G72" i="20"/>
  <c r="F10" i="20"/>
  <c r="N8" i="20"/>
  <c r="A1" i="3"/>
  <c r="A7" i="2"/>
  <c r="G82" i="20" l="1"/>
  <c r="N82" i="20"/>
  <c r="J82" i="20"/>
  <c r="M82" i="20"/>
  <c r="O82" i="20"/>
  <c r="H82" i="20"/>
  <c r="P82" i="20"/>
  <c r="I82" i="20"/>
  <c r="K82" i="20"/>
  <c r="L82" i="20"/>
  <c r="H81" i="20"/>
  <c r="H86" i="20" s="1"/>
  <c r="G81" i="20"/>
  <c r="G86" i="20" s="1"/>
  <c r="C96" i="20"/>
  <c r="C97" i="20" s="1"/>
  <c r="I81" i="20" l="1"/>
  <c r="I86" i="20" s="1"/>
  <c r="O7" i="20" l="1"/>
  <c r="O8" i="20"/>
  <c r="J81" i="20"/>
  <c r="F66" i="20" l="1"/>
  <c r="G64" i="20" s="1"/>
  <c r="J8" i="20"/>
  <c r="J10" i="20" s="1"/>
  <c r="O9" i="20" s="1"/>
  <c r="F59" i="20"/>
  <c r="K81" i="20"/>
  <c r="G57" i="20" l="1"/>
  <c r="F77" i="20"/>
  <c r="F86" i="20" l="1"/>
  <c r="O10" i="20"/>
  <c r="L81" i="20"/>
  <c r="L86" i="20" s="1"/>
  <c r="M81" i="20" l="1"/>
  <c r="M86" i="20" s="1"/>
  <c r="N81" i="20" l="1"/>
  <c r="N86" i="20" s="1"/>
  <c r="O81" i="20" l="1"/>
  <c r="O86" i="20" l="1"/>
  <c r="K86" i="20" l="1"/>
  <c r="O250" i="24"/>
  <c r="G36" i="20"/>
  <c r="H36" i="20"/>
  <c r="I36" i="20"/>
  <c r="J36" i="20"/>
  <c r="K36" i="20"/>
  <c r="L36" i="20"/>
  <c r="M36" i="20"/>
  <c r="N36" i="20"/>
  <c r="O36" i="20"/>
  <c r="P36" i="20"/>
  <c r="G37" i="20"/>
  <c r="H37" i="20"/>
  <c r="I37" i="20"/>
  <c r="J37" i="20"/>
  <c r="K37" i="20"/>
  <c r="L37" i="20"/>
  <c r="M37" i="20"/>
  <c r="N37" i="20"/>
  <c r="O37" i="20"/>
  <c r="P37" i="20"/>
  <c r="G38" i="20"/>
  <c r="H38" i="20"/>
  <c r="I38" i="20"/>
  <c r="J38" i="20"/>
  <c r="K38" i="20"/>
  <c r="L38" i="20"/>
  <c r="M38" i="20"/>
  <c r="N38" i="20"/>
  <c r="O38" i="20"/>
  <c r="P38" i="20"/>
  <c r="G39" i="20"/>
  <c r="H39" i="20"/>
  <c r="I39" i="20"/>
  <c r="J39" i="20"/>
  <c r="K39" i="20"/>
  <c r="L39" i="20"/>
  <c r="M39" i="20"/>
  <c r="N39" i="20"/>
  <c r="O39" i="20"/>
  <c r="P39" i="20"/>
  <c r="G40" i="20"/>
  <c r="H40" i="20"/>
  <c r="I40" i="20"/>
  <c r="J40" i="20"/>
  <c r="K40" i="20"/>
  <c r="L40" i="20"/>
  <c r="M40" i="20"/>
  <c r="N40" i="20"/>
  <c r="O40" i="20"/>
  <c r="P40" i="20"/>
  <c r="G50" i="20"/>
  <c r="H50" i="20"/>
  <c r="I50" i="20"/>
  <c r="J50" i="20"/>
  <c r="K50" i="20"/>
  <c r="L50" i="20"/>
  <c r="M50" i="20"/>
  <c r="N50" i="20"/>
  <c r="O50" i="20"/>
  <c r="P50" i="20"/>
  <c r="G54" i="20"/>
  <c r="H54" i="20"/>
  <c r="I54" i="20"/>
  <c r="J54" i="20"/>
  <c r="K54" i="20"/>
  <c r="L54" i="20"/>
  <c r="M54" i="20"/>
  <c r="N54" i="20"/>
  <c r="O54" i="20"/>
  <c r="P54" i="20"/>
  <c r="H57" i="20"/>
  <c r="I57" i="20"/>
  <c r="J57" i="20"/>
  <c r="K57" i="20"/>
  <c r="L57" i="20"/>
  <c r="M57" i="20"/>
  <c r="N57" i="20"/>
  <c r="O57" i="20"/>
  <c r="P57" i="20"/>
  <c r="G58" i="20"/>
  <c r="H58" i="20"/>
  <c r="I58" i="20"/>
  <c r="J58" i="20"/>
  <c r="K58" i="20"/>
  <c r="L58" i="20"/>
  <c r="M58" i="20"/>
  <c r="N58" i="20"/>
  <c r="O58" i="20"/>
  <c r="P58" i="20"/>
  <c r="G59" i="20"/>
  <c r="H59" i="20"/>
  <c r="I59" i="20"/>
  <c r="J59" i="20"/>
  <c r="K59" i="20"/>
  <c r="L59" i="20"/>
  <c r="M59" i="20"/>
  <c r="N59" i="20"/>
  <c r="O59" i="20"/>
  <c r="P59" i="20"/>
  <c r="G60" i="20"/>
  <c r="H60" i="20"/>
  <c r="I60" i="20"/>
  <c r="J60" i="20"/>
  <c r="K60" i="20"/>
  <c r="L60" i="20"/>
  <c r="M60" i="20"/>
  <c r="N60" i="20"/>
  <c r="O60" i="20"/>
  <c r="P60" i="20"/>
  <c r="G62" i="20"/>
  <c r="H62" i="20"/>
  <c r="I62" i="20"/>
  <c r="J62" i="20"/>
  <c r="K62" i="20"/>
  <c r="L62" i="20"/>
  <c r="M62" i="20"/>
  <c r="N62" i="20"/>
  <c r="O62" i="20"/>
  <c r="P62" i="20"/>
  <c r="H64" i="20"/>
  <c r="I64" i="20"/>
  <c r="J64" i="20"/>
  <c r="K64" i="20"/>
  <c r="L64" i="20"/>
  <c r="M64" i="20"/>
  <c r="N64" i="20"/>
  <c r="O64" i="20"/>
  <c r="P64" i="20"/>
  <c r="G65" i="20"/>
  <c r="H65" i="20"/>
  <c r="I65" i="20"/>
  <c r="J65" i="20"/>
  <c r="K65" i="20"/>
  <c r="L65" i="20"/>
  <c r="M65" i="20"/>
  <c r="N65" i="20"/>
  <c r="O65" i="20"/>
  <c r="P65" i="20"/>
  <c r="G66" i="20"/>
  <c r="H66" i="20"/>
  <c r="I66" i="20"/>
  <c r="J66" i="20"/>
  <c r="K66" i="20"/>
  <c r="L66" i="20"/>
  <c r="M66" i="20"/>
  <c r="N66" i="20"/>
  <c r="O66" i="20"/>
  <c r="P66" i="20"/>
  <c r="G67" i="20"/>
  <c r="H67" i="20"/>
  <c r="I67" i="20"/>
  <c r="J67" i="20"/>
  <c r="K67" i="20"/>
  <c r="L67" i="20"/>
  <c r="M67" i="20"/>
  <c r="N67" i="20"/>
  <c r="O67" i="20"/>
  <c r="P67" i="20"/>
  <c r="G69" i="20"/>
  <c r="H69" i="20"/>
  <c r="I69" i="20"/>
  <c r="J69" i="20"/>
  <c r="K69" i="20"/>
  <c r="L69" i="20"/>
  <c r="M69" i="20"/>
  <c r="N69" i="20"/>
  <c r="O69" i="20"/>
  <c r="P69" i="20"/>
  <c r="G70" i="20"/>
  <c r="H70" i="20"/>
  <c r="I70" i="20"/>
  <c r="J70" i="20"/>
  <c r="K70" i="20"/>
  <c r="L70" i="20"/>
  <c r="M70" i="20"/>
  <c r="N70" i="20"/>
  <c r="O70" i="20"/>
  <c r="P70" i="20"/>
  <c r="H72" i="20"/>
  <c r="I72" i="20"/>
  <c r="J72" i="20"/>
  <c r="K72" i="20"/>
  <c r="L72" i="20"/>
  <c r="M72" i="20"/>
  <c r="N72" i="20"/>
  <c r="O72" i="20"/>
  <c r="P72" i="20"/>
  <c r="G73" i="20"/>
  <c r="H73" i="20"/>
  <c r="I73" i="20"/>
  <c r="J73" i="20"/>
  <c r="K73" i="20"/>
  <c r="L73" i="20"/>
  <c r="M73" i="20"/>
  <c r="N73" i="20"/>
  <c r="O73" i="20"/>
  <c r="P73" i="20"/>
  <c r="G74" i="20"/>
  <c r="H74" i="20"/>
  <c r="I74" i="20"/>
  <c r="J74" i="20"/>
  <c r="K74" i="20"/>
  <c r="L74" i="20"/>
  <c r="M74" i="20"/>
  <c r="N74" i="20"/>
  <c r="O74" i="20"/>
  <c r="P74" i="20"/>
  <c r="G75" i="20"/>
  <c r="H75" i="20"/>
  <c r="I75" i="20"/>
  <c r="J75" i="20"/>
  <c r="K75" i="20"/>
  <c r="L75" i="20"/>
  <c r="M75" i="20"/>
  <c r="N75" i="20"/>
  <c r="O75" i="20"/>
  <c r="P75" i="20"/>
  <c r="G78" i="20"/>
  <c r="H78" i="20"/>
  <c r="I78" i="20"/>
  <c r="J78" i="20"/>
  <c r="K78" i="20"/>
  <c r="L78" i="20"/>
  <c r="M78" i="20"/>
  <c r="N78" i="20"/>
  <c r="O78" i="20"/>
  <c r="P78" i="20"/>
  <c r="G83" i="20"/>
  <c r="H83" i="20"/>
  <c r="I83" i="20"/>
  <c r="J83" i="20"/>
  <c r="K83" i="20"/>
  <c r="L83" i="20"/>
  <c r="M83" i="20"/>
  <c r="N83" i="20"/>
  <c r="O83" i="20"/>
  <c r="P83" i="20"/>
  <c r="G84" i="20"/>
  <c r="H84" i="20"/>
  <c r="I84" i="20"/>
  <c r="J84" i="20"/>
  <c r="K84" i="20"/>
  <c r="L84" i="20"/>
  <c r="M84" i="20"/>
  <c r="N84" i="20"/>
  <c r="O84" i="20"/>
  <c r="P84" i="20"/>
  <c r="J86" i="20"/>
  <c r="F87" i="20"/>
  <c r="C92" i="20"/>
  <c r="G43" i="23"/>
  <c r="H43" i="23"/>
  <c r="I43" i="23"/>
  <c r="J43" i="23"/>
  <c r="K43" i="23"/>
  <c r="L43" i="23"/>
  <c r="M43" i="23"/>
  <c r="N43" i="23"/>
  <c r="O43" i="23"/>
  <c r="P43" i="23"/>
  <c r="G44" i="23"/>
  <c r="H44" i="23"/>
  <c r="I44" i="23"/>
  <c r="J44" i="23"/>
  <c r="K44" i="23"/>
  <c r="L44" i="23"/>
  <c r="M44" i="23"/>
  <c r="N44" i="23"/>
  <c r="O44" i="23"/>
  <c r="P44" i="23"/>
  <c r="G45" i="23"/>
  <c r="H45" i="23"/>
  <c r="I45" i="23"/>
  <c r="J45" i="23"/>
  <c r="K45" i="23"/>
  <c r="L45" i="23"/>
  <c r="M45" i="23"/>
  <c r="N45" i="23"/>
  <c r="O45" i="23"/>
  <c r="P45" i="23"/>
  <c r="G46" i="23"/>
  <c r="H46" i="23"/>
  <c r="I46" i="23"/>
  <c r="J46" i="23"/>
  <c r="K46" i="23"/>
  <c r="L46" i="23"/>
  <c r="M46" i="23"/>
  <c r="N46" i="23"/>
  <c r="O46" i="23"/>
  <c r="P46" i="23"/>
  <c r="G47" i="23"/>
  <c r="H47" i="23"/>
  <c r="I47" i="23"/>
  <c r="J47" i="23"/>
  <c r="K47" i="23"/>
  <c r="L47" i="23"/>
  <c r="M47" i="23"/>
  <c r="N47" i="23"/>
  <c r="O47" i="23"/>
  <c r="P47" i="23"/>
  <c r="G57" i="23"/>
  <c r="H57" i="23"/>
  <c r="I57" i="23"/>
  <c r="J57" i="23"/>
  <c r="K57" i="23"/>
  <c r="L57" i="23"/>
  <c r="M57" i="23"/>
  <c r="N57" i="23"/>
  <c r="O57" i="23"/>
  <c r="P57" i="23"/>
  <c r="G61" i="23"/>
  <c r="H61" i="23"/>
  <c r="I61" i="23"/>
  <c r="J61" i="23"/>
  <c r="K61" i="23"/>
  <c r="L61" i="23"/>
  <c r="M61" i="23"/>
  <c r="N61" i="23"/>
  <c r="O61" i="23"/>
  <c r="P61" i="23"/>
  <c r="H64" i="23"/>
  <c r="I64" i="23"/>
  <c r="J64" i="23"/>
  <c r="K64" i="23"/>
  <c r="L64" i="23"/>
  <c r="M64" i="23"/>
  <c r="N64" i="23"/>
  <c r="O64" i="23"/>
  <c r="P64" i="23"/>
  <c r="G65" i="23"/>
  <c r="H65" i="23"/>
  <c r="I65" i="23"/>
  <c r="J65" i="23"/>
  <c r="K65" i="23"/>
  <c r="L65" i="23"/>
  <c r="M65" i="23"/>
  <c r="N65" i="23"/>
  <c r="O65" i="23"/>
  <c r="P65" i="23"/>
  <c r="G66" i="23"/>
  <c r="H66" i="23"/>
  <c r="I66" i="23"/>
  <c r="J66" i="23"/>
  <c r="K66" i="23"/>
  <c r="L66" i="23"/>
  <c r="M66" i="23"/>
  <c r="N66" i="23"/>
  <c r="O66" i="23"/>
  <c r="P66" i="23"/>
  <c r="G67" i="23"/>
  <c r="H67" i="23"/>
  <c r="I67" i="23"/>
  <c r="J67" i="23"/>
  <c r="K67" i="23"/>
  <c r="L67" i="23"/>
  <c r="M67" i="23"/>
  <c r="N67" i="23"/>
  <c r="O67" i="23"/>
  <c r="P67" i="23"/>
  <c r="G69" i="23"/>
  <c r="H69" i="23"/>
  <c r="I69" i="23"/>
  <c r="J69" i="23"/>
  <c r="K69" i="23"/>
  <c r="L69" i="23"/>
  <c r="M69" i="23"/>
  <c r="N69" i="23"/>
  <c r="O69" i="23"/>
  <c r="P69" i="23"/>
  <c r="H71" i="23"/>
  <c r="I71" i="23"/>
  <c r="J71" i="23"/>
  <c r="K71" i="23"/>
  <c r="L71" i="23"/>
  <c r="M71" i="23"/>
  <c r="N71" i="23"/>
  <c r="O71" i="23"/>
  <c r="P71" i="23"/>
  <c r="G72" i="23"/>
  <c r="H72" i="23"/>
  <c r="I72" i="23"/>
  <c r="J72" i="23"/>
  <c r="K72" i="23"/>
  <c r="L72" i="23"/>
  <c r="M72" i="23"/>
  <c r="N72" i="23"/>
  <c r="O72" i="23"/>
  <c r="P72" i="23"/>
  <c r="G73" i="23"/>
  <c r="H73" i="23"/>
  <c r="I73" i="23"/>
  <c r="J73" i="23"/>
  <c r="K73" i="23"/>
  <c r="L73" i="23"/>
  <c r="M73" i="23"/>
  <c r="N73" i="23"/>
  <c r="O73" i="23"/>
  <c r="P73" i="23"/>
  <c r="G74" i="23"/>
  <c r="H74" i="23"/>
  <c r="I74" i="23"/>
  <c r="J74" i="23"/>
  <c r="K74" i="23"/>
  <c r="L74" i="23"/>
  <c r="M74" i="23"/>
  <c r="N74" i="23"/>
  <c r="O74" i="23"/>
  <c r="P74" i="23"/>
  <c r="G76" i="23"/>
  <c r="H76" i="23"/>
  <c r="I76" i="23"/>
  <c r="J76" i="23"/>
  <c r="K76" i="23"/>
  <c r="L76" i="23"/>
  <c r="M76" i="23"/>
  <c r="N76" i="23"/>
  <c r="O76" i="23"/>
  <c r="P76" i="23"/>
  <c r="G77" i="23"/>
  <c r="H77" i="23"/>
  <c r="I77" i="23"/>
  <c r="J77" i="23"/>
  <c r="K77" i="23"/>
  <c r="L77" i="23"/>
  <c r="M77" i="23"/>
  <c r="N77" i="23"/>
  <c r="O77" i="23"/>
  <c r="P77" i="23"/>
  <c r="H79" i="23"/>
  <c r="I79" i="23"/>
  <c r="J79" i="23"/>
  <c r="K79" i="23"/>
  <c r="L79" i="23"/>
  <c r="M79" i="23"/>
  <c r="N79" i="23"/>
  <c r="O79" i="23"/>
  <c r="P79" i="23"/>
  <c r="G80" i="23"/>
  <c r="H80" i="23"/>
  <c r="I80" i="23"/>
  <c r="J80" i="23"/>
  <c r="K80" i="23"/>
  <c r="L80" i="23"/>
  <c r="M80" i="23"/>
  <c r="N80" i="23"/>
  <c r="O80" i="23"/>
  <c r="P80" i="23"/>
  <c r="G81" i="23"/>
  <c r="H81" i="23"/>
  <c r="I81" i="23"/>
  <c r="J81" i="23"/>
  <c r="K81" i="23"/>
  <c r="L81" i="23"/>
  <c r="M81" i="23"/>
  <c r="N81" i="23"/>
  <c r="O81" i="23"/>
  <c r="P81" i="23"/>
  <c r="G82" i="23"/>
  <c r="H82" i="23"/>
  <c r="I82" i="23"/>
  <c r="J82" i="23"/>
  <c r="K82" i="23"/>
  <c r="L82" i="23"/>
  <c r="M82" i="23"/>
  <c r="N82" i="23"/>
  <c r="O82" i="23"/>
  <c r="P82" i="23"/>
  <c r="G85" i="23"/>
  <c r="H85" i="23"/>
  <c r="I85" i="23"/>
  <c r="J85" i="23"/>
  <c r="K85" i="23"/>
  <c r="L85" i="23"/>
  <c r="M85" i="23"/>
  <c r="N85" i="23"/>
  <c r="O85" i="23"/>
  <c r="P85" i="23"/>
  <c r="G90" i="23"/>
  <c r="H90" i="23"/>
  <c r="I90" i="23"/>
  <c r="J90" i="23"/>
  <c r="K90" i="23"/>
  <c r="L90" i="23"/>
  <c r="M90" i="23"/>
  <c r="N90" i="23"/>
  <c r="O90" i="23"/>
  <c r="P90" i="23"/>
  <c r="G91" i="23"/>
  <c r="H91" i="23"/>
  <c r="I91" i="23"/>
  <c r="J91" i="23"/>
  <c r="K91" i="23"/>
  <c r="L91" i="23"/>
  <c r="M91" i="23"/>
  <c r="N91" i="23"/>
  <c r="O91" i="23"/>
  <c r="P91" i="23"/>
  <c r="J93" i="23"/>
  <c r="F94" i="23"/>
  <c r="C99" i="23"/>
  <c r="N93" i="24"/>
  <c r="O93" i="24"/>
  <c r="P93" i="24"/>
  <c r="Q93" i="24"/>
  <c r="R93" i="24"/>
  <c r="S93" i="24"/>
  <c r="T93" i="24"/>
  <c r="U93" i="24"/>
  <c r="M94" i="24"/>
  <c r="N94" i="24"/>
  <c r="O94" i="24"/>
  <c r="P94" i="24"/>
  <c r="Q94" i="24"/>
  <c r="R94" i="24"/>
  <c r="S94" i="24"/>
  <c r="T94" i="24"/>
  <c r="U94" i="24"/>
  <c r="M95" i="24"/>
  <c r="N95" i="24"/>
  <c r="O95" i="24"/>
  <c r="P95" i="24"/>
  <c r="Q95" i="24"/>
  <c r="R95" i="24"/>
  <c r="S95" i="24"/>
  <c r="T95" i="24"/>
  <c r="U95" i="24"/>
  <c r="M96" i="24"/>
  <c r="N96" i="24"/>
  <c r="O96" i="24"/>
  <c r="P96" i="24"/>
  <c r="Q96" i="24"/>
  <c r="R96" i="24"/>
  <c r="S96" i="24"/>
  <c r="T96" i="24"/>
  <c r="U96" i="24"/>
  <c r="M115" i="24"/>
  <c r="N115" i="24"/>
  <c r="O115" i="24"/>
  <c r="P115" i="24"/>
  <c r="Q115" i="24"/>
  <c r="R115" i="24"/>
  <c r="S115" i="24"/>
  <c r="T115" i="24"/>
  <c r="U115" i="24"/>
  <c r="M116" i="24"/>
  <c r="N116" i="24"/>
  <c r="O116" i="24"/>
  <c r="P116" i="24"/>
  <c r="Q116" i="24"/>
  <c r="R116" i="24"/>
  <c r="S116" i="24"/>
  <c r="T116" i="24"/>
  <c r="U116" i="24"/>
  <c r="M118" i="24"/>
  <c r="N118" i="24"/>
  <c r="O118" i="24"/>
  <c r="P118" i="24"/>
  <c r="Q118" i="24"/>
  <c r="R118" i="24"/>
  <c r="S118" i="24"/>
  <c r="T118" i="24"/>
  <c r="U118" i="24"/>
  <c r="M119" i="24"/>
  <c r="N119" i="24"/>
  <c r="O119" i="24"/>
  <c r="P119" i="24"/>
  <c r="Q119" i="24"/>
  <c r="R119" i="24"/>
  <c r="S119" i="24"/>
  <c r="T119" i="24"/>
  <c r="U119" i="24"/>
  <c r="M120" i="24"/>
  <c r="N120" i="24"/>
  <c r="O120" i="24"/>
  <c r="P120" i="24"/>
  <c r="Q120" i="24"/>
  <c r="R120" i="24"/>
  <c r="S120" i="24"/>
  <c r="T120" i="24"/>
  <c r="U120" i="24"/>
  <c r="M123" i="24"/>
  <c r="N123" i="24"/>
  <c r="O123" i="24"/>
  <c r="P123" i="24"/>
  <c r="Q123" i="24"/>
  <c r="R123" i="24"/>
  <c r="S123" i="24"/>
  <c r="T123" i="24"/>
  <c r="U123" i="24"/>
  <c r="M131" i="24"/>
  <c r="N131" i="24"/>
  <c r="O131" i="24"/>
  <c r="P131" i="24"/>
  <c r="Q131" i="24"/>
  <c r="R131" i="24"/>
  <c r="S131" i="24"/>
  <c r="T131" i="24"/>
  <c r="U131" i="24"/>
  <c r="M133" i="24"/>
  <c r="N133" i="24"/>
  <c r="O133" i="24"/>
  <c r="P133" i="24"/>
  <c r="Q133" i="24"/>
  <c r="R133" i="24"/>
  <c r="S133" i="24"/>
  <c r="T133" i="24"/>
  <c r="U133" i="24"/>
  <c r="M138" i="24"/>
  <c r="N138" i="24"/>
  <c r="O138" i="24"/>
  <c r="P138" i="24"/>
  <c r="Q138" i="24"/>
  <c r="R138" i="24"/>
  <c r="S138" i="24"/>
  <c r="T138" i="24"/>
  <c r="U138" i="24"/>
  <c r="M139" i="24"/>
  <c r="N139" i="24"/>
  <c r="O139" i="24"/>
  <c r="P139" i="24"/>
  <c r="Q139" i="24"/>
  <c r="R139" i="24"/>
  <c r="S139" i="24"/>
  <c r="T139" i="24"/>
  <c r="U139" i="24"/>
  <c r="M140" i="24"/>
  <c r="N140" i="24"/>
  <c r="O140" i="24"/>
  <c r="P140" i="24"/>
  <c r="Q140" i="24"/>
  <c r="R140" i="24"/>
  <c r="S140" i="24"/>
  <c r="T140" i="24"/>
  <c r="U140" i="24"/>
  <c r="M142" i="24"/>
  <c r="N142" i="24"/>
  <c r="O142" i="24"/>
  <c r="P142" i="24"/>
  <c r="Q142" i="24"/>
  <c r="R142" i="24"/>
  <c r="S142" i="24"/>
  <c r="T142" i="24"/>
  <c r="U142" i="24"/>
  <c r="M143" i="24"/>
  <c r="N143" i="24"/>
  <c r="O143" i="24"/>
  <c r="P143" i="24"/>
  <c r="Q143" i="24"/>
  <c r="R143" i="24"/>
  <c r="S143" i="24"/>
  <c r="T143" i="24"/>
  <c r="U143" i="24"/>
  <c r="M145" i="24"/>
  <c r="N145" i="24"/>
  <c r="O145" i="24"/>
  <c r="P145" i="24"/>
  <c r="Q145" i="24"/>
  <c r="R145" i="24"/>
  <c r="S145" i="24"/>
  <c r="T145" i="24"/>
  <c r="U145" i="24"/>
  <c r="M149" i="24"/>
  <c r="N149" i="24"/>
  <c r="O149" i="24"/>
  <c r="P149" i="24"/>
  <c r="Q149" i="24"/>
  <c r="R149" i="24"/>
  <c r="S149" i="24"/>
  <c r="T149" i="24"/>
  <c r="U149" i="24"/>
  <c r="M150" i="24"/>
  <c r="N150" i="24"/>
  <c r="O150" i="24"/>
  <c r="P150" i="24"/>
  <c r="Q150" i="24"/>
  <c r="R150" i="24"/>
  <c r="S150" i="24"/>
  <c r="T150" i="24"/>
  <c r="U150" i="24"/>
  <c r="M151" i="24"/>
  <c r="N151" i="24"/>
  <c r="O151" i="24"/>
  <c r="P151" i="24"/>
  <c r="Q151" i="24"/>
  <c r="R151" i="24"/>
  <c r="S151" i="24"/>
  <c r="T151" i="24"/>
  <c r="U151" i="24"/>
  <c r="M155" i="24"/>
  <c r="N155" i="24"/>
  <c r="O155" i="24"/>
  <c r="P155" i="24"/>
  <c r="Q155" i="24"/>
  <c r="R155" i="24"/>
  <c r="S155" i="24"/>
  <c r="T155" i="24"/>
  <c r="U155" i="24"/>
  <c r="M160" i="24"/>
  <c r="N160" i="24"/>
  <c r="O160" i="24"/>
  <c r="P160" i="24"/>
  <c r="Q160" i="24"/>
  <c r="R160" i="24"/>
  <c r="S160" i="24"/>
  <c r="T160" i="24"/>
  <c r="U160" i="24"/>
  <c r="M162" i="24"/>
  <c r="N162" i="24"/>
  <c r="O162" i="24"/>
  <c r="P162" i="24"/>
  <c r="Q162" i="24"/>
  <c r="R162" i="24"/>
  <c r="S162" i="24"/>
  <c r="T162" i="24"/>
  <c r="U162" i="24"/>
  <c r="M163" i="24"/>
  <c r="N163" i="24"/>
  <c r="O163" i="24"/>
  <c r="P163" i="24"/>
  <c r="Q163" i="24"/>
  <c r="R163" i="24"/>
  <c r="S163" i="24"/>
  <c r="T163" i="24"/>
  <c r="U163" i="24"/>
  <c r="M164" i="24"/>
  <c r="N164" i="24"/>
  <c r="O164" i="24"/>
  <c r="P164" i="24"/>
  <c r="Q164" i="24"/>
  <c r="R164" i="24"/>
  <c r="S164" i="24"/>
  <c r="T164" i="24"/>
  <c r="U164" i="24"/>
  <c r="M165" i="24"/>
  <c r="N165" i="24"/>
  <c r="O165" i="24"/>
  <c r="P165" i="24"/>
  <c r="Q165" i="24"/>
  <c r="R165" i="24"/>
  <c r="S165" i="24"/>
  <c r="T165" i="24"/>
  <c r="U165" i="24"/>
  <c r="M166" i="24"/>
  <c r="N166" i="24"/>
  <c r="O166" i="24"/>
  <c r="P166" i="24"/>
  <c r="Q166" i="24"/>
  <c r="R166" i="24"/>
  <c r="S166" i="24"/>
  <c r="T166" i="24"/>
  <c r="U166" i="24"/>
  <c r="N168" i="24"/>
  <c r="O168" i="24"/>
  <c r="P168" i="24"/>
  <c r="Q168" i="24"/>
  <c r="R168" i="24"/>
  <c r="S168" i="24"/>
  <c r="T168" i="24"/>
  <c r="U168" i="24"/>
  <c r="M169" i="24"/>
  <c r="N169" i="24"/>
  <c r="O169" i="24"/>
  <c r="P169" i="24"/>
  <c r="Q169" i="24"/>
  <c r="R169" i="24"/>
  <c r="S169" i="24"/>
  <c r="T169" i="24"/>
  <c r="U169" i="24"/>
  <c r="M170" i="24"/>
  <c r="N170" i="24"/>
  <c r="O170" i="24"/>
  <c r="P170" i="24"/>
  <c r="Q170" i="24"/>
  <c r="R170" i="24"/>
  <c r="S170" i="24"/>
  <c r="T170" i="24"/>
  <c r="U170" i="24"/>
  <c r="N177" i="24"/>
  <c r="O177" i="24"/>
  <c r="P177" i="24"/>
  <c r="Q177" i="24"/>
  <c r="R177" i="24"/>
  <c r="S177" i="24"/>
  <c r="T177" i="24"/>
  <c r="U177" i="24"/>
  <c r="M178" i="24"/>
  <c r="N178" i="24"/>
  <c r="O178" i="24"/>
  <c r="P178" i="24"/>
  <c r="Q178" i="24"/>
  <c r="R178" i="24"/>
  <c r="S178" i="24"/>
  <c r="T178" i="24"/>
  <c r="U178" i="24"/>
  <c r="M180" i="24"/>
  <c r="N180" i="24"/>
  <c r="O180" i="24"/>
  <c r="P180" i="24"/>
  <c r="Q180" i="24"/>
  <c r="R180" i="24"/>
  <c r="S180" i="24"/>
  <c r="T180" i="24"/>
  <c r="U180" i="24"/>
  <c r="M181" i="24"/>
  <c r="N181" i="24"/>
  <c r="O181" i="24"/>
  <c r="P181" i="24"/>
  <c r="Q181" i="24"/>
  <c r="R181" i="24"/>
  <c r="S181" i="24"/>
  <c r="T181" i="24"/>
  <c r="U181" i="24"/>
  <c r="M185" i="24"/>
  <c r="N185" i="24"/>
  <c r="O185" i="24"/>
  <c r="P185" i="24"/>
  <c r="Q185" i="24"/>
  <c r="R185" i="24"/>
  <c r="S185" i="24"/>
  <c r="T185" i="24"/>
  <c r="U185" i="24"/>
  <c r="N187" i="24"/>
  <c r="O187" i="24"/>
  <c r="P187" i="24"/>
  <c r="Q187" i="24"/>
  <c r="R187" i="24"/>
  <c r="S187" i="24"/>
  <c r="T187" i="24"/>
  <c r="U187" i="24"/>
  <c r="M188" i="24"/>
  <c r="N188" i="24"/>
  <c r="O188" i="24"/>
  <c r="P188" i="24"/>
  <c r="Q188" i="24"/>
  <c r="R188" i="24"/>
  <c r="S188" i="24"/>
  <c r="T188" i="24"/>
  <c r="U188" i="24"/>
  <c r="N190" i="24"/>
  <c r="O190" i="24"/>
  <c r="P190" i="24"/>
  <c r="Q190" i="24"/>
  <c r="R190" i="24"/>
  <c r="S190" i="24"/>
  <c r="T190" i="24"/>
  <c r="U190" i="24"/>
  <c r="M191" i="24"/>
  <c r="N191" i="24"/>
  <c r="O191" i="24"/>
  <c r="P191" i="24"/>
  <c r="Q191" i="24"/>
  <c r="R191" i="24"/>
  <c r="S191" i="24"/>
  <c r="T191" i="24"/>
  <c r="U191" i="24"/>
  <c r="M192" i="24"/>
  <c r="N192" i="24"/>
  <c r="O192" i="24"/>
  <c r="P192" i="24"/>
  <c r="Q192" i="24"/>
  <c r="R192" i="24"/>
  <c r="S192" i="24"/>
  <c r="T192" i="24"/>
  <c r="U192" i="24"/>
  <c r="M193" i="24"/>
  <c r="N193" i="24"/>
  <c r="O193" i="24"/>
  <c r="P193" i="24"/>
  <c r="Q193" i="24"/>
  <c r="R193" i="24"/>
  <c r="S193" i="24"/>
  <c r="T193" i="24"/>
  <c r="U193" i="24"/>
  <c r="M195" i="24"/>
  <c r="N195" i="24"/>
  <c r="O195" i="24"/>
  <c r="P195" i="24"/>
  <c r="Q195" i="24"/>
  <c r="R195" i="24"/>
  <c r="S195" i="24"/>
  <c r="T195" i="24"/>
  <c r="U195" i="24"/>
  <c r="N197" i="24"/>
  <c r="O197" i="24"/>
  <c r="P197" i="24"/>
  <c r="Q197" i="24"/>
  <c r="R197" i="24"/>
  <c r="S197" i="24"/>
  <c r="T197" i="24"/>
  <c r="U197" i="24"/>
  <c r="N198" i="24"/>
  <c r="O198" i="24"/>
  <c r="P198" i="24"/>
  <c r="Q198" i="24"/>
  <c r="R198" i="24"/>
  <c r="S198" i="24"/>
  <c r="T198" i="24"/>
  <c r="U198" i="24"/>
  <c r="M199" i="24"/>
  <c r="N199" i="24"/>
  <c r="O199" i="24"/>
  <c r="P199" i="24"/>
  <c r="Q199" i="24"/>
  <c r="R199" i="24"/>
  <c r="S199" i="24"/>
  <c r="T199" i="24"/>
  <c r="U199" i="24"/>
  <c r="M200" i="24"/>
  <c r="N200" i="24"/>
  <c r="O200" i="24"/>
  <c r="P200" i="24"/>
  <c r="Q200" i="24"/>
  <c r="R200" i="24"/>
  <c r="S200" i="24"/>
  <c r="T200" i="24"/>
  <c r="U200" i="24"/>
  <c r="M203" i="24"/>
  <c r="N203" i="24"/>
  <c r="O203" i="24"/>
  <c r="P203" i="24"/>
  <c r="Q203" i="24"/>
  <c r="R203" i="24"/>
  <c r="S203" i="24"/>
  <c r="T203" i="24"/>
  <c r="U203" i="24"/>
  <c r="M206" i="24"/>
  <c r="N206" i="24"/>
  <c r="O206" i="24"/>
  <c r="P206" i="24"/>
  <c r="Q206" i="24"/>
  <c r="R206" i="24"/>
  <c r="S206" i="24"/>
  <c r="T206" i="24"/>
  <c r="U206" i="24"/>
  <c r="M207" i="24"/>
  <c r="N207" i="24"/>
  <c r="O207" i="24"/>
  <c r="P207" i="24"/>
  <c r="Q207" i="24"/>
  <c r="R207" i="24"/>
  <c r="S207" i="24"/>
  <c r="T207" i="24"/>
  <c r="U207" i="24"/>
  <c r="M209" i="24"/>
  <c r="N209" i="24"/>
  <c r="O209" i="24"/>
  <c r="P209" i="24"/>
  <c r="Q209" i="24"/>
  <c r="R209" i="24"/>
  <c r="S209" i="24"/>
  <c r="T209" i="24"/>
  <c r="U209" i="24"/>
  <c r="N211" i="24"/>
  <c r="O211" i="24"/>
  <c r="P211" i="24"/>
  <c r="Q211" i="24"/>
  <c r="R211" i="24"/>
  <c r="S211" i="24"/>
  <c r="T211" i="24"/>
  <c r="U211" i="24"/>
  <c r="N212" i="24"/>
  <c r="O212" i="24"/>
  <c r="P212" i="24"/>
  <c r="Q212" i="24"/>
  <c r="R212" i="24"/>
  <c r="S212" i="24"/>
  <c r="T212" i="24"/>
  <c r="U212" i="24"/>
  <c r="M213" i="24"/>
  <c r="N213" i="24"/>
  <c r="O213" i="24"/>
  <c r="P213" i="24"/>
  <c r="Q213" i="24"/>
  <c r="R213" i="24"/>
  <c r="S213" i="24"/>
  <c r="T213" i="24"/>
  <c r="U213" i="24"/>
  <c r="M214" i="24"/>
  <c r="N214" i="24"/>
  <c r="O214" i="24"/>
  <c r="P214" i="24"/>
  <c r="Q214" i="24"/>
  <c r="R214" i="24"/>
  <c r="S214" i="24"/>
  <c r="T214" i="24"/>
  <c r="U214" i="24"/>
  <c r="M215" i="24"/>
  <c r="N215" i="24"/>
  <c r="O215" i="24"/>
  <c r="P215" i="24"/>
  <c r="Q215" i="24"/>
  <c r="R215" i="24"/>
  <c r="S215" i="24"/>
  <c r="T215" i="24"/>
  <c r="U215" i="24"/>
  <c r="M217" i="24"/>
  <c r="N217" i="24"/>
  <c r="O217" i="24"/>
  <c r="P217" i="24"/>
  <c r="Q217" i="24"/>
  <c r="R217" i="24"/>
  <c r="S217" i="24"/>
  <c r="T217" i="24"/>
  <c r="U217" i="24"/>
  <c r="N219" i="24"/>
  <c r="O219" i="24"/>
  <c r="P219" i="24"/>
  <c r="Q219" i="24"/>
  <c r="R219" i="24"/>
  <c r="S219" i="24"/>
  <c r="T219" i="24"/>
  <c r="U219" i="24"/>
  <c r="N220" i="24"/>
  <c r="O220" i="24"/>
  <c r="P220" i="24"/>
  <c r="Q220" i="24"/>
  <c r="R220" i="24"/>
  <c r="S220" i="24"/>
  <c r="T220" i="24"/>
  <c r="U220" i="24"/>
  <c r="M221" i="24"/>
  <c r="N221" i="24"/>
  <c r="O221" i="24"/>
  <c r="P221" i="24"/>
  <c r="Q221" i="24"/>
  <c r="R221" i="24"/>
  <c r="S221" i="24"/>
  <c r="T221" i="24"/>
  <c r="U221" i="24"/>
  <c r="M222" i="24"/>
  <c r="N222" i="24"/>
  <c r="O222" i="24"/>
  <c r="P222" i="24"/>
  <c r="Q222" i="24"/>
  <c r="R222" i="24"/>
  <c r="S222" i="24"/>
  <c r="T222" i="24"/>
  <c r="U222" i="24"/>
  <c r="M223" i="24"/>
  <c r="N223" i="24"/>
  <c r="O223" i="24"/>
  <c r="P223" i="24"/>
  <c r="Q223" i="24"/>
  <c r="R223" i="24"/>
  <c r="S223" i="24"/>
  <c r="T223" i="24"/>
  <c r="U223" i="24"/>
  <c r="M231" i="24"/>
  <c r="N231" i="24"/>
  <c r="O231" i="24"/>
  <c r="P231" i="24"/>
  <c r="Q231" i="24"/>
  <c r="R231" i="24"/>
  <c r="S231" i="24"/>
  <c r="T231" i="24"/>
  <c r="U231" i="24"/>
  <c r="M232" i="24"/>
  <c r="N232" i="24"/>
  <c r="O232" i="24"/>
  <c r="P232" i="24"/>
  <c r="Q232" i="24"/>
  <c r="R232" i="24"/>
  <c r="S232" i="24"/>
  <c r="T232" i="24"/>
  <c r="U232" i="24"/>
  <c r="M234" i="24"/>
  <c r="N234" i="24"/>
  <c r="O234" i="24"/>
  <c r="P234" i="24"/>
  <c r="Q234" i="24"/>
  <c r="R234" i="24"/>
  <c r="S234" i="24"/>
  <c r="T234" i="24"/>
  <c r="U234" i="24"/>
  <c r="M241" i="24"/>
  <c r="N241" i="24"/>
  <c r="O241" i="24"/>
  <c r="P241" i="24"/>
  <c r="Q241" i="24"/>
  <c r="R241" i="24"/>
  <c r="S241" i="24"/>
  <c r="T241" i="24"/>
  <c r="U241" i="24"/>
  <c r="M242" i="24"/>
  <c r="N242" i="24"/>
  <c r="O242" i="24"/>
  <c r="P242" i="24"/>
  <c r="Q242" i="24"/>
  <c r="R242" i="24"/>
  <c r="S242" i="24"/>
  <c r="T242" i="24"/>
  <c r="U242" i="24"/>
  <c r="M244" i="24"/>
  <c r="N244" i="24"/>
  <c r="O244" i="24"/>
  <c r="P244" i="24"/>
  <c r="Q244" i="24"/>
  <c r="R244" i="24"/>
  <c r="S244" i="24"/>
  <c r="T244" i="24"/>
  <c r="U244" i="24"/>
  <c r="M245" i="24"/>
  <c r="N245" i="24"/>
  <c r="O245" i="24"/>
  <c r="P245" i="24"/>
  <c r="Q245" i="24"/>
  <c r="R245" i="24"/>
  <c r="S245" i="24"/>
  <c r="T245" i="24"/>
  <c r="U245" i="24"/>
  <c r="M246" i="24"/>
  <c r="N246" i="24"/>
  <c r="O246" i="24"/>
  <c r="P246" i="24"/>
  <c r="Q246" i="24"/>
  <c r="R246" i="24"/>
  <c r="S246" i="24"/>
  <c r="T246" i="24"/>
  <c r="U246" i="24"/>
  <c r="M248" i="24"/>
  <c r="N248" i="24"/>
  <c r="O248" i="24"/>
  <c r="P248" i="24"/>
  <c r="Q248" i="24"/>
  <c r="R248" i="24"/>
  <c r="S248" i="24"/>
  <c r="T248" i="24"/>
  <c r="U248" i="24"/>
  <c r="P250" i="24"/>
  <c r="L251" i="24"/>
  <c r="N100" i="27"/>
  <c r="O100" i="27"/>
  <c r="P100" i="27"/>
  <c r="Q100" i="27"/>
  <c r="R100" i="27"/>
  <c r="S100" i="27"/>
  <c r="T100" i="27"/>
  <c r="U100" i="27"/>
  <c r="M101" i="27"/>
  <c r="N101" i="27"/>
  <c r="O101" i="27"/>
  <c r="P101" i="27"/>
  <c r="Q101" i="27"/>
  <c r="R101" i="27"/>
  <c r="S101" i="27"/>
  <c r="T101" i="27"/>
  <c r="U101" i="27"/>
  <c r="M102" i="27"/>
  <c r="N102" i="27"/>
  <c r="O102" i="27"/>
  <c r="P102" i="27"/>
  <c r="Q102" i="27"/>
  <c r="R102" i="27"/>
  <c r="S102" i="27"/>
  <c r="T102" i="27"/>
  <c r="U102" i="27"/>
  <c r="M103" i="27"/>
  <c r="N103" i="27"/>
  <c r="O103" i="27"/>
  <c r="P103" i="27"/>
  <c r="Q103" i="27"/>
  <c r="R103" i="27"/>
  <c r="S103" i="27"/>
  <c r="T103" i="27"/>
  <c r="U103" i="27"/>
  <c r="M123" i="27"/>
  <c r="N123" i="27"/>
  <c r="O123" i="27"/>
  <c r="P123" i="27"/>
  <c r="Q123" i="27"/>
  <c r="R123" i="27"/>
  <c r="S123" i="27"/>
  <c r="T123" i="27"/>
  <c r="M124" i="27"/>
  <c r="N124" i="27"/>
  <c r="O124" i="27"/>
  <c r="P124" i="27"/>
  <c r="Q124" i="27"/>
  <c r="R124" i="27"/>
  <c r="S124" i="27"/>
  <c r="T124" i="27"/>
  <c r="U124" i="27"/>
  <c r="M126" i="27"/>
  <c r="N126" i="27"/>
  <c r="O126" i="27"/>
  <c r="P126" i="27"/>
  <c r="Q126" i="27"/>
  <c r="R126" i="27"/>
  <c r="S126" i="27"/>
  <c r="T126" i="27"/>
  <c r="U126" i="27"/>
  <c r="M127" i="27"/>
  <c r="N127" i="27"/>
  <c r="O127" i="27"/>
  <c r="P127" i="27"/>
  <c r="Q127" i="27"/>
  <c r="R127" i="27"/>
  <c r="S127" i="27"/>
  <c r="T127" i="27"/>
  <c r="U127" i="27"/>
  <c r="M128" i="27"/>
  <c r="N128" i="27"/>
  <c r="O128" i="27"/>
  <c r="P128" i="27"/>
  <c r="Q128" i="27"/>
  <c r="R128" i="27"/>
  <c r="S128" i="27"/>
  <c r="T128" i="27"/>
  <c r="U128" i="27"/>
  <c r="M131" i="27"/>
  <c r="N131" i="27"/>
  <c r="O131" i="27"/>
  <c r="P131" i="27"/>
  <c r="Q131" i="27"/>
  <c r="R131" i="27"/>
  <c r="S131" i="27"/>
  <c r="T131" i="27"/>
  <c r="U131" i="27"/>
  <c r="M139" i="27"/>
  <c r="N139" i="27"/>
  <c r="O139" i="27"/>
  <c r="P139" i="27"/>
  <c r="Q139" i="27"/>
  <c r="R139" i="27"/>
  <c r="S139" i="27"/>
  <c r="T139" i="27"/>
  <c r="U139" i="27"/>
  <c r="M141" i="27"/>
  <c r="N141" i="27"/>
  <c r="O141" i="27"/>
  <c r="P141" i="27"/>
  <c r="Q141" i="27"/>
  <c r="R141" i="27"/>
  <c r="S141" i="27"/>
  <c r="T141" i="27"/>
  <c r="U141" i="27"/>
  <c r="M146" i="27"/>
  <c r="N146" i="27"/>
  <c r="O146" i="27"/>
  <c r="P146" i="27"/>
  <c r="Q146" i="27"/>
  <c r="R146" i="27"/>
  <c r="S146" i="27"/>
  <c r="T146" i="27"/>
  <c r="U146" i="27"/>
  <c r="M147" i="27"/>
  <c r="N147" i="27"/>
  <c r="O147" i="27"/>
  <c r="P147" i="27"/>
  <c r="Q147" i="27"/>
  <c r="R147" i="27"/>
  <c r="S147" i="27"/>
  <c r="T147" i="27"/>
  <c r="U147" i="27"/>
  <c r="M148" i="27"/>
  <c r="N148" i="27"/>
  <c r="O148" i="27"/>
  <c r="P148" i="27"/>
  <c r="Q148" i="27"/>
  <c r="R148" i="27"/>
  <c r="S148" i="27"/>
  <c r="T148" i="27"/>
  <c r="U148" i="27"/>
  <c r="M150" i="27"/>
  <c r="N150" i="27"/>
  <c r="O150" i="27"/>
  <c r="P150" i="27"/>
  <c r="Q150" i="27"/>
  <c r="R150" i="27"/>
  <c r="S150" i="27"/>
  <c r="T150" i="27"/>
  <c r="U150" i="27"/>
  <c r="M151" i="27"/>
  <c r="N151" i="27"/>
  <c r="O151" i="27"/>
  <c r="P151" i="27"/>
  <c r="Q151" i="27"/>
  <c r="R151" i="27"/>
  <c r="S151" i="27"/>
  <c r="T151" i="27"/>
  <c r="U151" i="27"/>
  <c r="M153" i="27"/>
  <c r="N153" i="27"/>
  <c r="O153" i="27"/>
  <c r="P153" i="27"/>
  <c r="Q153" i="27"/>
  <c r="R153" i="27"/>
  <c r="S153" i="27"/>
  <c r="T153" i="27"/>
  <c r="U153" i="27"/>
  <c r="M157" i="27"/>
  <c r="N157" i="27"/>
  <c r="O157" i="27"/>
  <c r="P157" i="27"/>
  <c r="Q157" i="27"/>
  <c r="R157" i="27"/>
  <c r="S157" i="27"/>
  <c r="T157" i="27"/>
  <c r="M158" i="27"/>
  <c r="N158" i="27"/>
  <c r="O158" i="27"/>
  <c r="P158" i="27"/>
  <c r="Q158" i="27"/>
  <c r="R158" i="27"/>
  <c r="S158" i="27"/>
  <c r="T158" i="27"/>
  <c r="U158" i="27"/>
  <c r="M159" i="27"/>
  <c r="N159" i="27"/>
  <c r="O159" i="27"/>
  <c r="P159" i="27"/>
  <c r="Q159" i="27"/>
  <c r="R159" i="27"/>
  <c r="S159" i="27"/>
  <c r="T159" i="27"/>
  <c r="U159" i="27"/>
  <c r="M163" i="27"/>
  <c r="N163" i="27"/>
  <c r="O163" i="27"/>
  <c r="P163" i="27"/>
  <c r="Q163" i="27"/>
  <c r="R163" i="27"/>
  <c r="S163" i="27"/>
  <c r="T163" i="27"/>
  <c r="U163" i="27"/>
  <c r="M168" i="27"/>
  <c r="N168" i="27"/>
  <c r="O168" i="27"/>
  <c r="P168" i="27"/>
  <c r="Q168" i="27"/>
  <c r="R168" i="27"/>
  <c r="S168" i="27"/>
  <c r="T168" i="27"/>
  <c r="U168" i="27"/>
  <c r="M170" i="27"/>
  <c r="N170" i="27"/>
  <c r="O170" i="27"/>
  <c r="P170" i="27"/>
  <c r="Q170" i="27"/>
  <c r="R170" i="27"/>
  <c r="S170" i="27"/>
  <c r="T170" i="27"/>
  <c r="U170" i="27"/>
  <c r="M171" i="27"/>
  <c r="N171" i="27"/>
  <c r="O171" i="27"/>
  <c r="P171" i="27"/>
  <c r="Q171" i="27"/>
  <c r="R171" i="27"/>
  <c r="S171" i="27"/>
  <c r="T171" i="27"/>
  <c r="U171" i="27"/>
  <c r="M172" i="27"/>
  <c r="N172" i="27"/>
  <c r="O172" i="27"/>
  <c r="P172" i="27"/>
  <c r="Q172" i="27"/>
  <c r="R172" i="27"/>
  <c r="S172" i="27"/>
  <c r="T172" i="27"/>
  <c r="U172" i="27"/>
  <c r="M173" i="27"/>
  <c r="N173" i="27"/>
  <c r="O173" i="27"/>
  <c r="P173" i="27"/>
  <c r="Q173" i="27"/>
  <c r="R173" i="27"/>
  <c r="S173" i="27"/>
  <c r="T173" i="27"/>
  <c r="U173" i="27"/>
  <c r="M174" i="27"/>
  <c r="N174" i="27"/>
  <c r="O174" i="27"/>
  <c r="P174" i="27"/>
  <c r="Q174" i="27"/>
  <c r="R174" i="27"/>
  <c r="S174" i="27"/>
  <c r="T174" i="27"/>
  <c r="U174" i="27"/>
  <c r="N176" i="27"/>
  <c r="O176" i="27"/>
  <c r="P176" i="27"/>
  <c r="Q176" i="27"/>
  <c r="R176" i="27"/>
  <c r="S176" i="27"/>
  <c r="T176" i="27"/>
  <c r="U176" i="27"/>
  <c r="M177" i="27"/>
  <c r="N177" i="27"/>
  <c r="O177" i="27"/>
  <c r="P177" i="27"/>
  <c r="Q177" i="27"/>
  <c r="R177" i="27"/>
  <c r="S177" i="27"/>
  <c r="T177" i="27"/>
  <c r="U177" i="27"/>
  <c r="M178" i="27"/>
  <c r="N178" i="27"/>
  <c r="O178" i="27"/>
  <c r="P178" i="27"/>
  <c r="Q178" i="27"/>
  <c r="R178" i="27"/>
  <c r="S178" i="27"/>
  <c r="T178" i="27"/>
  <c r="U178" i="27"/>
  <c r="N185" i="27"/>
  <c r="O185" i="27"/>
  <c r="P185" i="27"/>
  <c r="Q185" i="27"/>
  <c r="R185" i="27"/>
  <c r="S185" i="27"/>
  <c r="T185" i="27"/>
  <c r="U185" i="27"/>
  <c r="M186" i="27"/>
  <c r="N186" i="27"/>
  <c r="O186" i="27"/>
  <c r="P186" i="27"/>
  <c r="Q186" i="27"/>
  <c r="R186" i="27"/>
  <c r="S186" i="27"/>
  <c r="T186" i="27"/>
  <c r="U186" i="27"/>
  <c r="M188" i="27"/>
  <c r="N188" i="27"/>
  <c r="O188" i="27"/>
  <c r="P188" i="27"/>
  <c r="Q188" i="27"/>
  <c r="R188" i="27"/>
  <c r="S188" i="27"/>
  <c r="T188" i="27"/>
  <c r="U188" i="27"/>
  <c r="M189" i="27"/>
  <c r="N189" i="27"/>
  <c r="O189" i="27"/>
  <c r="P189" i="27"/>
  <c r="Q189" i="27"/>
  <c r="R189" i="27"/>
  <c r="S189" i="27"/>
  <c r="T189" i="27"/>
  <c r="U189" i="27"/>
  <c r="M193" i="27"/>
  <c r="N193" i="27"/>
  <c r="O193" i="27"/>
  <c r="P193" i="27"/>
  <c r="Q193" i="27"/>
  <c r="R193" i="27"/>
  <c r="S193" i="27"/>
  <c r="T193" i="27"/>
  <c r="U193" i="27"/>
  <c r="N195" i="27"/>
  <c r="O195" i="27"/>
  <c r="P195" i="27"/>
  <c r="Q195" i="27"/>
  <c r="R195" i="27"/>
  <c r="S195" i="27"/>
  <c r="T195" i="27"/>
  <c r="U195" i="27"/>
  <c r="M196" i="27"/>
  <c r="N196" i="27"/>
  <c r="O196" i="27"/>
  <c r="P196" i="27"/>
  <c r="Q196" i="27"/>
  <c r="R196" i="27"/>
  <c r="S196" i="27"/>
  <c r="T196" i="27"/>
  <c r="U196" i="27"/>
  <c r="N198" i="27"/>
  <c r="O198" i="27"/>
  <c r="P198" i="27"/>
  <c r="Q198" i="27"/>
  <c r="R198" i="27"/>
  <c r="S198" i="27"/>
  <c r="T198" i="27"/>
  <c r="U198" i="27"/>
  <c r="M199" i="27"/>
  <c r="N199" i="27"/>
  <c r="O199" i="27"/>
  <c r="P199" i="27"/>
  <c r="Q199" i="27"/>
  <c r="R199" i="27"/>
  <c r="S199" i="27"/>
  <c r="T199" i="27"/>
  <c r="U199" i="27"/>
  <c r="M200" i="27"/>
  <c r="N200" i="27"/>
  <c r="O200" i="27"/>
  <c r="P200" i="27"/>
  <c r="Q200" i="27"/>
  <c r="R200" i="27"/>
  <c r="S200" i="27"/>
  <c r="T200" i="27"/>
  <c r="U200" i="27"/>
  <c r="M201" i="27"/>
  <c r="N201" i="27"/>
  <c r="O201" i="27"/>
  <c r="P201" i="27"/>
  <c r="Q201" i="27"/>
  <c r="R201" i="27"/>
  <c r="S201" i="27"/>
  <c r="T201" i="27"/>
  <c r="U201" i="27"/>
  <c r="M203" i="27"/>
  <c r="N203" i="27"/>
  <c r="O203" i="27"/>
  <c r="P203" i="27"/>
  <c r="Q203" i="27"/>
  <c r="R203" i="27"/>
  <c r="S203" i="27"/>
  <c r="T203" i="27"/>
  <c r="U203" i="27"/>
  <c r="N205" i="27"/>
  <c r="O205" i="27"/>
  <c r="P205" i="27"/>
  <c r="Q205" i="27"/>
  <c r="R205" i="27"/>
  <c r="S205" i="27"/>
  <c r="T205" i="27"/>
  <c r="U205" i="27"/>
  <c r="N206" i="27"/>
  <c r="O206" i="27"/>
  <c r="P206" i="27"/>
  <c r="Q206" i="27"/>
  <c r="R206" i="27"/>
  <c r="S206" i="27"/>
  <c r="T206" i="27"/>
  <c r="U206" i="27"/>
  <c r="M207" i="27"/>
  <c r="N207" i="27"/>
  <c r="O207" i="27"/>
  <c r="P207" i="27"/>
  <c r="Q207" i="27"/>
  <c r="R207" i="27"/>
  <c r="S207" i="27"/>
  <c r="T207" i="27"/>
  <c r="U207" i="27"/>
  <c r="M208" i="27"/>
  <c r="N208" i="27"/>
  <c r="O208" i="27"/>
  <c r="P208" i="27"/>
  <c r="Q208" i="27"/>
  <c r="R208" i="27"/>
  <c r="S208" i="27"/>
  <c r="T208" i="27"/>
  <c r="U208" i="27"/>
  <c r="M211" i="27"/>
  <c r="N211" i="27"/>
  <c r="O211" i="27"/>
  <c r="P211" i="27"/>
  <c r="Q211" i="27"/>
  <c r="R211" i="27"/>
  <c r="S211" i="27"/>
  <c r="T211" i="27"/>
  <c r="U211" i="27"/>
  <c r="M214" i="27"/>
  <c r="N214" i="27"/>
  <c r="O214" i="27"/>
  <c r="P214" i="27"/>
  <c r="Q214" i="27"/>
  <c r="R214" i="27"/>
  <c r="S214" i="27"/>
  <c r="T214" i="27"/>
  <c r="U214" i="27"/>
  <c r="M215" i="27"/>
  <c r="N215" i="27"/>
  <c r="O215" i="27"/>
  <c r="P215" i="27"/>
  <c r="Q215" i="27"/>
  <c r="R215" i="27"/>
  <c r="S215" i="27"/>
  <c r="T215" i="27"/>
  <c r="U215" i="27"/>
  <c r="M217" i="27"/>
  <c r="N217" i="27"/>
  <c r="O217" i="27"/>
  <c r="P217" i="27"/>
  <c r="Q217" i="27"/>
  <c r="R217" i="27"/>
  <c r="S217" i="27"/>
  <c r="T217" i="27"/>
  <c r="U217" i="27"/>
  <c r="N219" i="27"/>
  <c r="O219" i="27"/>
  <c r="P219" i="27"/>
  <c r="Q219" i="27"/>
  <c r="R219" i="27"/>
  <c r="S219" i="27"/>
  <c r="T219" i="27"/>
  <c r="U219" i="27"/>
  <c r="N220" i="27"/>
  <c r="O220" i="27"/>
  <c r="P220" i="27"/>
  <c r="Q220" i="27"/>
  <c r="R220" i="27"/>
  <c r="S220" i="27"/>
  <c r="T220" i="27"/>
  <c r="U220" i="27"/>
  <c r="M221" i="27"/>
  <c r="N221" i="27"/>
  <c r="O221" i="27"/>
  <c r="P221" i="27"/>
  <c r="Q221" i="27"/>
  <c r="R221" i="27"/>
  <c r="S221" i="27"/>
  <c r="T221" i="27"/>
  <c r="U221" i="27"/>
  <c r="M222" i="27"/>
  <c r="N222" i="27"/>
  <c r="O222" i="27"/>
  <c r="P222" i="27"/>
  <c r="Q222" i="27"/>
  <c r="R222" i="27"/>
  <c r="S222" i="27"/>
  <c r="T222" i="27"/>
  <c r="U222" i="27"/>
  <c r="M223" i="27"/>
  <c r="N223" i="27"/>
  <c r="O223" i="27"/>
  <c r="P223" i="27"/>
  <c r="Q223" i="27"/>
  <c r="R223" i="27"/>
  <c r="S223" i="27"/>
  <c r="T223" i="27"/>
  <c r="U223" i="27"/>
  <c r="M225" i="27"/>
  <c r="N225" i="27"/>
  <c r="O225" i="27"/>
  <c r="P225" i="27"/>
  <c r="Q225" i="27"/>
  <c r="R225" i="27"/>
  <c r="S225" i="27"/>
  <c r="T225" i="27"/>
  <c r="U225" i="27"/>
  <c r="N227" i="27"/>
  <c r="O227" i="27"/>
  <c r="P227" i="27"/>
  <c r="Q227" i="27"/>
  <c r="R227" i="27"/>
  <c r="S227" i="27"/>
  <c r="T227" i="27"/>
  <c r="U227" i="27"/>
  <c r="N228" i="27"/>
  <c r="O228" i="27"/>
  <c r="P228" i="27"/>
  <c r="Q228" i="27"/>
  <c r="R228" i="27"/>
  <c r="S228" i="27"/>
  <c r="T228" i="27"/>
  <c r="U228" i="27"/>
  <c r="M229" i="27"/>
  <c r="N229" i="27"/>
  <c r="O229" i="27"/>
  <c r="P229" i="27"/>
  <c r="Q229" i="27"/>
  <c r="R229" i="27"/>
  <c r="S229" i="27"/>
  <c r="T229" i="27"/>
  <c r="U229" i="27"/>
  <c r="M230" i="27"/>
  <c r="N230" i="27"/>
  <c r="O230" i="27"/>
  <c r="P230" i="27"/>
  <c r="Q230" i="27"/>
  <c r="R230" i="27"/>
  <c r="S230" i="27"/>
  <c r="T230" i="27"/>
  <c r="U230" i="27"/>
  <c r="M231" i="27"/>
  <c r="N231" i="27"/>
  <c r="O231" i="27"/>
  <c r="P231" i="27"/>
  <c r="Q231" i="27"/>
  <c r="R231" i="27"/>
  <c r="S231" i="27"/>
  <c r="T231" i="27"/>
  <c r="U231" i="27"/>
  <c r="M239" i="27"/>
  <c r="N239" i="27"/>
  <c r="O239" i="27"/>
  <c r="P239" i="27"/>
  <c r="Q239" i="27"/>
  <c r="R239" i="27"/>
  <c r="S239" i="27"/>
  <c r="T239" i="27"/>
  <c r="U239" i="27"/>
  <c r="M240" i="27"/>
  <c r="N240" i="27"/>
  <c r="O240" i="27"/>
  <c r="P240" i="27"/>
  <c r="Q240" i="27"/>
  <c r="R240" i="27"/>
  <c r="S240" i="27"/>
  <c r="T240" i="27"/>
  <c r="U240" i="27"/>
  <c r="M242" i="27"/>
  <c r="N242" i="27"/>
  <c r="O242" i="27"/>
  <c r="P242" i="27"/>
  <c r="Q242" i="27"/>
  <c r="R242" i="27"/>
  <c r="S242" i="27"/>
  <c r="T242" i="27"/>
  <c r="U242" i="27"/>
  <c r="M249" i="27"/>
  <c r="N249" i="27"/>
  <c r="O249" i="27"/>
  <c r="P249" i="27"/>
  <c r="Q249" i="27"/>
  <c r="R249" i="27"/>
  <c r="S249" i="27"/>
  <c r="T249" i="27"/>
  <c r="U249" i="27"/>
  <c r="M250" i="27"/>
  <c r="N250" i="27"/>
  <c r="O250" i="27"/>
  <c r="P250" i="27"/>
  <c r="Q250" i="27"/>
  <c r="R250" i="27"/>
  <c r="S250" i="27"/>
  <c r="T250" i="27"/>
  <c r="U250" i="27"/>
  <c r="M252" i="27"/>
  <c r="N252" i="27"/>
  <c r="O252" i="27"/>
  <c r="P252" i="27"/>
  <c r="Q252" i="27"/>
  <c r="R252" i="27"/>
  <c r="S252" i="27"/>
  <c r="T252" i="27"/>
  <c r="U252" i="27"/>
  <c r="M253" i="27"/>
  <c r="N253" i="27"/>
  <c r="O253" i="27"/>
  <c r="P253" i="27"/>
  <c r="Q253" i="27"/>
  <c r="R253" i="27"/>
  <c r="S253" i="27"/>
  <c r="T253" i="27"/>
  <c r="U253" i="27"/>
  <c r="M254" i="27"/>
  <c r="N254" i="27"/>
  <c r="O254" i="27"/>
  <c r="P254" i="27"/>
  <c r="Q254" i="27"/>
  <c r="R254" i="27"/>
  <c r="S254" i="27"/>
  <c r="T254" i="27"/>
  <c r="U254" i="27"/>
  <c r="M256" i="27"/>
  <c r="N256" i="27"/>
  <c r="O256" i="27"/>
  <c r="P256" i="27"/>
  <c r="Q256" i="27"/>
  <c r="R256" i="27"/>
  <c r="S256" i="27"/>
  <c r="T256" i="27"/>
  <c r="U256" i="27"/>
  <c r="P259" i="27"/>
  <c r="P262" i="27"/>
  <c r="L263" i="27"/>
  <c r="P266" i="27"/>
  <c r="P267" i="27"/>
  <c r="L268" i="27"/>
  <c r="P271" i="27"/>
  <c r="P272" i="27"/>
  <c r="L27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F12" authorId="0" shapeId="0" xr:uid="{71F8BD54-FF42-44EA-B98B-EA02BBC03D1A}">
      <text>
        <r>
          <rPr>
            <b/>
            <sz val="9"/>
            <color indexed="81"/>
            <rFont val="Tahoma"/>
            <family val="2"/>
          </rPr>
          <t>Financial Edge:</t>
        </r>
        <r>
          <rPr>
            <sz val="9"/>
            <color indexed="81"/>
            <rFont val="Tahoma"/>
            <family val="2"/>
          </rPr>
          <t xml:space="preserve">
European B 10 year credit spread
Source: Felix/Europe/Discount Rate</t>
        </r>
      </text>
    </comment>
    <comment ref="G21" authorId="0" shapeId="0" xr:uid="{A82665FA-34C7-43E3-AEA8-0FF2B5CBA13E}">
      <text>
        <r>
          <rPr>
            <b/>
            <sz val="9"/>
            <color indexed="81"/>
            <rFont val="Tahoma"/>
            <family val="2"/>
          </rPr>
          <t>Financial Edge:</t>
        </r>
        <r>
          <rPr>
            <sz val="9"/>
            <color indexed="81"/>
            <rFont val="Tahoma"/>
            <family val="2"/>
          </rPr>
          <t xml:space="preserve">
Factset</t>
        </r>
      </text>
    </comment>
    <comment ref="H21" authorId="0" shapeId="0" xr:uid="{EBB2CAE0-3658-4221-B8CD-4A944400B25C}">
      <text>
        <r>
          <rPr>
            <b/>
            <sz val="9"/>
            <color indexed="81"/>
            <rFont val="Tahoma"/>
            <family val="2"/>
          </rPr>
          <t>Financial Edge:</t>
        </r>
        <r>
          <rPr>
            <sz val="9"/>
            <color indexed="81"/>
            <rFont val="Tahoma"/>
            <family val="2"/>
          </rPr>
          <t xml:space="preserve">
Factset</t>
        </r>
      </text>
    </comment>
    <comment ref="I21" authorId="0" shapeId="0" xr:uid="{7799B3A4-E2B4-4B84-9636-5F633556B930}">
      <text>
        <r>
          <rPr>
            <b/>
            <sz val="9"/>
            <color indexed="81"/>
            <rFont val="Tahoma"/>
            <family val="2"/>
          </rPr>
          <t>Financial Edge:</t>
        </r>
        <r>
          <rPr>
            <sz val="9"/>
            <color indexed="81"/>
            <rFont val="Tahoma"/>
            <family val="2"/>
          </rPr>
          <t xml:space="preserve">
Factset</t>
        </r>
      </text>
    </comment>
    <comment ref="G23" authorId="0" shapeId="0" xr:uid="{741BA15E-D551-46D9-B369-B89AF99C5FD9}">
      <text>
        <r>
          <rPr>
            <b/>
            <sz val="9"/>
            <color indexed="81"/>
            <rFont val="Tahoma"/>
            <family val="2"/>
          </rPr>
          <t>Financial Edge:</t>
        </r>
        <r>
          <rPr>
            <sz val="9"/>
            <color indexed="81"/>
            <rFont val="Tahoma"/>
            <family val="2"/>
          </rPr>
          <t xml:space="preserve">
Factset</t>
        </r>
      </text>
    </comment>
    <comment ref="H23" authorId="0" shapeId="0" xr:uid="{3D9B6CE5-1F7F-4589-AC99-6C66B2D16E68}">
      <text>
        <r>
          <rPr>
            <b/>
            <sz val="9"/>
            <color indexed="81"/>
            <rFont val="Tahoma"/>
            <family val="2"/>
          </rPr>
          <t>Financial Edge:</t>
        </r>
        <r>
          <rPr>
            <sz val="9"/>
            <color indexed="81"/>
            <rFont val="Tahoma"/>
            <family val="2"/>
          </rPr>
          <t xml:space="preserve">
Factset</t>
        </r>
      </text>
    </comment>
    <comment ref="I23" authorId="0" shapeId="0" xr:uid="{96E8F4F1-16C6-4115-B4B1-966FAB17AD00}">
      <text>
        <r>
          <rPr>
            <b/>
            <sz val="9"/>
            <color indexed="81"/>
            <rFont val="Tahoma"/>
            <family val="2"/>
          </rPr>
          <t>Financial Edge:</t>
        </r>
        <r>
          <rPr>
            <sz val="9"/>
            <color indexed="81"/>
            <rFont val="Tahoma"/>
            <family val="2"/>
          </rPr>
          <t xml:space="preserve">
Factset</t>
        </r>
      </text>
    </comment>
    <comment ref="G25" authorId="0" shapeId="0" xr:uid="{98D95095-6823-497A-854E-C7DBC0A948D2}">
      <text>
        <r>
          <rPr>
            <b/>
            <sz val="9"/>
            <color indexed="81"/>
            <rFont val="Tahoma"/>
            <family val="2"/>
          </rPr>
          <t>Financial Edge:</t>
        </r>
        <r>
          <rPr>
            <sz val="9"/>
            <color indexed="81"/>
            <rFont val="Tahoma"/>
            <family val="2"/>
          </rPr>
          <t xml:space="preserve">
Factset</t>
        </r>
      </text>
    </comment>
    <comment ref="H25" authorId="0" shapeId="0" xr:uid="{E7658492-AE35-4131-9FEC-CD3FF2551A15}">
      <text>
        <r>
          <rPr>
            <b/>
            <sz val="9"/>
            <color indexed="81"/>
            <rFont val="Tahoma"/>
            <family val="2"/>
          </rPr>
          <t>Financial Edge:</t>
        </r>
        <r>
          <rPr>
            <sz val="9"/>
            <color indexed="81"/>
            <rFont val="Tahoma"/>
            <family val="2"/>
          </rPr>
          <t xml:space="preserve">
Factset</t>
        </r>
      </text>
    </comment>
    <comment ref="I25" authorId="0" shapeId="0" xr:uid="{F1C74711-33C9-40EC-A0B2-143E28311B8B}">
      <text>
        <r>
          <rPr>
            <b/>
            <sz val="9"/>
            <color indexed="81"/>
            <rFont val="Tahoma"/>
            <family val="2"/>
          </rPr>
          <t>Financial Edge:</t>
        </r>
        <r>
          <rPr>
            <sz val="9"/>
            <color indexed="81"/>
            <rFont val="Tahoma"/>
            <family val="2"/>
          </rPr>
          <t xml:space="preserve">
Factset</t>
        </r>
      </text>
    </comment>
    <comment ref="B78" authorId="0" shapeId="0" xr:uid="{A780AD76-FE38-4FF1-8EE6-35706BE5C058}">
      <text>
        <r>
          <rPr>
            <b/>
            <sz val="9"/>
            <color indexed="81"/>
            <rFont val="Tahoma"/>
            <family val="2"/>
          </rPr>
          <t>Financial Edge:</t>
        </r>
        <r>
          <rPr>
            <sz val="9"/>
            <color indexed="81"/>
            <rFont val="Tahoma"/>
            <family val="2"/>
          </rPr>
          <t xml:space="preserve">
50% paydown minimum required within 7 years for credit committee to approve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F7" authorId="0" shapeId="0" xr:uid="{2EF01FD4-DA2F-4141-923E-EA13E3D19E14}">
      <text>
        <r>
          <rPr>
            <b/>
            <sz val="9"/>
            <color indexed="81"/>
            <rFont val="Tahoma"/>
            <family val="2"/>
          </rPr>
          <t>Financial Edge:</t>
        </r>
        <r>
          <rPr>
            <sz val="9"/>
            <color indexed="81"/>
            <rFont val="Tahoma"/>
            <family val="2"/>
          </rPr>
          <t xml:space="preserve">
09-May-2025 (Factset)</t>
        </r>
      </text>
    </comment>
    <comment ref="F12" authorId="0" shapeId="0" xr:uid="{37A9E619-3202-4FEA-B7AE-340C4B374701}">
      <text>
        <r>
          <rPr>
            <b/>
            <sz val="9"/>
            <color indexed="81"/>
            <rFont val="Tahoma"/>
            <family val="2"/>
          </rPr>
          <t>Financial Edge:</t>
        </r>
        <r>
          <rPr>
            <sz val="9"/>
            <color indexed="81"/>
            <rFont val="Tahoma"/>
            <family val="2"/>
          </rPr>
          <t xml:space="preserve">
2024 AR</t>
        </r>
      </text>
    </comment>
    <comment ref="F19" authorId="0" shapeId="0" xr:uid="{2FD456EB-D7B0-4C35-B36D-5FB364F6F0BE}">
      <text>
        <r>
          <rPr>
            <b/>
            <sz val="9"/>
            <color indexed="81"/>
            <rFont val="Tahoma"/>
            <family val="2"/>
          </rPr>
          <t>Financial Edge:</t>
        </r>
        <r>
          <rPr>
            <sz val="9"/>
            <color indexed="81"/>
            <rFont val="Tahoma"/>
            <family val="2"/>
          </rPr>
          <t xml:space="preserve">
European B 10 year credit spread
Source: Felix/Europe/Discount Rate</t>
        </r>
      </text>
    </comment>
    <comment ref="G28" authorId="0" shapeId="0" xr:uid="{9052409C-74C0-4E3A-8DE1-7E2F70B37DA6}">
      <text>
        <r>
          <rPr>
            <b/>
            <sz val="9"/>
            <color indexed="81"/>
            <rFont val="Tahoma"/>
            <family val="2"/>
          </rPr>
          <t>Financial Edge:</t>
        </r>
        <r>
          <rPr>
            <sz val="9"/>
            <color indexed="81"/>
            <rFont val="Tahoma"/>
            <family val="2"/>
          </rPr>
          <t xml:space="preserve">
Factset</t>
        </r>
      </text>
    </comment>
    <comment ref="H28" authorId="0" shapeId="0" xr:uid="{03CA34D9-A6DC-4869-AAC4-2A862C973E34}">
      <text>
        <r>
          <rPr>
            <b/>
            <sz val="9"/>
            <color indexed="81"/>
            <rFont val="Tahoma"/>
            <family val="2"/>
          </rPr>
          <t>Financial Edge:</t>
        </r>
        <r>
          <rPr>
            <sz val="9"/>
            <color indexed="81"/>
            <rFont val="Tahoma"/>
            <family val="2"/>
          </rPr>
          <t xml:space="preserve">
Factset</t>
        </r>
      </text>
    </comment>
    <comment ref="I28" authorId="0" shapeId="0" xr:uid="{73E56953-4FDB-4305-9C36-DC250EC7FF33}">
      <text>
        <r>
          <rPr>
            <b/>
            <sz val="9"/>
            <color indexed="81"/>
            <rFont val="Tahoma"/>
            <family val="2"/>
          </rPr>
          <t>Financial Edge:</t>
        </r>
        <r>
          <rPr>
            <sz val="9"/>
            <color indexed="81"/>
            <rFont val="Tahoma"/>
            <family val="2"/>
          </rPr>
          <t xml:space="preserve">
Factset</t>
        </r>
      </text>
    </comment>
    <comment ref="G30" authorId="0" shapeId="0" xr:uid="{69C74A84-7F28-487A-87AF-E21F34B24CE5}">
      <text>
        <r>
          <rPr>
            <b/>
            <sz val="9"/>
            <color indexed="81"/>
            <rFont val="Tahoma"/>
            <family val="2"/>
          </rPr>
          <t>Financial Edge:</t>
        </r>
        <r>
          <rPr>
            <sz val="9"/>
            <color indexed="81"/>
            <rFont val="Tahoma"/>
            <family val="2"/>
          </rPr>
          <t xml:space="preserve">
Factset</t>
        </r>
      </text>
    </comment>
    <comment ref="H30" authorId="0" shapeId="0" xr:uid="{6C076FBA-3A75-4E2F-B6B9-5B215C1E200B}">
      <text>
        <r>
          <rPr>
            <b/>
            <sz val="9"/>
            <color indexed="81"/>
            <rFont val="Tahoma"/>
            <family val="2"/>
          </rPr>
          <t>Financial Edge:</t>
        </r>
        <r>
          <rPr>
            <sz val="9"/>
            <color indexed="81"/>
            <rFont val="Tahoma"/>
            <family val="2"/>
          </rPr>
          <t xml:space="preserve">
Factset</t>
        </r>
      </text>
    </comment>
    <comment ref="I30" authorId="0" shapeId="0" xr:uid="{9B19AA23-E310-45BF-931A-EDABD1C74A0E}">
      <text>
        <r>
          <rPr>
            <b/>
            <sz val="9"/>
            <color indexed="81"/>
            <rFont val="Tahoma"/>
            <family val="2"/>
          </rPr>
          <t>Financial Edge:</t>
        </r>
        <r>
          <rPr>
            <sz val="9"/>
            <color indexed="81"/>
            <rFont val="Tahoma"/>
            <family val="2"/>
          </rPr>
          <t xml:space="preserve">
Factset</t>
        </r>
      </text>
    </comment>
    <comment ref="G32" authorId="0" shapeId="0" xr:uid="{C982A8D5-84CB-48FD-8159-C046DE7FF032}">
      <text>
        <r>
          <rPr>
            <b/>
            <sz val="9"/>
            <color indexed="81"/>
            <rFont val="Tahoma"/>
            <family val="2"/>
          </rPr>
          <t>Financial Edge:</t>
        </r>
        <r>
          <rPr>
            <sz val="9"/>
            <color indexed="81"/>
            <rFont val="Tahoma"/>
            <family val="2"/>
          </rPr>
          <t xml:space="preserve">
Factset</t>
        </r>
      </text>
    </comment>
    <comment ref="H32" authorId="0" shapeId="0" xr:uid="{E6EB9B2C-9D1E-4C53-A659-223BD0A45FE4}">
      <text>
        <r>
          <rPr>
            <b/>
            <sz val="9"/>
            <color indexed="81"/>
            <rFont val="Tahoma"/>
            <family val="2"/>
          </rPr>
          <t>Financial Edge:</t>
        </r>
        <r>
          <rPr>
            <sz val="9"/>
            <color indexed="81"/>
            <rFont val="Tahoma"/>
            <family val="2"/>
          </rPr>
          <t xml:space="preserve">
Factset</t>
        </r>
      </text>
    </comment>
    <comment ref="I32" authorId="0" shapeId="0" xr:uid="{6BDDDC3F-8202-46AC-89E0-5DD8B728138A}">
      <text>
        <r>
          <rPr>
            <b/>
            <sz val="9"/>
            <color indexed="81"/>
            <rFont val="Tahoma"/>
            <family val="2"/>
          </rPr>
          <t>Financial Edge:</t>
        </r>
        <r>
          <rPr>
            <sz val="9"/>
            <color indexed="81"/>
            <rFont val="Tahoma"/>
            <family val="2"/>
          </rPr>
          <t xml:space="preserve">
Factset</t>
        </r>
      </text>
    </comment>
    <comment ref="B85" authorId="0" shapeId="0" xr:uid="{78C6C5A7-2DC6-4B91-8DE7-42C469F0C447}">
      <text>
        <r>
          <rPr>
            <b/>
            <sz val="9"/>
            <color indexed="81"/>
            <rFont val="Tahoma"/>
            <family val="2"/>
          </rPr>
          <t>Financial Edge:</t>
        </r>
        <r>
          <rPr>
            <sz val="9"/>
            <color indexed="81"/>
            <rFont val="Tahoma"/>
            <family val="2"/>
          </rPr>
          <t xml:space="preserve">
50% paydown minimum required within 7 years for credit committee to approve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B8" authorId="0" shapeId="0" xr:uid="{E7E45989-E2CF-4B02-9BA1-94EA3FBA3028}">
      <text>
        <r>
          <rPr>
            <b/>
            <sz val="9"/>
            <color indexed="81"/>
            <rFont val="Tahoma"/>
            <family val="2"/>
          </rPr>
          <t>Financial Edge:</t>
        </r>
        <r>
          <rPr>
            <sz val="9"/>
            <color indexed="81"/>
            <rFont val="Tahoma"/>
            <family val="2"/>
          </rPr>
          <t xml:space="preserve">
Secured Overnight Financing Rate (SOFR)</t>
        </r>
      </text>
    </comment>
    <comment ref="G43" authorId="0" shapeId="0" xr:uid="{E96BDBE2-D4EF-4BC8-BD62-F91CC7CDCA1C}">
      <text>
        <r>
          <rPr>
            <b/>
            <sz val="9"/>
            <color indexed="81"/>
            <rFont val="Tahoma"/>
            <family val="2"/>
          </rPr>
          <t>Financial Edge:</t>
        </r>
        <r>
          <rPr>
            <sz val="9"/>
            <color indexed="81"/>
            <rFont val="Tahoma"/>
            <family val="2"/>
          </rPr>
          <t xml:space="preserve">
Unitranche 50-100bps higher than the weighted average cost of all financing</t>
        </r>
      </text>
    </comment>
    <comment ref="B54" authorId="0" shapeId="0" xr:uid="{09E6139A-BAA5-4619-BD6A-D78F7A0A9A44}">
      <text>
        <r>
          <rPr>
            <b/>
            <sz val="9"/>
            <color indexed="81"/>
            <rFont val="Tahoma"/>
            <family val="2"/>
          </rPr>
          <t>Financial Edge:</t>
        </r>
        <r>
          <rPr>
            <sz val="9"/>
            <color indexed="81"/>
            <rFont val="Tahoma"/>
            <family val="2"/>
          </rPr>
          <t xml:space="preserve">
Typically:
1. 7 year bullet
2. 1% p.a. amortization
3. Most loans, even cov-lite, have a mandatory cash sweep as some % of excess cash flow</t>
        </r>
      </text>
    </comment>
    <comment ref="B55" authorId="0" shapeId="0" xr:uid="{930F2CAC-2594-4DA6-9A6E-4A41C2A1CE60}">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t>
        </r>
      </text>
    </comment>
    <comment ref="D213" authorId="0" shapeId="0" xr:uid="{B388E40E-B80C-4945-B1A2-696D5E4D3DD8}">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 so we will leave the switch at zero by default and only use it to check theoretically how quickly the company could repay the debt.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B8" authorId="0" shapeId="0" xr:uid="{A0F1F940-2ADE-45C2-8F37-004C6DA21C23}">
      <text>
        <r>
          <rPr>
            <b/>
            <sz val="9"/>
            <color indexed="81"/>
            <rFont val="Tahoma"/>
            <family val="2"/>
          </rPr>
          <t>Financial Edge:</t>
        </r>
        <r>
          <rPr>
            <sz val="9"/>
            <color indexed="81"/>
            <rFont val="Tahoma"/>
            <family val="2"/>
          </rPr>
          <t xml:space="preserve">
Secured Overnight Financing Rate (SOFR)</t>
        </r>
      </text>
    </comment>
    <comment ref="G43" authorId="0" shapeId="0" xr:uid="{01C94274-E9B3-4C72-88AF-314A631036B3}">
      <text>
        <r>
          <rPr>
            <b/>
            <sz val="9"/>
            <color indexed="81"/>
            <rFont val="Tahoma"/>
            <family val="2"/>
          </rPr>
          <t>Financial Edge:</t>
        </r>
        <r>
          <rPr>
            <sz val="9"/>
            <color indexed="81"/>
            <rFont val="Tahoma"/>
            <family val="2"/>
          </rPr>
          <t xml:space="preserve">
Unitranche 50-100bps higher than the weighted average cost of all financing</t>
        </r>
      </text>
    </comment>
    <comment ref="B54" authorId="0" shapeId="0" xr:uid="{3BC78FA8-401A-4645-A597-8063EA66DDE9}">
      <text>
        <r>
          <rPr>
            <b/>
            <sz val="9"/>
            <color indexed="81"/>
            <rFont val="Tahoma"/>
            <family val="2"/>
          </rPr>
          <t>Financial Edge:</t>
        </r>
        <r>
          <rPr>
            <sz val="9"/>
            <color indexed="81"/>
            <rFont val="Tahoma"/>
            <family val="2"/>
          </rPr>
          <t xml:space="preserve">
Typically:
1. 7 year bullet
2. 1% p.a. amortization
3. Most loans, even cov-lite, have a mandatory cash sweep as some % of excess cash flow</t>
        </r>
      </text>
    </comment>
    <comment ref="B55" authorId="0" shapeId="0" xr:uid="{088C18CD-F6DF-43EC-8016-5264E88D508E}">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t>
        </r>
      </text>
    </comment>
    <comment ref="D221" authorId="0" shapeId="0" xr:uid="{C3A76240-ED39-42A8-A6D6-9BD20525F27C}">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 so we will leave the switch at zero by default and only use it to check theoretically how quickly the company could repay the debt.</t>
        </r>
      </text>
    </comment>
  </commentList>
</comments>
</file>

<file path=xl/sharedStrings.xml><?xml version="1.0" encoding="utf-8"?>
<sst xmlns="http://schemas.openxmlformats.org/spreadsheetml/2006/main" count="727" uniqueCount="322">
  <si>
    <t>Mid Cap LBO Modelling</t>
  </si>
  <si>
    <t>This document is for training purposes only. Financial Edge accepts no responsibility or liability for any other purpose or usage.</t>
  </si>
  <si>
    <t>www.fe.training</t>
  </si>
  <si>
    <t>Workout Information</t>
  </si>
  <si>
    <t>Features</t>
  </si>
  <si>
    <t>Model Details</t>
  </si>
  <si>
    <t>◦</t>
  </si>
  <si>
    <t>LBO</t>
  </si>
  <si>
    <t>Company name</t>
  </si>
  <si>
    <t>Date</t>
  </si>
  <si>
    <t>Currency</t>
  </si>
  <si>
    <t>Units</t>
  </si>
  <si>
    <t>Analyst Name</t>
  </si>
  <si>
    <t>Firstname Lastname</t>
  </si>
  <si>
    <t>Circular Switch</t>
  </si>
  <si>
    <t>Tab Structure</t>
  </si>
  <si>
    <t>Formatting</t>
  </si>
  <si>
    <t>Input</t>
  </si>
  <si>
    <t>Hard coded</t>
  </si>
  <si>
    <t>Formulas</t>
  </si>
  <si>
    <t>Actual</t>
  </si>
  <si>
    <t>Projected</t>
  </si>
  <si>
    <t>All numbers in GBPm unless otherwise stated</t>
  </si>
  <si>
    <t>Assumptions</t>
  </si>
  <si>
    <t>Sources and uses of funds</t>
  </si>
  <si>
    <t>X LTM EBITDA</t>
  </si>
  <si>
    <t>LTM EBITDA</t>
  </si>
  <si>
    <t>Enterprise value</t>
  </si>
  <si>
    <t>Senior debt</t>
  </si>
  <si>
    <t>Max debt / EBITDA multiple</t>
  </si>
  <si>
    <t>Fees</t>
  </si>
  <si>
    <t>Unsecured notes</t>
  </si>
  <si>
    <t>Max entry EV / LTM EBITDA multiple</t>
  </si>
  <si>
    <t>Equity</t>
  </si>
  <si>
    <t>Max exit EV / LTM EBITDA multiple</t>
  </si>
  <si>
    <t>Total uses of funds</t>
  </si>
  <si>
    <t>Total sources of funds</t>
  </si>
  <si>
    <t>Cost of debt financing - spread</t>
  </si>
  <si>
    <t>Risk free rate</t>
  </si>
  <si>
    <t>Cost of senior debt</t>
  </si>
  <si>
    <t>Cost of unsecured notes</t>
  </si>
  <si>
    <t>Interest rate on cash</t>
  </si>
  <si>
    <t>Fees % of enterprise value</t>
  </si>
  <si>
    <t>Exit year</t>
  </si>
  <si>
    <t>Revenue</t>
  </si>
  <si>
    <t>Revenue growth rate</t>
  </si>
  <si>
    <t>EBIT</t>
  </si>
  <si>
    <t>EBIT margin</t>
  </si>
  <si>
    <t>EBITDA</t>
  </si>
  <si>
    <t>EBITDA margin</t>
  </si>
  <si>
    <t>Cost savings % revenue</t>
  </si>
  <si>
    <t>Long-term effective tax rate</t>
  </si>
  <si>
    <t>Operating working capital % revenue</t>
  </si>
  <si>
    <t>Capex % revenue</t>
  </si>
  <si>
    <t>Income statement</t>
  </si>
  <si>
    <t>Cost savings</t>
  </si>
  <si>
    <t>Interest expense</t>
  </si>
  <si>
    <t>Interest income</t>
  </si>
  <si>
    <t>Profit before tax</t>
  </si>
  <si>
    <t>Tax expense</t>
  </si>
  <si>
    <t>Net income</t>
  </si>
  <si>
    <t>Key numbers</t>
  </si>
  <si>
    <t>D&amp;A</t>
  </si>
  <si>
    <t>EBITDA after cost savings</t>
  </si>
  <si>
    <t>Operating working capital</t>
  </si>
  <si>
    <t>Capex</t>
  </si>
  <si>
    <t>Cash flows to service debt</t>
  </si>
  <si>
    <t>(Increase) decrease in operating working capital</t>
  </si>
  <si>
    <t>(Capital expenditure)</t>
  </si>
  <si>
    <t>Cash flow available for debt repayment</t>
  </si>
  <si>
    <t>Debt servicing</t>
  </si>
  <si>
    <t>Beginning senior debt balance</t>
  </si>
  <si>
    <t>Issuance (repayment)</t>
  </si>
  <si>
    <t>Ending senior debt balance</t>
  </si>
  <si>
    <t>Cash flow available for debt, after senior debt repayment</t>
  </si>
  <si>
    <t>Beginning unsecured notes</t>
  </si>
  <si>
    <t>Ending unsecured notes</t>
  </si>
  <si>
    <t>Ending cash</t>
  </si>
  <si>
    <t>Beginning debt repaid</t>
  </si>
  <si>
    <t>Senior debt repayment</t>
  </si>
  <si>
    <t>Unsecured notes repayment</t>
  </si>
  <si>
    <t>Ending debt repaid</t>
  </si>
  <si>
    <t>Total debt at acquisition</t>
  </si>
  <si>
    <t>Debt paydown % of total debt</t>
  </si>
  <si>
    <t>Returns to equity holders</t>
  </si>
  <si>
    <t>Year count</t>
  </si>
  <si>
    <t>Net debt</t>
  </si>
  <si>
    <t>Equity value</t>
  </si>
  <si>
    <t>Cash flows to equity holders</t>
  </si>
  <si>
    <t>IRR</t>
  </si>
  <si>
    <t>Sensitivity analysis</t>
  </si>
  <si>
    <t>IRR assuming changes in entry multiple and exit year</t>
  </si>
  <si>
    <t>Entry multiple</t>
  </si>
  <si>
    <t>End</t>
  </si>
  <si>
    <t>Share price</t>
  </si>
  <si>
    <t>Equity purchase price</t>
  </si>
  <si>
    <t>Premium</t>
  </si>
  <si>
    <t>Net debt refin</t>
  </si>
  <si>
    <t>Offer price</t>
  </si>
  <si>
    <t>Dil shares outstanding</t>
  </si>
  <si>
    <t>Acquisition EV</t>
  </si>
  <si>
    <t>Entry EV / LTM EBITDA</t>
  </si>
  <si>
    <t>Exit EV / LTM EBITDA</t>
  </si>
  <si>
    <t>Offer premium</t>
  </si>
  <si>
    <t>Repay debt</t>
  </si>
  <si>
    <t>Target SE</t>
  </si>
  <si>
    <t>Step down</t>
  </si>
  <si>
    <t>Deal GW</t>
  </si>
  <si>
    <t>New debt</t>
  </si>
  <si>
    <t>Equity issuance</t>
  </si>
  <si>
    <t>Key data</t>
  </si>
  <si>
    <t>Fees % Acquisition EV</t>
  </si>
  <si>
    <t>SOFR</t>
  </si>
  <si>
    <t>Interest on cash</t>
  </si>
  <si>
    <t>Minimum cash % sales</t>
  </si>
  <si>
    <t>Acquisition bridge</t>
  </si>
  <si>
    <t>Acquisition EV / LTM EBITDA</t>
  </si>
  <si>
    <t>Cash</t>
  </si>
  <si>
    <t>Short term debt</t>
  </si>
  <si>
    <t>Long term debt</t>
  </si>
  <si>
    <t>Mezzanine</t>
  </si>
  <si>
    <t>Acquisition equity value</t>
  </si>
  <si>
    <t>Goodwill</t>
  </si>
  <si>
    <t>Target SE at book value</t>
  </si>
  <si>
    <t>Step down target goodwill</t>
  </si>
  <si>
    <t>Target SE at fair value</t>
  </si>
  <si>
    <t>Deal goodwill</t>
  </si>
  <si>
    <t>Sources and uses</t>
  </si>
  <si>
    <t>Refinanced net debt</t>
  </si>
  <si>
    <t>Total uses</t>
  </si>
  <si>
    <t>Debt/EBITDA</t>
  </si>
  <si>
    <t>Percentage</t>
  </si>
  <si>
    <t>Spread</t>
  </si>
  <si>
    <t>Rate</t>
  </si>
  <si>
    <t>Term</t>
  </si>
  <si>
    <t>NA</t>
  </si>
  <si>
    <t>Total sources</t>
  </si>
  <si>
    <t>Capital structure sensitivity</t>
  </si>
  <si>
    <t>Financial structure choice</t>
  </si>
  <si>
    <t>Standard</t>
  </si>
  <si>
    <t>Unitranche</t>
  </si>
  <si>
    <t>Revolver</t>
  </si>
  <si>
    <t>Senior debt (Term B)</t>
  </si>
  <si>
    <t>Senior unsecured high yield notes</t>
  </si>
  <si>
    <t>Scenarios</t>
  </si>
  <si>
    <t>SG&amp;A % sales</t>
  </si>
  <si>
    <t>Bank Case</t>
  </si>
  <si>
    <t>Bank case</t>
  </si>
  <si>
    <t>Management case</t>
  </si>
  <si>
    <t>Operating assumptions</t>
  </si>
  <si>
    <t>Sales growth rate</t>
  </si>
  <si>
    <t>COGS % sales</t>
  </si>
  <si>
    <t>Effective tax rate</t>
  </si>
  <si>
    <t>Capex % sales</t>
  </si>
  <si>
    <t>Depreciation % beginning PP&amp;E</t>
  </si>
  <si>
    <t>Amortization amount</t>
  </si>
  <si>
    <t>AR % sales</t>
  </si>
  <si>
    <t>Inventory % COGS</t>
  </si>
  <si>
    <t>Other current assets amount</t>
  </si>
  <si>
    <t xml:space="preserve">LT assets amount </t>
  </si>
  <si>
    <t>AP % COGS</t>
  </si>
  <si>
    <t>Other current liabilities % COGS</t>
  </si>
  <si>
    <t>LT liabilities amount</t>
  </si>
  <si>
    <t>Common dividend payout ratio</t>
  </si>
  <si>
    <t>Calculations</t>
  </si>
  <si>
    <t>Beginning PP&amp;E</t>
  </si>
  <si>
    <t>Add capex</t>
  </si>
  <si>
    <t>Subtract depreciation</t>
  </si>
  <si>
    <t>Ending PP&amp;E</t>
  </si>
  <si>
    <t>Beginning intangibles</t>
  </si>
  <si>
    <t>Subtract amortization</t>
  </si>
  <si>
    <t>Ending intangibles</t>
  </si>
  <si>
    <t>Beginning shareholder's equity</t>
  </si>
  <si>
    <t>Add net income</t>
  </si>
  <si>
    <t>Subtract common dividends</t>
  </si>
  <si>
    <t>Ending shareholder's equity</t>
  </si>
  <si>
    <t>Other current liabilities</t>
  </si>
  <si>
    <t>Sales</t>
  </si>
  <si>
    <t>COGS</t>
  </si>
  <si>
    <t>SG&amp;A</t>
  </si>
  <si>
    <t>Depreciation</t>
  </si>
  <si>
    <t>Amortization</t>
  </si>
  <si>
    <t>Cash interest expense</t>
  </si>
  <si>
    <t>PIK interest expense</t>
  </si>
  <si>
    <t>Income before tax</t>
  </si>
  <si>
    <t>Balance sheet</t>
  </si>
  <si>
    <t>Accounts receivable</t>
  </si>
  <si>
    <t>Inventories</t>
  </si>
  <si>
    <t>Other current assets</t>
  </si>
  <si>
    <t>PP&amp;E</t>
  </si>
  <si>
    <t>Intangibles</t>
  </si>
  <si>
    <t>Other LT assets</t>
  </si>
  <si>
    <t>Total assets</t>
  </si>
  <si>
    <t>Accounts payable</t>
  </si>
  <si>
    <t>Other LT liabilities</t>
  </si>
  <si>
    <t>Shareholder's equity</t>
  </si>
  <si>
    <t>Total liabilities and equity</t>
  </si>
  <si>
    <t>Balance?</t>
  </si>
  <si>
    <t>Cash flow statement</t>
  </si>
  <si>
    <t>(Inc) dec in OWC</t>
  </si>
  <si>
    <t>(Inc) dec in other LT assets</t>
  </si>
  <si>
    <t>Inc (dec) in other LT liabilities</t>
  </si>
  <si>
    <t>Operating cash flow</t>
  </si>
  <si>
    <t>(Capex)</t>
  </si>
  <si>
    <t>Investing cash flow</t>
  </si>
  <si>
    <t>Inc (dec) in revolver</t>
  </si>
  <si>
    <t>Inc (dec) in LT debt</t>
  </si>
  <si>
    <t>(Common dividends)</t>
  </si>
  <si>
    <t>Financing cash flow</t>
  </si>
  <si>
    <t>Beginning cash</t>
  </si>
  <si>
    <t>Net cash flow</t>
  </si>
  <si>
    <t>Debt</t>
  </si>
  <si>
    <t>Unitranche mandatory repayment</t>
  </si>
  <si>
    <t>Cash available before minimum cash</t>
  </si>
  <si>
    <t>Minimum cash</t>
  </si>
  <si>
    <t>Cash available for debt service</t>
  </si>
  <si>
    <t>Mandatory debt repayments</t>
  </si>
  <si>
    <t>Surplus cash / (revolver requirement)</t>
  </si>
  <si>
    <t>Beginning revolver</t>
  </si>
  <si>
    <t>Revolver issuance / (repayment)</t>
  </si>
  <si>
    <t>Ending revolver</t>
  </si>
  <si>
    <t>Cash available for accelerated repayment</t>
  </si>
  <si>
    <t>Mandatory repayment</t>
  </si>
  <si>
    <t>Accelerated repayment</t>
  </si>
  <si>
    <t>Switch</t>
  </si>
  <si>
    <t>Margin ratchet</t>
  </si>
  <si>
    <t xml:space="preserve">  </t>
  </si>
  <si>
    <t>Beginning mezzanine</t>
  </si>
  <si>
    <t>Accrued interest</t>
  </si>
  <si>
    <t>PIK Toggle</t>
  </si>
  <si>
    <t>Ending mezzanine</t>
  </si>
  <si>
    <t>Cash interest rate reduction</t>
  </si>
  <si>
    <t>Cash Interest</t>
  </si>
  <si>
    <t>PIK intertest expense</t>
  </si>
  <si>
    <t>EV</t>
  </si>
  <si>
    <t>Cash flow</t>
  </si>
  <si>
    <t>Step up</t>
  </si>
  <si>
    <t>PP&amp;E stepup</t>
  </si>
  <si>
    <t>Ownership</t>
  </si>
  <si>
    <t>At entry</t>
  </si>
  <si>
    <t>At exit</t>
  </si>
  <si>
    <t>Institutions</t>
  </si>
  <si>
    <t>Management</t>
  </si>
  <si>
    <t>Total</t>
  </si>
  <si>
    <t>Non recurring expense amount</t>
  </si>
  <si>
    <t>Non recurring expense</t>
  </si>
  <si>
    <t>Equity value of warrants</t>
  </si>
  <si>
    <t>Value of mezzanine loan</t>
  </si>
  <si>
    <t>Cash interest</t>
  </si>
  <si>
    <t>Mezzanine cash flows</t>
  </si>
  <si>
    <t>PE institutions</t>
  </si>
  <si>
    <t>PE institution cash flows</t>
  </si>
  <si>
    <t>Management cash flows</t>
  </si>
  <si>
    <t>Factset codes</t>
  </si>
  <si>
    <t>Summary sheet code name</t>
  </si>
  <si>
    <t>Delete sheet on new target ticker</t>
  </si>
  <si>
    <t>Ticker</t>
  </si>
  <si>
    <t>TUMI-US</t>
  </si>
  <si>
    <t>Country</t>
  </si>
  <si>
    <t>United States</t>
  </si>
  <si>
    <t>Analysis date</t>
  </si>
  <si>
    <t>Historical year end</t>
  </si>
  <si>
    <t>31/12/2015</t>
  </si>
  <si>
    <t>Last filing date</t>
  </si>
  <si>
    <t>01-Jun-16</t>
  </si>
  <si>
    <t>Calendarize to</t>
  </si>
  <si>
    <t>Home currency</t>
  </si>
  <si>
    <t>USD</t>
  </si>
  <si>
    <t>Trading information</t>
  </si>
  <si>
    <t>52 week low</t>
  </si>
  <si>
    <t>52 week high</t>
  </si>
  <si>
    <t>Free float (MM)</t>
  </si>
  <si>
    <t>LTM dividend yield</t>
  </si>
  <si>
    <t>Historical 5 year beta</t>
  </si>
  <si>
    <t>Marginal tax rate</t>
  </si>
  <si>
    <t>Credit rating</t>
  </si>
  <si>
    <t/>
  </si>
  <si>
    <t>5 year EPS forward growth</t>
  </si>
  <si>
    <t>-</t>
  </si>
  <si>
    <t>Balance sheet data</t>
  </si>
  <si>
    <t>NCI book value</t>
  </si>
  <si>
    <t xml:space="preserve">Historical income statement NCI </t>
  </si>
  <si>
    <t>Basic shares outstanding</t>
  </si>
  <si>
    <t>Shareholders' equity</t>
  </si>
  <si>
    <t>Balance sheet ST debt</t>
  </si>
  <si>
    <t>Balance sheet LT debt</t>
  </si>
  <si>
    <t>Financial derivative liabilities</t>
  </si>
  <si>
    <t>Preferred equity</t>
  </si>
  <si>
    <t>Balance sheet cash and equivalents</t>
  </si>
  <si>
    <t>ST financial investments</t>
  </si>
  <si>
    <t>LT financial investments</t>
  </si>
  <si>
    <t>Non-core assets</t>
  </si>
  <si>
    <t>Earnings and estimates</t>
  </si>
  <si>
    <t>Latest annual</t>
  </si>
  <si>
    <t>Old 10-Q/Interim</t>
  </si>
  <si>
    <t>New 10-Q/interim</t>
  </si>
  <si>
    <t>FY +1</t>
  </si>
  <si>
    <t>FY +2</t>
  </si>
  <si>
    <t>FY +3</t>
  </si>
  <si>
    <t>FY +4</t>
  </si>
  <si>
    <t>Revenues</t>
  </si>
  <si>
    <t>Depreciation and amortization</t>
  </si>
  <si>
    <t>Gross interest expense</t>
  </si>
  <si>
    <t>Free cash flow</t>
  </si>
  <si>
    <t>Share options and restricted stock units</t>
  </si>
  <si>
    <t>Tranche</t>
  </si>
  <si>
    <t>Number</t>
  </si>
  <si>
    <t>WA strike price</t>
  </si>
  <si>
    <t>CapIQ - total options year end</t>
  </si>
  <si>
    <t>CapIQ - total options quarter end</t>
  </si>
  <si>
    <t>CapIQ options used</t>
  </si>
  <si>
    <t>Manual tranche 1</t>
  </si>
  <si>
    <t>Manual tranche 2</t>
  </si>
  <si>
    <t>Manual tranche 3</t>
  </si>
  <si>
    <t>Manual tranche 4</t>
  </si>
  <si>
    <t>Manual tranche 5</t>
  </si>
  <si>
    <t>Projected benefit obligation</t>
  </si>
  <si>
    <t>Fair value of plan assets</t>
  </si>
  <si>
    <t>Total pension and OPEB expense</t>
  </si>
  <si>
    <t>Pension service cost</t>
  </si>
  <si>
    <t>Return on plan assets</t>
  </si>
  <si>
    <t>LTM rent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</si>
</sst>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3" formatCode="_(* #,##0.00_);_(* \(#,##0.00\);_(* &quot;-&quot;??_);_(@_)"/>
    <numFmt numFmtId="164" formatCode="_(&quot;£&quot;* #,##0_);_(&quot;£&quot;* \(#,##0\);_(&quot;£&quot;* &quot;-&quot;_);_(@_)"/>
    <numFmt numFmtId="165" formatCode="_(&quot;£&quot;* #,##0.00_);_(&quot;£&quot;* \(#,##0.00\);_(&quot;£&quot;* &quot;-&quot;??_);_(@_)"/>
    <numFmt numFmtId="166" formatCode="#,##0.0_);\(#,##0.0\);0.0_);@_)"/>
    <numFmt numFmtId="167" formatCode="#,##0.0_);\(#,##0.0\)\,0.0_);@_)"/>
    <numFmt numFmtId="168" formatCode="[$-409]d\-mmm\-yy"/>
    <numFmt numFmtId="169" formatCode="0.0%_);\(0.0%\)"/>
    <numFmt numFmtId="170" formatCode="#,##0.0\ \x_);\(#,##0.0\ \x\)"/>
    <numFmt numFmtId="171" formatCode="dd\-mmm\-yy_)"/>
    <numFmt numFmtId="172" formatCode="0.00%_);\(0.00%\)"/>
    <numFmt numFmtId="173" formatCode="[$-409]d\-mmm\-yy;@"/>
    <numFmt numFmtId="174" formatCode="#,##0.0\ \x_);\(#,##0.0\ \x\);"/>
    <numFmt numFmtId="175" formatCode="#,##0.00_);\(#,##0.00\);0.00_);@_)"/>
    <numFmt numFmtId="176" formatCode="&quot;Year &quot;0"/>
  </numFmts>
  <fonts count="54">
    <font>
      <sz val="11"/>
      <name val="Calibri"/>
      <family val="2"/>
      <scheme val="minor"/>
    </font>
    <font>
      <sz val="20"/>
      <color theme="1"/>
      <name val="Calibri"/>
      <family val="2"/>
      <scheme val="minor"/>
    </font>
    <font>
      <sz val="20"/>
      <color theme="1"/>
      <name val="Calibri"/>
      <family val="2"/>
      <scheme val="minor"/>
    </font>
    <font>
      <sz val="11"/>
      <color theme="1"/>
      <name val="Calibri"/>
      <family val="2"/>
    </font>
    <font>
      <sz val="22"/>
      <color theme="0"/>
      <name val="Calibri"/>
      <family val="2"/>
    </font>
    <font>
      <sz val="11"/>
      <name val="Arial"/>
      <family val="2"/>
    </font>
    <font>
      <sz val="18"/>
      <color theme="0"/>
      <name val="Calibri"/>
      <family val="2"/>
    </font>
    <font>
      <sz val="11"/>
      <color rgb="FF6E6E6E"/>
      <name val="Calibri"/>
      <family val="2"/>
    </font>
    <font>
      <b/>
      <sz val="12"/>
      <color rgb="FF163260"/>
      <name val="Calibri"/>
      <family val="2"/>
    </font>
    <font>
      <sz val="10"/>
      <color rgb="FF085393"/>
      <name val="Calibri"/>
      <family val="2"/>
    </font>
    <font>
      <sz val="11"/>
      <color rgb="FF085393"/>
      <name val="Calibri"/>
      <family val="2"/>
    </font>
    <font>
      <u/>
      <sz val="11"/>
      <color theme="10"/>
      <name val="Arial"/>
      <family val="2"/>
    </font>
    <font>
      <sz val="14"/>
      <color theme="0"/>
      <name val="Calibri"/>
      <family val="2"/>
    </font>
    <font>
      <u/>
      <sz val="14"/>
      <color rgb="FF085393"/>
      <name val="Calibri"/>
      <family val="2"/>
    </font>
    <font>
      <sz val="11"/>
      <color rgb="FF0000FF"/>
      <name val="Calibri"/>
      <family val="2"/>
    </font>
    <font>
      <sz val="11"/>
      <color theme="0"/>
      <name val="Calibri"/>
      <family val="2"/>
    </font>
    <font>
      <sz val="9"/>
      <color indexed="81"/>
      <name val="Tahoma"/>
      <family val="2"/>
    </font>
    <font>
      <b/>
      <sz val="9"/>
      <color indexed="81"/>
      <name val="Tahoma"/>
      <family val="2"/>
    </font>
    <font>
      <sz val="11"/>
      <color rgb="FF0000FF"/>
      <name val="Calibri"/>
      <family val="2"/>
      <scheme val="minor"/>
    </font>
    <font>
      <sz val="11"/>
      <color theme="1"/>
      <name val="Calibri"/>
      <family val="2"/>
      <scheme val="minor"/>
    </font>
    <font>
      <sz val="20"/>
      <color rgb="FF006100"/>
      <name val="Calibri"/>
      <family val="2"/>
      <scheme val="minor"/>
    </font>
    <font>
      <sz val="20"/>
      <color rgb="FF9C0006"/>
      <name val="Calibri"/>
      <family val="2"/>
      <scheme val="minor"/>
    </font>
    <font>
      <sz val="20"/>
      <color rgb="FF9C5700"/>
      <name val="Calibri"/>
      <family val="2"/>
      <scheme val="minor"/>
    </font>
    <font>
      <b/>
      <sz val="20"/>
      <color rgb="FF3F3F3F"/>
      <name val="Calibri"/>
      <family val="2"/>
      <scheme val="minor"/>
    </font>
    <font>
      <b/>
      <sz val="20"/>
      <color rgb="FFFA7D00"/>
      <name val="Calibri"/>
      <family val="2"/>
      <scheme val="minor"/>
    </font>
    <font>
      <sz val="20"/>
      <color rgb="FFFA7D00"/>
      <name val="Calibri"/>
      <family val="2"/>
      <scheme val="minor"/>
    </font>
    <font>
      <b/>
      <sz val="20"/>
      <color theme="0"/>
      <name val="Calibri"/>
      <family val="2"/>
      <scheme val="minor"/>
    </font>
    <font>
      <sz val="20"/>
      <color rgb="FFFF0000"/>
      <name val="Calibri"/>
      <family val="2"/>
      <scheme val="minor"/>
    </font>
    <font>
      <i/>
      <sz val="20"/>
      <color rgb="FF7F7F7F"/>
      <name val="Calibri"/>
      <family val="2"/>
      <scheme val="minor"/>
    </font>
    <font>
      <sz val="11"/>
      <color theme="1" tint="0.249977111117893"/>
      <name val="Calibri"/>
      <family val="2"/>
      <scheme val="minor"/>
    </font>
    <font>
      <sz val="11"/>
      <color theme="0"/>
      <name val="Calibri"/>
      <family val="2"/>
      <scheme val="minor"/>
    </font>
    <font>
      <sz val="11"/>
      <name val="Calibri"/>
      <family val="2"/>
      <scheme val="minor"/>
    </font>
    <font>
      <sz val="9"/>
      <color theme="0"/>
      <name val="Calibri"/>
      <family val="2"/>
      <scheme val="minor"/>
    </font>
    <font>
      <u/>
      <sz val="11"/>
      <color theme="11"/>
      <name val="Calibri"/>
      <family val="2"/>
      <scheme val="minor"/>
    </font>
    <font>
      <u/>
      <sz val="11"/>
      <color theme="10"/>
      <name val="Calibri"/>
      <family val="2"/>
      <scheme val="minor"/>
    </font>
    <font>
      <sz val="22"/>
      <color theme="0"/>
      <name val="Calibri"/>
      <family val="2"/>
      <scheme val="major"/>
    </font>
    <font>
      <sz val="14"/>
      <color theme="0"/>
      <name val="Calibri"/>
      <family val="2"/>
      <scheme val="major"/>
    </font>
    <font>
      <b/>
      <sz val="12"/>
      <color rgb="FF163260"/>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20"/>
      <color theme="1"/>
      <name val="Calibri"/>
      <family val="2"/>
      <scheme val="minor"/>
    </font>
    <font>
      <sz val="20"/>
      <color theme="0"/>
      <name val="Calibri"/>
      <family val="2"/>
      <scheme val="minor"/>
    </font>
    <font>
      <b/>
      <sz val="11"/>
      <name val="Calibri"/>
      <family val="2"/>
      <scheme val="minor"/>
    </font>
    <font>
      <b/>
      <sz val="11"/>
      <color theme="1"/>
      <name val="Calibri"/>
      <family val="2"/>
    </font>
    <font>
      <sz val="12"/>
      <color rgb="FF163260"/>
      <name val="Calibri"/>
      <family val="2"/>
    </font>
    <font>
      <b/>
      <sz val="11"/>
      <color rgb="FF0000FF"/>
      <name val="Calibri"/>
      <family val="2"/>
      <scheme val="minor"/>
    </font>
    <font>
      <b/>
      <sz val="11"/>
      <color rgb="FF0000FF"/>
      <name val="Calibri"/>
      <family val="2"/>
    </font>
    <font>
      <sz val="18"/>
      <color theme="0"/>
      <name val="Calibri"/>
      <family val="2"/>
      <scheme val="minor"/>
    </font>
    <font>
      <sz val="14"/>
      <color theme="0"/>
      <name val="Calibri"/>
      <family val="2"/>
      <scheme val="minor"/>
    </font>
    <font>
      <sz val="11"/>
      <color rgb="FF085393"/>
      <name val="Calibri"/>
      <family val="2"/>
      <scheme val="minor"/>
    </font>
    <font>
      <b/>
      <sz val="11"/>
      <color rgb="FF085393"/>
      <name val="Calibri"/>
      <family val="2"/>
      <scheme val="minor"/>
    </font>
    <font>
      <sz val="11"/>
      <color theme="6"/>
      <name val="Calibri"/>
      <family val="2"/>
      <scheme val="minor"/>
    </font>
  </fonts>
  <fills count="43">
    <fill>
      <patternFill patternType="none"/>
    </fill>
    <fill>
      <patternFill patternType="gray125"/>
    </fill>
    <fill>
      <patternFill patternType="solid">
        <fgColor rgb="FF163260"/>
        <bgColor rgb="FF163260"/>
      </patternFill>
    </fill>
    <fill>
      <patternFill patternType="solid">
        <fgColor rgb="FF085393"/>
        <bgColor rgb="FF085393"/>
      </patternFill>
    </fill>
    <fill>
      <patternFill patternType="solid">
        <fgColor rgb="FFF2F2F2"/>
        <bgColor rgb="FFF2F2F2"/>
      </patternFill>
    </fill>
    <fill>
      <patternFill patternType="solid">
        <fgColor theme="0"/>
        <bgColor theme="0"/>
      </patternFill>
    </fill>
    <fill>
      <patternFill patternType="solid">
        <fgColor rgb="FFDBEEFD"/>
        <bgColor rgb="FFDBEEFD"/>
      </patternFill>
    </fill>
    <fill>
      <patternFill patternType="solid">
        <fgColor rgb="FFF0F8FE"/>
        <bgColor rgb="FFF0F8FE"/>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0" tint="-4.9989318521683403E-2"/>
        <bgColor indexed="64"/>
      </patternFill>
    </fill>
    <fill>
      <patternFill patternType="solid">
        <fgColor rgb="FF163260"/>
        <bgColor indexed="64"/>
      </patternFill>
    </fill>
    <fill>
      <patternFill patternType="solid">
        <fgColor rgb="FF085393"/>
        <bgColor indexed="64"/>
      </patternFill>
    </fill>
    <fill>
      <patternFill patternType="solid">
        <fgColor rgb="FFDBEEFD"/>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0"/>
        <bgColor indexed="64"/>
      </patternFill>
    </fill>
  </fills>
  <borders count="13">
    <border>
      <left/>
      <right/>
      <top/>
      <bottom/>
      <diagonal/>
    </border>
    <border>
      <left/>
      <right/>
      <top/>
      <bottom/>
      <diagonal/>
    </border>
    <border>
      <left/>
      <right/>
      <top/>
      <bottom style="medium">
        <color rgb="FFD8D8D8"/>
      </bottom>
      <diagonal/>
    </border>
    <border>
      <left style="thin">
        <color rgb="FFBBDEFB"/>
      </left>
      <right style="thin">
        <color rgb="FFBBDEFB"/>
      </right>
      <top style="thin">
        <color rgb="FFBBDEFB"/>
      </top>
      <bottom style="thin">
        <color rgb="FFBBDEFB"/>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166" fontId="0" fillId="0" borderId="1"/>
    <xf numFmtId="166" fontId="34" fillId="0" borderId="1" applyNumberFormat="0" applyFill="0" applyBorder="0" applyAlignment="0" applyProtection="0"/>
    <xf numFmtId="166" fontId="33" fillId="0" borderId="1" applyNumberFormat="0" applyFill="0" applyBorder="0" applyAlignment="0" applyProtection="0"/>
    <xf numFmtId="169" fontId="31" fillId="19" borderId="1" applyFont="0" applyFill="0" applyBorder="0" applyAlignment="0" applyProtection="0"/>
    <xf numFmtId="0" fontId="20" fillId="8" borderId="0" applyNumberFormat="0" applyBorder="0" applyAlignment="0" applyProtection="0"/>
    <xf numFmtId="0" fontId="21" fillId="9" borderId="0" applyNumberFormat="0" applyBorder="0" applyAlignment="0" applyProtection="0"/>
    <xf numFmtId="0" fontId="22" fillId="10" borderId="0" applyNumberFormat="0" applyBorder="0" applyAlignment="0" applyProtection="0"/>
    <xf numFmtId="174" fontId="18" fillId="21" borderId="3" applyNumberFormat="0">
      <protection locked="0"/>
    </xf>
    <xf numFmtId="0" fontId="23" fillId="11" borderId="5" applyNumberFormat="0" applyAlignment="0" applyProtection="0"/>
    <xf numFmtId="0" fontId="24" fillId="11" borderId="4" applyNumberFormat="0" applyAlignment="0" applyProtection="0"/>
    <xf numFmtId="0" fontId="25" fillId="0" borderId="6" applyNumberFormat="0" applyFill="0" applyAlignment="0" applyProtection="0"/>
    <xf numFmtId="0" fontId="26" fillId="12" borderId="7"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9" fillId="18" borderId="1" applyNumberFormat="0" applyFont="0" applyAlignment="0" applyProtection="0">
      <alignment vertical="top"/>
    </xf>
    <xf numFmtId="167" fontId="30" fillId="19" borderId="1" applyNumberFormat="0" applyBorder="0" applyProtection="0">
      <alignment horizontal="center"/>
    </xf>
    <xf numFmtId="171" fontId="31" fillId="0" borderId="1" applyFont="0" applyFill="0" applyBorder="0" applyAlignment="0" applyProtection="0"/>
    <xf numFmtId="173" fontId="32" fillId="20" borderId="1">
      <alignment horizontal="center"/>
    </xf>
    <xf numFmtId="167" fontId="18" fillId="19" borderId="1" applyNumberFormat="0" applyFill="0" applyBorder="0" applyAlignment="0" applyProtection="0"/>
    <xf numFmtId="167" fontId="30" fillId="20" borderId="1">
      <alignment horizontal="center"/>
    </xf>
    <xf numFmtId="170" fontId="19" fillId="0" borderId="1" applyFont="0" applyFill="0" applyBorder="0" applyAlignment="0" applyProtection="0"/>
    <xf numFmtId="0" fontId="35" fillId="19" borderId="1" applyNumberFormat="0">
      <alignment horizontal="left"/>
    </xf>
    <xf numFmtId="0" fontId="36" fillId="20" borderId="1" applyNumberFormat="0" applyAlignment="0">
      <alignment horizontal="left"/>
    </xf>
    <xf numFmtId="0" fontId="37" fillId="0" borderId="1" applyNumberFormat="0" applyFill="0" applyBorder="0">
      <alignment horizontal="left" vertical="center"/>
    </xf>
    <xf numFmtId="0" fontId="38" fillId="0" borderId="0" applyNumberFormat="0" applyFill="0" applyBorder="0" applyAlignment="0" applyProtection="0"/>
    <xf numFmtId="0" fontId="39" fillId="0" borderId="8" applyNumberFormat="0" applyFill="0" applyAlignment="0" applyProtection="0"/>
    <xf numFmtId="0" fontId="40" fillId="0" borderId="9" applyNumberFormat="0" applyFill="0" applyAlignment="0" applyProtection="0"/>
    <xf numFmtId="0" fontId="41" fillId="0" borderId="10" applyNumberFormat="0" applyFill="0" applyAlignment="0" applyProtection="0"/>
    <xf numFmtId="0" fontId="41" fillId="0" borderId="0" applyNumberFormat="0" applyFill="0" applyBorder="0" applyAlignment="0" applyProtection="0"/>
    <xf numFmtId="0" fontId="42" fillId="0" borderId="11" applyNumberFormat="0" applyFill="0" applyAlignment="0" applyProtection="0"/>
    <xf numFmtId="0" fontId="4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43" fontId="31" fillId="0" borderId="0" applyFont="0" applyFill="0" applyBorder="0" applyAlignment="0" applyProtection="0"/>
    <xf numFmtId="41"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0" fontId="31" fillId="41" borderId="12" applyNumberFormat="0" applyFont="0" applyAlignment="0" applyProtection="0"/>
    <xf numFmtId="167" fontId="30" fillId="19" borderId="1">
      <alignment horizontal="center"/>
    </xf>
    <xf numFmtId="167" fontId="51" fillId="0" borderId="1">
      <alignment vertical="top"/>
    </xf>
  </cellStyleXfs>
  <cellXfs count="125">
    <xf numFmtId="166" fontId="0" fillId="0" borderId="1" xfId="0"/>
    <xf numFmtId="169" fontId="4" fillId="2" borderId="1" xfId="3" applyFont="1" applyFill="1" applyAlignment="1">
      <alignment horizontal="left"/>
    </xf>
    <xf numFmtId="175" fontId="18" fillId="0" borderId="1" xfId="23" applyNumberFormat="1" applyFill="1"/>
    <xf numFmtId="166" fontId="14" fillId="0" borderId="1" xfId="0" applyFont="1"/>
    <xf numFmtId="0" fontId="3" fillId="0" borderId="1" xfId="0" applyNumberFormat="1" applyFont="1"/>
    <xf numFmtId="166" fontId="7" fillId="0" borderId="1" xfId="0" applyFont="1" applyAlignment="1">
      <alignment vertical="top"/>
    </xf>
    <xf numFmtId="166" fontId="7" fillId="0" borderId="1" xfId="0" applyFont="1"/>
    <xf numFmtId="166" fontId="8" fillId="0" borderId="1" xfId="0" applyFont="1" applyAlignment="1">
      <alignment vertical="center"/>
    </xf>
    <xf numFmtId="166" fontId="9" fillId="0" borderId="1" xfId="0" applyFont="1" applyAlignment="1">
      <alignment vertical="center" wrapText="1"/>
    </xf>
    <xf numFmtId="166" fontId="7" fillId="4" borderId="2" xfId="0" applyFont="1" applyFill="1" applyBorder="1" applyAlignment="1">
      <alignment vertical="top"/>
    </xf>
    <xf numFmtId="166" fontId="10" fillId="4" borderId="2" xfId="0" applyFont="1" applyFill="1" applyBorder="1" applyAlignment="1">
      <alignment horizontal="center" vertical="top"/>
    </xf>
    <xf numFmtId="166" fontId="7" fillId="4" borderId="2" xfId="0" applyFont="1" applyFill="1" applyBorder="1"/>
    <xf numFmtId="166" fontId="9" fillId="4" borderId="2" xfId="0" applyFont="1" applyFill="1" applyBorder="1" applyAlignment="1">
      <alignment vertical="center" wrapText="1"/>
    </xf>
    <xf numFmtId="167" fontId="14" fillId="6" borderId="3" xfId="0" applyNumberFormat="1" applyFont="1" applyFill="1" applyBorder="1"/>
    <xf numFmtId="167" fontId="8" fillId="0" borderId="1" xfId="0" applyNumberFormat="1" applyFont="1" applyAlignment="1">
      <alignment horizontal="left" vertical="center"/>
    </xf>
    <xf numFmtId="166" fontId="8" fillId="0" borderId="1" xfId="0" applyFont="1" applyAlignment="1">
      <alignment horizontal="left" vertical="center"/>
    </xf>
    <xf numFmtId="166" fontId="6" fillId="0" borderId="1" xfId="0" applyFont="1" applyAlignment="1">
      <alignment vertical="center"/>
    </xf>
    <xf numFmtId="166" fontId="12" fillId="0" borderId="1" xfId="0" applyFont="1"/>
    <xf numFmtId="166" fontId="14" fillId="6" borderId="3" xfId="0" applyFont="1" applyFill="1" applyBorder="1"/>
    <xf numFmtId="166" fontId="3" fillId="0" borderId="1" xfId="0" applyFont="1"/>
    <xf numFmtId="169" fontId="14" fillId="6" borderId="3" xfId="0" applyNumberFormat="1" applyFont="1" applyFill="1" applyBorder="1"/>
    <xf numFmtId="170" fontId="14" fillId="6" borderId="3" xfId="0" applyNumberFormat="1" applyFont="1" applyFill="1" applyBorder="1"/>
    <xf numFmtId="172" fontId="14" fillId="6" borderId="3" xfId="0" applyNumberFormat="1" applyFont="1" applyFill="1" applyBorder="1"/>
    <xf numFmtId="166" fontId="18" fillId="0" borderId="1" xfId="23" applyNumberFormat="1" applyFill="1"/>
    <xf numFmtId="170" fontId="18" fillId="21" borderId="3" xfId="7" applyNumberFormat="1">
      <protection locked="0"/>
    </xf>
    <xf numFmtId="166" fontId="3" fillId="0" borderId="1" xfId="0" applyFont="1" applyAlignment="1">
      <alignment horizontal="right"/>
    </xf>
    <xf numFmtId="169" fontId="0" fillId="0" borderId="1" xfId="3" applyFont="1" applyFill="1"/>
    <xf numFmtId="170" fontId="0" fillId="0" borderId="1" xfId="25" applyFont="1"/>
    <xf numFmtId="166" fontId="4" fillId="2" borderId="1" xfId="0" applyFont="1" applyFill="1" applyAlignment="1">
      <alignment horizontal="left"/>
    </xf>
    <xf numFmtId="166" fontId="37" fillId="0" borderId="1" xfId="28" applyNumberFormat="1">
      <alignment horizontal="left" vertical="center"/>
    </xf>
    <xf numFmtId="167" fontId="15" fillId="3" borderId="1" xfId="0" applyNumberFormat="1" applyFont="1" applyFill="1" applyAlignment="1">
      <alignment horizontal="center"/>
    </xf>
    <xf numFmtId="167" fontId="7" fillId="4" borderId="1" xfId="0" applyNumberFormat="1" applyFont="1" applyFill="1" applyAlignment="1">
      <alignment horizontal="left" vertical="top"/>
    </xf>
    <xf numFmtId="167" fontId="10" fillId="4" borderId="1" xfId="0" applyNumberFormat="1" applyFont="1" applyFill="1" applyAlignment="1">
      <alignment horizontal="center" vertical="top"/>
    </xf>
    <xf numFmtId="167" fontId="7" fillId="4" borderId="1" xfId="0" applyNumberFormat="1" applyFont="1" applyFill="1"/>
    <xf numFmtId="167" fontId="9" fillId="4" borderId="1" xfId="0" applyNumberFormat="1" applyFont="1" applyFill="1" applyAlignment="1">
      <alignment vertical="center" wrapText="1"/>
    </xf>
    <xf numFmtId="167" fontId="4" fillId="2" borderId="1" xfId="0" applyNumberFormat="1" applyFont="1" applyFill="1"/>
    <xf numFmtId="166" fontId="6" fillId="2" borderId="1" xfId="0" applyFont="1" applyFill="1"/>
    <xf numFmtId="167" fontId="12" fillId="3" borderId="1" xfId="0" applyNumberFormat="1" applyFont="1" applyFill="1"/>
    <xf numFmtId="166" fontId="12" fillId="3" borderId="1" xfId="0" applyFont="1" applyFill="1"/>
    <xf numFmtId="166" fontId="7" fillId="5" borderId="1" xfId="0" applyFont="1" applyFill="1"/>
    <xf numFmtId="166" fontId="7" fillId="4" borderId="1" xfId="0" applyFont="1" applyFill="1"/>
    <xf numFmtId="166" fontId="7" fillId="4" borderId="1" xfId="0" applyFont="1" applyFill="1" applyAlignment="1">
      <alignment horizontal="left" vertical="top"/>
    </xf>
    <xf numFmtId="166" fontId="10" fillId="4" borderId="1" xfId="0" applyFont="1" applyFill="1" applyAlignment="1">
      <alignment horizontal="center" vertical="top"/>
    </xf>
    <xf numFmtId="166" fontId="3" fillId="4" borderId="1" xfId="0" applyFont="1" applyFill="1"/>
    <xf numFmtId="166" fontId="7" fillId="4" borderId="1" xfId="0" applyFont="1" applyFill="1" applyAlignment="1">
      <alignment vertical="top"/>
    </xf>
    <xf numFmtId="166" fontId="10" fillId="4" borderId="1" xfId="0" applyFont="1" applyFill="1" applyAlignment="1">
      <alignment vertical="top"/>
    </xf>
    <xf numFmtId="166" fontId="7" fillId="4" borderId="1" xfId="0" applyFont="1" applyFill="1" applyAlignment="1">
      <alignment vertical="top" wrapText="1"/>
    </xf>
    <xf numFmtId="167" fontId="7" fillId="4" borderId="1" xfId="0" applyNumberFormat="1" applyFont="1" applyFill="1" applyAlignment="1">
      <alignment vertical="top"/>
    </xf>
    <xf numFmtId="167" fontId="13" fillId="4" borderId="1" xfId="0" applyNumberFormat="1" applyFont="1" applyFill="1" applyAlignment="1">
      <alignment vertical="center" wrapText="1"/>
    </xf>
    <xf numFmtId="166" fontId="8" fillId="4" borderId="1" xfId="0" applyFont="1" applyFill="1" applyAlignment="1">
      <alignment vertical="center"/>
    </xf>
    <xf numFmtId="171" fontId="3" fillId="0" borderId="1" xfId="0" applyNumberFormat="1" applyFont="1"/>
    <xf numFmtId="169" fontId="3" fillId="0" borderId="1" xfId="0" applyNumberFormat="1" applyFont="1"/>
    <xf numFmtId="171" fontId="15" fillId="3" borderId="1" xfId="0" applyNumberFormat="1" applyFont="1" applyFill="1" applyAlignment="1">
      <alignment horizontal="center"/>
    </xf>
    <xf numFmtId="170" fontId="3" fillId="0" borderId="1" xfId="0" applyNumberFormat="1" applyFont="1"/>
    <xf numFmtId="166" fontId="3" fillId="0" borderId="1" xfId="0" applyFont="1" applyAlignment="1">
      <alignment horizontal="center"/>
    </xf>
    <xf numFmtId="170" fontId="15" fillId="3" borderId="1" xfId="0" applyNumberFormat="1" applyFont="1" applyFill="1" applyAlignment="1">
      <alignment horizontal="center"/>
    </xf>
    <xf numFmtId="169" fontId="3" fillId="0" borderId="1" xfId="0" applyNumberFormat="1" applyFont="1" applyAlignment="1">
      <alignment horizontal="right"/>
    </xf>
    <xf numFmtId="172" fontId="3" fillId="0" borderId="1" xfId="0" applyNumberFormat="1" applyFont="1"/>
    <xf numFmtId="167" fontId="15" fillId="3" borderId="1" xfId="0" applyNumberFormat="1" applyFont="1" applyFill="1" applyAlignment="1">
      <alignment horizontal="right"/>
    </xf>
    <xf numFmtId="170" fontId="3" fillId="0" borderId="1" xfId="25" applyFont="1"/>
    <xf numFmtId="167" fontId="12" fillId="3" borderId="1" xfId="0" applyNumberFormat="1" applyFont="1" applyFill="1" applyAlignment="1">
      <alignment horizontal="left" vertical="center"/>
    </xf>
    <xf numFmtId="168" fontId="14" fillId="6" borderId="1" xfId="0" applyNumberFormat="1" applyFont="1" applyFill="1"/>
    <xf numFmtId="166" fontId="3" fillId="7" borderId="1" xfId="0" applyFont="1" applyFill="1"/>
    <xf numFmtId="166" fontId="14" fillId="7" borderId="1" xfId="0" applyFont="1" applyFill="1"/>
    <xf numFmtId="166" fontId="3" fillId="6" borderId="1" xfId="0" applyFont="1" applyFill="1"/>
    <xf numFmtId="166" fontId="14" fillId="6" borderId="1" xfId="0" applyFont="1" applyFill="1"/>
    <xf numFmtId="167" fontId="3" fillId="0" borderId="1" xfId="0" applyNumberFormat="1" applyFont="1" applyAlignment="1">
      <alignment horizontal="right"/>
    </xf>
    <xf numFmtId="166" fontId="3" fillId="0" borderId="1" xfId="0" applyFont="1" applyAlignment="1">
      <alignment horizontal="right" vertical="top" wrapText="1"/>
    </xf>
    <xf numFmtId="168" fontId="3" fillId="0" borderId="1" xfId="0" applyNumberFormat="1" applyFont="1"/>
    <xf numFmtId="171" fontId="14" fillId="7" borderId="1" xfId="0" applyNumberFormat="1" applyFont="1" applyFill="1"/>
    <xf numFmtId="166" fontId="44" fillId="0" borderId="1" xfId="0" applyFont="1"/>
    <xf numFmtId="166" fontId="45" fillId="0" borderId="1" xfId="0" applyFont="1"/>
    <xf numFmtId="166" fontId="18" fillId="21" borderId="3" xfId="7" applyNumberFormat="1">
      <protection locked="0"/>
    </xf>
    <xf numFmtId="169" fontId="18" fillId="21" borderId="3" xfId="7" applyNumberFormat="1">
      <protection locked="0"/>
    </xf>
    <xf numFmtId="169" fontId="3" fillId="0" borderId="1" xfId="3" applyFont="1" applyFill="1"/>
    <xf numFmtId="169" fontId="18" fillId="0" borderId="1" xfId="3" applyFont="1" applyFill="1"/>
    <xf numFmtId="166" fontId="46" fillId="0" borderId="1" xfId="0" applyFont="1" applyAlignment="1">
      <alignment horizontal="left" vertical="center"/>
    </xf>
    <xf numFmtId="0" fontId="45" fillId="0" borderId="1" xfId="0" applyNumberFormat="1" applyFont="1"/>
    <xf numFmtId="166" fontId="47" fillId="0" borderId="1" xfId="23" applyNumberFormat="1" applyFont="1" applyFill="1"/>
    <xf numFmtId="166" fontId="48" fillId="0" borderId="1" xfId="0" applyFont="1"/>
    <xf numFmtId="169" fontId="31" fillId="0" borderId="1" xfId="3" applyFont="1" applyFill="1"/>
    <xf numFmtId="169" fontId="44" fillId="0" borderId="1" xfId="3" applyFont="1" applyFill="1"/>
    <xf numFmtId="169" fontId="18" fillId="21" borderId="3" xfId="3" applyFont="1" applyFill="1" applyBorder="1" applyProtection="1">
      <protection locked="0"/>
    </xf>
    <xf numFmtId="175" fontId="0" fillId="0" borderId="1" xfId="0" applyNumberFormat="1"/>
    <xf numFmtId="169" fontId="15" fillId="3" borderId="1" xfId="3" applyFont="1" applyFill="1" applyAlignment="1">
      <alignment horizontal="center"/>
    </xf>
    <xf numFmtId="166" fontId="49" fillId="19" borderId="1" xfId="0" applyFont="1" applyFill="1" applyAlignment="1">
      <alignment vertical="center"/>
    </xf>
    <xf numFmtId="167" fontId="30" fillId="19" borderId="1" xfId="59">
      <alignment horizontal="center"/>
    </xf>
    <xf numFmtId="167" fontId="37" fillId="20" borderId="1" xfId="28" applyNumberFormat="1" applyFill="1">
      <alignment horizontal="left" vertical="center"/>
    </xf>
    <xf numFmtId="166" fontId="50" fillId="20" borderId="1" xfId="0" applyFont="1" applyFill="1"/>
    <xf numFmtId="167" fontId="51" fillId="0" borderId="1" xfId="60">
      <alignment vertical="top"/>
    </xf>
    <xf numFmtId="166" fontId="0" fillId="0" borderId="1" xfId="0" applyAlignment="1">
      <alignment vertical="top"/>
    </xf>
    <xf numFmtId="166" fontId="37" fillId="0" borderId="1" xfId="28" applyNumberFormat="1" applyFill="1">
      <alignment horizontal="left" vertical="center"/>
    </xf>
    <xf numFmtId="169" fontId="0" fillId="0" borderId="3" xfId="3" applyFont="1" applyFill="1" applyBorder="1" applyProtection="1">
      <protection locked="0"/>
    </xf>
    <xf numFmtId="167" fontId="52" fillId="0" borderId="1" xfId="60" applyFont="1">
      <alignment vertical="top"/>
    </xf>
    <xf numFmtId="170" fontId="44" fillId="0" borderId="1" xfId="25" applyFont="1"/>
    <xf numFmtId="166" fontId="44" fillId="0" borderId="1" xfId="0" applyFont="1" applyAlignment="1">
      <alignment horizontal="right"/>
    </xf>
    <xf numFmtId="172" fontId="0" fillId="0" borderId="1" xfId="0" applyNumberFormat="1" applyAlignment="1">
      <alignment horizontal="right"/>
    </xf>
    <xf numFmtId="166" fontId="53" fillId="0" borderId="1" xfId="0" applyFont="1"/>
    <xf numFmtId="167" fontId="0" fillId="0" borderId="1" xfId="0" applyNumberFormat="1"/>
    <xf numFmtId="167" fontId="37" fillId="0" borderId="1" xfId="28" applyNumberFormat="1">
      <alignment horizontal="left" vertical="center"/>
    </xf>
    <xf numFmtId="166" fontId="0" fillId="0" borderId="1" xfId="0" applyAlignment="1">
      <alignment horizontal="right"/>
    </xf>
    <xf numFmtId="176" fontId="0" fillId="0" borderId="1" xfId="0" applyNumberFormat="1"/>
    <xf numFmtId="169" fontId="31" fillId="0" borderId="1" xfId="3" applyFill="1"/>
    <xf numFmtId="166" fontId="0" fillId="42" borderId="1" xfId="0" applyFill="1"/>
    <xf numFmtId="166" fontId="6" fillId="42" borderId="1" xfId="0" applyFont="1" applyFill="1"/>
    <xf numFmtId="166" fontId="7" fillId="42" borderId="1" xfId="0" applyFont="1" applyFill="1" applyAlignment="1">
      <alignment vertical="top"/>
    </xf>
    <xf numFmtId="166" fontId="7" fillId="42" borderId="1" xfId="0" applyFont="1" applyFill="1"/>
    <xf numFmtId="166" fontId="10" fillId="42" borderId="1" xfId="0" applyFont="1" applyFill="1" applyAlignment="1">
      <alignment horizontal="center" vertical="top"/>
    </xf>
    <xf numFmtId="167" fontId="7" fillId="42" borderId="1" xfId="0" applyNumberFormat="1" applyFont="1" applyFill="1"/>
    <xf numFmtId="167" fontId="14" fillId="42" borderId="1" xfId="0" applyNumberFormat="1" applyFont="1" applyFill="1" applyAlignment="1">
      <alignment vertical="top"/>
    </xf>
    <xf numFmtId="0" fontId="3" fillId="42" borderId="1" xfId="0" applyNumberFormat="1" applyFont="1" applyFill="1"/>
    <xf numFmtId="172" fontId="18" fillId="21" borderId="3" xfId="7" applyNumberFormat="1">
      <protection locked="0"/>
    </xf>
    <xf numFmtId="174" fontId="18" fillId="21" borderId="3" xfId="7">
      <protection locked="0"/>
    </xf>
    <xf numFmtId="0" fontId="18" fillId="21" borderId="3" xfId="7" applyNumberFormat="1">
      <protection locked="0"/>
    </xf>
    <xf numFmtId="167" fontId="18" fillId="21" borderId="3" xfId="7" applyNumberFormat="1">
      <protection locked="0"/>
    </xf>
    <xf numFmtId="167" fontId="11" fillId="4" borderId="1" xfId="0" applyNumberFormat="1" applyFont="1" applyFill="1" applyAlignment="1">
      <alignment horizontal="center" vertical="center" wrapText="1"/>
    </xf>
    <xf numFmtId="167" fontId="4" fillId="2" borderId="1" xfId="0" applyNumberFormat="1" applyFont="1" applyFill="1" applyAlignment="1">
      <alignment horizontal="center"/>
    </xf>
    <xf numFmtId="167" fontId="4" fillId="3" borderId="1" xfId="0" applyNumberFormat="1" applyFont="1" applyFill="1" applyAlignment="1">
      <alignment horizontal="center" vertical="center"/>
    </xf>
    <xf numFmtId="167" fontId="7" fillId="4" borderId="1" xfId="0" applyNumberFormat="1" applyFont="1" applyFill="1" applyAlignment="1">
      <alignment horizontal="left" vertical="top"/>
    </xf>
    <xf numFmtId="167" fontId="3" fillId="4" borderId="1" xfId="0" applyNumberFormat="1" applyFont="1" applyFill="1" applyAlignment="1">
      <alignment horizontal="center" vertical="center" wrapText="1"/>
    </xf>
    <xf numFmtId="166" fontId="8" fillId="4" borderId="1" xfId="0" applyFont="1" applyFill="1" applyAlignment="1">
      <alignment horizontal="left" vertical="center"/>
    </xf>
    <xf numFmtId="168" fontId="3" fillId="4" borderId="1" xfId="0" applyNumberFormat="1" applyFont="1" applyFill="1" applyAlignment="1">
      <alignment horizontal="left"/>
    </xf>
    <xf numFmtId="166" fontId="3" fillId="4" borderId="1" xfId="0" applyFont="1" applyFill="1" applyAlignment="1">
      <alignment horizontal="left"/>
    </xf>
    <xf numFmtId="0" fontId="5" fillId="0" borderId="1" xfId="0" applyNumberFormat="1" applyFont="1" applyAlignment="1"/>
    <xf numFmtId="166" fontId="3" fillId="4" borderId="1" xfId="0" applyFont="1" applyFill="1" applyAlignment="1"/>
  </cellXfs>
  <cellStyles count="61">
    <cellStyle name="20% - Accent1" xfId="14" builtinId="30" hidden="1"/>
    <cellStyle name="20% - Accent2" xfId="15" builtinId="34" hidden="1"/>
    <cellStyle name="20% - Accent3" xfId="16" builtinId="38" hidden="1"/>
    <cellStyle name="20% - Accent4" xfId="17" builtinId="42" hidden="1"/>
    <cellStyle name="20% - Accent5" xfId="18" builtinId="46" hidden="1"/>
    <cellStyle name="20% - Accent6" xfId="51" builtinId="50" hidden="1"/>
    <cellStyle name="40% - Accent1" xfId="36" builtinId="31" hidden="1"/>
    <cellStyle name="40% - Accent2" xfId="39" builtinId="35" hidden="1"/>
    <cellStyle name="40% - Accent3" xfId="42" builtinId="39" hidden="1"/>
    <cellStyle name="40% - Accent4" xfId="45" builtinId="43" hidden="1"/>
    <cellStyle name="40% - Accent5" xfId="48" builtinId="47" hidden="1"/>
    <cellStyle name="40% - Accent6" xfId="52" builtinId="51" hidden="1"/>
    <cellStyle name="60% - Accent1" xfId="37" builtinId="32" hidden="1"/>
    <cellStyle name="60% - Accent2" xfId="40" builtinId="36" hidden="1"/>
    <cellStyle name="60% - Accent3" xfId="43" builtinId="40" hidden="1"/>
    <cellStyle name="60% - Accent4" xfId="46" builtinId="44" hidden="1"/>
    <cellStyle name="60% - Accent5" xfId="49" builtinId="48" hidden="1"/>
    <cellStyle name="60% - Accent6" xfId="53" builtinId="52" hidden="1"/>
    <cellStyle name="Accent1" xfId="35" builtinId="29" hidden="1"/>
    <cellStyle name="Accent2" xfId="38" builtinId="33" hidden="1"/>
    <cellStyle name="Accent3" xfId="41" builtinId="37" hidden="1"/>
    <cellStyle name="Accent4" xfId="44" builtinId="41" hidden="1"/>
    <cellStyle name="Accent5" xfId="47" builtinId="45" hidden="1"/>
    <cellStyle name="Accent6" xfId="50" builtinId="49" hidden="1"/>
    <cellStyle name="Background Fill" xfId="19" xr:uid="{D191FE50-09C8-424C-B523-D5D33B56345E}"/>
    <cellStyle name="Bad" xfId="5" builtinId="27" hidden="1"/>
    <cellStyle name="Calculation" xfId="9" builtinId="22" hidden="1"/>
    <cellStyle name="Check Cell" xfId="11" builtinId="23" hidden="1"/>
    <cellStyle name="Column Heading" xfId="20" xr:uid="{8CE03F7A-D579-4116-BD76-5386275F696F}"/>
    <cellStyle name="Comma" xfId="54" builtinId="3" hidden="1"/>
    <cellStyle name="Comma [0]" xfId="55" builtinId="6" hidden="1"/>
    <cellStyle name="Currency" xfId="56" builtinId="4" hidden="1"/>
    <cellStyle name="Currency [0]" xfId="57" builtinId="7" hidden="1"/>
    <cellStyle name="Date" xfId="21" xr:uid="{FA95EFB7-623E-4156-84B8-31B8752CCC36}"/>
    <cellStyle name="Date Heading" xfId="22" xr:uid="{44984087-7F5A-4DE4-9F41-09BCF05F1D03}"/>
    <cellStyle name="Explanatory Text" xfId="13" builtinId="53" hidden="1"/>
    <cellStyle name="Followed Hyperlink" xfId="2" builtinId="9" hidden="1" customBuiltin="1"/>
    <cellStyle name="Good" xfId="4" builtinId="26" hidden="1"/>
    <cellStyle name="Hard Coded Number" xfId="23" xr:uid="{82755E70-246C-4CB7-9303-88EF5B451766}"/>
    <cellStyle name="Heading" xfId="24" xr:uid="{C8A98528-CED2-4D7C-97E6-776B729BE0F9}"/>
    <cellStyle name="Heading 1" xfId="30" builtinId="16" hidden="1"/>
    <cellStyle name="Heading 2" xfId="31" builtinId="17" hidden="1"/>
    <cellStyle name="Heading 3" xfId="32" builtinId="18" hidden="1"/>
    <cellStyle name="Heading 4" xfId="33" builtinId="19" hidden="1"/>
    <cellStyle name="Hist Proj Title" xfId="59" xr:uid="{DFC5EFCA-716F-4813-9A41-A0F24135A354}"/>
    <cellStyle name="Hyperlink" xfId="1" builtinId="8" hidden="1" customBuiltin="1"/>
    <cellStyle name="Input" xfId="7" builtinId="20" customBuiltin="1"/>
    <cellStyle name="Linked Cell" xfId="10" builtinId="24" hidden="1"/>
    <cellStyle name="Multiple" xfId="25" xr:uid="{7924ABA2-E6A2-45F9-B328-713CA1055226}"/>
    <cellStyle name="Neutral" xfId="6" builtinId="28" hidden="1"/>
    <cellStyle name="Normal" xfId="0" builtinId="0" customBuiltin="1"/>
    <cellStyle name="Note" xfId="58" builtinId="10" hidden="1"/>
    <cellStyle name="Output" xfId="8" builtinId="21" hidden="1"/>
    <cellStyle name="Percent" xfId="3" builtinId="5" customBuiltin="1"/>
    <cellStyle name="Primary Title" xfId="26" xr:uid="{6B18F1F5-1555-429C-AD8E-4077B9A3BD34}"/>
    <cellStyle name="Row Label" xfId="60" xr:uid="{15ADA6BB-7217-4F3E-B336-ECBC9AB26801}"/>
    <cellStyle name="Secondary Title" xfId="27" xr:uid="{85E7E940-8AA6-49D5-9D0B-C04186ADEBA4}"/>
    <cellStyle name="Tertiary Title" xfId="28" xr:uid="{E083078C-9C44-412C-A3EE-BC4704FC53AB}"/>
    <cellStyle name="Title" xfId="29" builtinId="15" hidden="1"/>
    <cellStyle name="Total" xfId="34" builtinId="25" hidden="1"/>
    <cellStyle name="Warning Text" xfId="12" builtinId="11" hidden="1"/>
  </cellStyles>
  <dxfs count="2">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1019175</xdr:rowOff>
    </xdr:from>
    <xdr:ext cx="3590925" cy="5238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1914514</xdr:colOff>
      <xdr:row>0</xdr:row>
      <xdr:rowOff>114300</xdr:rowOff>
    </xdr:from>
    <xdr:ext cx="352425" cy="3429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843827" y="114300"/>
          <a:ext cx="352425" cy="3429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F3F3F"/>
      </a:dk1>
      <a:lt1>
        <a:srgbClr val="FFFFFF"/>
      </a:lt1>
      <a:dk2>
        <a:srgbClr val="3F3F3F"/>
      </a:dk2>
      <a:lt2>
        <a:srgbClr val="FFFFFF"/>
      </a:lt2>
      <a:accent1>
        <a:srgbClr val="085393"/>
      </a:accent1>
      <a:accent2>
        <a:srgbClr val="8064A2"/>
      </a:accent2>
      <a:accent3>
        <a:srgbClr val="C0504D"/>
      </a:accent3>
      <a:accent4>
        <a:srgbClr val="ED7D31"/>
      </a:accent4>
      <a:accent5>
        <a:srgbClr val="FFC000"/>
      </a:accent5>
      <a:accent6>
        <a:srgbClr val="70AD47"/>
      </a:accent6>
      <a:hlink>
        <a:srgbClr val="085393"/>
      </a:hlink>
      <a:folHlink>
        <a:srgbClr val="085393"/>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e.train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
  <sheetViews>
    <sheetView tabSelected="1" zoomScaleNormal="100" workbookViewId="0">
      <selection sqref="A1:N1"/>
    </sheetView>
  </sheetViews>
  <sheetFormatPr defaultColWidth="12.5703125" defaultRowHeight="15" customHeight="1"/>
  <cols>
    <col min="1" max="1" width="8.5703125" style="103" customWidth="1"/>
    <col min="2" max="13" width="8" style="103" customWidth="1"/>
    <col min="14" max="14" width="8.5703125" style="103" customWidth="1"/>
    <col min="15" max="26" width="8" style="103" customWidth="1"/>
    <col min="27" max="16384" width="12.5703125" style="103"/>
  </cols>
  <sheetData>
    <row r="1" spans="1:26" ht="189.75" customHeight="1">
      <c r="A1" s="116"/>
      <c r="B1" s="123"/>
      <c r="C1" s="123"/>
      <c r="D1" s="123"/>
      <c r="E1" s="123"/>
      <c r="F1" s="123"/>
      <c r="G1" s="123"/>
      <c r="H1" s="123"/>
      <c r="I1" s="123"/>
      <c r="J1" s="123"/>
      <c r="K1" s="123"/>
      <c r="L1" s="123"/>
      <c r="M1" s="123"/>
      <c r="N1" s="123"/>
      <c r="V1" s="104"/>
      <c r="W1" s="104"/>
      <c r="X1" s="104"/>
      <c r="Y1" s="104"/>
      <c r="Z1" s="104"/>
    </row>
    <row r="2" spans="1:26" ht="75" customHeight="1">
      <c r="A2" s="117" t="s">
        <v>0</v>
      </c>
      <c r="B2" s="123"/>
      <c r="C2" s="123"/>
      <c r="D2" s="123"/>
      <c r="E2" s="123"/>
      <c r="F2" s="123"/>
      <c r="G2" s="123"/>
      <c r="H2" s="123"/>
      <c r="I2" s="123"/>
      <c r="J2" s="123"/>
      <c r="K2" s="123"/>
      <c r="L2" s="123"/>
      <c r="M2" s="123"/>
      <c r="N2" s="123"/>
      <c r="V2" s="105"/>
      <c r="W2" s="105"/>
      <c r="X2" s="105"/>
      <c r="Y2" s="105"/>
      <c r="Z2" s="105"/>
    </row>
    <row r="3" spans="1:26" ht="7.5" customHeight="1">
      <c r="A3" s="6"/>
      <c r="B3" s="7"/>
      <c r="C3" s="7"/>
      <c r="D3" s="6"/>
      <c r="E3" s="6"/>
      <c r="F3" s="8"/>
      <c r="G3" s="8"/>
      <c r="H3" s="8"/>
      <c r="I3" s="8"/>
      <c r="J3" s="8"/>
      <c r="K3" s="8"/>
      <c r="L3" s="6"/>
      <c r="M3" s="6"/>
      <c r="N3" s="6"/>
      <c r="V3" s="106"/>
      <c r="W3" s="106"/>
      <c r="X3" s="106"/>
      <c r="Y3" s="106"/>
      <c r="Z3" s="106"/>
    </row>
    <row r="4" spans="1:26" ht="15" customHeight="1">
      <c r="A4" s="31"/>
      <c r="B4" s="32"/>
      <c r="C4" s="118"/>
      <c r="D4" s="123"/>
      <c r="E4" s="33"/>
      <c r="F4" s="34"/>
      <c r="G4" s="34"/>
      <c r="H4" s="34"/>
      <c r="I4" s="34"/>
      <c r="J4" s="34"/>
      <c r="K4" s="34"/>
      <c r="L4" s="33"/>
      <c r="M4" s="33"/>
      <c r="N4" s="33"/>
      <c r="V4" s="106"/>
      <c r="W4" s="106"/>
      <c r="X4" s="106"/>
      <c r="Y4" s="106"/>
      <c r="Z4" s="106"/>
    </row>
    <row r="5" spans="1:26" ht="15" customHeight="1">
      <c r="A5" s="119" t="s">
        <v>1</v>
      </c>
      <c r="B5" s="123"/>
      <c r="C5" s="123"/>
      <c r="D5" s="123"/>
      <c r="E5" s="123"/>
      <c r="F5" s="123"/>
      <c r="G5" s="123"/>
      <c r="H5" s="123"/>
      <c r="I5" s="123"/>
      <c r="J5" s="123"/>
      <c r="K5" s="123"/>
      <c r="L5" s="123"/>
      <c r="M5" s="123"/>
      <c r="N5" s="123"/>
      <c r="V5" s="106"/>
      <c r="W5" s="106"/>
      <c r="X5" s="106"/>
      <c r="Y5" s="106"/>
      <c r="Z5" s="106"/>
    </row>
    <row r="6" spans="1:26" ht="15" customHeight="1">
      <c r="A6" s="123"/>
      <c r="B6" s="123"/>
      <c r="C6" s="123"/>
      <c r="D6" s="123"/>
      <c r="E6" s="123"/>
      <c r="F6" s="123"/>
      <c r="G6" s="123"/>
      <c r="H6" s="123"/>
      <c r="I6" s="123"/>
      <c r="J6" s="123"/>
      <c r="K6" s="123"/>
      <c r="L6" s="123"/>
      <c r="M6" s="123"/>
      <c r="N6" s="123"/>
      <c r="V6" s="106"/>
      <c r="W6" s="106"/>
      <c r="X6" s="106"/>
      <c r="Y6" s="106"/>
      <c r="Z6" s="106"/>
    </row>
    <row r="7" spans="1:26" ht="15" customHeight="1">
      <c r="A7" s="119" t="str">
        <f ca="1">"© "&amp;YEAR(TODAY())&amp;" Financial Edge Training"</f>
        <v>© 2026 Financial Edge Training</v>
      </c>
      <c r="B7" s="123"/>
      <c r="C7" s="123"/>
      <c r="D7" s="123"/>
      <c r="E7" s="123"/>
      <c r="F7" s="123"/>
      <c r="G7" s="123"/>
      <c r="H7" s="123"/>
      <c r="I7" s="123"/>
      <c r="J7" s="123"/>
      <c r="K7" s="123"/>
      <c r="L7" s="123"/>
      <c r="M7" s="123"/>
      <c r="N7" s="123"/>
      <c r="V7" s="106"/>
      <c r="W7" s="106"/>
      <c r="X7" s="106"/>
      <c r="Y7" s="106"/>
      <c r="Z7" s="106"/>
    </row>
    <row r="8" spans="1:26" ht="15" customHeight="1">
      <c r="A8" s="115" t="s">
        <v>2</v>
      </c>
      <c r="B8" s="123"/>
      <c r="C8" s="123"/>
      <c r="D8" s="123"/>
      <c r="E8" s="123"/>
      <c r="F8" s="123"/>
      <c r="G8" s="123"/>
      <c r="H8" s="123"/>
      <c r="I8" s="123"/>
      <c r="J8" s="123"/>
      <c r="K8" s="123"/>
      <c r="L8" s="123"/>
      <c r="M8" s="123"/>
      <c r="N8" s="123"/>
      <c r="V8" s="106"/>
      <c r="W8" s="106"/>
      <c r="X8" s="106"/>
      <c r="Y8" s="106"/>
      <c r="Z8" s="106"/>
    </row>
    <row r="9" spans="1:26" ht="15" customHeight="1">
      <c r="A9" s="9"/>
      <c r="B9" s="10"/>
      <c r="C9" s="9"/>
      <c r="D9" s="9"/>
      <c r="E9" s="11"/>
      <c r="F9" s="12"/>
      <c r="G9" s="12"/>
      <c r="H9" s="12"/>
      <c r="I9" s="12"/>
      <c r="J9" s="12"/>
      <c r="K9" s="12"/>
      <c r="L9" s="11"/>
      <c r="M9" s="11"/>
      <c r="N9" s="11"/>
      <c r="V9" s="106"/>
      <c r="W9" s="106"/>
      <c r="X9" s="106"/>
      <c r="Y9" s="106"/>
      <c r="Z9" s="106"/>
    </row>
  </sheetData>
  <mergeCells count="6">
    <mergeCell ref="A8:N8"/>
    <mergeCell ref="A1:N1"/>
    <mergeCell ref="A2:N2"/>
    <mergeCell ref="C4:D4"/>
    <mergeCell ref="A5:N6"/>
    <mergeCell ref="A7:N7"/>
  </mergeCells>
  <hyperlinks>
    <hyperlink ref="A8" r:id="rId1" xr:uid="{00000000-0004-0000-0100-000000000000}"/>
  </hyperlinks>
  <pageMargins left="0.7" right="0.7" top="0.75" bottom="0.75" header="0" footer="0"/>
  <pageSetup paperSize="9" scale="98" orientation="landscape" r:id="rId2"/>
  <headerFooter>
    <oddHeader>&amp;R&amp;F  &amp;A</oddHeader>
    <oddFooter>&amp;L© 2019&amp;CPage &amp;P of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000"/>
  <sheetViews>
    <sheetView zoomScaleNormal="100" workbookViewId="0"/>
  </sheetViews>
  <sheetFormatPr defaultColWidth="12.5703125" defaultRowHeight="15" customHeight="1"/>
  <cols>
    <col min="1" max="1" width="1.140625" style="103" customWidth="1"/>
    <col min="2" max="2" width="2.5703125" style="103" customWidth="1"/>
    <col min="3" max="3" width="11.5703125" style="103" customWidth="1"/>
    <col min="4" max="4" width="2.5703125" style="103" customWidth="1"/>
    <col min="5" max="7" width="1.140625" style="103" customWidth="1"/>
    <col min="8" max="8" width="2.5703125" style="103" customWidth="1"/>
    <col min="9" max="9" width="37.5703125" style="103" customWidth="1"/>
    <col min="10" max="11" width="1.140625" style="103" customWidth="1"/>
    <col min="12" max="12" width="13.5703125" style="103" customWidth="1"/>
    <col min="13" max="14" width="1.140625" style="103" customWidth="1"/>
    <col min="15" max="15" width="2.5703125" style="103" customWidth="1"/>
    <col min="16" max="16" width="28.5703125" style="103" customWidth="1"/>
    <col min="17" max="17" width="2.5703125" style="103" customWidth="1"/>
    <col min="18" max="18" width="1.140625" style="103" customWidth="1"/>
    <col min="19" max="36" width="8" style="103" customWidth="1"/>
    <col min="37" max="16384" width="12.5703125" style="103"/>
  </cols>
  <sheetData>
    <row r="1" spans="1:36" ht="45" customHeight="1">
      <c r="A1" s="35" t="str">
        <f>Welcome!A2</f>
        <v>Mid Cap LBO Modelling</v>
      </c>
      <c r="B1" s="35"/>
      <c r="C1" s="35"/>
      <c r="D1" s="35"/>
      <c r="E1" s="35"/>
      <c r="F1" s="35"/>
      <c r="G1" s="35"/>
      <c r="H1" s="35"/>
      <c r="I1" s="35"/>
      <c r="J1" s="36"/>
      <c r="K1" s="36"/>
      <c r="L1" s="36"/>
      <c r="M1" s="36"/>
      <c r="N1" s="36"/>
      <c r="O1" s="36"/>
      <c r="P1" s="36"/>
      <c r="Q1" s="36"/>
      <c r="R1" s="36"/>
    </row>
    <row r="2" spans="1:36" ht="30" customHeight="1">
      <c r="A2" s="37" t="s">
        <v>3</v>
      </c>
      <c r="B2" s="37"/>
      <c r="C2" s="37"/>
      <c r="D2" s="37"/>
      <c r="E2" s="37"/>
      <c r="F2" s="37"/>
      <c r="G2" s="37"/>
      <c r="H2" s="37"/>
      <c r="I2" s="37"/>
      <c r="J2" s="38"/>
      <c r="K2" s="38"/>
      <c r="L2" s="38"/>
      <c r="M2" s="38"/>
      <c r="N2" s="38"/>
      <c r="O2" s="38"/>
      <c r="P2" s="38"/>
      <c r="Q2" s="38"/>
      <c r="R2" s="38"/>
    </row>
    <row r="3" spans="1:36" ht="7.5" customHeight="1">
      <c r="A3" s="39"/>
      <c r="B3" s="39"/>
      <c r="C3" s="39"/>
      <c r="D3" s="39"/>
      <c r="E3" s="39"/>
      <c r="F3" s="39"/>
      <c r="G3" s="39"/>
      <c r="H3" s="39"/>
      <c r="I3" s="39"/>
      <c r="J3" s="39"/>
      <c r="K3" s="39"/>
      <c r="L3" s="39"/>
      <c r="M3" s="39"/>
      <c r="N3" s="39"/>
      <c r="O3" s="39"/>
      <c r="P3" s="39"/>
      <c r="Q3" s="39"/>
      <c r="R3" s="39"/>
      <c r="Y3" s="39"/>
      <c r="Z3" s="39"/>
      <c r="AA3" s="39"/>
      <c r="AB3" s="39"/>
      <c r="AC3" s="39"/>
      <c r="AD3" s="39"/>
      <c r="AE3" s="39"/>
      <c r="AF3" s="39"/>
      <c r="AG3" s="39"/>
      <c r="AH3" s="39"/>
      <c r="AI3" s="39"/>
      <c r="AJ3" s="39"/>
    </row>
    <row r="4" spans="1:36" ht="22.5" customHeight="1">
      <c r="A4" s="40"/>
      <c r="B4" s="120" t="s">
        <v>4</v>
      </c>
      <c r="C4" s="123"/>
      <c r="D4" s="123"/>
      <c r="E4" s="123"/>
      <c r="F4" s="123"/>
      <c r="G4" s="123"/>
      <c r="H4" s="123"/>
      <c r="I4" s="123"/>
      <c r="J4" s="39"/>
      <c r="K4" s="40"/>
      <c r="L4" s="120" t="s">
        <v>5</v>
      </c>
      <c r="M4" s="123"/>
      <c r="N4" s="123"/>
      <c r="O4" s="123"/>
      <c r="P4" s="123"/>
      <c r="Q4" s="34"/>
      <c r="R4" s="34"/>
      <c r="Y4" s="39"/>
      <c r="Z4" s="39"/>
      <c r="AA4" s="39"/>
      <c r="AB4" s="39"/>
      <c r="AC4" s="39"/>
      <c r="AD4" s="39"/>
      <c r="AE4" s="39"/>
      <c r="AF4" s="39"/>
      <c r="AG4" s="39"/>
      <c r="AH4" s="39"/>
      <c r="AI4" s="39"/>
      <c r="AJ4" s="39"/>
    </row>
    <row r="5" spans="1:36" ht="15" customHeight="1">
      <c r="A5" s="41"/>
      <c r="B5" s="42" t="s">
        <v>6</v>
      </c>
      <c r="C5" s="43" t="s">
        <v>7</v>
      </c>
      <c r="D5" s="44"/>
      <c r="E5" s="44"/>
      <c r="F5" s="44"/>
      <c r="G5" s="44"/>
      <c r="H5" s="44"/>
      <c r="I5" s="44"/>
      <c r="J5" s="39"/>
      <c r="K5" s="40"/>
      <c r="L5" s="45" t="s">
        <v>8</v>
      </c>
      <c r="M5" s="45"/>
      <c r="N5" s="124"/>
      <c r="O5" s="123"/>
      <c r="P5" s="123"/>
      <c r="Q5" s="123"/>
      <c r="R5" s="34"/>
      <c r="Y5" s="39"/>
      <c r="Z5" s="39"/>
      <c r="AA5" s="39"/>
      <c r="AB5" s="39"/>
      <c r="AC5" s="39"/>
      <c r="AD5" s="39"/>
      <c r="AE5" s="39"/>
      <c r="AF5" s="39"/>
      <c r="AG5" s="39"/>
      <c r="AH5" s="39"/>
      <c r="AI5" s="39"/>
      <c r="AJ5" s="39"/>
    </row>
    <row r="6" spans="1:36" ht="15" customHeight="1">
      <c r="A6" s="46"/>
      <c r="B6" s="42"/>
      <c r="C6" s="43"/>
      <c r="D6" s="44"/>
      <c r="E6" s="44"/>
      <c r="F6" s="44"/>
      <c r="G6" s="44"/>
      <c r="H6" s="44"/>
      <c r="I6" s="44"/>
      <c r="J6" s="39"/>
      <c r="K6" s="41"/>
      <c r="L6" s="45" t="s">
        <v>9</v>
      </c>
      <c r="M6" s="45"/>
      <c r="N6" s="121"/>
      <c r="O6" s="123"/>
      <c r="P6" s="123"/>
      <c r="Q6" s="123"/>
      <c r="R6" s="34"/>
      <c r="Y6" s="39"/>
      <c r="Z6" s="39"/>
      <c r="AA6" s="39"/>
      <c r="AB6" s="39"/>
      <c r="AC6" s="39"/>
      <c r="AD6" s="39"/>
      <c r="AE6" s="39"/>
      <c r="AF6" s="39"/>
      <c r="AG6" s="39"/>
      <c r="AH6" s="39"/>
      <c r="AI6" s="39"/>
      <c r="AJ6" s="39"/>
    </row>
    <row r="7" spans="1:36" ht="15" customHeight="1">
      <c r="A7" s="44"/>
      <c r="B7" s="42"/>
      <c r="C7" s="43"/>
      <c r="D7" s="44"/>
      <c r="E7" s="44"/>
      <c r="F7" s="44"/>
      <c r="G7" s="44"/>
      <c r="H7" s="44"/>
      <c r="I7" s="44"/>
      <c r="J7" s="39"/>
      <c r="K7" s="46"/>
      <c r="L7" s="45" t="s">
        <v>10</v>
      </c>
      <c r="M7" s="45"/>
      <c r="N7" s="124"/>
      <c r="O7" s="123"/>
      <c r="P7" s="123"/>
      <c r="Q7" s="123"/>
      <c r="R7" s="34"/>
      <c r="Y7" s="39"/>
      <c r="Z7" s="39"/>
      <c r="AA7" s="39"/>
      <c r="AB7" s="39"/>
      <c r="AC7" s="39"/>
      <c r="AD7" s="39"/>
      <c r="AE7" s="39"/>
      <c r="AF7" s="39"/>
      <c r="AG7" s="39"/>
      <c r="AH7" s="39"/>
      <c r="AI7" s="39"/>
      <c r="AJ7" s="39"/>
    </row>
    <row r="8" spans="1:36" ht="15" customHeight="1">
      <c r="A8" s="44"/>
      <c r="B8" s="42"/>
      <c r="C8" s="43"/>
      <c r="D8" s="44"/>
      <c r="E8" s="44"/>
      <c r="F8" s="44"/>
      <c r="G8" s="44"/>
      <c r="H8" s="44"/>
      <c r="I8" s="44"/>
      <c r="J8" s="39"/>
      <c r="K8" s="44"/>
      <c r="L8" s="45" t="s">
        <v>11</v>
      </c>
      <c r="M8" s="45"/>
      <c r="N8" s="124"/>
      <c r="O8" s="123"/>
      <c r="P8" s="123"/>
      <c r="Q8" s="123"/>
      <c r="R8" s="34"/>
      <c r="Y8" s="39"/>
      <c r="Z8" s="39"/>
      <c r="AA8" s="39"/>
      <c r="AB8" s="39"/>
      <c r="AC8" s="39"/>
      <c r="AD8" s="39"/>
      <c r="AE8" s="39"/>
      <c r="AF8" s="39"/>
      <c r="AG8" s="39"/>
      <c r="AH8" s="39"/>
      <c r="AI8" s="39"/>
      <c r="AJ8" s="39"/>
    </row>
    <row r="9" spans="1:36" ht="15" customHeight="1">
      <c r="A9" s="47"/>
      <c r="B9" s="42"/>
      <c r="C9" s="43"/>
      <c r="D9" s="47"/>
      <c r="E9" s="47"/>
      <c r="F9" s="47"/>
      <c r="G9" s="47"/>
      <c r="H9" s="47"/>
      <c r="I9" s="47"/>
      <c r="J9" s="39"/>
      <c r="K9" s="44"/>
      <c r="L9" s="45" t="s">
        <v>12</v>
      </c>
      <c r="M9" s="45"/>
      <c r="N9" s="124" t="s">
        <v>13</v>
      </c>
      <c r="O9" s="123"/>
      <c r="P9" s="123"/>
      <c r="Q9" s="123"/>
      <c r="R9" s="34"/>
      <c r="Y9" s="39"/>
      <c r="Z9" s="39"/>
      <c r="AA9" s="39"/>
      <c r="AB9" s="39"/>
      <c r="AC9" s="39"/>
      <c r="AD9" s="39"/>
      <c r="AE9" s="39"/>
      <c r="AF9" s="39"/>
      <c r="AG9" s="39"/>
      <c r="AH9" s="39"/>
      <c r="AI9" s="39"/>
      <c r="AJ9" s="39"/>
    </row>
    <row r="10" spans="1:36" ht="15" customHeight="1">
      <c r="A10" s="33"/>
      <c r="B10" s="33"/>
      <c r="C10" s="33"/>
      <c r="D10" s="33"/>
      <c r="E10" s="33"/>
      <c r="F10" s="33"/>
      <c r="G10" s="33"/>
      <c r="H10" s="33"/>
      <c r="I10" s="33"/>
      <c r="J10" s="39"/>
      <c r="K10" s="44"/>
      <c r="L10" s="45" t="s">
        <v>14</v>
      </c>
      <c r="M10" s="45"/>
      <c r="N10" s="122">
        <v>1</v>
      </c>
      <c r="O10" s="123"/>
      <c r="P10" s="123"/>
      <c r="Q10" s="123"/>
      <c r="R10" s="48"/>
      <c r="Y10" s="39"/>
      <c r="Z10" s="39"/>
      <c r="AA10" s="39"/>
      <c r="AB10" s="39"/>
      <c r="AC10" s="39"/>
      <c r="AD10" s="39"/>
      <c r="AE10" s="39"/>
      <c r="AF10" s="39"/>
      <c r="AG10" s="39"/>
      <c r="AH10" s="39"/>
      <c r="AI10" s="39"/>
      <c r="AJ10" s="39"/>
    </row>
    <row r="11" spans="1:36" ht="15" customHeight="1">
      <c r="A11" s="9"/>
      <c r="B11" s="9"/>
      <c r="C11" s="9"/>
      <c r="D11" s="9"/>
      <c r="E11" s="9"/>
      <c r="F11" s="9"/>
      <c r="G11" s="9"/>
      <c r="H11" s="9"/>
      <c r="I11" s="9"/>
      <c r="J11" s="39"/>
      <c r="K11" s="9"/>
      <c r="L11" s="9"/>
      <c r="M11" s="9"/>
      <c r="N11" s="9"/>
      <c r="O11" s="9"/>
      <c r="P11" s="9"/>
      <c r="Q11" s="9"/>
      <c r="R11" s="9"/>
      <c r="Y11" s="39"/>
      <c r="Z11" s="39"/>
      <c r="AA11" s="39"/>
      <c r="AB11" s="39"/>
      <c r="AC11" s="39"/>
      <c r="AD11" s="39"/>
      <c r="AE11" s="39"/>
      <c r="AF11" s="39"/>
      <c r="AG11" s="39"/>
      <c r="AH11" s="39"/>
      <c r="AI11" s="39"/>
      <c r="AJ11" s="39"/>
    </row>
    <row r="12" spans="1:36" ht="7.5" customHeight="1">
      <c r="A12" s="39"/>
      <c r="B12" s="39"/>
      <c r="C12" s="39"/>
      <c r="D12" s="39"/>
      <c r="E12" s="39"/>
      <c r="F12" s="39"/>
      <c r="G12" s="39"/>
      <c r="H12" s="39"/>
      <c r="I12" s="39"/>
      <c r="J12" s="39"/>
      <c r="K12" s="8"/>
      <c r="L12" s="8"/>
      <c r="M12" s="8"/>
      <c r="N12" s="8"/>
      <c r="O12" s="8"/>
      <c r="P12" s="8"/>
      <c r="Q12" s="8"/>
      <c r="R12" s="8"/>
      <c r="Y12" s="39"/>
      <c r="Z12" s="39"/>
      <c r="AA12" s="39"/>
      <c r="AB12" s="39"/>
      <c r="AC12" s="39"/>
      <c r="AD12" s="39"/>
      <c r="AE12" s="39"/>
      <c r="AF12" s="39"/>
      <c r="AG12" s="39"/>
      <c r="AH12" s="39"/>
      <c r="AI12" s="39"/>
      <c r="AJ12" s="39"/>
    </row>
    <row r="13" spans="1:36" ht="22.5" customHeight="1">
      <c r="A13" s="43"/>
      <c r="B13" s="120" t="s">
        <v>15</v>
      </c>
      <c r="C13" s="123"/>
      <c r="D13" s="123"/>
      <c r="E13" s="123"/>
      <c r="F13" s="123"/>
      <c r="G13" s="123"/>
      <c r="H13" s="123"/>
      <c r="I13" s="123"/>
      <c r="J13" s="123"/>
      <c r="K13" s="123"/>
      <c r="L13" s="123"/>
      <c r="M13" s="39"/>
      <c r="N13" s="40"/>
      <c r="O13" s="120" t="s">
        <v>16</v>
      </c>
      <c r="P13" s="123"/>
      <c r="Q13" s="123"/>
      <c r="R13" s="49"/>
      <c r="Y13" s="39"/>
      <c r="Z13" s="39"/>
      <c r="AA13" s="39"/>
      <c r="AB13" s="39"/>
      <c r="AC13" s="39"/>
      <c r="AD13" s="39"/>
      <c r="AE13" s="39"/>
      <c r="AF13" s="39"/>
      <c r="AG13" s="39"/>
      <c r="AH13" s="39"/>
      <c r="AI13" s="39"/>
      <c r="AJ13" s="39"/>
    </row>
    <row r="14" spans="1:36" ht="15" customHeight="1">
      <c r="A14" s="44"/>
      <c r="B14" s="122"/>
      <c r="C14" s="123"/>
      <c r="D14" s="122"/>
      <c r="E14" s="123"/>
      <c r="F14" s="123"/>
      <c r="G14" s="123"/>
      <c r="H14" s="123"/>
      <c r="I14" s="123"/>
      <c r="J14" s="123"/>
      <c r="K14" s="123"/>
      <c r="L14" s="123"/>
      <c r="M14" s="39"/>
      <c r="N14" s="41"/>
      <c r="O14" s="107"/>
      <c r="P14" s="105"/>
      <c r="Q14" s="105"/>
      <c r="R14" s="44"/>
      <c r="Y14" s="39"/>
      <c r="Z14" s="39"/>
      <c r="AA14" s="39"/>
      <c r="AB14" s="39"/>
      <c r="AC14" s="39"/>
      <c r="AD14" s="39"/>
      <c r="AE14" s="39"/>
      <c r="AF14" s="39"/>
      <c r="AG14" s="39"/>
      <c r="AH14" s="39"/>
      <c r="AI14" s="39"/>
      <c r="AJ14" s="39"/>
    </row>
    <row r="15" spans="1:36" ht="15" customHeight="1">
      <c r="A15" s="44"/>
      <c r="B15" s="122"/>
      <c r="C15" s="123"/>
      <c r="D15" s="122"/>
      <c r="E15" s="123"/>
      <c r="F15" s="123"/>
      <c r="G15" s="123"/>
      <c r="H15" s="123"/>
      <c r="I15" s="123"/>
      <c r="J15" s="123"/>
      <c r="K15" s="123"/>
      <c r="L15" s="123"/>
      <c r="M15" s="39"/>
      <c r="N15" s="46"/>
      <c r="O15" s="107"/>
      <c r="P15" s="13" t="s">
        <v>17</v>
      </c>
      <c r="Q15" s="5"/>
      <c r="R15" s="44"/>
      <c r="Y15" s="39"/>
      <c r="Z15" s="39"/>
      <c r="AA15" s="39"/>
      <c r="AB15" s="39"/>
      <c r="AC15" s="39"/>
      <c r="AD15" s="39"/>
      <c r="AE15" s="39"/>
      <c r="AF15" s="39"/>
      <c r="AG15" s="39"/>
      <c r="AH15" s="39"/>
      <c r="AI15" s="39"/>
      <c r="AJ15" s="39"/>
    </row>
    <row r="16" spans="1:36" ht="15" customHeight="1">
      <c r="A16" s="44"/>
      <c r="B16" s="122"/>
      <c r="C16" s="123"/>
      <c r="D16" s="122"/>
      <c r="E16" s="123"/>
      <c r="F16" s="123"/>
      <c r="G16" s="123"/>
      <c r="H16" s="123"/>
      <c r="I16" s="123"/>
      <c r="J16" s="123"/>
      <c r="K16" s="123"/>
      <c r="L16" s="123"/>
      <c r="M16" s="39"/>
      <c r="N16" s="44"/>
      <c r="O16" s="107"/>
      <c r="P16" s="109" t="s">
        <v>18</v>
      </c>
      <c r="Q16" s="105"/>
      <c r="R16" s="44"/>
      <c r="Y16" s="39"/>
      <c r="Z16" s="39"/>
      <c r="AA16" s="39"/>
      <c r="AB16" s="39"/>
      <c r="AC16" s="39"/>
      <c r="AD16" s="39"/>
      <c r="AE16" s="39"/>
      <c r="AF16" s="39"/>
      <c r="AG16" s="39"/>
      <c r="AH16" s="39"/>
      <c r="AI16" s="39"/>
      <c r="AJ16" s="39"/>
    </row>
    <row r="17" spans="1:36" ht="15" customHeight="1">
      <c r="A17" s="44"/>
      <c r="B17" s="122"/>
      <c r="C17" s="123"/>
      <c r="D17" s="122"/>
      <c r="E17" s="123"/>
      <c r="F17" s="123"/>
      <c r="G17" s="123"/>
      <c r="H17" s="123"/>
      <c r="I17" s="123"/>
      <c r="J17" s="123"/>
      <c r="K17" s="123"/>
      <c r="L17" s="123"/>
      <c r="M17" s="39"/>
      <c r="N17" s="44"/>
      <c r="O17" s="107"/>
      <c r="P17" s="110" t="s">
        <v>19</v>
      </c>
      <c r="Q17" s="105"/>
      <c r="R17" s="44"/>
      <c r="Y17" s="39"/>
      <c r="Z17" s="39"/>
      <c r="AA17" s="39"/>
      <c r="AB17" s="39"/>
      <c r="AC17" s="39"/>
      <c r="AD17" s="39"/>
      <c r="AE17" s="39"/>
      <c r="AF17" s="39"/>
      <c r="AG17" s="39"/>
      <c r="AH17" s="39"/>
      <c r="AI17" s="39"/>
      <c r="AJ17" s="39"/>
    </row>
    <row r="18" spans="1:36" ht="15" customHeight="1">
      <c r="A18" s="33"/>
      <c r="B18" s="122"/>
      <c r="C18" s="123"/>
      <c r="D18" s="122"/>
      <c r="E18" s="123"/>
      <c r="F18" s="123"/>
      <c r="G18" s="123"/>
      <c r="H18" s="123"/>
      <c r="I18" s="123"/>
      <c r="J18" s="123"/>
      <c r="K18" s="123"/>
      <c r="L18" s="123"/>
      <c r="M18" s="39"/>
      <c r="N18" s="33"/>
      <c r="O18" s="108"/>
      <c r="P18" s="108"/>
      <c r="Q18" s="108"/>
      <c r="R18" s="33"/>
      <c r="Y18" s="39"/>
      <c r="Z18" s="39"/>
      <c r="AA18" s="39"/>
      <c r="AB18" s="39"/>
      <c r="AC18" s="39"/>
      <c r="AD18" s="39"/>
      <c r="AE18" s="39"/>
      <c r="AF18" s="39"/>
      <c r="AG18" s="39"/>
      <c r="AH18" s="39"/>
      <c r="AI18" s="39"/>
      <c r="AJ18" s="39"/>
    </row>
    <row r="19" spans="1:36" ht="14.25" customHeight="1">
      <c r="A19" s="9"/>
      <c r="B19" s="9"/>
      <c r="C19" s="9"/>
      <c r="D19" s="9"/>
      <c r="E19" s="9"/>
      <c r="F19" s="9"/>
      <c r="G19" s="9"/>
      <c r="H19" s="9"/>
      <c r="I19" s="9"/>
      <c r="J19" s="9"/>
      <c r="K19" s="9"/>
      <c r="L19" s="9"/>
      <c r="M19"/>
      <c r="N19" s="9"/>
      <c r="O19" s="9"/>
      <c r="P19" s="9"/>
      <c r="Q19" s="9"/>
      <c r="R19" s="9"/>
    </row>
    <row r="20" spans="1:36" ht="14.25" customHeight="1">
      <c r="Q20" s="106"/>
    </row>
    <row r="21" spans="1:36" ht="14.25" customHeight="1"/>
    <row r="22" spans="1:36" ht="14.25" customHeight="1"/>
    <row r="23" spans="1:36" ht="14.25" customHeight="1"/>
    <row r="24" spans="1:36" ht="14.25" customHeight="1"/>
    <row r="25" spans="1:36" ht="14.25" customHeight="1"/>
    <row r="26" spans="1:36" ht="14.25" customHeight="1"/>
    <row r="27" spans="1:36" ht="14.25" customHeight="1"/>
    <row r="28" spans="1:36" ht="14.25" customHeight="1"/>
    <row r="29" spans="1:36" ht="14.25" customHeight="1"/>
    <row r="30" spans="1:36" ht="14.25" customHeight="1"/>
    <row r="31" spans="1:36" ht="14.25" customHeight="1"/>
    <row r="32" spans="1:3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0">
    <mergeCell ref="B18:C18"/>
    <mergeCell ref="D18:L18"/>
    <mergeCell ref="N10:Q10"/>
    <mergeCell ref="B13:L13"/>
    <mergeCell ref="O13:Q13"/>
    <mergeCell ref="B14:C14"/>
    <mergeCell ref="D14:L14"/>
    <mergeCell ref="B15:C15"/>
    <mergeCell ref="D15:L15"/>
    <mergeCell ref="N8:Q8"/>
    <mergeCell ref="N9:Q9"/>
    <mergeCell ref="B16:C16"/>
    <mergeCell ref="D16:L16"/>
    <mergeCell ref="B17:C17"/>
    <mergeCell ref="D17:L17"/>
    <mergeCell ref="B4:I4"/>
    <mergeCell ref="L4:P4"/>
    <mergeCell ref="N5:Q5"/>
    <mergeCell ref="N6:Q6"/>
    <mergeCell ref="N7:Q7"/>
  </mergeCells>
  <pageMargins left="0.7" right="0.7" top="0.75" bottom="0.75" header="0" footer="0"/>
  <pageSetup paperSize="9" orientation="landscape" r:id="rId1"/>
  <headerFooter>
    <oddHeader>&amp;R&amp;F  &amp;A</oddHeader>
    <oddFooter>&amp;L© 2017&amp;CPage &amp;P of</oddFooter>
  </headerFooter>
  <colBreaks count="1" manualBreakCount="1">
    <brk id="18"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101"/>
  <sheetViews>
    <sheetView zoomScaleNormal="100" workbookViewId="0"/>
  </sheetViews>
  <sheetFormatPr defaultColWidth="12.5703125" defaultRowHeight="15" customHeight="1"/>
  <cols>
    <col min="1" max="1" width="1.5703125" customWidth="1"/>
    <col min="2" max="2" width="50.5703125" customWidth="1"/>
    <col min="3" max="9" width="10.28515625" customWidth="1"/>
    <col min="10" max="10" width="12.7109375" bestFit="1" customWidth="1"/>
    <col min="11" max="16" width="10.28515625" customWidth="1"/>
  </cols>
  <sheetData>
    <row r="1" spans="1:16" ht="45" customHeight="1">
      <c r="A1" s="1" t="str">
        <f>"LBO valuation for Pets at Home"</f>
        <v>LBO valuation for Pets at Home</v>
      </c>
      <c r="B1" s="28"/>
      <c r="C1" s="28"/>
      <c r="D1" s="28"/>
      <c r="E1" s="28"/>
      <c r="F1" s="28"/>
      <c r="G1" s="28"/>
      <c r="H1" s="28"/>
      <c r="I1" s="28"/>
      <c r="J1" s="28"/>
      <c r="K1" s="28"/>
      <c r="L1" s="28"/>
      <c r="M1" s="28"/>
      <c r="N1" s="28"/>
      <c r="O1" s="28"/>
      <c r="P1" s="28"/>
    </row>
    <row r="2" spans="1:16" ht="15" customHeight="1">
      <c r="A2" s="30"/>
      <c r="B2" s="30"/>
      <c r="C2" s="30" t="s">
        <v>20</v>
      </c>
      <c r="D2" s="30" t="s">
        <v>20</v>
      </c>
      <c r="E2" s="30" t="s">
        <v>20</v>
      </c>
      <c r="F2" s="30" t="s">
        <v>20</v>
      </c>
      <c r="G2" s="30" t="s">
        <v>21</v>
      </c>
      <c r="H2" s="30" t="s">
        <v>21</v>
      </c>
      <c r="I2" s="30" t="s">
        <v>21</v>
      </c>
      <c r="J2" s="30" t="s">
        <v>21</v>
      </c>
      <c r="K2" s="30" t="s">
        <v>21</v>
      </c>
      <c r="L2" s="30" t="s">
        <v>21</v>
      </c>
      <c r="M2" s="30" t="s">
        <v>21</v>
      </c>
      <c r="N2" s="30" t="s">
        <v>21</v>
      </c>
      <c r="O2" s="30" t="s">
        <v>21</v>
      </c>
      <c r="P2" s="30" t="s">
        <v>21</v>
      </c>
    </row>
    <row r="3" spans="1:16" ht="15" customHeight="1">
      <c r="A3" s="30"/>
      <c r="B3" s="30"/>
      <c r="C3" s="52">
        <f>EDATE(D3,-12)</f>
        <v>44286</v>
      </c>
      <c r="D3" s="52">
        <f>EDATE(E3,-12)</f>
        <v>44651</v>
      </c>
      <c r="E3" s="52">
        <f>EDATE(F3,-12)</f>
        <v>45016</v>
      </c>
      <c r="F3" s="52">
        <v>45382</v>
      </c>
      <c r="G3" s="52">
        <f>EDATE(F3,12)</f>
        <v>45747</v>
      </c>
      <c r="H3" s="52">
        <f t="shared" ref="H3:O3" si="0">EDATE(G3,12)</f>
        <v>46112</v>
      </c>
      <c r="I3" s="52">
        <f t="shared" si="0"/>
        <v>46477</v>
      </c>
      <c r="J3" s="52">
        <f t="shared" si="0"/>
        <v>46843</v>
      </c>
      <c r="K3" s="52">
        <f t="shared" si="0"/>
        <v>47208</v>
      </c>
      <c r="L3" s="52">
        <f t="shared" si="0"/>
        <v>47573</v>
      </c>
      <c r="M3" s="52">
        <f t="shared" si="0"/>
        <v>47938</v>
      </c>
      <c r="N3" s="52">
        <f t="shared" si="0"/>
        <v>48304</v>
      </c>
      <c r="O3" s="52">
        <f t="shared" si="0"/>
        <v>48669</v>
      </c>
      <c r="P3" s="52">
        <f t="shared" ref="P3" si="1">EDATE(O3,12)</f>
        <v>49034</v>
      </c>
    </row>
    <row r="4" spans="1:16" ht="15" customHeight="1">
      <c r="A4" s="4" t="s">
        <v>22</v>
      </c>
      <c r="B4" s="19"/>
      <c r="C4" s="19"/>
      <c r="D4" s="19"/>
      <c r="E4" s="19"/>
      <c r="F4" s="19"/>
      <c r="G4" s="19"/>
      <c r="H4" s="19"/>
      <c r="I4" s="19"/>
      <c r="J4" s="19"/>
      <c r="K4" s="19"/>
      <c r="L4" s="19"/>
      <c r="M4" s="19"/>
      <c r="N4" s="19"/>
      <c r="O4" s="19"/>
      <c r="P4" s="19"/>
    </row>
    <row r="5" spans="1:16" ht="15" customHeight="1">
      <c r="B5" s="19"/>
      <c r="C5" s="19"/>
      <c r="D5" s="19"/>
      <c r="E5" s="19"/>
      <c r="F5" s="19"/>
      <c r="G5" s="19"/>
      <c r="H5" s="19"/>
      <c r="I5" s="19"/>
      <c r="J5" s="19"/>
      <c r="K5" s="19"/>
      <c r="L5" s="19"/>
      <c r="M5" s="19"/>
      <c r="N5" s="19"/>
      <c r="O5" s="19"/>
      <c r="P5" s="19"/>
    </row>
    <row r="6" spans="1:16" ht="15" customHeight="1">
      <c r="A6" s="15" t="s">
        <v>23</v>
      </c>
      <c r="B6" s="19"/>
      <c r="C6" s="19"/>
      <c r="D6" s="19"/>
      <c r="E6" s="19"/>
      <c r="F6" s="19"/>
      <c r="H6" s="15" t="s">
        <v>24</v>
      </c>
      <c r="I6" s="19"/>
      <c r="J6" s="19"/>
      <c r="K6" s="19"/>
      <c r="L6" s="19"/>
      <c r="M6" s="19"/>
      <c r="N6" s="4" t="s">
        <v>25</v>
      </c>
      <c r="O6" s="19"/>
      <c r="P6" s="19"/>
    </row>
    <row r="7" spans="1:16" ht="15" customHeight="1">
      <c r="A7" s="15"/>
      <c r="B7" s="4" t="s">
        <v>26</v>
      </c>
      <c r="C7" s="19"/>
      <c r="D7" s="19"/>
      <c r="E7" s="25"/>
      <c r="F7" s="19">
        <f>F43</f>
        <v>247</v>
      </c>
      <c r="H7" t="s">
        <v>27</v>
      </c>
      <c r="J7">
        <f>F7*F9</f>
        <v>1976</v>
      </c>
      <c r="L7" t="s">
        <v>28</v>
      </c>
      <c r="N7" s="21">
        <v>4</v>
      </c>
      <c r="O7">
        <f>N7*$F$7</f>
        <v>988</v>
      </c>
    </row>
    <row r="8" spans="1:16" ht="15" customHeight="1">
      <c r="A8" s="15"/>
      <c r="B8" s="4" t="s">
        <v>29</v>
      </c>
      <c r="C8" s="19"/>
      <c r="D8" s="19"/>
      <c r="E8" s="19"/>
      <c r="F8" s="21">
        <v>6</v>
      </c>
      <c r="H8" t="s">
        <v>30</v>
      </c>
      <c r="J8">
        <f>+F17*J7</f>
        <v>39.520000000000003</v>
      </c>
      <c r="L8" t="s">
        <v>31</v>
      </c>
      <c r="N8" s="59">
        <f>+F8-N7</f>
        <v>2</v>
      </c>
      <c r="O8">
        <f>N8*$F$7</f>
        <v>494</v>
      </c>
    </row>
    <row r="9" spans="1:16" ht="15" customHeight="1">
      <c r="A9" s="15"/>
      <c r="B9" s="19" t="s">
        <v>32</v>
      </c>
      <c r="C9" s="19"/>
      <c r="D9" s="19"/>
      <c r="E9" s="53"/>
      <c r="F9" s="24">
        <v>8</v>
      </c>
      <c r="L9" t="s">
        <v>33</v>
      </c>
      <c r="N9" s="19"/>
      <c r="O9">
        <f>J10-O7-O8</f>
        <v>533.52</v>
      </c>
    </row>
    <row r="10" spans="1:16" ht="15" customHeight="1">
      <c r="A10" s="15"/>
      <c r="B10" s="19" t="s">
        <v>34</v>
      </c>
      <c r="F10" s="27">
        <f>F9</f>
        <v>8</v>
      </c>
      <c r="H10" s="70" t="s">
        <v>35</v>
      </c>
      <c r="I10" s="70"/>
      <c r="J10" s="70">
        <f>SUM(J7:J9)</f>
        <v>2015.52</v>
      </c>
      <c r="L10" s="70" t="s">
        <v>36</v>
      </c>
      <c r="M10" s="70"/>
      <c r="N10" s="71"/>
      <c r="O10" s="70">
        <f>SUM(O7:O9)</f>
        <v>2015.52</v>
      </c>
    </row>
    <row r="11" spans="1:16" ht="15" customHeight="1">
      <c r="A11" s="15"/>
      <c r="B11" s="19"/>
      <c r="C11" s="19"/>
      <c r="D11" s="19"/>
      <c r="E11" s="19"/>
      <c r="F11" s="19"/>
      <c r="H11" s="19"/>
      <c r="I11" s="19"/>
      <c r="J11" s="19"/>
      <c r="K11" s="19"/>
      <c r="L11" s="19"/>
      <c r="M11" s="19"/>
      <c r="O11" s="19"/>
      <c r="P11" s="19"/>
    </row>
    <row r="12" spans="1:16" ht="15" customHeight="1">
      <c r="A12" s="15"/>
      <c r="B12" s="4" t="s">
        <v>37</v>
      </c>
      <c r="C12" s="19"/>
      <c r="D12" s="19"/>
      <c r="F12" s="22">
        <v>3.5099999999999999E-2</v>
      </c>
      <c r="H12" s="19"/>
      <c r="I12" s="19"/>
      <c r="J12" s="19"/>
      <c r="K12" s="19"/>
      <c r="L12" s="19"/>
      <c r="M12" s="19"/>
      <c r="N12" s="19"/>
      <c r="O12" s="19"/>
      <c r="P12" s="19"/>
    </row>
    <row r="13" spans="1:16" ht="15" customHeight="1">
      <c r="A13" s="15"/>
      <c r="B13" s="4" t="s">
        <v>38</v>
      </c>
      <c r="C13" s="19"/>
      <c r="D13" s="19"/>
      <c r="F13" s="22">
        <v>2.41E-2</v>
      </c>
      <c r="H13" s="19"/>
      <c r="I13" s="19"/>
      <c r="J13" s="19"/>
      <c r="K13" s="19"/>
      <c r="L13" s="19"/>
      <c r="M13" s="19"/>
      <c r="N13" s="19"/>
      <c r="O13" s="19"/>
      <c r="P13" s="19"/>
    </row>
    <row r="14" spans="1:16" ht="15" customHeight="1">
      <c r="A14" s="15"/>
      <c r="B14" s="4" t="s">
        <v>39</v>
      </c>
      <c r="C14" s="19"/>
      <c r="D14" s="19"/>
      <c r="F14" s="57">
        <f>SUM(F12:F13)</f>
        <v>5.9200000000000003E-2</v>
      </c>
      <c r="H14" s="19"/>
      <c r="I14" s="19"/>
      <c r="J14" s="19"/>
      <c r="K14" s="19"/>
      <c r="L14" s="19"/>
      <c r="M14" s="19"/>
      <c r="N14" s="19"/>
      <c r="O14" s="19"/>
      <c r="P14" s="19"/>
    </row>
    <row r="15" spans="1:16" ht="15" customHeight="1">
      <c r="A15" s="15"/>
      <c r="B15" s="19" t="s">
        <v>40</v>
      </c>
      <c r="C15" s="19"/>
      <c r="D15" s="19"/>
      <c r="F15" s="22">
        <v>8.2500000000000004E-2</v>
      </c>
      <c r="H15" s="19"/>
      <c r="I15" s="19"/>
      <c r="J15" s="19"/>
      <c r="K15" s="19"/>
      <c r="L15" s="19"/>
      <c r="M15" s="19"/>
      <c r="N15" s="19"/>
      <c r="O15" s="19"/>
      <c r="P15" s="19"/>
    </row>
    <row r="16" spans="1:16" ht="15" customHeight="1">
      <c r="A16" s="15"/>
      <c r="B16" s="19" t="s">
        <v>41</v>
      </c>
      <c r="C16" s="19"/>
      <c r="D16" s="19"/>
      <c r="F16" s="22">
        <v>0.03</v>
      </c>
      <c r="H16" s="19"/>
      <c r="I16" s="19"/>
      <c r="J16" s="19"/>
      <c r="K16" s="19"/>
      <c r="L16" s="19"/>
      <c r="M16" s="19"/>
      <c r="N16" s="19"/>
      <c r="O16" s="19"/>
      <c r="P16" s="19"/>
    </row>
    <row r="17" spans="1:16" ht="15" customHeight="1">
      <c r="A17" s="15"/>
      <c r="B17" s="4" t="s">
        <v>42</v>
      </c>
      <c r="C17" s="19"/>
      <c r="D17" s="19"/>
      <c r="F17" s="22">
        <v>0.02</v>
      </c>
      <c r="G17" t="str">
        <f t="shared" ref="G17:G18" ca="1" si="2">IFERROR(_xlfn.FORMULATEXT(F17),"")</f>
        <v/>
      </c>
      <c r="H17" s="19"/>
      <c r="I17" s="19"/>
      <c r="J17" s="19"/>
      <c r="K17" s="19"/>
      <c r="L17" s="19"/>
      <c r="M17" s="19"/>
      <c r="N17" s="19"/>
      <c r="O17" s="19"/>
      <c r="P17" s="19"/>
    </row>
    <row r="18" spans="1:16" ht="15" customHeight="1">
      <c r="A18" s="15"/>
      <c r="B18" s="4" t="s">
        <v>43</v>
      </c>
      <c r="C18" s="19"/>
      <c r="D18" s="19"/>
      <c r="F18" s="18">
        <v>4</v>
      </c>
      <c r="G18" t="str">
        <f t="shared" ca="1" si="2"/>
        <v/>
      </c>
      <c r="H18" s="19"/>
      <c r="I18" s="19"/>
      <c r="J18" s="19"/>
      <c r="K18" s="19"/>
      <c r="L18" s="19"/>
      <c r="M18" s="19"/>
      <c r="N18" s="19"/>
      <c r="O18" s="19"/>
      <c r="P18" s="19"/>
    </row>
    <row r="19" spans="1:16" ht="15" customHeight="1">
      <c r="A19" s="15"/>
      <c r="B19" s="19"/>
      <c r="C19" s="19"/>
      <c r="D19" s="19"/>
      <c r="E19" s="19"/>
      <c r="F19" s="19"/>
      <c r="G19" s="19"/>
      <c r="H19" s="19"/>
      <c r="I19" s="19"/>
      <c r="J19" s="19"/>
      <c r="K19" s="19"/>
      <c r="L19" s="19"/>
      <c r="M19" s="19"/>
      <c r="N19" s="19"/>
      <c r="O19" s="19"/>
      <c r="P19" s="19"/>
    </row>
    <row r="20" spans="1:16" ht="15" customHeight="1">
      <c r="A20" s="15" t="s">
        <v>23</v>
      </c>
      <c r="B20" s="19"/>
      <c r="C20" s="19"/>
      <c r="D20" s="19"/>
      <c r="E20" s="19"/>
      <c r="F20" s="19"/>
      <c r="G20" s="19"/>
      <c r="H20" s="19"/>
      <c r="I20" s="19"/>
      <c r="J20" s="19"/>
      <c r="K20" s="19"/>
      <c r="L20" s="19"/>
      <c r="M20" s="19"/>
      <c r="N20" s="19"/>
      <c r="O20" s="19"/>
      <c r="P20" s="19"/>
    </row>
    <row r="21" spans="1:16" ht="15" customHeight="1">
      <c r="A21" s="15"/>
      <c r="B21" s="4" t="s">
        <v>44</v>
      </c>
      <c r="C21" s="19"/>
      <c r="D21" s="19"/>
      <c r="E21">
        <f>E33</f>
        <v>1404</v>
      </c>
      <c r="F21">
        <f>F33</f>
        <v>1477</v>
      </c>
      <c r="G21" s="72">
        <v>1495</v>
      </c>
      <c r="H21" s="72">
        <v>1526</v>
      </c>
      <c r="I21" s="72">
        <v>1581</v>
      </c>
    </row>
    <row r="22" spans="1:16" ht="15" customHeight="1">
      <c r="A22" s="15"/>
      <c r="B22" s="4" t="s">
        <v>45</v>
      </c>
      <c r="C22" s="19"/>
      <c r="D22" s="19"/>
      <c r="E22" s="23"/>
      <c r="F22" s="26">
        <f>F21/E21-1</f>
        <v>5.1994301994301884E-2</v>
      </c>
      <c r="G22" s="26">
        <f t="shared" ref="G22:I22" si="3">G21/F21-1</f>
        <v>1.2186865267433955E-2</v>
      </c>
      <c r="H22" s="26">
        <f t="shared" si="3"/>
        <v>2.0735785953177155E-2</v>
      </c>
      <c r="I22" s="26">
        <f t="shared" si="3"/>
        <v>3.6041939711664472E-2</v>
      </c>
      <c r="J22" s="73">
        <v>0.03</v>
      </c>
      <c r="K22" s="73">
        <v>0.03</v>
      </c>
      <c r="L22" s="73">
        <v>0.03</v>
      </c>
      <c r="M22" s="73">
        <v>0.03</v>
      </c>
      <c r="N22" s="73">
        <v>0.03</v>
      </c>
      <c r="O22" s="73">
        <v>0.03</v>
      </c>
      <c r="P22" s="73">
        <v>0.03</v>
      </c>
    </row>
    <row r="23" spans="1:16" ht="15" customHeight="1">
      <c r="A23" s="15"/>
      <c r="B23" s="4" t="s">
        <v>46</v>
      </c>
      <c r="C23" s="19"/>
      <c r="D23" s="19"/>
      <c r="E23" s="19">
        <f>E34</f>
        <v>150</v>
      </c>
      <c r="F23" s="19">
        <f>F34</f>
        <v>146</v>
      </c>
      <c r="G23" s="72">
        <v>147</v>
      </c>
      <c r="H23" s="72">
        <v>134</v>
      </c>
      <c r="I23" s="72">
        <v>142</v>
      </c>
    </row>
    <row r="24" spans="1:16" ht="15" customHeight="1">
      <c r="A24" s="15"/>
      <c r="B24" s="4" t="s">
        <v>47</v>
      </c>
      <c r="C24" s="19"/>
      <c r="D24" s="19"/>
      <c r="E24" s="74">
        <f>E23/E21</f>
        <v>0.10683760683760683</v>
      </c>
      <c r="F24" s="74">
        <f>F23/F21</f>
        <v>9.8849018280297907E-2</v>
      </c>
      <c r="G24" s="74">
        <f>G23/G21</f>
        <v>9.8327759197324421E-2</v>
      </c>
      <c r="H24" s="74">
        <f>H23/H21</f>
        <v>8.7811271297509833E-2</v>
      </c>
      <c r="I24" s="74">
        <f>I23/I21</f>
        <v>8.9816571790006322E-2</v>
      </c>
      <c r="J24" s="73">
        <v>0.09</v>
      </c>
      <c r="K24" s="73">
        <v>0.09</v>
      </c>
      <c r="L24" s="73">
        <v>0.09</v>
      </c>
      <c r="M24" s="73">
        <v>0.09</v>
      </c>
      <c r="N24" s="73">
        <v>0.09</v>
      </c>
      <c r="O24" s="73">
        <v>0.09</v>
      </c>
      <c r="P24" s="73">
        <v>0.09</v>
      </c>
    </row>
    <row r="25" spans="1:16" ht="15" customHeight="1">
      <c r="A25" s="15"/>
      <c r="B25" s="19" t="s">
        <v>48</v>
      </c>
      <c r="C25" s="19"/>
      <c r="D25" s="19"/>
      <c r="E25" s="19">
        <f>E43</f>
        <v>253</v>
      </c>
      <c r="F25" s="19">
        <f>F43</f>
        <v>247</v>
      </c>
      <c r="G25" s="72">
        <v>254</v>
      </c>
      <c r="H25" s="72">
        <v>244</v>
      </c>
      <c r="I25" s="72">
        <v>254</v>
      </c>
    </row>
    <row r="26" spans="1:16" ht="15" customHeight="1">
      <c r="A26" s="15"/>
      <c r="B26" s="19" t="s">
        <v>49</v>
      </c>
      <c r="C26" s="19"/>
      <c r="D26" s="19"/>
      <c r="E26" s="74">
        <f>E25/E21</f>
        <v>0.18019943019943019</v>
      </c>
      <c r="F26" s="74">
        <f>F25/F21</f>
        <v>0.16723087339201084</v>
      </c>
      <c r="G26" s="74">
        <f>G25/G21</f>
        <v>0.16989966555183947</v>
      </c>
      <c r="H26" s="74">
        <f>H25/H21</f>
        <v>0.15989515072083879</v>
      </c>
      <c r="I26" s="74">
        <f>I25/I21</f>
        <v>0.16065781151170144</v>
      </c>
      <c r="J26" s="73">
        <v>0.16</v>
      </c>
      <c r="K26" s="73">
        <v>0.16</v>
      </c>
      <c r="L26" s="73">
        <v>0.16</v>
      </c>
      <c r="M26" s="73">
        <v>0.16</v>
      </c>
      <c r="N26" s="73">
        <v>0.16</v>
      </c>
      <c r="O26" s="73">
        <v>0.16</v>
      </c>
      <c r="P26" s="73">
        <v>0.16</v>
      </c>
    </row>
    <row r="27" spans="1:16" ht="15" customHeight="1">
      <c r="A27" s="15"/>
      <c r="B27" s="19" t="s">
        <v>50</v>
      </c>
      <c r="C27" s="19"/>
      <c r="D27" s="19"/>
      <c r="E27" s="19"/>
      <c r="F27" s="19"/>
      <c r="G27" s="20">
        <v>0.03</v>
      </c>
      <c r="H27" s="20">
        <v>0.03</v>
      </c>
      <c r="I27" s="20">
        <v>0.03</v>
      </c>
      <c r="J27" s="20">
        <v>0.03</v>
      </c>
      <c r="K27" s="20">
        <v>0.03</v>
      </c>
      <c r="L27" s="20">
        <v>0.03</v>
      </c>
      <c r="M27" s="20">
        <v>0.03</v>
      </c>
      <c r="N27" s="20">
        <v>0.03</v>
      </c>
      <c r="O27" s="20">
        <v>0.03</v>
      </c>
      <c r="P27" s="20">
        <v>0.03</v>
      </c>
    </row>
    <row r="28" spans="1:16" ht="15" customHeight="1">
      <c r="A28" s="15"/>
      <c r="B28" s="4" t="s">
        <v>51</v>
      </c>
      <c r="C28" s="19"/>
      <c r="D28" s="19"/>
      <c r="E28" s="74">
        <f>21.8/122.5</f>
        <v>0.17795918367346938</v>
      </c>
      <c r="F28" s="51">
        <f>26.5/105.7</f>
        <v>0.25070955534531691</v>
      </c>
      <c r="G28" s="73">
        <v>0.214</v>
      </c>
      <c r="H28" s="73">
        <v>0.214</v>
      </c>
      <c r="I28" s="73">
        <v>0.214</v>
      </c>
      <c r="J28" s="73">
        <v>0.214</v>
      </c>
      <c r="K28" s="73">
        <v>0.214</v>
      </c>
      <c r="L28" s="73">
        <v>0.214</v>
      </c>
      <c r="M28" s="73">
        <v>0.214</v>
      </c>
      <c r="N28" s="73">
        <v>0.214</v>
      </c>
      <c r="O28" s="73">
        <v>0.214</v>
      </c>
      <c r="P28" s="73">
        <v>0.214</v>
      </c>
    </row>
    <row r="29" spans="1:16" ht="15" customHeight="1">
      <c r="A29" s="15"/>
      <c r="B29" s="4" t="s">
        <v>52</v>
      </c>
      <c r="C29" s="19"/>
      <c r="D29" s="19"/>
      <c r="E29" s="74">
        <f>E46/E33</f>
        <v>-7.7421652421652429E-2</v>
      </c>
      <c r="F29" s="74">
        <f>F46/F33</f>
        <v>-6.8246445497630315E-2</v>
      </c>
      <c r="G29" s="73">
        <v>-7.2999999999999995E-2</v>
      </c>
      <c r="H29" s="73">
        <v>-7.2999999999999995E-2</v>
      </c>
      <c r="I29" s="73">
        <v>-7.2999999999999995E-2</v>
      </c>
      <c r="J29" s="73">
        <v>-7.2999999999999995E-2</v>
      </c>
      <c r="K29" s="73">
        <v>-7.2999999999999995E-2</v>
      </c>
      <c r="L29" s="73">
        <v>-7.2999999999999995E-2</v>
      </c>
      <c r="M29" s="73">
        <v>-7.2999999999999995E-2</v>
      </c>
      <c r="N29" s="73">
        <v>-7.2999999999999995E-2</v>
      </c>
      <c r="O29" s="73">
        <v>-7.2999999999999995E-2</v>
      </c>
      <c r="P29" s="73">
        <v>-7.2999999999999995E-2</v>
      </c>
    </row>
    <row r="30" spans="1:16" ht="15" customHeight="1">
      <c r="A30" s="15"/>
      <c r="B30" s="4" t="s">
        <v>53</v>
      </c>
      <c r="C30" s="19"/>
      <c r="D30" s="19"/>
      <c r="E30" s="74">
        <f>E47/E21</f>
        <v>5.3917378917378918E-2</v>
      </c>
      <c r="F30" s="74">
        <f>F47/F21</f>
        <v>3.2498307379823968E-2</v>
      </c>
      <c r="G30" s="73">
        <v>4.2999999999999997E-2</v>
      </c>
      <c r="H30" s="73">
        <v>4.2999999999999997E-2</v>
      </c>
      <c r="I30" s="73">
        <v>4.2999999999999997E-2</v>
      </c>
      <c r="J30" s="73">
        <v>4.2999999999999997E-2</v>
      </c>
      <c r="K30" s="73">
        <v>4.2999999999999997E-2</v>
      </c>
      <c r="L30" s="73">
        <v>4.2999999999999997E-2</v>
      </c>
      <c r="M30" s="73">
        <v>4.2999999999999997E-2</v>
      </c>
      <c r="N30" s="73">
        <v>4.2999999999999997E-2</v>
      </c>
      <c r="O30" s="73">
        <v>4.2999999999999997E-2</v>
      </c>
      <c r="P30" s="73">
        <v>4.2999999999999997E-2</v>
      </c>
    </row>
    <row r="31" spans="1:16" ht="15" customHeight="1">
      <c r="A31" s="15"/>
      <c r="B31" s="19"/>
      <c r="C31" s="19"/>
      <c r="D31" s="19"/>
      <c r="E31" s="19"/>
      <c r="F31" s="19"/>
      <c r="G31" s="19"/>
      <c r="H31" s="19"/>
      <c r="I31" s="19"/>
      <c r="J31" s="19"/>
      <c r="K31" s="19"/>
      <c r="L31" s="19"/>
      <c r="M31" s="19"/>
      <c r="N31" s="19"/>
      <c r="O31" s="19"/>
      <c r="P31" s="19"/>
    </row>
    <row r="32" spans="1:16" ht="15" customHeight="1">
      <c r="A32" s="15" t="s">
        <v>54</v>
      </c>
      <c r="B32" s="19"/>
      <c r="C32" s="19"/>
      <c r="D32" s="19"/>
      <c r="E32" s="19"/>
      <c r="F32" s="19"/>
      <c r="G32" s="19"/>
      <c r="H32" s="19"/>
      <c r="I32" s="19"/>
      <c r="J32" s="19"/>
      <c r="K32" s="19"/>
      <c r="L32" s="19"/>
      <c r="M32" s="19"/>
      <c r="N32" s="19"/>
      <c r="O32" s="19"/>
      <c r="P32" s="19"/>
    </row>
    <row r="33" spans="1:17" ht="15" customHeight="1">
      <c r="A33" s="15"/>
      <c r="B33" s="4" t="s">
        <v>44</v>
      </c>
      <c r="C33" s="19"/>
      <c r="D33" s="19"/>
      <c r="E33" s="23">
        <v>1404</v>
      </c>
      <c r="F33" s="23">
        <v>1477</v>
      </c>
      <c r="G33">
        <f t="shared" ref="G33:P33" si="4">(1+G22)*F33</f>
        <v>1495</v>
      </c>
      <c r="H33">
        <f t="shared" si="4"/>
        <v>1525.9999999999998</v>
      </c>
      <c r="I33">
        <f t="shared" si="4"/>
        <v>1580.9999999999998</v>
      </c>
      <c r="J33">
        <f t="shared" si="4"/>
        <v>1628.4299999999998</v>
      </c>
      <c r="K33">
        <f t="shared" si="4"/>
        <v>1677.2828999999999</v>
      </c>
      <c r="L33">
        <f t="shared" si="4"/>
        <v>1727.6013869999999</v>
      </c>
      <c r="M33">
        <f t="shared" si="4"/>
        <v>1779.4294286100001</v>
      </c>
      <c r="N33">
        <f t="shared" si="4"/>
        <v>1832.8123114683001</v>
      </c>
      <c r="O33">
        <f t="shared" si="4"/>
        <v>1887.7966808123492</v>
      </c>
      <c r="P33">
        <f t="shared" si="4"/>
        <v>1944.4305812367197</v>
      </c>
    </row>
    <row r="34" spans="1:17" s="70" customFormat="1" ht="15" customHeight="1">
      <c r="A34" s="15"/>
      <c r="B34" s="77" t="s">
        <v>46</v>
      </c>
      <c r="C34" s="71"/>
      <c r="D34" s="71"/>
      <c r="E34" s="78">
        <v>150</v>
      </c>
      <c r="F34" s="78">
        <v>146</v>
      </c>
      <c r="G34" s="70">
        <f t="shared" ref="G34:P34" si="5">G24*G33</f>
        <v>147</v>
      </c>
      <c r="H34" s="70">
        <f t="shared" si="5"/>
        <v>133.99999999999997</v>
      </c>
      <c r="I34" s="70">
        <f t="shared" si="5"/>
        <v>141.99999999999997</v>
      </c>
      <c r="J34" s="70">
        <f t="shared" si="5"/>
        <v>146.55869999999999</v>
      </c>
      <c r="K34" s="70">
        <f t="shared" si="5"/>
        <v>150.95546099999999</v>
      </c>
      <c r="L34" s="70">
        <f t="shared" si="5"/>
        <v>155.48412482999998</v>
      </c>
      <c r="M34" s="70">
        <f t="shared" si="5"/>
        <v>160.14864857489999</v>
      </c>
      <c r="N34" s="70">
        <f t="shared" si="5"/>
        <v>164.95310803214701</v>
      </c>
      <c r="O34" s="70">
        <f t="shared" si="5"/>
        <v>169.90170127311143</v>
      </c>
      <c r="P34" s="70">
        <f t="shared" si="5"/>
        <v>174.99875231130477</v>
      </c>
      <c r="Q34"/>
    </row>
    <row r="35" spans="1:17" ht="15" customHeight="1">
      <c r="A35" s="15"/>
      <c r="B35" s="19" t="s">
        <v>55</v>
      </c>
      <c r="C35" s="19"/>
      <c r="D35" s="19"/>
      <c r="E35" s="19"/>
      <c r="F35" s="19"/>
      <c r="G35">
        <f t="shared" ref="G35:P35" si="6">G27*G33</f>
        <v>44.85</v>
      </c>
      <c r="H35">
        <f t="shared" si="6"/>
        <v>45.779999999999994</v>
      </c>
      <c r="I35">
        <f t="shared" si="6"/>
        <v>47.429999999999993</v>
      </c>
      <c r="J35">
        <f t="shared" si="6"/>
        <v>48.852899999999991</v>
      </c>
      <c r="K35">
        <f t="shared" si="6"/>
        <v>50.318486999999998</v>
      </c>
      <c r="L35">
        <f t="shared" si="6"/>
        <v>51.828041609999993</v>
      </c>
      <c r="M35">
        <f t="shared" si="6"/>
        <v>53.3828828583</v>
      </c>
      <c r="N35">
        <f t="shared" si="6"/>
        <v>54.984369344049</v>
      </c>
      <c r="O35">
        <f t="shared" si="6"/>
        <v>56.633900424370474</v>
      </c>
      <c r="P35">
        <f t="shared" si="6"/>
        <v>58.332917437101592</v>
      </c>
    </row>
    <row r="36" spans="1:17" ht="15" customHeight="1">
      <c r="A36" s="15"/>
      <c r="B36" s="4" t="s">
        <v>56</v>
      </c>
      <c r="C36" s="19"/>
      <c r="D36" s="19"/>
      <c r="E36" s="19"/>
      <c r="F36" s="19"/>
      <c r="G36">
        <f t="shared" ref="G36:O36" ca="1" si="7">IF(Circswitch=1,G60+G67,0)</f>
        <v>-95.491686010035082</v>
      </c>
      <c r="H36">
        <f t="shared" ca="1" si="7"/>
        <v>-88.228069424062625</v>
      </c>
      <c r="I36">
        <f t="shared" ca="1" si="7"/>
        <v>-80.767521877037495</v>
      </c>
      <c r="J36">
        <f t="shared" ca="1" si="7"/>
        <v>-72.555426331928004</v>
      </c>
      <c r="K36">
        <f t="shared" ca="1" si="7"/>
        <v>-63.645112461737099</v>
      </c>
      <c r="L36">
        <f t="shared" ca="1" si="7"/>
        <v>-53.939310452167575</v>
      </c>
      <c r="M36">
        <f t="shared" ca="1" si="7"/>
        <v>-42.80760080268039</v>
      </c>
      <c r="N36">
        <f t="shared" ca="1" si="7"/>
        <v>-28.318830386743336</v>
      </c>
      <c r="O36">
        <f t="shared" ca="1" si="7"/>
        <v>-10.635918161950126</v>
      </c>
      <c r="P36">
        <f t="shared" ref="P36" ca="1" si="8">IF(Circswitch=1,P60+P67,0)</f>
        <v>-0.68390271853866269</v>
      </c>
    </row>
    <row r="37" spans="1:17" ht="15" customHeight="1">
      <c r="A37" s="15"/>
      <c r="B37" s="4" t="s">
        <v>57</v>
      </c>
      <c r="C37" s="19"/>
      <c r="D37" s="19"/>
      <c r="E37" s="19"/>
      <c r="F37" s="19"/>
      <c r="G37">
        <f t="shared" ref="G37:O37" ca="1" si="9">IF(Circswitch=1,G70,0)</f>
        <v>0</v>
      </c>
      <c r="H37">
        <f t="shared" ca="1" si="9"/>
        <v>0</v>
      </c>
      <c r="I37">
        <f t="shared" ca="1" si="9"/>
        <v>0</v>
      </c>
      <c r="J37">
        <f t="shared" ca="1" si="9"/>
        <v>0</v>
      </c>
      <c r="K37">
        <f t="shared" ca="1" si="9"/>
        <v>0</v>
      </c>
      <c r="L37">
        <f t="shared" ca="1" si="9"/>
        <v>0</v>
      </c>
      <c r="M37">
        <f t="shared" ca="1" si="9"/>
        <v>0</v>
      </c>
      <c r="N37">
        <f t="shared" ca="1" si="9"/>
        <v>0</v>
      </c>
      <c r="O37">
        <f t="shared" ca="1" si="9"/>
        <v>0</v>
      </c>
      <c r="P37">
        <f t="shared" ref="P37" ca="1" si="10">IF(Circswitch=1,P70,0)</f>
        <v>3.3836267412769301</v>
      </c>
    </row>
    <row r="38" spans="1:17" s="70" customFormat="1" ht="15" customHeight="1">
      <c r="A38" s="15"/>
      <c r="B38" s="77" t="s">
        <v>58</v>
      </c>
      <c r="C38" s="71"/>
      <c r="D38" s="71"/>
      <c r="E38" s="71"/>
      <c r="F38" s="77"/>
      <c r="G38" s="70">
        <f t="shared" ref="G38:P38" ca="1" si="11">SUM(G34,G35:G37)</f>
        <v>96.358313989964913</v>
      </c>
      <c r="H38" s="70">
        <f t="shared" ca="1" si="11"/>
        <v>91.551930575937348</v>
      </c>
      <c r="I38" s="70">
        <f t="shared" ca="1" si="11"/>
        <v>108.66247812296245</v>
      </c>
      <c r="J38" s="70">
        <f t="shared" ca="1" si="11"/>
        <v>122.85617366807196</v>
      </c>
      <c r="K38" s="70">
        <f t="shared" ca="1" si="11"/>
        <v>137.62883553826288</v>
      </c>
      <c r="L38" s="70">
        <f t="shared" ca="1" si="11"/>
        <v>153.37285598783239</v>
      </c>
      <c r="M38" s="70">
        <f t="shared" ca="1" si="11"/>
        <v>170.72393063051962</v>
      </c>
      <c r="N38" s="70">
        <f t="shared" ca="1" si="11"/>
        <v>191.61864698945266</v>
      </c>
      <c r="O38" s="70">
        <f t="shared" ca="1" si="11"/>
        <v>215.89968353553178</v>
      </c>
      <c r="P38" s="70">
        <f t="shared" ca="1" si="11"/>
        <v>236.03139377114465</v>
      </c>
      <c r="Q38"/>
    </row>
    <row r="39" spans="1:17" ht="15" customHeight="1">
      <c r="A39" s="15"/>
      <c r="B39" s="4" t="s">
        <v>59</v>
      </c>
      <c r="C39" s="19"/>
      <c r="D39" s="19"/>
      <c r="E39" s="19"/>
      <c r="F39" s="4"/>
      <c r="G39">
        <f t="shared" ref="G39:P39" ca="1" si="12">-G28*G38</f>
        <v>-20.620679193852492</v>
      </c>
      <c r="H39">
        <f t="shared" ca="1" si="12"/>
        <v>-19.592113143250593</v>
      </c>
      <c r="I39">
        <f t="shared" ca="1" si="12"/>
        <v>-23.253770318313965</v>
      </c>
      <c r="J39">
        <f t="shared" ca="1" si="12"/>
        <v>-26.2912211649674</v>
      </c>
      <c r="K39">
        <f t="shared" ca="1" si="12"/>
        <v>-29.452570805188255</v>
      </c>
      <c r="L39">
        <f t="shared" ca="1" si="12"/>
        <v>-32.821791181396129</v>
      </c>
      <c r="M39">
        <f t="shared" ca="1" si="12"/>
        <v>-36.534921154931197</v>
      </c>
      <c r="N39">
        <f t="shared" ca="1" si="12"/>
        <v>-41.006390455742867</v>
      </c>
      <c r="O39">
        <f t="shared" ca="1" si="12"/>
        <v>-46.202532276603797</v>
      </c>
      <c r="P39">
        <f t="shared" ca="1" si="12"/>
        <v>-50.510718267024956</v>
      </c>
    </row>
    <row r="40" spans="1:17" s="70" customFormat="1" ht="15" customHeight="1">
      <c r="A40" s="15"/>
      <c r="B40" s="77" t="s">
        <v>60</v>
      </c>
      <c r="C40" s="71"/>
      <c r="D40" s="71"/>
      <c r="E40" s="71"/>
      <c r="F40" s="77"/>
      <c r="G40" s="70">
        <f t="shared" ref="G40:O40" ca="1" si="13">SUM(G38:G39)</f>
        <v>75.737634796112417</v>
      </c>
      <c r="H40" s="70">
        <f t="shared" ca="1" si="13"/>
        <v>71.959817432686748</v>
      </c>
      <c r="I40" s="70">
        <f t="shared" ca="1" si="13"/>
        <v>85.408707804648486</v>
      </c>
      <c r="J40" s="70">
        <f t="shared" ca="1" si="13"/>
        <v>96.564952503104564</v>
      </c>
      <c r="K40" s="70">
        <f t="shared" ca="1" si="13"/>
        <v>108.17626473307462</v>
      </c>
      <c r="L40" s="70">
        <f t="shared" ca="1" si="13"/>
        <v>120.55106480643627</v>
      </c>
      <c r="M40" s="70">
        <f t="shared" ca="1" si="13"/>
        <v>134.18900947558842</v>
      </c>
      <c r="N40" s="70">
        <f t="shared" ca="1" si="13"/>
        <v>150.6122565337098</v>
      </c>
      <c r="O40" s="70">
        <f t="shared" ca="1" si="13"/>
        <v>169.69715125892799</v>
      </c>
      <c r="P40" s="70">
        <f t="shared" ref="P40" ca="1" si="14">SUM(P38:P39)</f>
        <v>185.52067550411971</v>
      </c>
      <c r="Q40"/>
    </row>
    <row r="41" spans="1:17" ht="15" customHeight="1">
      <c r="A41" s="15"/>
      <c r="B41" s="19"/>
      <c r="C41" s="19"/>
      <c r="D41" s="19"/>
      <c r="E41" s="19"/>
      <c r="F41" s="19"/>
      <c r="G41" s="19"/>
      <c r="H41" s="19"/>
      <c r="I41" s="19"/>
      <c r="J41" s="19"/>
      <c r="K41" s="19"/>
      <c r="L41" s="19"/>
      <c r="M41" s="19"/>
      <c r="N41" s="19"/>
      <c r="O41" s="19"/>
      <c r="P41" s="19"/>
    </row>
    <row r="42" spans="1:17" ht="15" customHeight="1">
      <c r="A42" s="15" t="s">
        <v>61</v>
      </c>
      <c r="B42" s="19"/>
      <c r="C42" s="19"/>
      <c r="D42" s="19"/>
      <c r="E42" s="19"/>
      <c r="F42" s="19"/>
      <c r="G42" s="19"/>
      <c r="H42" s="19"/>
      <c r="I42" s="19"/>
      <c r="J42" s="19"/>
      <c r="K42" s="19"/>
      <c r="L42" s="19"/>
      <c r="M42" s="19"/>
      <c r="N42" s="19"/>
      <c r="O42" s="19"/>
      <c r="P42" s="19"/>
    </row>
    <row r="43" spans="1:17" ht="15" customHeight="1">
      <c r="A43" s="15"/>
      <c r="B43" s="4" t="s">
        <v>48</v>
      </c>
      <c r="C43" s="19"/>
      <c r="D43" s="19"/>
      <c r="E43" s="23">
        <v>253</v>
      </c>
      <c r="F43" s="23">
        <v>247</v>
      </c>
      <c r="G43">
        <f t="shared" ref="G43:P43" si="15">G26*G33</f>
        <v>254</v>
      </c>
      <c r="H43">
        <f t="shared" si="15"/>
        <v>243.99999999999997</v>
      </c>
      <c r="I43">
        <f t="shared" si="15"/>
        <v>253.99999999999994</v>
      </c>
      <c r="J43">
        <f t="shared" si="15"/>
        <v>260.54879999999997</v>
      </c>
      <c r="K43">
        <f t="shared" si="15"/>
        <v>268.36526399999997</v>
      </c>
      <c r="L43">
        <f t="shared" si="15"/>
        <v>276.41622192</v>
      </c>
      <c r="M43">
        <f t="shared" si="15"/>
        <v>284.70870857760002</v>
      </c>
      <c r="N43">
        <f t="shared" si="15"/>
        <v>293.24996983492804</v>
      </c>
      <c r="O43">
        <f t="shared" si="15"/>
        <v>302.04746892997588</v>
      </c>
      <c r="P43">
        <f t="shared" si="15"/>
        <v>311.10889299787516</v>
      </c>
    </row>
    <row r="44" spans="1:17" ht="15" customHeight="1">
      <c r="A44" s="15"/>
      <c r="B44" s="4" t="s">
        <v>62</v>
      </c>
      <c r="C44" s="19"/>
      <c r="D44" s="19"/>
      <c r="E44">
        <f t="shared" ref="E44:P44" si="16">E43-E34</f>
        <v>103</v>
      </c>
      <c r="F44">
        <f t="shared" si="16"/>
        <v>101</v>
      </c>
      <c r="G44">
        <f t="shared" si="16"/>
        <v>107</v>
      </c>
      <c r="H44">
        <f t="shared" si="16"/>
        <v>110</v>
      </c>
      <c r="I44">
        <f t="shared" si="16"/>
        <v>111.99999999999997</v>
      </c>
      <c r="J44">
        <f t="shared" si="16"/>
        <v>113.99009999999998</v>
      </c>
      <c r="K44">
        <f t="shared" si="16"/>
        <v>117.40980299999998</v>
      </c>
      <c r="L44">
        <f t="shared" si="16"/>
        <v>120.93209709000001</v>
      </c>
      <c r="M44">
        <f t="shared" si="16"/>
        <v>124.56006000270003</v>
      </c>
      <c r="N44">
        <f t="shared" si="16"/>
        <v>128.29686180278102</v>
      </c>
      <c r="O44">
        <f t="shared" si="16"/>
        <v>132.14576765686445</v>
      </c>
      <c r="P44">
        <f t="shared" si="16"/>
        <v>136.11014068657039</v>
      </c>
    </row>
    <row r="45" spans="1:17" ht="15" customHeight="1">
      <c r="A45" s="15"/>
      <c r="B45" s="4" t="s">
        <v>63</v>
      </c>
      <c r="C45" s="19"/>
      <c r="D45" s="19"/>
      <c r="G45">
        <f>G43+G35</f>
        <v>298.85000000000002</v>
      </c>
      <c r="H45">
        <f t="shared" ref="H45:P45" si="17">H43+H35</f>
        <v>289.77999999999997</v>
      </c>
      <c r="I45">
        <f t="shared" si="17"/>
        <v>301.42999999999995</v>
      </c>
      <c r="J45">
        <f t="shared" si="17"/>
        <v>309.40169999999995</v>
      </c>
      <c r="K45">
        <f t="shared" si="17"/>
        <v>318.68375099999997</v>
      </c>
      <c r="L45">
        <f t="shared" si="17"/>
        <v>328.24426353000001</v>
      </c>
      <c r="M45">
        <f t="shared" si="17"/>
        <v>338.0915914359</v>
      </c>
      <c r="N45">
        <f t="shared" si="17"/>
        <v>348.23433917897705</v>
      </c>
      <c r="O45">
        <f t="shared" si="17"/>
        <v>358.68136935434637</v>
      </c>
      <c r="P45">
        <f t="shared" si="17"/>
        <v>369.44181043497673</v>
      </c>
    </row>
    <row r="46" spans="1:17" ht="15" customHeight="1">
      <c r="A46" s="15"/>
      <c r="B46" s="4" t="s">
        <v>64</v>
      </c>
      <c r="C46" s="19"/>
      <c r="D46" s="19"/>
      <c r="E46" s="23">
        <f>108.6+51.8-261.2-0.3-3.9-3.7</f>
        <v>-108.70000000000002</v>
      </c>
      <c r="F46" s="23">
        <f>97.5+60.9-249.2-1.4-7.6-1</f>
        <v>-100.79999999999998</v>
      </c>
      <c r="G46">
        <f t="shared" ref="G46:P46" si="18">G29*G33</f>
        <v>-109.13499999999999</v>
      </c>
      <c r="H46">
        <f t="shared" si="18"/>
        <v>-111.39799999999998</v>
      </c>
      <c r="I46">
        <f t="shared" si="18"/>
        <v>-115.41299999999998</v>
      </c>
      <c r="J46">
        <f t="shared" si="18"/>
        <v>-118.87538999999998</v>
      </c>
      <c r="K46">
        <f t="shared" si="18"/>
        <v>-122.44165169999998</v>
      </c>
      <c r="L46">
        <f t="shared" si="18"/>
        <v>-126.11490125099999</v>
      </c>
      <c r="M46">
        <f t="shared" si="18"/>
        <v>-129.89834828853</v>
      </c>
      <c r="N46">
        <f t="shared" si="18"/>
        <v>-133.7952987371859</v>
      </c>
      <c r="O46">
        <f t="shared" si="18"/>
        <v>-137.80915769930149</v>
      </c>
      <c r="P46">
        <f t="shared" si="18"/>
        <v>-141.94343243028052</v>
      </c>
    </row>
    <row r="47" spans="1:17" ht="15" customHeight="1">
      <c r="A47" s="15"/>
      <c r="B47" s="4" t="s">
        <v>65</v>
      </c>
      <c r="C47" s="19"/>
      <c r="D47" s="19"/>
      <c r="E47" s="23">
        <v>75.7</v>
      </c>
      <c r="F47" s="23">
        <v>48</v>
      </c>
      <c r="G47">
        <f>G30*G33</f>
        <v>64.284999999999997</v>
      </c>
      <c r="H47">
        <f t="shared" ref="H47:P47" si="19">H30*H33</f>
        <v>65.617999999999981</v>
      </c>
      <c r="I47">
        <f t="shared" si="19"/>
        <v>67.98299999999999</v>
      </c>
      <c r="J47">
        <f t="shared" si="19"/>
        <v>70.022489999999991</v>
      </c>
      <c r="K47">
        <f t="shared" si="19"/>
        <v>72.12316469999999</v>
      </c>
      <c r="L47">
        <f t="shared" si="19"/>
        <v>74.286859640999992</v>
      </c>
      <c r="M47">
        <f t="shared" si="19"/>
        <v>76.515465430229995</v>
      </c>
      <c r="N47">
        <f t="shared" si="19"/>
        <v>78.810929393136902</v>
      </c>
      <c r="O47">
        <f t="shared" si="19"/>
        <v>81.175257274931013</v>
      </c>
      <c r="P47">
        <f t="shared" si="19"/>
        <v>83.610514993178938</v>
      </c>
    </row>
    <row r="48" spans="1:17" ht="15" customHeight="1">
      <c r="A48" s="15"/>
      <c r="B48" s="4"/>
      <c r="C48" s="19"/>
      <c r="D48" s="19"/>
      <c r="E48" s="23"/>
      <c r="F48" s="23"/>
    </row>
    <row r="49" spans="1:17" ht="15" customHeight="1">
      <c r="A49" s="15" t="s">
        <v>66</v>
      </c>
      <c r="B49" s="19"/>
      <c r="C49" s="19"/>
      <c r="D49" s="19"/>
      <c r="E49" s="19"/>
      <c r="F49" s="19"/>
      <c r="G49" s="19"/>
      <c r="H49" s="19"/>
      <c r="I49" s="19"/>
      <c r="J49" s="19"/>
      <c r="K49" s="19"/>
      <c r="L49" s="19"/>
      <c r="M49" s="19"/>
      <c r="N49" s="19"/>
      <c r="O49" s="19"/>
      <c r="P49" s="19"/>
    </row>
    <row r="50" spans="1:17" ht="15" customHeight="1">
      <c r="A50" s="76"/>
      <c r="B50" s="4" t="s">
        <v>60</v>
      </c>
      <c r="C50" s="19"/>
      <c r="D50" s="19"/>
      <c r="E50" s="19"/>
      <c r="F50" s="4"/>
      <c r="G50">
        <f t="shared" ref="G50:P50" ca="1" si="20">G40</f>
        <v>75.737634796112417</v>
      </c>
      <c r="H50">
        <f t="shared" ca="1" si="20"/>
        <v>71.959817432686748</v>
      </c>
      <c r="I50">
        <f t="shared" ca="1" si="20"/>
        <v>85.408707804648486</v>
      </c>
      <c r="J50">
        <f t="shared" ca="1" si="20"/>
        <v>96.564952503104564</v>
      </c>
      <c r="K50">
        <f t="shared" ca="1" si="20"/>
        <v>108.17626473307462</v>
      </c>
      <c r="L50">
        <f t="shared" ca="1" si="20"/>
        <v>120.55106480643627</v>
      </c>
      <c r="M50">
        <f t="shared" ca="1" si="20"/>
        <v>134.18900947558842</v>
      </c>
      <c r="N50">
        <f t="shared" ca="1" si="20"/>
        <v>150.6122565337098</v>
      </c>
      <c r="O50">
        <f t="shared" ca="1" si="20"/>
        <v>169.69715125892799</v>
      </c>
      <c r="P50">
        <f t="shared" ca="1" si="20"/>
        <v>185.52067550411971</v>
      </c>
    </row>
    <row r="51" spans="1:17" ht="15" customHeight="1">
      <c r="A51" s="15"/>
      <c r="B51" s="4" t="s">
        <v>62</v>
      </c>
      <c r="C51" s="19"/>
      <c r="D51" s="19"/>
      <c r="E51" s="19"/>
      <c r="F51" s="4"/>
      <c r="G51">
        <f>G44</f>
        <v>107</v>
      </c>
      <c r="H51">
        <f t="shared" ref="H51:P51" si="21">H44</f>
        <v>110</v>
      </c>
      <c r="I51">
        <f t="shared" si="21"/>
        <v>111.99999999999997</v>
      </c>
      <c r="J51">
        <f t="shared" si="21"/>
        <v>113.99009999999998</v>
      </c>
      <c r="K51">
        <f t="shared" si="21"/>
        <v>117.40980299999998</v>
      </c>
      <c r="L51">
        <f t="shared" si="21"/>
        <v>120.93209709000001</v>
      </c>
      <c r="M51">
        <f t="shared" si="21"/>
        <v>124.56006000270003</v>
      </c>
      <c r="N51">
        <f t="shared" si="21"/>
        <v>128.29686180278102</v>
      </c>
      <c r="O51">
        <f t="shared" si="21"/>
        <v>132.14576765686445</v>
      </c>
      <c r="P51">
        <f t="shared" si="21"/>
        <v>136.11014068657039</v>
      </c>
    </row>
    <row r="52" spans="1:17" ht="15" customHeight="1">
      <c r="A52" s="15"/>
      <c r="B52" s="4" t="s">
        <v>67</v>
      </c>
      <c r="C52" s="19"/>
      <c r="D52" s="19"/>
      <c r="E52" s="19"/>
      <c r="F52" s="19"/>
      <c r="G52">
        <f>F46-G46</f>
        <v>8.335000000000008</v>
      </c>
      <c r="H52">
        <f t="shared" ref="H52:P52" si="22">G46-H46</f>
        <v>2.262999999999991</v>
      </c>
      <c r="I52">
        <f t="shared" si="22"/>
        <v>4.0150000000000006</v>
      </c>
      <c r="J52">
        <f t="shared" si="22"/>
        <v>3.4623899999999992</v>
      </c>
      <c r="K52">
        <f t="shared" si="22"/>
        <v>3.5662616999999983</v>
      </c>
      <c r="L52">
        <f t="shared" si="22"/>
        <v>3.673249551000012</v>
      </c>
      <c r="M52">
        <f t="shared" si="22"/>
        <v>3.78344703753001</v>
      </c>
      <c r="N52">
        <f t="shared" si="22"/>
        <v>3.8969504486559003</v>
      </c>
      <c r="O52">
        <f t="shared" si="22"/>
        <v>4.0138589621155916</v>
      </c>
      <c r="P52">
        <f t="shared" si="22"/>
        <v>4.1342747309790298</v>
      </c>
    </row>
    <row r="53" spans="1:17" ht="15" customHeight="1">
      <c r="A53" s="15"/>
      <c r="B53" s="4" t="s">
        <v>68</v>
      </c>
      <c r="C53" s="19"/>
      <c r="D53" s="19"/>
      <c r="E53" s="19"/>
      <c r="F53" s="4"/>
      <c r="G53">
        <f>G47*-1</f>
        <v>-64.284999999999997</v>
      </c>
      <c r="H53">
        <f t="shared" ref="H53:P53" si="23">H47*-1</f>
        <v>-65.617999999999981</v>
      </c>
      <c r="I53">
        <f t="shared" si="23"/>
        <v>-67.98299999999999</v>
      </c>
      <c r="J53">
        <f t="shared" si="23"/>
        <v>-70.022489999999991</v>
      </c>
      <c r="K53">
        <f t="shared" si="23"/>
        <v>-72.12316469999999</v>
      </c>
      <c r="L53">
        <f t="shared" si="23"/>
        <v>-74.286859640999992</v>
      </c>
      <c r="M53">
        <f t="shared" si="23"/>
        <v>-76.515465430229995</v>
      </c>
      <c r="N53">
        <f t="shared" si="23"/>
        <v>-78.810929393136902</v>
      </c>
      <c r="O53">
        <f t="shared" si="23"/>
        <v>-81.175257274931013</v>
      </c>
      <c r="P53">
        <f t="shared" si="23"/>
        <v>-83.610514993178938</v>
      </c>
    </row>
    <row r="54" spans="1:17" s="70" customFormat="1" ht="15" customHeight="1">
      <c r="A54" s="15"/>
      <c r="B54" s="71" t="s">
        <v>69</v>
      </c>
      <c r="C54" s="71"/>
      <c r="D54" s="71"/>
      <c r="E54" s="71"/>
      <c r="F54" s="77"/>
      <c r="G54" s="70">
        <f t="shared" ref="G54:O54" ca="1" si="24">SUM(G50:G53)</f>
        <v>126.78763479611243</v>
      </c>
      <c r="H54" s="70">
        <f t="shared" ca="1" si="24"/>
        <v>118.60481743268674</v>
      </c>
      <c r="I54" s="70">
        <f t="shared" ca="1" si="24"/>
        <v>133.44070780464847</v>
      </c>
      <c r="J54" s="70">
        <f t="shared" ca="1" si="24"/>
        <v>143.99495250310457</v>
      </c>
      <c r="K54" s="70">
        <f t="shared" ca="1" si="24"/>
        <v>157.02916473307462</v>
      </c>
      <c r="L54" s="70">
        <f t="shared" ca="1" si="24"/>
        <v>170.86955180643633</v>
      </c>
      <c r="M54" s="70">
        <f t="shared" ca="1" si="24"/>
        <v>186.01705108558843</v>
      </c>
      <c r="N54" s="70">
        <f t="shared" ca="1" si="24"/>
        <v>203.99513939200978</v>
      </c>
      <c r="O54" s="70">
        <f t="shared" ca="1" si="24"/>
        <v>224.681520602977</v>
      </c>
      <c r="P54" s="70">
        <f t="shared" ref="P54" ca="1" si="25">SUM(P50:P53)</f>
        <v>242.1545759284902</v>
      </c>
      <c r="Q54"/>
    </row>
    <row r="55" spans="1:17" ht="15" customHeight="1">
      <c r="A55" s="15"/>
      <c r="B55" s="19"/>
      <c r="C55" s="19"/>
      <c r="D55" s="19"/>
      <c r="E55" s="19"/>
      <c r="F55" s="4"/>
    </row>
    <row r="56" spans="1:17" ht="15" customHeight="1">
      <c r="A56" s="15" t="s">
        <v>70</v>
      </c>
      <c r="B56" s="19"/>
      <c r="C56" s="19"/>
      <c r="D56" s="19"/>
      <c r="E56" s="19"/>
      <c r="F56" s="19"/>
      <c r="G56" s="19"/>
      <c r="H56" s="19"/>
      <c r="I56" s="19"/>
      <c r="J56" s="19"/>
      <c r="K56" s="19"/>
      <c r="L56" s="19"/>
      <c r="M56" s="19"/>
      <c r="N56" s="19"/>
      <c r="O56" s="19"/>
      <c r="P56" s="19"/>
    </row>
    <row r="57" spans="1:17" ht="15" customHeight="1">
      <c r="A57" s="15"/>
      <c r="B57" s="4" t="s">
        <v>71</v>
      </c>
      <c r="C57" s="19"/>
      <c r="D57" s="19"/>
      <c r="E57" s="19"/>
      <c r="G57">
        <f>+F59</f>
        <v>988</v>
      </c>
      <c r="H57">
        <f t="shared" ref="H57:P57" ca="1" si="26">G59</f>
        <v>861.21236520388754</v>
      </c>
      <c r="I57">
        <f t="shared" ca="1" si="26"/>
        <v>742.60754777120076</v>
      </c>
      <c r="J57">
        <f t="shared" ca="1" si="26"/>
        <v>609.16683996655229</v>
      </c>
      <c r="K57">
        <f t="shared" ca="1" si="26"/>
        <v>465.17188746344772</v>
      </c>
      <c r="L57">
        <f t="shared" ca="1" si="26"/>
        <v>308.14272273037307</v>
      </c>
      <c r="M57">
        <f t="shared" ca="1" si="26"/>
        <v>137.27317092393673</v>
      </c>
      <c r="N57">
        <f t="shared" ca="1" si="26"/>
        <v>0</v>
      </c>
      <c r="O57">
        <f t="shared" ca="1" si="26"/>
        <v>0</v>
      </c>
      <c r="P57">
        <f t="shared" ca="1" si="26"/>
        <v>0</v>
      </c>
    </row>
    <row r="58" spans="1:17" ht="15" customHeight="1">
      <c r="A58" s="15"/>
      <c r="B58" s="4" t="s">
        <v>72</v>
      </c>
      <c r="C58" s="19"/>
      <c r="D58" s="19"/>
      <c r="E58" s="19"/>
      <c r="G58">
        <f t="shared" ref="G58:O58" ca="1" si="27">-MIN(G54,G57)</f>
        <v>-126.78763479611243</v>
      </c>
      <c r="H58">
        <f t="shared" ca="1" si="27"/>
        <v>-118.60481743268674</v>
      </c>
      <c r="I58">
        <f t="shared" ca="1" si="27"/>
        <v>-133.44070780464847</v>
      </c>
      <c r="J58">
        <f t="shared" ca="1" si="27"/>
        <v>-143.99495250310457</v>
      </c>
      <c r="K58">
        <f t="shared" ca="1" si="27"/>
        <v>-157.02916473307462</v>
      </c>
      <c r="L58">
        <f t="shared" ca="1" si="27"/>
        <v>-170.86955180643633</v>
      </c>
      <c r="M58">
        <f t="shared" ca="1" si="27"/>
        <v>-137.27317092393673</v>
      </c>
      <c r="N58">
        <f t="shared" ca="1" si="27"/>
        <v>0</v>
      </c>
      <c r="O58">
        <f t="shared" ca="1" si="27"/>
        <v>0</v>
      </c>
      <c r="P58">
        <f t="shared" ref="P58" ca="1" si="28">-MIN(P54,P57)</f>
        <v>0</v>
      </c>
    </row>
    <row r="59" spans="1:17" s="70" customFormat="1" ht="15" customHeight="1">
      <c r="A59" s="15"/>
      <c r="B59" s="77" t="s">
        <v>73</v>
      </c>
      <c r="C59" s="71"/>
      <c r="D59" s="71"/>
      <c r="E59" s="25"/>
      <c r="F59" s="70">
        <f>O7</f>
        <v>988</v>
      </c>
      <c r="G59" s="70">
        <f ca="1">SUM(G57:G58)</f>
        <v>861.21236520388754</v>
      </c>
      <c r="H59" s="70">
        <f t="shared" ref="H59:O59" ca="1" si="29">SUM(H57:H58)</f>
        <v>742.60754777120076</v>
      </c>
      <c r="I59" s="70">
        <f t="shared" ca="1" si="29"/>
        <v>609.16683996655229</v>
      </c>
      <c r="J59" s="70">
        <f t="shared" ca="1" si="29"/>
        <v>465.17188746344772</v>
      </c>
      <c r="K59" s="70">
        <f t="shared" ca="1" si="29"/>
        <v>308.14272273037307</v>
      </c>
      <c r="L59" s="70">
        <f t="shared" ca="1" si="29"/>
        <v>137.27317092393673</v>
      </c>
      <c r="M59" s="70">
        <f t="shared" ca="1" si="29"/>
        <v>0</v>
      </c>
      <c r="N59" s="70">
        <f t="shared" ca="1" si="29"/>
        <v>0</v>
      </c>
      <c r="O59" s="70">
        <f t="shared" ca="1" si="29"/>
        <v>0</v>
      </c>
      <c r="P59" s="70">
        <f t="shared" ref="P59" ca="1" si="30">SUM(P57:P58)</f>
        <v>0</v>
      </c>
      <c r="Q59"/>
    </row>
    <row r="60" spans="1:17" ht="15" customHeight="1">
      <c r="A60" s="15"/>
      <c r="B60" s="4" t="s">
        <v>56</v>
      </c>
      <c r="C60" s="19"/>
      <c r="D60" s="19"/>
      <c r="E60" s="19"/>
      <c r="G60">
        <f t="shared" ref="G60:P60" ca="1" si="31">-$F$14*AVERAGE(F59:G59)</f>
        <v>-54.736686010035079</v>
      </c>
      <c r="H60">
        <f t="shared" ca="1" si="31"/>
        <v>-47.473069424062615</v>
      </c>
      <c r="I60">
        <f t="shared" ca="1" si="31"/>
        <v>-40.012521877037486</v>
      </c>
      <c r="J60">
        <f t="shared" ca="1" si="31"/>
        <v>-31.800426331928005</v>
      </c>
      <c r="K60">
        <f t="shared" ca="1" si="31"/>
        <v>-22.890112461737093</v>
      </c>
      <c r="L60">
        <f t="shared" ca="1" si="31"/>
        <v>-13.184310452167571</v>
      </c>
      <c r="M60">
        <f t="shared" ca="1" si="31"/>
        <v>-4.063285859348527</v>
      </c>
      <c r="N60">
        <f t="shared" ca="1" si="31"/>
        <v>0</v>
      </c>
      <c r="O60">
        <f t="shared" ca="1" si="31"/>
        <v>0</v>
      </c>
      <c r="P60">
        <f t="shared" ca="1" si="31"/>
        <v>0</v>
      </c>
    </row>
    <row r="61" spans="1:17" ht="15" customHeight="1">
      <c r="A61" s="15"/>
      <c r="B61" s="19"/>
      <c r="C61" s="19"/>
      <c r="D61" s="19"/>
      <c r="E61" s="19"/>
    </row>
    <row r="62" spans="1:17" s="70" customFormat="1" ht="15" customHeight="1">
      <c r="A62" s="15"/>
      <c r="B62" s="71" t="s">
        <v>74</v>
      </c>
      <c r="C62" s="71"/>
      <c r="D62" s="71"/>
      <c r="G62" s="70">
        <f t="shared" ref="G62:O62" ca="1" si="32">G54+G58</f>
        <v>0</v>
      </c>
      <c r="H62" s="70">
        <f t="shared" ca="1" si="32"/>
        <v>0</v>
      </c>
      <c r="I62" s="70">
        <f t="shared" ca="1" si="32"/>
        <v>0</v>
      </c>
      <c r="J62" s="70">
        <f t="shared" ca="1" si="32"/>
        <v>0</v>
      </c>
      <c r="K62" s="70">
        <f t="shared" ca="1" si="32"/>
        <v>0</v>
      </c>
      <c r="L62" s="70">
        <f t="shared" ca="1" si="32"/>
        <v>0</v>
      </c>
      <c r="M62" s="70">
        <f t="shared" ca="1" si="32"/>
        <v>48.743880161651703</v>
      </c>
      <c r="N62" s="70">
        <f t="shared" ca="1" si="32"/>
        <v>203.99513939200978</v>
      </c>
      <c r="O62" s="70">
        <f t="shared" ca="1" si="32"/>
        <v>224.681520602977</v>
      </c>
      <c r="P62" s="70">
        <f t="shared" ref="P62" ca="1" si="33">P54+P58</f>
        <v>242.1545759284902</v>
      </c>
      <c r="Q62"/>
    </row>
    <row r="63" spans="1:17" ht="15" customHeight="1">
      <c r="A63" s="15"/>
      <c r="B63" s="19"/>
      <c r="C63" s="19"/>
      <c r="D63" s="19"/>
      <c r="E63" s="19"/>
    </row>
    <row r="64" spans="1:17" ht="15" customHeight="1">
      <c r="A64" s="15"/>
      <c r="B64" s="19" t="s">
        <v>75</v>
      </c>
      <c r="C64" s="19"/>
      <c r="D64" s="19"/>
      <c r="E64" s="19"/>
      <c r="G64">
        <f>+F66</f>
        <v>494</v>
      </c>
      <c r="H64">
        <f t="shared" ref="H64:P64" ca="1" si="34">G66</f>
        <v>494</v>
      </c>
      <c r="I64">
        <f t="shared" ca="1" si="34"/>
        <v>494</v>
      </c>
      <c r="J64">
        <f t="shared" ca="1" si="34"/>
        <v>494</v>
      </c>
      <c r="K64">
        <f t="shared" ca="1" si="34"/>
        <v>494</v>
      </c>
      <c r="L64">
        <f t="shared" ca="1" si="34"/>
        <v>494</v>
      </c>
      <c r="M64">
        <f t="shared" ca="1" si="34"/>
        <v>494</v>
      </c>
      <c r="N64">
        <f t="shared" ca="1" si="34"/>
        <v>445.2561198383483</v>
      </c>
      <c r="O64">
        <f t="shared" ca="1" si="34"/>
        <v>241.26098044633852</v>
      </c>
      <c r="P64">
        <f t="shared" ca="1" si="34"/>
        <v>16.579459843361519</v>
      </c>
    </row>
    <row r="65" spans="1:17" ht="15" customHeight="1">
      <c r="A65" s="15"/>
      <c r="B65" s="19" t="s">
        <v>72</v>
      </c>
      <c r="C65" s="19"/>
      <c r="D65" s="19"/>
      <c r="E65" s="19"/>
      <c r="G65">
        <f t="shared" ref="G65:O65" ca="1" si="35">-MIN(G64,G62)</f>
        <v>0</v>
      </c>
      <c r="H65">
        <f t="shared" ca="1" si="35"/>
        <v>0</v>
      </c>
      <c r="I65">
        <f t="shared" ca="1" si="35"/>
        <v>0</v>
      </c>
      <c r="J65">
        <f t="shared" ca="1" si="35"/>
        <v>0</v>
      </c>
      <c r="K65">
        <f t="shared" ca="1" si="35"/>
        <v>0</v>
      </c>
      <c r="L65">
        <f t="shared" ca="1" si="35"/>
        <v>0</v>
      </c>
      <c r="M65">
        <f t="shared" ca="1" si="35"/>
        <v>-48.743880161651703</v>
      </c>
      <c r="N65">
        <f t="shared" ca="1" si="35"/>
        <v>-203.99513939200978</v>
      </c>
      <c r="O65">
        <f t="shared" ca="1" si="35"/>
        <v>-224.681520602977</v>
      </c>
      <c r="P65">
        <f t="shared" ref="P65" ca="1" si="36">-MIN(P64,P62)</f>
        <v>-16.579459843361519</v>
      </c>
    </row>
    <row r="66" spans="1:17" s="70" customFormat="1" ht="15" customHeight="1">
      <c r="A66" s="15"/>
      <c r="B66" s="71" t="s">
        <v>76</v>
      </c>
      <c r="C66" s="71"/>
      <c r="D66" s="71"/>
      <c r="E66" s="25"/>
      <c r="F66" s="70">
        <f>O8</f>
        <v>494</v>
      </c>
      <c r="G66" s="70">
        <f t="shared" ref="G66:O66" ca="1" si="37">SUM(G64:G65)</f>
        <v>494</v>
      </c>
      <c r="H66" s="70">
        <f t="shared" ca="1" si="37"/>
        <v>494</v>
      </c>
      <c r="I66" s="70">
        <f t="shared" ca="1" si="37"/>
        <v>494</v>
      </c>
      <c r="J66" s="70">
        <f t="shared" ca="1" si="37"/>
        <v>494</v>
      </c>
      <c r="K66" s="70">
        <f t="shared" ca="1" si="37"/>
        <v>494</v>
      </c>
      <c r="L66" s="70">
        <f t="shared" ca="1" si="37"/>
        <v>494</v>
      </c>
      <c r="M66" s="70">
        <f t="shared" ca="1" si="37"/>
        <v>445.2561198383483</v>
      </c>
      <c r="N66" s="70">
        <f t="shared" ca="1" si="37"/>
        <v>241.26098044633852</v>
      </c>
      <c r="O66" s="70">
        <f t="shared" ca="1" si="37"/>
        <v>16.579459843361519</v>
      </c>
      <c r="P66" s="70">
        <f t="shared" ref="P66" ca="1" si="38">SUM(P64:P65)</f>
        <v>0</v>
      </c>
      <c r="Q66"/>
    </row>
    <row r="67" spans="1:17" ht="15" customHeight="1">
      <c r="A67" s="15"/>
      <c r="B67" s="19" t="s">
        <v>56</v>
      </c>
      <c r="C67" s="19"/>
      <c r="D67" s="19"/>
      <c r="E67" s="19"/>
      <c r="G67">
        <f t="shared" ref="G67:P67" ca="1" si="39">-$F$15*AVERAGE(F66:G66)</f>
        <v>-40.755000000000003</v>
      </c>
      <c r="H67">
        <f t="shared" ca="1" si="39"/>
        <v>-40.755000000000003</v>
      </c>
      <c r="I67">
        <f t="shared" ca="1" si="39"/>
        <v>-40.755000000000003</v>
      </c>
      <c r="J67">
        <f t="shared" ca="1" si="39"/>
        <v>-40.755000000000003</v>
      </c>
      <c r="K67">
        <f t="shared" ca="1" si="39"/>
        <v>-40.755000000000003</v>
      </c>
      <c r="L67">
        <f t="shared" ca="1" si="39"/>
        <v>-40.755000000000003</v>
      </c>
      <c r="M67">
        <f t="shared" ca="1" si="39"/>
        <v>-38.744314943331865</v>
      </c>
      <c r="N67">
        <f t="shared" ca="1" si="39"/>
        <v>-28.318830386743336</v>
      </c>
      <c r="O67">
        <f t="shared" ca="1" si="39"/>
        <v>-10.635918161950126</v>
      </c>
      <c r="P67">
        <f t="shared" ca="1" si="39"/>
        <v>-0.68390271853866269</v>
      </c>
    </row>
    <row r="68" spans="1:17" ht="15" customHeight="1">
      <c r="A68" s="15"/>
      <c r="B68" s="19"/>
      <c r="C68" s="19"/>
      <c r="D68" s="19"/>
      <c r="E68" s="19"/>
      <c r="F68" s="19"/>
      <c r="G68" s="19"/>
      <c r="H68" s="19"/>
      <c r="I68" s="19"/>
      <c r="J68" s="19"/>
      <c r="K68" s="19"/>
      <c r="L68" s="19"/>
      <c r="M68" s="19"/>
      <c r="N68" s="19"/>
      <c r="O68" s="19"/>
      <c r="P68" s="19"/>
    </row>
    <row r="69" spans="1:17" s="70" customFormat="1" ht="15" customHeight="1">
      <c r="A69" s="15"/>
      <c r="B69" s="71" t="s">
        <v>77</v>
      </c>
      <c r="C69" s="71"/>
      <c r="D69" s="71"/>
      <c r="E69" s="79"/>
      <c r="F69" s="79">
        <v>0</v>
      </c>
      <c r="G69" s="70">
        <f t="shared" ref="G69:P69" ca="1" si="40">F69+G54+G58+G65</f>
        <v>0</v>
      </c>
      <c r="H69" s="70">
        <f t="shared" ca="1" si="40"/>
        <v>0</v>
      </c>
      <c r="I69" s="70">
        <f t="shared" ca="1" si="40"/>
        <v>0</v>
      </c>
      <c r="J69" s="70">
        <f t="shared" ca="1" si="40"/>
        <v>0</v>
      </c>
      <c r="K69" s="70">
        <f t="shared" ca="1" si="40"/>
        <v>0</v>
      </c>
      <c r="L69" s="70">
        <f t="shared" ca="1" si="40"/>
        <v>0</v>
      </c>
      <c r="M69" s="70">
        <f t="shared" ca="1" si="40"/>
        <v>0</v>
      </c>
      <c r="N69" s="70">
        <f t="shared" ca="1" si="40"/>
        <v>0</v>
      </c>
      <c r="O69" s="70">
        <f t="shared" ca="1" si="40"/>
        <v>0</v>
      </c>
      <c r="P69" s="70">
        <f t="shared" ca="1" si="40"/>
        <v>225.57511608512868</v>
      </c>
      <c r="Q69"/>
    </row>
    <row r="70" spans="1:17" ht="15" customHeight="1">
      <c r="A70" s="15"/>
      <c r="B70" s="19" t="s">
        <v>57</v>
      </c>
      <c r="C70" s="19"/>
      <c r="D70" s="19"/>
      <c r="E70" s="3"/>
      <c r="F70" s="19"/>
      <c r="G70">
        <f t="shared" ref="G70:P70" ca="1" si="41">$F$16*AVERAGE(F69:G69)</f>
        <v>0</v>
      </c>
      <c r="H70">
        <f t="shared" ca="1" si="41"/>
        <v>0</v>
      </c>
      <c r="I70">
        <f t="shared" ca="1" si="41"/>
        <v>0</v>
      </c>
      <c r="J70">
        <f t="shared" ca="1" si="41"/>
        <v>0</v>
      </c>
      <c r="K70">
        <f t="shared" ca="1" si="41"/>
        <v>0</v>
      </c>
      <c r="L70">
        <f t="shared" ca="1" si="41"/>
        <v>0</v>
      </c>
      <c r="M70">
        <f t="shared" ca="1" si="41"/>
        <v>0</v>
      </c>
      <c r="N70">
        <f t="shared" ca="1" si="41"/>
        <v>0</v>
      </c>
      <c r="O70">
        <f t="shared" ca="1" si="41"/>
        <v>0</v>
      </c>
      <c r="P70">
        <f t="shared" ca="1" si="41"/>
        <v>3.3836267412769301</v>
      </c>
    </row>
    <row r="71" spans="1:17" ht="15" customHeight="1">
      <c r="A71" s="15"/>
      <c r="B71" s="19"/>
      <c r="C71" s="19"/>
      <c r="D71" s="19"/>
      <c r="E71" s="3"/>
      <c r="F71" s="19"/>
    </row>
    <row r="72" spans="1:17" ht="15" customHeight="1">
      <c r="A72" s="15"/>
      <c r="B72" s="19" t="s">
        <v>78</v>
      </c>
      <c r="C72" s="19"/>
      <c r="D72" s="19"/>
      <c r="E72" s="3"/>
      <c r="F72" s="19"/>
      <c r="G72">
        <f>F75</f>
        <v>0</v>
      </c>
      <c r="H72">
        <f t="shared" ref="H72:P72" ca="1" si="42">G75</f>
        <v>126.78763479611243</v>
      </c>
      <c r="I72">
        <f t="shared" ca="1" si="42"/>
        <v>245.39245222879919</v>
      </c>
      <c r="J72">
        <f t="shared" ca="1" si="42"/>
        <v>378.83316003344765</v>
      </c>
      <c r="K72">
        <f t="shared" ca="1" si="42"/>
        <v>522.82811253655223</v>
      </c>
      <c r="L72">
        <f t="shared" ca="1" si="42"/>
        <v>679.85727726962682</v>
      </c>
      <c r="M72">
        <f t="shared" ca="1" si="42"/>
        <v>850.72682907606315</v>
      </c>
      <c r="N72">
        <f t="shared" ca="1" si="42"/>
        <v>1036.7438801616515</v>
      </c>
      <c r="O72">
        <f t="shared" ca="1" si="42"/>
        <v>1240.7390195536614</v>
      </c>
      <c r="P72">
        <f t="shared" ca="1" si="42"/>
        <v>1465.4205401566383</v>
      </c>
    </row>
    <row r="73" spans="1:17" ht="15" customHeight="1">
      <c r="A73" s="15"/>
      <c r="B73" s="19" t="s">
        <v>79</v>
      </c>
      <c r="C73" s="19"/>
      <c r="D73" s="19"/>
      <c r="E73" s="3"/>
      <c r="F73" s="19"/>
      <c r="G73">
        <f t="shared" ref="G73:P73" ca="1" si="43">-G58</f>
        <v>126.78763479611243</v>
      </c>
      <c r="H73">
        <f t="shared" ca="1" si="43"/>
        <v>118.60481743268674</v>
      </c>
      <c r="I73">
        <f t="shared" ca="1" si="43"/>
        <v>133.44070780464847</v>
      </c>
      <c r="J73">
        <f t="shared" ca="1" si="43"/>
        <v>143.99495250310457</v>
      </c>
      <c r="K73">
        <f t="shared" ca="1" si="43"/>
        <v>157.02916473307462</v>
      </c>
      <c r="L73">
        <f t="shared" ca="1" si="43"/>
        <v>170.86955180643633</v>
      </c>
      <c r="M73">
        <f t="shared" ca="1" si="43"/>
        <v>137.27317092393673</v>
      </c>
      <c r="N73">
        <f t="shared" ca="1" si="43"/>
        <v>0</v>
      </c>
      <c r="O73">
        <f t="shared" ca="1" si="43"/>
        <v>0</v>
      </c>
      <c r="P73">
        <f t="shared" ca="1" si="43"/>
        <v>0</v>
      </c>
    </row>
    <row r="74" spans="1:17" ht="15" customHeight="1">
      <c r="A74" s="15"/>
      <c r="B74" s="19" t="s">
        <v>80</v>
      </c>
      <c r="C74" s="19"/>
      <c r="D74" s="19"/>
      <c r="E74" s="3"/>
      <c r="F74" s="19"/>
      <c r="G74">
        <f t="shared" ref="G74:P74" ca="1" si="44">-G65</f>
        <v>0</v>
      </c>
      <c r="H74">
        <f t="shared" ca="1" si="44"/>
        <v>0</v>
      </c>
      <c r="I74">
        <f t="shared" ca="1" si="44"/>
        <v>0</v>
      </c>
      <c r="J74">
        <f t="shared" ca="1" si="44"/>
        <v>0</v>
      </c>
      <c r="K74">
        <f t="shared" ca="1" si="44"/>
        <v>0</v>
      </c>
      <c r="L74">
        <f t="shared" ca="1" si="44"/>
        <v>0</v>
      </c>
      <c r="M74">
        <f t="shared" ca="1" si="44"/>
        <v>48.743880161651703</v>
      </c>
      <c r="N74">
        <f t="shared" ca="1" si="44"/>
        <v>203.99513939200978</v>
      </c>
      <c r="O74">
        <f t="shared" ca="1" si="44"/>
        <v>224.681520602977</v>
      </c>
      <c r="P74">
        <f t="shared" ca="1" si="44"/>
        <v>16.579459843361519</v>
      </c>
    </row>
    <row r="75" spans="1:17" s="70" customFormat="1" ht="15" customHeight="1">
      <c r="A75" s="15"/>
      <c r="B75" s="71" t="s">
        <v>81</v>
      </c>
      <c r="C75" s="71"/>
      <c r="D75" s="71"/>
      <c r="E75" s="79"/>
      <c r="F75" s="78">
        <v>0</v>
      </c>
      <c r="G75" s="70">
        <f ca="1">SUM(G72:G74)</f>
        <v>126.78763479611243</v>
      </c>
      <c r="H75" s="70">
        <f t="shared" ref="H75:O75" ca="1" si="45">SUM(H72:H74)</f>
        <v>245.39245222879919</v>
      </c>
      <c r="I75" s="70">
        <f t="shared" ca="1" si="45"/>
        <v>378.83316003344765</v>
      </c>
      <c r="J75" s="70">
        <f t="shared" ca="1" si="45"/>
        <v>522.82811253655223</v>
      </c>
      <c r="K75" s="70">
        <f t="shared" ca="1" si="45"/>
        <v>679.85727726962682</v>
      </c>
      <c r="L75" s="70">
        <f t="shared" ca="1" si="45"/>
        <v>850.72682907606315</v>
      </c>
      <c r="M75" s="70">
        <f t="shared" ca="1" si="45"/>
        <v>1036.7438801616515</v>
      </c>
      <c r="N75" s="70">
        <f t="shared" ca="1" si="45"/>
        <v>1240.7390195536614</v>
      </c>
      <c r="O75" s="70">
        <f t="shared" ca="1" si="45"/>
        <v>1465.4205401566383</v>
      </c>
      <c r="P75" s="70">
        <f t="shared" ref="P75" ca="1" si="46">SUM(P72:P74)</f>
        <v>1481.9999999999998</v>
      </c>
      <c r="Q75"/>
    </row>
    <row r="76" spans="1:17" ht="15" customHeight="1">
      <c r="A76" s="15"/>
      <c r="B76" s="19"/>
      <c r="C76" s="19"/>
      <c r="D76" s="19"/>
      <c r="E76" s="3"/>
      <c r="F76" s="19"/>
      <c r="G76" s="19"/>
      <c r="H76" s="19"/>
      <c r="I76" s="19"/>
      <c r="J76" s="19"/>
      <c r="K76" s="19"/>
      <c r="L76" s="19"/>
      <c r="M76" s="19"/>
      <c r="N76" s="19"/>
      <c r="O76" s="19"/>
      <c r="P76" s="19"/>
    </row>
    <row r="77" spans="1:17" ht="15" customHeight="1">
      <c r="A77" s="15"/>
      <c r="B77" s="19" t="s">
        <v>82</v>
      </c>
      <c r="C77" s="19"/>
      <c r="D77" s="19"/>
      <c r="E77" s="25"/>
      <c r="F77">
        <f>F$59+F$66</f>
        <v>1482</v>
      </c>
      <c r="H77" s="19"/>
      <c r="I77" s="19"/>
      <c r="J77" s="19"/>
      <c r="K77" s="19"/>
      <c r="L77" s="19"/>
      <c r="M77" s="19"/>
      <c r="N77" s="19"/>
      <c r="O77" s="19"/>
      <c r="P77" s="19"/>
    </row>
    <row r="78" spans="1:17" ht="15" customHeight="1">
      <c r="A78" s="76"/>
      <c r="B78" s="19" t="s">
        <v>83</v>
      </c>
      <c r="C78" s="19"/>
      <c r="D78" s="19"/>
      <c r="E78" s="3"/>
      <c r="F78" s="19"/>
      <c r="G78" s="80">
        <f ca="1">G75/$F$77</f>
        <v>8.5551710388739835E-2</v>
      </c>
      <c r="H78" s="80">
        <f t="shared" ref="H78:O78" ca="1" si="47">H75/$F$77</f>
        <v>0.16558195157138947</v>
      </c>
      <c r="I78" s="80">
        <f t="shared" ca="1" si="47"/>
        <v>0.25562291500232637</v>
      </c>
      <c r="J78" s="80">
        <f t="shared" ca="1" si="47"/>
        <v>0.35278550103680989</v>
      </c>
      <c r="K78" s="80">
        <f t="shared" ca="1" si="47"/>
        <v>0.45874310207127317</v>
      </c>
      <c r="L78" s="80">
        <f t="shared" ca="1" si="47"/>
        <v>0.57403969573283609</v>
      </c>
      <c r="M78" s="80">
        <f t="shared" ca="1" si="47"/>
        <v>0.69955727406319268</v>
      </c>
      <c r="N78" s="80">
        <f t="shared" ca="1" si="47"/>
        <v>0.83720581616306433</v>
      </c>
      <c r="O78" s="80">
        <f t="shared" ca="1" si="47"/>
        <v>0.98881278013268437</v>
      </c>
      <c r="P78" s="80">
        <f t="shared" ref="P78" ca="1" si="48">P75/$F$77</f>
        <v>0.99999999999999989</v>
      </c>
    </row>
    <row r="79" spans="1:17" ht="15" customHeight="1">
      <c r="A79" s="15"/>
      <c r="B79" s="19"/>
      <c r="C79" s="19"/>
      <c r="D79" s="19"/>
      <c r="E79" s="19"/>
      <c r="F79" s="19"/>
      <c r="G79" s="19"/>
      <c r="H79" s="19"/>
      <c r="I79" s="19"/>
      <c r="J79" s="19"/>
      <c r="K79" s="19"/>
      <c r="L79" s="19"/>
      <c r="M79" s="19"/>
      <c r="N79" s="19"/>
      <c r="O79" s="19"/>
      <c r="P79" s="19"/>
    </row>
    <row r="80" spans="1:17" ht="15" customHeight="1">
      <c r="A80" s="15" t="s">
        <v>84</v>
      </c>
      <c r="B80" s="19"/>
      <c r="C80" s="19"/>
      <c r="D80" s="19"/>
      <c r="E80" s="19"/>
      <c r="F80" s="19"/>
      <c r="G80" s="19"/>
      <c r="H80" s="19"/>
      <c r="I80" s="19"/>
      <c r="J80" s="19"/>
      <c r="K80" s="19"/>
      <c r="L80" s="19"/>
      <c r="M80" s="19"/>
      <c r="N80" s="19"/>
      <c r="O80" s="19"/>
      <c r="P80" s="19"/>
    </row>
    <row r="81" spans="1:17" ht="15" customHeight="1">
      <c r="A81" s="15"/>
      <c r="B81" s="4" t="s">
        <v>85</v>
      </c>
      <c r="C81" s="19"/>
      <c r="D81" s="19"/>
      <c r="E81" s="19"/>
      <c r="G81">
        <f t="shared" ref="G81:P81" si="49">YEAR(F3)-YEAR($E$3)</f>
        <v>1</v>
      </c>
      <c r="H81">
        <f t="shared" si="49"/>
        <v>2</v>
      </c>
      <c r="I81">
        <f t="shared" si="49"/>
        <v>3</v>
      </c>
      <c r="J81">
        <f t="shared" si="49"/>
        <v>4</v>
      </c>
      <c r="K81">
        <f t="shared" si="49"/>
        <v>5</v>
      </c>
      <c r="L81">
        <f t="shared" si="49"/>
        <v>6</v>
      </c>
      <c r="M81">
        <f t="shared" si="49"/>
        <v>7</v>
      </c>
      <c r="N81">
        <f t="shared" si="49"/>
        <v>8</v>
      </c>
      <c r="O81">
        <f t="shared" si="49"/>
        <v>9</v>
      </c>
      <c r="P81">
        <f t="shared" si="49"/>
        <v>10</v>
      </c>
    </row>
    <row r="82" spans="1:17" ht="15" customHeight="1">
      <c r="A82" s="15"/>
      <c r="B82" s="4" t="s">
        <v>27</v>
      </c>
      <c r="C82" s="19"/>
      <c r="D82" s="19"/>
      <c r="E82" s="19"/>
      <c r="F82" s="4"/>
      <c r="G82">
        <f>$F$10*G45</f>
        <v>2390.8000000000002</v>
      </c>
      <c r="H82">
        <f t="shared" ref="H82:P82" si="50">$F$10*H45</f>
        <v>2318.2399999999998</v>
      </c>
      <c r="I82">
        <f t="shared" si="50"/>
        <v>2411.4399999999996</v>
      </c>
      <c r="J82">
        <f t="shared" si="50"/>
        <v>2475.2135999999996</v>
      </c>
      <c r="K82">
        <f t="shared" si="50"/>
        <v>2549.4700079999998</v>
      </c>
      <c r="L82">
        <f t="shared" si="50"/>
        <v>2625.9541082400001</v>
      </c>
      <c r="M82">
        <f t="shared" si="50"/>
        <v>2704.7327314872</v>
      </c>
      <c r="N82">
        <f t="shared" si="50"/>
        <v>2785.8747134318164</v>
      </c>
      <c r="O82">
        <f t="shared" si="50"/>
        <v>2869.450954834771</v>
      </c>
      <c r="P82">
        <f t="shared" si="50"/>
        <v>2955.5344834798138</v>
      </c>
    </row>
    <row r="83" spans="1:17" ht="15" customHeight="1">
      <c r="A83" s="15"/>
      <c r="B83" s="4" t="s">
        <v>86</v>
      </c>
      <c r="C83" s="19"/>
      <c r="D83" s="19"/>
      <c r="E83" s="19"/>
      <c r="F83" s="19"/>
      <c r="G83">
        <f t="shared" ref="G83:P83" ca="1" si="51">G59+G66-G69</f>
        <v>1355.2123652038877</v>
      </c>
      <c r="H83">
        <f t="shared" ca="1" si="51"/>
        <v>1236.6075477712006</v>
      </c>
      <c r="I83">
        <f t="shared" ca="1" si="51"/>
        <v>1103.1668399665523</v>
      </c>
      <c r="J83">
        <f t="shared" ca="1" si="51"/>
        <v>959.17188746344777</v>
      </c>
      <c r="K83">
        <f t="shared" ca="1" si="51"/>
        <v>802.14272273037307</v>
      </c>
      <c r="L83">
        <f t="shared" ca="1" si="51"/>
        <v>631.27317092393673</v>
      </c>
      <c r="M83">
        <f t="shared" ca="1" si="51"/>
        <v>445.2561198383483</v>
      </c>
      <c r="N83">
        <f t="shared" ca="1" si="51"/>
        <v>241.26098044633852</v>
      </c>
      <c r="O83">
        <f t="shared" ca="1" si="51"/>
        <v>16.579459843361519</v>
      </c>
      <c r="P83">
        <f t="shared" ca="1" si="51"/>
        <v>-225.57511608512868</v>
      </c>
    </row>
    <row r="84" spans="1:17" s="70" customFormat="1" ht="15" customHeight="1">
      <c r="A84" s="15"/>
      <c r="B84" s="77" t="s">
        <v>87</v>
      </c>
      <c r="C84" s="71"/>
      <c r="D84" s="71"/>
      <c r="E84" s="71"/>
      <c r="F84" s="71"/>
      <c r="G84" s="70">
        <f t="shared" ref="G84:O84" ca="1" si="52">G82-G83</f>
        <v>1035.5876347961125</v>
      </c>
      <c r="H84" s="70">
        <f t="shared" ca="1" si="52"/>
        <v>1081.6324522287991</v>
      </c>
      <c r="I84" s="70">
        <f t="shared" ca="1" si="52"/>
        <v>1308.2731600334473</v>
      </c>
      <c r="J84" s="70">
        <f t="shared" ca="1" si="52"/>
        <v>1516.0417125365518</v>
      </c>
      <c r="K84" s="70">
        <f t="shared" ca="1" si="52"/>
        <v>1747.3272852696268</v>
      </c>
      <c r="L84" s="70">
        <f t="shared" ca="1" si="52"/>
        <v>1994.6809373160634</v>
      </c>
      <c r="M84" s="70">
        <f t="shared" ca="1" si="52"/>
        <v>2259.4766116488518</v>
      </c>
      <c r="N84" s="70">
        <f t="shared" ca="1" si="52"/>
        <v>2544.6137329854778</v>
      </c>
      <c r="O84" s="70">
        <f t="shared" ca="1" si="52"/>
        <v>2852.8714949914092</v>
      </c>
      <c r="P84" s="70">
        <f t="shared" ref="P84" ca="1" si="53">P82-P83</f>
        <v>3181.1095995649425</v>
      </c>
      <c r="Q84"/>
    </row>
    <row r="85" spans="1:17" ht="15" customHeight="1">
      <c r="A85" s="15"/>
      <c r="B85" s="19"/>
      <c r="C85" s="19"/>
      <c r="D85" s="19"/>
      <c r="E85" s="19"/>
      <c r="F85" s="19"/>
    </row>
    <row r="86" spans="1:17" ht="15" customHeight="1">
      <c r="A86" s="15"/>
      <c r="B86" s="4" t="s">
        <v>88</v>
      </c>
      <c r="C86" s="19"/>
      <c r="D86" s="19"/>
      <c r="E86" s="25"/>
      <c r="F86">
        <f>-O9</f>
        <v>-533.52</v>
      </c>
      <c r="G86">
        <f t="shared" ref="G86:P86" si="54">IF(G81=$F$18,G84,0)</f>
        <v>0</v>
      </c>
      <c r="H86">
        <f t="shared" si="54"/>
        <v>0</v>
      </c>
      <c r="I86">
        <f t="shared" si="54"/>
        <v>0</v>
      </c>
      <c r="J86">
        <f t="shared" ca="1" si="54"/>
        <v>1516.0417125365518</v>
      </c>
      <c r="K86">
        <f t="shared" si="54"/>
        <v>0</v>
      </c>
      <c r="L86">
        <f t="shared" si="54"/>
        <v>0</v>
      </c>
      <c r="M86">
        <f t="shared" si="54"/>
        <v>0</v>
      </c>
      <c r="N86">
        <f t="shared" si="54"/>
        <v>0</v>
      </c>
      <c r="O86">
        <f t="shared" si="54"/>
        <v>0</v>
      </c>
      <c r="P86">
        <f t="shared" si="54"/>
        <v>0</v>
      </c>
    </row>
    <row r="87" spans="1:17" s="70" customFormat="1" ht="15" customHeight="1">
      <c r="A87" s="15"/>
      <c r="B87" s="77" t="s">
        <v>89</v>
      </c>
      <c r="C87" s="71"/>
      <c r="D87" s="71"/>
      <c r="E87" s="25"/>
      <c r="F87" s="81">
        <f ca="1">IRR(F86:O86)</f>
        <v>0.29834500532034003</v>
      </c>
      <c r="H87" s="71"/>
      <c r="I87" s="71"/>
      <c r="J87" s="71"/>
      <c r="K87" s="71"/>
      <c r="L87" s="71"/>
      <c r="M87" s="71"/>
      <c r="N87" s="71"/>
      <c r="O87" s="71"/>
      <c r="P87" s="71"/>
    </row>
    <row r="88" spans="1:17" ht="15" customHeight="1">
      <c r="A88" s="15"/>
      <c r="B88" s="19"/>
      <c r="C88" s="19"/>
      <c r="D88" s="19"/>
      <c r="E88" s="19"/>
      <c r="F88" s="19"/>
      <c r="G88" s="19"/>
      <c r="H88" s="19"/>
      <c r="I88" s="19"/>
      <c r="J88" s="19"/>
      <c r="K88" s="19"/>
      <c r="L88" s="19"/>
      <c r="M88" s="19"/>
      <c r="N88" s="19"/>
      <c r="O88" s="19"/>
      <c r="P88" s="19"/>
    </row>
    <row r="89" spans="1:17" ht="15" customHeight="1">
      <c r="A89" s="15" t="s">
        <v>90</v>
      </c>
      <c r="B89" s="19"/>
      <c r="C89" s="19"/>
      <c r="D89" s="19"/>
      <c r="E89" s="19"/>
      <c r="F89" s="19"/>
      <c r="G89" s="19"/>
      <c r="H89" s="19"/>
      <c r="I89" s="19"/>
      <c r="J89" s="19"/>
      <c r="K89" s="19"/>
      <c r="L89" s="19"/>
      <c r="M89" s="19"/>
      <c r="N89" s="19"/>
      <c r="O89" s="19"/>
      <c r="P89" s="19"/>
    </row>
    <row r="90" spans="1:17" ht="15" customHeight="1">
      <c r="A90" s="15"/>
      <c r="B90" s="4" t="s">
        <v>91</v>
      </c>
      <c r="C90" s="19"/>
      <c r="D90" s="19"/>
      <c r="E90" s="19"/>
      <c r="F90" s="19"/>
      <c r="G90" s="19"/>
      <c r="H90" s="19"/>
      <c r="I90" s="19"/>
      <c r="J90" s="19"/>
      <c r="K90" s="19"/>
      <c r="L90" s="19"/>
      <c r="M90" s="19"/>
      <c r="N90" s="19"/>
      <c r="O90" s="19"/>
      <c r="P90" s="19"/>
    </row>
    <row r="91" spans="1:17" ht="15" customHeight="1">
      <c r="A91" s="15"/>
      <c r="B91" s="19"/>
      <c r="C91" s="25"/>
      <c r="E91" s="54" t="s">
        <v>43</v>
      </c>
      <c r="F91" s="19"/>
      <c r="G91" s="19"/>
      <c r="H91" s="19"/>
      <c r="I91" s="19"/>
      <c r="J91" s="19"/>
      <c r="K91" s="19"/>
      <c r="L91" s="19"/>
      <c r="M91" s="19"/>
      <c r="N91" s="19"/>
      <c r="O91" s="19"/>
      <c r="P91" s="19"/>
    </row>
    <row r="92" spans="1:17" ht="15" customHeight="1">
      <c r="A92" s="15"/>
      <c r="B92" s="19"/>
      <c r="C92" s="26">
        <f ca="1">F87</f>
        <v>0.29834500532034003</v>
      </c>
      <c r="D92" s="58">
        <v>3</v>
      </c>
      <c r="E92" s="58">
        <v>4</v>
      </c>
      <c r="F92" s="58">
        <v>5</v>
      </c>
      <c r="G92" s="19"/>
      <c r="H92" s="19"/>
      <c r="I92" s="19"/>
      <c r="J92" s="19"/>
      <c r="K92" s="19"/>
      <c r="L92" s="19"/>
      <c r="M92" s="19"/>
      <c r="N92" s="19"/>
      <c r="O92" s="19"/>
      <c r="P92" s="19"/>
    </row>
    <row r="93" spans="1:17" ht="15" customHeight="1">
      <c r="A93" s="15"/>
      <c r="B93" s="19"/>
      <c r="C93" s="55">
        <v>8</v>
      </c>
      <c r="D93" s="26">
        <f t="dataTable" ref="D93:F97" dt2D="1" dtr="1" r1="F18" r2="F9" ca="1"/>
        <v>0.34849469548008116</v>
      </c>
      <c r="E93" s="26">
        <v>0.29834500532034003</v>
      </c>
      <c r="F93" s="26">
        <v>0.26778237801515758</v>
      </c>
      <c r="H93" s="19"/>
      <c r="I93" s="19"/>
      <c r="J93" s="19"/>
      <c r="K93" s="19"/>
      <c r="L93" s="19"/>
      <c r="M93" s="19"/>
      <c r="N93" s="19"/>
      <c r="O93" s="19"/>
      <c r="P93" s="19"/>
    </row>
    <row r="94" spans="1:17" ht="15" customHeight="1">
      <c r="A94" s="15"/>
      <c r="B94" s="19"/>
      <c r="C94" s="55">
        <f>C93+1</f>
        <v>9</v>
      </c>
      <c r="D94" s="26">
        <v>0.27020526276682966</v>
      </c>
      <c r="E94" s="26">
        <v>0.23469894016247639</v>
      </c>
      <c r="F94" s="26">
        <v>0.21339363584740823</v>
      </c>
      <c r="G94" s="19"/>
      <c r="H94" s="19"/>
      <c r="I94" s="19"/>
      <c r="J94" s="19"/>
      <c r="K94" s="19"/>
      <c r="L94" s="19"/>
      <c r="M94" s="19"/>
      <c r="N94" s="19"/>
      <c r="O94" s="19"/>
      <c r="P94" s="19"/>
    </row>
    <row r="95" spans="1:17" ht="15" customHeight="1">
      <c r="A95" s="15"/>
      <c r="B95" s="4" t="s">
        <v>92</v>
      </c>
      <c r="C95" s="55">
        <f t="shared" ref="C95:C97" si="55">C94+1</f>
        <v>10</v>
      </c>
      <c r="D95" s="26">
        <v>0.22588077654767691</v>
      </c>
      <c r="E95" s="26">
        <v>0.19771925629706533</v>
      </c>
      <c r="F95" s="26">
        <v>0.18112894279113445</v>
      </c>
      <c r="G95" s="19"/>
      <c r="H95" s="19"/>
      <c r="I95" s="19"/>
      <c r="J95" s="19"/>
      <c r="K95" s="19"/>
      <c r="L95" s="19"/>
      <c r="M95" s="19"/>
      <c r="N95" s="19"/>
      <c r="O95" s="19"/>
      <c r="P95" s="19"/>
    </row>
    <row r="96" spans="1:17" ht="15" customHeight="1">
      <c r="A96" s="15"/>
      <c r="B96" s="19"/>
      <c r="C96" s="55">
        <f t="shared" si="55"/>
        <v>11</v>
      </c>
      <c r="D96" s="26">
        <v>0.19722581744567513</v>
      </c>
      <c r="E96" s="26">
        <v>0.17339545125264233</v>
      </c>
      <c r="F96" s="26">
        <v>0.15959913061954856</v>
      </c>
      <c r="G96" s="19"/>
      <c r="H96" s="19"/>
      <c r="I96" s="19"/>
      <c r="J96" s="19"/>
      <c r="K96" s="19"/>
      <c r="L96" s="19"/>
      <c r="M96" s="19"/>
      <c r="N96" s="19"/>
      <c r="O96" s="19"/>
      <c r="P96" s="19"/>
    </row>
    <row r="97" spans="1:16" ht="15" customHeight="1">
      <c r="A97" s="15"/>
      <c r="B97" s="19"/>
      <c r="C97" s="55">
        <f t="shared" si="55"/>
        <v>12</v>
      </c>
      <c r="D97" s="26">
        <v>0.17713837019225154</v>
      </c>
      <c r="E97" s="26">
        <v>0.15613018540064849</v>
      </c>
      <c r="F97" s="26">
        <v>0.14415371147522094</v>
      </c>
      <c r="G97" s="19"/>
      <c r="H97" s="19"/>
      <c r="I97" s="19"/>
      <c r="J97" s="19"/>
      <c r="K97" s="19"/>
      <c r="L97" s="19"/>
      <c r="M97" s="19"/>
      <c r="N97" s="19"/>
      <c r="O97" s="19"/>
      <c r="P97" s="19"/>
    </row>
    <row r="98" spans="1:16" ht="15" customHeight="1">
      <c r="A98" s="29"/>
    </row>
    <row r="99" spans="1:16" ht="15" customHeight="1">
      <c r="A99" s="29" t="s">
        <v>93</v>
      </c>
    </row>
    <row r="100" spans="1:16" ht="15" customHeight="1">
      <c r="A100" s="29"/>
    </row>
    <row r="101" spans="1:16" ht="15" customHeight="1">
      <c r="A101" s="29"/>
    </row>
  </sheetData>
  <sortState xmlns:xlrd2="http://schemas.microsoft.com/office/spreadsheetml/2017/richdata2" ref="F13:F18">
    <sortCondition ref="F13:F18"/>
  </sortState>
  <conditionalFormatting sqref="D93:F97">
    <cfRule type="cellIs" dxfId="1" priority="1" operator="equal">
      <formula>$F$87</formula>
    </cfRule>
  </conditionalFormatting>
  <printOptions headings="1" gridLines="1"/>
  <pageMargins left="0.31496062992125984" right="0.11811023622047245" top="0.74803149606299213" bottom="0.74803149606299213" header="0" footer="0"/>
  <pageSetup paperSize="9" scale="62" fitToHeight="0" orientation="landscape" r:id="rId1"/>
  <headerFooter>
    <oddHeader>&amp;R&amp;F  &amp;A</oddHeader>
    <oddFooter>&amp;L© 2016&amp;CPage &amp;P of</oddFooter>
  </headerFooter>
  <rowBreaks count="2" manualBreakCount="2">
    <brk id="55" max="15" man="1"/>
    <brk id="88" max="15"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C573-7CED-43AB-983C-07F4B512D9D5}">
  <sheetPr>
    <pageSetUpPr fitToPage="1"/>
  </sheetPr>
  <dimension ref="A1:Q108"/>
  <sheetViews>
    <sheetView zoomScaleNormal="100" workbookViewId="0"/>
  </sheetViews>
  <sheetFormatPr defaultColWidth="12.5703125" defaultRowHeight="15" customHeight="1"/>
  <cols>
    <col min="1" max="1" width="1.5703125" customWidth="1"/>
    <col min="2" max="2" width="50.5703125" customWidth="1"/>
    <col min="3" max="9" width="10.28515625" customWidth="1"/>
    <col min="10" max="10" width="12.7109375" bestFit="1" customWidth="1"/>
    <col min="11" max="16" width="10.28515625" customWidth="1"/>
  </cols>
  <sheetData>
    <row r="1" spans="1:16" ht="45" customHeight="1">
      <c r="A1" s="28" t="str">
        <f>"LBO valuation for Greggs"</f>
        <v>LBO valuation for Greggs</v>
      </c>
      <c r="B1" s="28"/>
      <c r="C1" s="28"/>
      <c r="D1" s="28"/>
      <c r="E1" s="28"/>
      <c r="F1" s="28"/>
      <c r="G1" s="28"/>
      <c r="H1" s="28"/>
      <c r="I1" s="28"/>
      <c r="J1" s="28"/>
      <c r="K1" s="28"/>
      <c r="L1" s="28"/>
      <c r="M1" s="28"/>
      <c r="N1" s="28"/>
      <c r="O1" s="28"/>
      <c r="P1" s="28"/>
    </row>
    <row r="2" spans="1:16" ht="15" customHeight="1">
      <c r="A2" s="30"/>
      <c r="B2" s="30"/>
      <c r="C2" s="30" t="s">
        <v>20</v>
      </c>
      <c r="D2" s="30" t="s">
        <v>20</v>
      </c>
      <c r="E2" s="30" t="s">
        <v>20</v>
      </c>
      <c r="F2" s="30" t="s">
        <v>20</v>
      </c>
      <c r="G2" s="30" t="s">
        <v>21</v>
      </c>
      <c r="H2" s="30" t="s">
        <v>21</v>
      </c>
      <c r="I2" s="30" t="s">
        <v>21</v>
      </c>
      <c r="J2" s="30" t="s">
        <v>21</v>
      </c>
      <c r="K2" s="30" t="s">
        <v>21</v>
      </c>
      <c r="L2" s="30" t="s">
        <v>21</v>
      </c>
      <c r="M2" s="30" t="s">
        <v>21</v>
      </c>
      <c r="N2" s="30" t="s">
        <v>21</v>
      </c>
      <c r="O2" s="30" t="s">
        <v>21</v>
      </c>
      <c r="P2" s="30" t="s">
        <v>21</v>
      </c>
    </row>
    <row r="3" spans="1:16" ht="15" customHeight="1">
      <c r="A3" s="30"/>
      <c r="B3" s="30"/>
      <c r="C3" s="52">
        <f>EDATE(D3,-12)</f>
        <v>44561</v>
      </c>
      <c r="D3" s="52">
        <f>EDATE(E3,-12)</f>
        <v>44926</v>
      </c>
      <c r="E3" s="52">
        <f>EDATE(F3,-12)</f>
        <v>45291</v>
      </c>
      <c r="F3" s="52">
        <v>45657</v>
      </c>
      <c r="G3" s="52">
        <f>EDATE(F3,12)</f>
        <v>46022</v>
      </c>
      <c r="H3" s="52">
        <f t="shared" ref="H3:P3" si="0">EDATE(G3,12)</f>
        <v>46387</v>
      </c>
      <c r="I3" s="52">
        <f t="shared" si="0"/>
        <v>46752</v>
      </c>
      <c r="J3" s="52">
        <f t="shared" si="0"/>
        <v>47118</v>
      </c>
      <c r="K3" s="52">
        <f t="shared" si="0"/>
        <v>47483</v>
      </c>
      <c r="L3" s="52">
        <f t="shared" si="0"/>
        <v>47848</v>
      </c>
      <c r="M3" s="52">
        <f t="shared" si="0"/>
        <v>48213</v>
      </c>
      <c r="N3" s="52">
        <f t="shared" si="0"/>
        <v>48579</v>
      </c>
      <c r="O3" s="52">
        <f t="shared" si="0"/>
        <v>48944</v>
      </c>
      <c r="P3" s="52">
        <f t="shared" si="0"/>
        <v>49309</v>
      </c>
    </row>
    <row r="4" spans="1:16" ht="15" customHeight="1">
      <c r="A4" s="4" t="s">
        <v>22</v>
      </c>
      <c r="B4" s="19"/>
      <c r="C4" s="19"/>
      <c r="D4" s="19"/>
      <c r="E4" s="19"/>
      <c r="F4" s="19"/>
      <c r="G4" s="19"/>
      <c r="H4" s="19"/>
      <c r="I4" s="19"/>
      <c r="J4" s="19"/>
      <c r="K4" s="19"/>
      <c r="L4" s="19"/>
      <c r="M4" s="19"/>
      <c r="N4" s="19"/>
      <c r="O4" s="19"/>
      <c r="P4" s="19"/>
    </row>
    <row r="5" spans="1:16" ht="15" customHeight="1">
      <c r="B5" s="19"/>
      <c r="C5" s="19"/>
      <c r="D5" s="19"/>
      <c r="E5" s="19"/>
      <c r="F5" s="19"/>
      <c r="G5" s="19"/>
      <c r="H5" s="19"/>
      <c r="I5" s="19"/>
      <c r="J5" s="19"/>
      <c r="K5" s="19"/>
      <c r="L5" s="19"/>
      <c r="M5" s="19"/>
      <c r="N5" s="19"/>
      <c r="O5" s="19"/>
      <c r="P5" s="19"/>
    </row>
    <row r="6" spans="1:16" ht="15" customHeight="1">
      <c r="A6" s="15" t="s">
        <v>23</v>
      </c>
      <c r="B6" s="19"/>
      <c r="C6" s="19"/>
      <c r="D6" s="19"/>
      <c r="E6" s="19"/>
      <c r="F6" s="19"/>
      <c r="H6" s="15" t="s">
        <v>24</v>
      </c>
      <c r="I6" s="19"/>
      <c r="J6" s="19"/>
      <c r="K6" s="19"/>
      <c r="L6" s="19"/>
      <c r="M6" s="19"/>
      <c r="N6" s="4" t="s">
        <v>25</v>
      </c>
      <c r="O6" s="19"/>
      <c r="P6" s="19"/>
    </row>
    <row r="7" spans="1:16" ht="15" customHeight="1">
      <c r="A7" s="15"/>
      <c r="B7" s="4" t="s">
        <v>94</v>
      </c>
      <c r="F7" s="2">
        <v>18.22</v>
      </c>
      <c r="H7" t="s">
        <v>95</v>
      </c>
      <c r="J7">
        <f>F11</f>
        <v>2608.4480799999997</v>
      </c>
      <c r="L7" t="s">
        <v>28</v>
      </c>
      <c r="N7" s="21">
        <v>4</v>
      </c>
      <c r="O7">
        <f>N7*$F$14</f>
        <v>1340</v>
      </c>
    </row>
    <row r="8" spans="1:16" ht="15" customHeight="1">
      <c r="A8" s="15"/>
      <c r="B8" s="4" t="s">
        <v>96</v>
      </c>
      <c r="F8" s="82">
        <v>0.4</v>
      </c>
      <c r="H8" t="s">
        <v>97</v>
      </c>
      <c r="J8">
        <f>F12</f>
        <v>290.2</v>
      </c>
      <c r="L8" t="s">
        <v>31</v>
      </c>
      <c r="N8" s="59">
        <f>+F17-N7</f>
        <v>2</v>
      </c>
      <c r="O8">
        <f>N8*$F$14</f>
        <v>670</v>
      </c>
    </row>
    <row r="9" spans="1:16" ht="15" customHeight="1">
      <c r="A9" s="15"/>
      <c r="B9" s="4" t="s">
        <v>98</v>
      </c>
      <c r="F9" s="83">
        <f>F7*(1+F8)</f>
        <v>25.507999999999996</v>
      </c>
      <c r="H9" t="s">
        <v>30</v>
      </c>
      <c r="J9">
        <f>+F24*F13</f>
        <v>57.972961599999991</v>
      </c>
      <c r="L9" t="s">
        <v>33</v>
      </c>
      <c r="N9" s="19"/>
      <c r="O9">
        <f>J10-O7-O8</f>
        <v>946.62104159999944</v>
      </c>
    </row>
    <row r="10" spans="1:16" ht="15" customHeight="1">
      <c r="A10" s="15"/>
      <c r="B10" s="4" t="s">
        <v>99</v>
      </c>
      <c r="F10" s="23">
        <v>102.26</v>
      </c>
      <c r="H10" s="70" t="s">
        <v>35</v>
      </c>
      <c r="I10" s="70"/>
      <c r="J10" s="70">
        <f>SUM(J7:J9)</f>
        <v>2956.6210415999994</v>
      </c>
      <c r="L10" s="70" t="s">
        <v>36</v>
      </c>
      <c r="M10" s="70"/>
      <c r="N10" s="71"/>
      <c r="O10" s="70">
        <f>SUM(O7:O9)</f>
        <v>2956.6210415999994</v>
      </c>
    </row>
    <row r="11" spans="1:16" ht="15" customHeight="1">
      <c r="A11" s="15"/>
      <c r="B11" s="4" t="s">
        <v>95</v>
      </c>
      <c r="F11">
        <f>F9*F10</f>
        <v>2608.4480799999997</v>
      </c>
      <c r="H11" s="70"/>
      <c r="I11" s="70"/>
      <c r="J11" s="71"/>
      <c r="K11" s="70"/>
      <c r="L11" s="70"/>
      <c r="M11" s="71"/>
      <c r="N11" s="70"/>
    </row>
    <row r="12" spans="1:16" ht="15" customHeight="1">
      <c r="A12" s="15"/>
      <c r="B12" s="4" t="s">
        <v>86</v>
      </c>
      <c r="F12" s="23">
        <f>53.8+361.3+0.4-125.3</f>
        <v>290.2</v>
      </c>
      <c r="H12" s="70"/>
      <c r="I12" s="70"/>
      <c r="J12" s="71"/>
      <c r="K12" s="70"/>
      <c r="L12" s="70"/>
      <c r="M12" s="71"/>
      <c r="N12" s="70"/>
    </row>
    <row r="13" spans="1:16" ht="15" customHeight="1">
      <c r="A13" s="15"/>
      <c r="B13" s="4" t="s">
        <v>100</v>
      </c>
      <c r="F13">
        <f>SUM(F11:F12)</f>
        <v>2898.6480799999995</v>
      </c>
      <c r="H13" s="70"/>
      <c r="I13" s="70"/>
      <c r="J13" s="71"/>
      <c r="K13" s="70"/>
      <c r="L13" s="70"/>
      <c r="M13" s="71"/>
      <c r="N13" s="70"/>
    </row>
    <row r="14" spans="1:16" ht="15" customHeight="1">
      <c r="A14" s="15"/>
      <c r="B14" s="4" t="s">
        <v>26</v>
      </c>
      <c r="C14" s="19"/>
      <c r="D14" s="19"/>
      <c r="E14" s="25"/>
      <c r="F14" s="19">
        <f>F50</f>
        <v>335</v>
      </c>
      <c r="H14" s="19"/>
      <c r="I14" s="19"/>
      <c r="J14" s="19"/>
      <c r="K14" s="19"/>
      <c r="L14" s="19"/>
      <c r="M14" s="19"/>
      <c r="O14" s="19"/>
      <c r="P14" s="19"/>
    </row>
    <row r="15" spans="1:16" ht="15" customHeight="1">
      <c r="A15" s="15"/>
      <c r="B15" s="4" t="s">
        <v>101</v>
      </c>
      <c r="F15" s="27">
        <f>F13/F14</f>
        <v>8.6526808358208935</v>
      </c>
      <c r="H15" s="70"/>
      <c r="I15" s="70"/>
      <c r="J15" s="71"/>
      <c r="K15" s="70"/>
      <c r="L15" s="70"/>
      <c r="M15" s="71"/>
      <c r="N15" s="70"/>
    </row>
    <row r="16" spans="1:16" ht="15" customHeight="1">
      <c r="A16" s="15"/>
      <c r="B16" s="4" t="s">
        <v>102</v>
      </c>
      <c r="F16" s="27">
        <f>F15</f>
        <v>8.6526808358208935</v>
      </c>
      <c r="H16" s="70"/>
      <c r="I16" s="70"/>
      <c r="J16" s="71"/>
      <c r="K16" s="70"/>
      <c r="L16" s="70"/>
      <c r="M16" s="71"/>
      <c r="N16" s="70"/>
    </row>
    <row r="17" spans="1:16" ht="15" customHeight="1">
      <c r="A17" s="15"/>
      <c r="B17" s="4" t="s">
        <v>29</v>
      </c>
      <c r="C17" s="19"/>
      <c r="D17" s="19"/>
      <c r="E17" s="19"/>
      <c r="F17" s="21">
        <v>6</v>
      </c>
      <c r="H17" s="70"/>
      <c r="I17" s="70"/>
      <c r="J17" s="71"/>
      <c r="K17" s="70"/>
      <c r="L17" s="70"/>
      <c r="M17" s="71"/>
      <c r="N17" s="70"/>
    </row>
    <row r="18" spans="1:16" ht="15" customHeight="1">
      <c r="A18" s="15"/>
      <c r="B18" s="19"/>
      <c r="C18" s="19"/>
      <c r="D18" s="19"/>
      <c r="E18" s="19"/>
      <c r="F18" s="19"/>
      <c r="H18" s="19"/>
      <c r="I18" s="19"/>
      <c r="J18" s="19"/>
      <c r="K18" s="19"/>
      <c r="L18" s="19"/>
      <c r="M18" s="19"/>
      <c r="O18" s="19"/>
      <c r="P18" s="19"/>
    </row>
    <row r="19" spans="1:16" ht="15" customHeight="1">
      <c r="A19" s="15"/>
      <c r="B19" s="4" t="s">
        <v>37</v>
      </c>
      <c r="C19" s="19"/>
      <c r="D19" s="19"/>
      <c r="F19" s="22">
        <v>3.5099999999999999E-2</v>
      </c>
      <c r="H19" s="19"/>
      <c r="I19" s="19"/>
      <c r="J19" s="19"/>
      <c r="K19" s="19"/>
      <c r="L19" s="19"/>
      <c r="M19" s="19"/>
      <c r="N19" s="19"/>
      <c r="O19" s="19"/>
      <c r="P19" s="19"/>
    </row>
    <row r="20" spans="1:16" ht="15" customHeight="1">
      <c r="A20" s="15"/>
      <c r="B20" s="4" t="s">
        <v>38</v>
      </c>
      <c r="C20" s="19"/>
      <c r="D20" s="19"/>
      <c r="F20" s="22">
        <v>2.41E-2</v>
      </c>
      <c r="H20" s="19"/>
      <c r="I20" s="19"/>
      <c r="J20" s="19"/>
      <c r="K20" s="19"/>
      <c r="L20" s="19"/>
      <c r="M20" s="19"/>
      <c r="N20" s="19"/>
      <c r="O20" s="19"/>
      <c r="P20" s="19"/>
    </row>
    <row r="21" spans="1:16" ht="15" customHeight="1">
      <c r="A21" s="15"/>
      <c r="B21" s="4" t="s">
        <v>39</v>
      </c>
      <c r="C21" s="19"/>
      <c r="D21" s="19"/>
      <c r="F21" s="57">
        <f>SUM(F19:F20)</f>
        <v>5.9200000000000003E-2</v>
      </c>
      <c r="H21" s="19"/>
      <c r="I21" s="19"/>
      <c r="J21" s="19"/>
      <c r="K21" s="19"/>
      <c r="L21" s="19"/>
      <c r="M21" s="19"/>
      <c r="N21" s="19"/>
      <c r="O21" s="19"/>
      <c r="P21" s="19"/>
    </row>
    <row r="22" spans="1:16" ht="15" customHeight="1">
      <c r="A22" s="15"/>
      <c r="B22" s="19" t="s">
        <v>40</v>
      </c>
      <c r="C22" s="19"/>
      <c r="D22" s="19"/>
      <c r="F22" s="22">
        <v>8.2500000000000004E-2</v>
      </c>
      <c r="H22" s="19"/>
      <c r="I22" s="19"/>
      <c r="J22" s="19"/>
      <c r="K22" s="19"/>
      <c r="L22" s="19"/>
      <c r="M22" s="19"/>
      <c r="N22" s="19"/>
      <c r="O22" s="19"/>
      <c r="P22" s="19"/>
    </row>
    <row r="23" spans="1:16" ht="15" customHeight="1">
      <c r="A23" s="15"/>
      <c r="B23" s="19" t="s">
        <v>41</v>
      </c>
      <c r="C23" s="19"/>
      <c r="D23" s="19"/>
      <c r="F23" s="22">
        <v>0.03</v>
      </c>
      <c r="H23" s="19"/>
      <c r="I23" s="19"/>
      <c r="J23" s="19"/>
      <c r="K23" s="19"/>
      <c r="L23" s="19"/>
      <c r="M23" s="19"/>
      <c r="N23" s="19"/>
      <c r="O23" s="19"/>
      <c r="P23" s="19"/>
    </row>
    <row r="24" spans="1:16" ht="15" customHeight="1">
      <c r="A24" s="15"/>
      <c r="B24" s="4" t="s">
        <v>42</v>
      </c>
      <c r="C24" s="19"/>
      <c r="D24" s="19"/>
      <c r="F24" s="22">
        <v>0.02</v>
      </c>
      <c r="H24" s="19"/>
      <c r="I24" s="19"/>
      <c r="J24" s="19"/>
      <c r="K24" s="19"/>
      <c r="L24" s="19"/>
      <c r="M24" s="19"/>
      <c r="N24" s="19"/>
      <c r="O24" s="19"/>
      <c r="P24" s="19"/>
    </row>
    <row r="25" spans="1:16" ht="15" customHeight="1">
      <c r="A25" s="15"/>
      <c r="B25" s="4" t="s">
        <v>43</v>
      </c>
      <c r="C25" s="19"/>
      <c r="D25" s="19"/>
      <c r="F25" s="18">
        <v>4</v>
      </c>
      <c r="H25" s="19"/>
      <c r="I25" s="19"/>
      <c r="J25" s="19"/>
      <c r="K25" s="19"/>
      <c r="L25" s="19"/>
      <c r="M25" s="19"/>
      <c r="N25" s="19"/>
      <c r="O25" s="19"/>
      <c r="P25" s="19"/>
    </row>
    <row r="26" spans="1:16" ht="15" customHeight="1">
      <c r="A26" s="15"/>
      <c r="B26" s="19"/>
      <c r="C26" s="19"/>
      <c r="D26" s="19"/>
      <c r="E26" s="19"/>
      <c r="F26" s="19"/>
      <c r="G26" s="19"/>
      <c r="H26" s="19"/>
      <c r="I26" s="19"/>
      <c r="J26" s="19"/>
      <c r="K26" s="19"/>
      <c r="L26" s="19"/>
      <c r="M26" s="19"/>
      <c r="N26" s="19"/>
      <c r="O26" s="19"/>
      <c r="P26" s="19"/>
    </row>
    <row r="27" spans="1:16" ht="15" customHeight="1">
      <c r="A27" s="15" t="s">
        <v>23</v>
      </c>
      <c r="B27" s="19"/>
      <c r="C27" s="19"/>
      <c r="D27" s="19"/>
      <c r="E27" s="19"/>
      <c r="F27" s="19"/>
      <c r="G27" s="19"/>
      <c r="H27" s="19"/>
      <c r="I27" s="19"/>
      <c r="J27" s="19"/>
      <c r="K27" s="19"/>
      <c r="L27" s="19"/>
      <c r="M27" s="19"/>
      <c r="N27" s="19"/>
      <c r="O27" s="19"/>
      <c r="P27" s="19"/>
    </row>
    <row r="28" spans="1:16" ht="15" customHeight="1">
      <c r="A28" s="15"/>
      <c r="B28" s="4" t="s">
        <v>44</v>
      </c>
      <c r="C28" s="19"/>
      <c r="D28" s="19"/>
      <c r="E28">
        <f>E40</f>
        <v>1801</v>
      </c>
      <c r="F28">
        <f>F40</f>
        <v>2014</v>
      </c>
      <c r="G28" s="72">
        <v>2177</v>
      </c>
      <c r="H28" s="72">
        <v>2362</v>
      </c>
      <c r="I28" s="72">
        <v>2546</v>
      </c>
    </row>
    <row r="29" spans="1:16" ht="15" customHeight="1">
      <c r="A29" s="15"/>
      <c r="B29" s="4" t="s">
        <v>45</v>
      </c>
      <c r="C29" s="19"/>
      <c r="D29" s="19"/>
      <c r="E29" s="23"/>
      <c r="F29" s="26">
        <f>F28/E28-1</f>
        <v>0.11826762909494715</v>
      </c>
      <c r="G29" s="26">
        <f t="shared" ref="G29:I29" si="1">G28/F28-1</f>
        <v>8.0933465739821298E-2</v>
      </c>
      <c r="H29" s="26">
        <f t="shared" si="1"/>
        <v>8.4979329352319777E-2</v>
      </c>
      <c r="I29" s="26">
        <f t="shared" si="1"/>
        <v>7.7900084674004999E-2</v>
      </c>
      <c r="J29" s="73">
        <v>0.08</v>
      </c>
      <c r="K29" s="73">
        <v>0.08</v>
      </c>
      <c r="L29" s="73">
        <v>7.0000000000000007E-2</v>
      </c>
      <c r="M29" s="73">
        <v>7.0000000000000007E-2</v>
      </c>
      <c r="N29" s="73">
        <v>0.06</v>
      </c>
      <c r="O29" s="73">
        <v>0.06</v>
      </c>
      <c r="P29" s="73">
        <v>0.05</v>
      </c>
    </row>
    <row r="30" spans="1:16" ht="15" customHeight="1">
      <c r="A30" s="15"/>
      <c r="B30" s="4" t="s">
        <v>46</v>
      </c>
      <c r="C30" s="19"/>
      <c r="D30" s="19"/>
      <c r="E30" s="19">
        <f>E41</f>
        <v>172</v>
      </c>
      <c r="F30" s="19">
        <f>F41</f>
        <v>195</v>
      </c>
      <c r="G30" s="72">
        <v>198</v>
      </c>
      <c r="H30" s="72">
        <v>208</v>
      </c>
      <c r="I30" s="72">
        <v>217</v>
      </c>
    </row>
    <row r="31" spans="1:16" ht="15" customHeight="1">
      <c r="A31" s="15"/>
      <c r="B31" s="4" t="s">
        <v>47</v>
      </c>
      <c r="C31" s="19"/>
      <c r="D31" s="19"/>
      <c r="E31" s="74">
        <f>E30/E28</f>
        <v>9.5502498611882286E-2</v>
      </c>
      <c r="F31" s="74">
        <f>F30/F28</f>
        <v>9.6822244289970202E-2</v>
      </c>
      <c r="G31" s="74">
        <f>G30/G28</f>
        <v>9.0950849793293528E-2</v>
      </c>
      <c r="H31" s="74">
        <f>H30/H28</f>
        <v>8.8060965283657922E-2</v>
      </c>
      <c r="I31" s="74">
        <f>I30/I28</f>
        <v>8.5231736056559315E-2</v>
      </c>
      <c r="J31" s="73">
        <v>8.5000000000000006E-2</v>
      </c>
      <c r="K31" s="73">
        <v>8.5000000000000006E-2</v>
      </c>
      <c r="L31" s="73">
        <v>8.5000000000000006E-2</v>
      </c>
      <c r="M31" s="73">
        <v>8.5000000000000006E-2</v>
      </c>
      <c r="N31" s="73">
        <v>8.5000000000000006E-2</v>
      </c>
      <c r="O31" s="73">
        <v>8.5000000000000006E-2</v>
      </c>
      <c r="P31" s="73">
        <v>8.5000000000000006E-2</v>
      </c>
    </row>
    <row r="32" spans="1:16" ht="15" customHeight="1">
      <c r="A32" s="15"/>
      <c r="B32" s="19" t="s">
        <v>48</v>
      </c>
      <c r="C32" s="19"/>
      <c r="D32" s="19"/>
      <c r="E32" s="19">
        <f>E50</f>
        <v>297</v>
      </c>
      <c r="F32" s="19">
        <f>F50</f>
        <v>335</v>
      </c>
      <c r="G32" s="72">
        <v>365</v>
      </c>
      <c r="H32" s="72">
        <v>395</v>
      </c>
      <c r="I32" s="72">
        <v>423</v>
      </c>
    </row>
    <row r="33" spans="1:17" ht="15" customHeight="1">
      <c r="A33" s="15"/>
      <c r="B33" s="19" t="s">
        <v>49</v>
      </c>
      <c r="C33" s="19"/>
      <c r="D33" s="19"/>
      <c r="E33" s="74">
        <f>E32/E28</f>
        <v>0.16490838423098278</v>
      </c>
      <c r="F33" s="74">
        <f>F32/F28</f>
        <v>0.1663356504468719</v>
      </c>
      <c r="G33" s="74">
        <f>G32/G28</f>
        <v>0.16766192007349565</v>
      </c>
      <c r="H33" s="74">
        <f>H32/H28</f>
        <v>0.16723116003386959</v>
      </c>
      <c r="I33" s="74">
        <f>I32/I28</f>
        <v>0.16614296936370779</v>
      </c>
      <c r="J33" s="73">
        <v>0.16500000000000001</v>
      </c>
      <c r="K33" s="73">
        <v>0.16500000000000001</v>
      </c>
      <c r="L33" s="73">
        <v>0.16500000000000001</v>
      </c>
      <c r="M33" s="73">
        <v>0.16500000000000001</v>
      </c>
      <c r="N33" s="73">
        <v>0.16500000000000001</v>
      </c>
      <c r="O33" s="73">
        <v>0.16500000000000001</v>
      </c>
      <c r="P33" s="73">
        <v>0.16500000000000001</v>
      </c>
    </row>
    <row r="34" spans="1:17" ht="15" customHeight="1">
      <c r="A34" s="15"/>
      <c r="B34" s="19" t="s">
        <v>50</v>
      </c>
      <c r="C34" s="19"/>
      <c r="D34" s="19"/>
      <c r="E34" s="19"/>
      <c r="F34" s="19"/>
      <c r="G34" s="20">
        <v>0.03</v>
      </c>
      <c r="H34" s="20">
        <v>0.03</v>
      </c>
      <c r="I34" s="20">
        <v>0.03</v>
      </c>
      <c r="J34" s="20">
        <v>0.03</v>
      </c>
      <c r="K34" s="20">
        <v>0.03</v>
      </c>
      <c r="L34" s="20">
        <v>0.03</v>
      </c>
      <c r="M34" s="20">
        <v>0.03</v>
      </c>
      <c r="N34" s="20">
        <v>0.03</v>
      </c>
      <c r="O34" s="20">
        <v>0.03</v>
      </c>
      <c r="P34" s="20">
        <v>0.03</v>
      </c>
    </row>
    <row r="35" spans="1:17" ht="15" customHeight="1">
      <c r="A35" s="15"/>
      <c r="B35" s="4" t="s">
        <v>51</v>
      </c>
      <c r="C35" s="19"/>
      <c r="D35" s="19"/>
      <c r="E35" s="74">
        <f>41/168</f>
        <v>0.24404761904761904</v>
      </c>
      <c r="F35" s="51">
        <f>49/190</f>
        <v>0.25789473684210529</v>
      </c>
      <c r="G35" s="73">
        <v>0.25800000000000001</v>
      </c>
      <c r="H35" s="73">
        <v>0.25800000000000001</v>
      </c>
      <c r="I35" s="73">
        <v>0.25800000000000001</v>
      </c>
      <c r="J35" s="73">
        <v>0.25800000000000001</v>
      </c>
      <c r="K35" s="73">
        <v>0.25800000000000001</v>
      </c>
      <c r="L35" s="73">
        <v>0.25800000000000001</v>
      </c>
      <c r="M35" s="73">
        <v>0.25800000000000001</v>
      </c>
      <c r="N35" s="73">
        <v>0.25800000000000001</v>
      </c>
      <c r="O35" s="73">
        <v>0.25800000000000001</v>
      </c>
      <c r="P35" s="73">
        <v>0.25800000000000001</v>
      </c>
    </row>
    <row r="36" spans="1:17" ht="15" customHeight="1">
      <c r="A36" s="15"/>
      <c r="B36" s="4" t="s">
        <v>52</v>
      </c>
      <c r="C36" s="19"/>
      <c r="D36" s="19"/>
      <c r="E36" s="74">
        <f>E53/E40</f>
        <v>-6.518600777345919E-2</v>
      </c>
      <c r="F36" s="74">
        <f>F53/F40</f>
        <v>-6.7924528301886791E-2</v>
      </c>
      <c r="G36" s="73">
        <v>-6.7000000000000004E-2</v>
      </c>
      <c r="H36" s="73">
        <v>-6.7000000000000004E-2</v>
      </c>
      <c r="I36" s="73">
        <v>-6.7000000000000004E-2</v>
      </c>
      <c r="J36" s="73">
        <v>-6.7000000000000004E-2</v>
      </c>
      <c r="K36" s="73">
        <v>-6.7000000000000004E-2</v>
      </c>
      <c r="L36" s="73">
        <v>-6.7000000000000004E-2</v>
      </c>
      <c r="M36" s="73">
        <v>-6.7000000000000004E-2</v>
      </c>
      <c r="N36" s="73">
        <v>-6.7000000000000004E-2</v>
      </c>
      <c r="O36" s="73">
        <v>-6.7000000000000004E-2</v>
      </c>
      <c r="P36" s="73">
        <v>-6.7000000000000004E-2</v>
      </c>
    </row>
    <row r="37" spans="1:17" ht="15" customHeight="1">
      <c r="A37" s="15"/>
      <c r="B37" s="4" t="s">
        <v>53</v>
      </c>
      <c r="C37" s="19"/>
      <c r="D37" s="19"/>
      <c r="E37" s="74">
        <f>E54/E28</f>
        <v>0.10999444752915047</v>
      </c>
      <c r="F37" s="74">
        <f>F54/F28</f>
        <v>0.11961271102284012</v>
      </c>
      <c r="G37" s="73">
        <v>0.12</v>
      </c>
      <c r="H37" s="73">
        <v>0.12</v>
      </c>
      <c r="I37" s="73">
        <v>0.12</v>
      </c>
      <c r="J37" s="73">
        <v>0.12</v>
      </c>
      <c r="K37" s="73">
        <v>0.12</v>
      </c>
      <c r="L37" s="73">
        <v>0.12</v>
      </c>
      <c r="M37" s="73">
        <v>0.12</v>
      </c>
      <c r="N37" s="73">
        <v>0.12</v>
      </c>
      <c r="O37" s="73">
        <v>0.12</v>
      </c>
      <c r="P37" s="73">
        <v>0.12</v>
      </c>
    </row>
    <row r="38" spans="1:17" ht="15" customHeight="1">
      <c r="A38" s="15"/>
      <c r="B38" s="19"/>
      <c r="C38" s="19"/>
      <c r="D38" s="19"/>
      <c r="E38" s="19"/>
      <c r="F38" s="19"/>
      <c r="G38" s="19"/>
      <c r="H38" s="19"/>
      <c r="I38" s="19"/>
      <c r="J38" s="19"/>
      <c r="K38" s="19"/>
      <c r="L38" s="19"/>
      <c r="M38" s="19"/>
      <c r="N38" s="19"/>
      <c r="O38" s="19"/>
      <c r="P38" s="19"/>
    </row>
    <row r="39" spans="1:17" ht="15" customHeight="1">
      <c r="A39" s="15" t="s">
        <v>54</v>
      </c>
      <c r="B39" s="19"/>
      <c r="C39" s="19"/>
      <c r="D39" s="19"/>
      <c r="E39" s="19"/>
      <c r="F39" s="19"/>
      <c r="G39" s="19"/>
      <c r="H39" s="19"/>
      <c r="I39" s="19"/>
      <c r="J39" s="19"/>
      <c r="K39" s="19"/>
      <c r="L39" s="19"/>
      <c r="M39" s="19"/>
      <c r="N39" s="19"/>
      <c r="O39" s="19"/>
      <c r="P39" s="19"/>
    </row>
    <row r="40" spans="1:17" ht="15" customHeight="1">
      <c r="A40" s="15"/>
      <c r="B40" s="4" t="s">
        <v>44</v>
      </c>
      <c r="C40" s="19"/>
      <c r="D40" s="19"/>
      <c r="E40" s="23">
        <v>1801</v>
      </c>
      <c r="F40" s="23">
        <v>2014</v>
      </c>
      <c r="G40">
        <f t="shared" ref="G40:P40" si="2">(1+G29)*F40</f>
        <v>2177</v>
      </c>
      <c r="H40">
        <f t="shared" si="2"/>
        <v>2362</v>
      </c>
      <c r="I40">
        <f t="shared" si="2"/>
        <v>2546</v>
      </c>
      <c r="J40">
        <f t="shared" si="2"/>
        <v>2749.6800000000003</v>
      </c>
      <c r="K40">
        <f t="shared" si="2"/>
        <v>2969.6544000000004</v>
      </c>
      <c r="L40">
        <f t="shared" si="2"/>
        <v>3177.5302080000006</v>
      </c>
      <c r="M40">
        <f t="shared" si="2"/>
        <v>3399.9573225600006</v>
      </c>
      <c r="N40">
        <f t="shared" si="2"/>
        <v>3603.954761913601</v>
      </c>
      <c r="O40">
        <f t="shared" si="2"/>
        <v>3820.1920476284172</v>
      </c>
      <c r="P40">
        <f t="shared" si="2"/>
        <v>4011.2016500098384</v>
      </c>
    </row>
    <row r="41" spans="1:17" s="70" customFormat="1" ht="15" customHeight="1">
      <c r="A41" s="15"/>
      <c r="B41" s="77" t="s">
        <v>46</v>
      </c>
      <c r="C41" s="71"/>
      <c r="D41" s="71"/>
      <c r="E41" s="78">
        <v>172</v>
      </c>
      <c r="F41" s="78">
        <v>195</v>
      </c>
      <c r="G41" s="70">
        <f t="shared" ref="G41:P41" si="3">G31*G40</f>
        <v>198</v>
      </c>
      <c r="H41" s="70">
        <f t="shared" si="3"/>
        <v>208</v>
      </c>
      <c r="I41" s="70">
        <f t="shared" si="3"/>
        <v>217.00000000000003</v>
      </c>
      <c r="J41" s="70">
        <f t="shared" si="3"/>
        <v>233.72280000000003</v>
      </c>
      <c r="K41" s="70">
        <f t="shared" si="3"/>
        <v>252.42062400000006</v>
      </c>
      <c r="L41" s="70">
        <f t="shared" si="3"/>
        <v>270.09006768000006</v>
      </c>
      <c r="M41" s="70">
        <f t="shared" si="3"/>
        <v>288.99637241760007</v>
      </c>
      <c r="N41" s="70">
        <f t="shared" si="3"/>
        <v>306.33615476265612</v>
      </c>
      <c r="O41" s="70">
        <f t="shared" si="3"/>
        <v>324.71632404841546</v>
      </c>
      <c r="P41" s="70">
        <f t="shared" si="3"/>
        <v>340.95214025083629</v>
      </c>
      <c r="Q41"/>
    </row>
    <row r="42" spans="1:17" ht="15" customHeight="1">
      <c r="A42" s="15"/>
      <c r="B42" s="19" t="s">
        <v>55</v>
      </c>
      <c r="C42" s="19"/>
      <c r="D42" s="19"/>
      <c r="E42" s="19"/>
      <c r="F42" s="19"/>
      <c r="G42">
        <f t="shared" ref="G42:P42" si="4">G34*G40</f>
        <v>65.31</v>
      </c>
      <c r="H42">
        <f t="shared" si="4"/>
        <v>70.86</v>
      </c>
      <c r="I42">
        <f t="shared" si="4"/>
        <v>76.38</v>
      </c>
      <c r="J42">
        <f t="shared" si="4"/>
        <v>82.490400000000008</v>
      </c>
      <c r="K42">
        <f t="shared" si="4"/>
        <v>89.089632000000009</v>
      </c>
      <c r="L42">
        <f t="shared" si="4"/>
        <v>95.325906240000009</v>
      </c>
      <c r="M42">
        <f t="shared" si="4"/>
        <v>101.99871967680002</v>
      </c>
      <c r="N42">
        <f t="shared" si="4"/>
        <v>108.11864285740803</v>
      </c>
      <c r="O42">
        <f t="shared" si="4"/>
        <v>114.60576142885252</v>
      </c>
      <c r="P42">
        <f t="shared" si="4"/>
        <v>120.33604950029515</v>
      </c>
    </row>
    <row r="43" spans="1:17" ht="15" customHeight="1">
      <c r="A43" s="15"/>
      <c r="B43" s="4" t="s">
        <v>56</v>
      </c>
      <c r="C43" s="19"/>
      <c r="D43" s="19"/>
      <c r="E43" s="19"/>
      <c r="F43" s="19"/>
      <c r="G43">
        <f t="shared" ref="G43:P43" ca="1" si="5">IF(Circswitch=1,G67+G74,0)</f>
        <v>-134.29068048155244</v>
      </c>
      <c r="H43">
        <f t="shared" ca="1" si="5"/>
        <v>-133.26843633195077</v>
      </c>
      <c r="I43">
        <f t="shared" ca="1" si="5"/>
        <v>-131.5858782458867</v>
      </c>
      <c r="J43">
        <f t="shared" ca="1" si="5"/>
        <v>-129.36105674217657</v>
      </c>
      <c r="K43">
        <f t="shared" ca="1" si="5"/>
        <v>-126.46561787687041</v>
      </c>
      <c r="L43">
        <f t="shared" ca="1" si="5"/>
        <v>-122.84466127022127</v>
      </c>
      <c r="M43">
        <f t="shared" ca="1" si="5"/>
        <v>-118.46577152281586</v>
      </c>
      <c r="N43">
        <f t="shared" ca="1" si="5"/>
        <v>-113.31306620655209</v>
      </c>
      <c r="O43">
        <f t="shared" ca="1" si="5"/>
        <v>-107.36496992665163</v>
      </c>
      <c r="P43">
        <f t="shared" ca="1" si="5"/>
        <v>-100.61736199167507</v>
      </c>
    </row>
    <row r="44" spans="1:17" ht="15" customHeight="1">
      <c r="A44" s="15"/>
      <c r="B44" s="4" t="s">
        <v>57</v>
      </c>
      <c r="C44" s="19"/>
      <c r="D44" s="19"/>
      <c r="E44" s="19"/>
      <c r="F44" s="19"/>
      <c r="G44">
        <f t="shared" ref="G44:P44" ca="1" si="6">IF(Circswitch=1,G77,0)</f>
        <v>0</v>
      </c>
      <c r="H44">
        <f t="shared" ca="1" si="6"/>
        <v>0</v>
      </c>
      <c r="I44">
        <f t="shared" ca="1" si="6"/>
        <v>0</v>
      </c>
      <c r="J44">
        <f t="shared" ca="1" si="6"/>
        <v>0</v>
      </c>
      <c r="K44">
        <f t="shared" ca="1" si="6"/>
        <v>0</v>
      </c>
      <c r="L44">
        <f t="shared" ca="1" si="6"/>
        <v>0</v>
      </c>
      <c r="M44">
        <f t="shared" ca="1" si="6"/>
        <v>0</v>
      </c>
      <c r="N44">
        <f t="shared" ca="1" si="6"/>
        <v>0</v>
      </c>
      <c r="O44">
        <f t="shared" ca="1" si="6"/>
        <v>0</v>
      </c>
      <c r="P44">
        <f t="shared" ca="1" si="6"/>
        <v>0</v>
      </c>
    </row>
    <row r="45" spans="1:17" s="70" customFormat="1" ht="15" customHeight="1">
      <c r="A45" s="15"/>
      <c r="B45" s="77" t="s">
        <v>58</v>
      </c>
      <c r="C45" s="71"/>
      <c r="D45" s="71"/>
      <c r="E45" s="71"/>
      <c r="F45" s="77"/>
      <c r="G45" s="70">
        <f t="shared" ref="G45:P45" ca="1" si="7">SUM(G41,G42:G44)</f>
        <v>129.01931951844756</v>
      </c>
      <c r="H45" s="70">
        <f t="shared" ca="1" si="7"/>
        <v>145.59156366804925</v>
      </c>
      <c r="I45" s="70">
        <f t="shared" ca="1" si="7"/>
        <v>161.79412175411329</v>
      </c>
      <c r="J45" s="70">
        <f t="shared" ca="1" si="7"/>
        <v>186.85214325782346</v>
      </c>
      <c r="K45" s="70">
        <f t="shared" ca="1" si="7"/>
        <v>215.04463812312969</v>
      </c>
      <c r="L45" s="70">
        <f t="shared" ca="1" si="7"/>
        <v>242.5713126497788</v>
      </c>
      <c r="M45" s="70">
        <f t="shared" ca="1" si="7"/>
        <v>272.52932057158421</v>
      </c>
      <c r="N45" s="70">
        <f t="shared" ca="1" si="7"/>
        <v>301.14173141351205</v>
      </c>
      <c r="O45" s="70">
        <f t="shared" ca="1" si="7"/>
        <v>331.95711555061638</v>
      </c>
      <c r="P45" s="70">
        <f t="shared" ca="1" si="7"/>
        <v>360.67082775945636</v>
      </c>
      <c r="Q45"/>
    </row>
    <row r="46" spans="1:17" ht="15" customHeight="1">
      <c r="A46" s="15"/>
      <c r="B46" s="4" t="s">
        <v>59</v>
      </c>
      <c r="C46" s="19"/>
      <c r="D46" s="19"/>
      <c r="E46" s="19"/>
      <c r="F46" s="4"/>
      <c r="G46">
        <f t="shared" ref="G46:P46" ca="1" si="8">-G35*G45</f>
        <v>-33.286984435759472</v>
      </c>
      <c r="H46">
        <f t="shared" ca="1" si="8"/>
        <v>-37.562623426356708</v>
      </c>
      <c r="I46">
        <f t="shared" ca="1" si="8"/>
        <v>-41.742883412561227</v>
      </c>
      <c r="J46">
        <f t="shared" ca="1" si="8"/>
        <v>-48.207852960518451</v>
      </c>
      <c r="K46">
        <f t="shared" ca="1" si="8"/>
        <v>-55.481516635767463</v>
      </c>
      <c r="L46">
        <f t="shared" ca="1" si="8"/>
        <v>-62.583398663642932</v>
      </c>
      <c r="M46">
        <f t="shared" ca="1" si="8"/>
        <v>-70.312564707468724</v>
      </c>
      <c r="N46">
        <f t="shared" ca="1" si="8"/>
        <v>-77.69456670468611</v>
      </c>
      <c r="O46">
        <f t="shared" ca="1" si="8"/>
        <v>-85.644935812059032</v>
      </c>
      <c r="P46">
        <f t="shared" ca="1" si="8"/>
        <v>-93.05307356193974</v>
      </c>
    </row>
    <row r="47" spans="1:17" s="70" customFormat="1" ht="15" customHeight="1">
      <c r="A47" s="15"/>
      <c r="B47" s="77" t="s">
        <v>60</v>
      </c>
      <c r="C47" s="71"/>
      <c r="D47" s="71"/>
      <c r="E47" s="71"/>
      <c r="F47" s="77"/>
      <c r="G47" s="70">
        <f t="shared" ref="G47:P47" ca="1" si="9">SUM(G45:G46)</f>
        <v>95.732335082688081</v>
      </c>
      <c r="H47" s="70">
        <f t="shared" ca="1" si="9"/>
        <v>108.02894024169254</v>
      </c>
      <c r="I47" s="70">
        <f t="shared" ca="1" si="9"/>
        <v>120.05123834155206</v>
      </c>
      <c r="J47" s="70">
        <f t="shared" ca="1" si="9"/>
        <v>138.64429029730502</v>
      </c>
      <c r="K47" s="70">
        <f t="shared" ca="1" si="9"/>
        <v>159.56312148736222</v>
      </c>
      <c r="L47" s="70">
        <f t="shared" ca="1" si="9"/>
        <v>179.98791398613588</v>
      </c>
      <c r="M47" s="70">
        <f t="shared" ca="1" si="9"/>
        <v>202.2167558641155</v>
      </c>
      <c r="N47" s="70">
        <f t="shared" ca="1" si="9"/>
        <v>223.44716470882594</v>
      </c>
      <c r="O47" s="70">
        <f t="shared" ca="1" si="9"/>
        <v>246.31217973855735</v>
      </c>
      <c r="P47" s="70">
        <f t="shared" ca="1" si="9"/>
        <v>267.6177541975166</v>
      </c>
      <c r="Q47"/>
    </row>
    <row r="48" spans="1:17" ht="15" customHeight="1">
      <c r="A48" s="15"/>
      <c r="B48" s="19"/>
      <c r="C48" s="19"/>
      <c r="D48" s="19"/>
      <c r="E48" s="19"/>
      <c r="F48" s="19"/>
      <c r="G48" s="19"/>
      <c r="H48" s="19"/>
      <c r="I48" s="19"/>
      <c r="J48" s="19"/>
      <c r="K48" s="19"/>
      <c r="L48" s="19"/>
      <c r="M48" s="19"/>
      <c r="N48" s="19"/>
      <c r="O48" s="19"/>
      <c r="P48" s="19"/>
    </row>
    <row r="49" spans="1:17" ht="15" customHeight="1">
      <c r="A49" s="15" t="s">
        <v>61</v>
      </c>
      <c r="B49" s="19"/>
      <c r="C49" s="19"/>
      <c r="D49" s="19"/>
      <c r="E49" s="19"/>
      <c r="F49" s="19"/>
      <c r="G49" s="19"/>
      <c r="H49" s="19"/>
      <c r="I49" s="19"/>
      <c r="J49" s="19"/>
      <c r="K49" s="19"/>
      <c r="L49" s="19"/>
      <c r="M49" s="19"/>
      <c r="N49" s="19"/>
      <c r="O49" s="19"/>
      <c r="P49" s="19"/>
    </row>
    <row r="50" spans="1:17" ht="15" customHeight="1">
      <c r="A50" s="15"/>
      <c r="B50" s="4" t="s">
        <v>48</v>
      </c>
      <c r="C50" s="19"/>
      <c r="D50" s="19"/>
      <c r="E50" s="23">
        <v>297</v>
      </c>
      <c r="F50" s="23">
        <v>335</v>
      </c>
      <c r="G50">
        <f t="shared" ref="G50:P50" si="10">G33*G40</f>
        <v>365</v>
      </c>
      <c r="H50">
        <f t="shared" si="10"/>
        <v>395</v>
      </c>
      <c r="I50">
        <f t="shared" si="10"/>
        <v>423</v>
      </c>
      <c r="J50">
        <f t="shared" si="10"/>
        <v>453.69720000000007</v>
      </c>
      <c r="K50">
        <f t="shared" si="10"/>
        <v>489.99297600000006</v>
      </c>
      <c r="L50">
        <f t="shared" si="10"/>
        <v>524.29248432000009</v>
      </c>
      <c r="M50">
        <f t="shared" si="10"/>
        <v>560.99295822240015</v>
      </c>
      <c r="N50">
        <f t="shared" si="10"/>
        <v>594.65253571574419</v>
      </c>
      <c r="O50">
        <f t="shared" si="10"/>
        <v>630.33168785868884</v>
      </c>
      <c r="P50">
        <f t="shared" si="10"/>
        <v>661.84827225162337</v>
      </c>
    </row>
    <row r="51" spans="1:17" ht="15" customHeight="1">
      <c r="A51" s="15"/>
      <c r="B51" s="4" t="s">
        <v>62</v>
      </c>
      <c r="C51" s="19"/>
      <c r="D51" s="19"/>
      <c r="E51">
        <f t="shared" ref="E51:P51" si="11">E50-E41</f>
        <v>125</v>
      </c>
      <c r="F51">
        <f t="shared" si="11"/>
        <v>140</v>
      </c>
      <c r="G51">
        <f t="shared" si="11"/>
        <v>167</v>
      </c>
      <c r="H51">
        <f t="shared" si="11"/>
        <v>187</v>
      </c>
      <c r="I51">
        <f t="shared" si="11"/>
        <v>205.99999999999997</v>
      </c>
      <c r="J51">
        <f t="shared" si="11"/>
        <v>219.97440000000003</v>
      </c>
      <c r="K51">
        <f t="shared" si="11"/>
        <v>237.572352</v>
      </c>
      <c r="L51">
        <f t="shared" si="11"/>
        <v>254.20241664000002</v>
      </c>
      <c r="M51">
        <f t="shared" si="11"/>
        <v>271.99658580480008</v>
      </c>
      <c r="N51">
        <f t="shared" si="11"/>
        <v>288.31638095308807</v>
      </c>
      <c r="O51">
        <f t="shared" si="11"/>
        <v>305.61536381027338</v>
      </c>
      <c r="P51">
        <f t="shared" si="11"/>
        <v>320.89613200078708</v>
      </c>
    </row>
    <row r="52" spans="1:17" ht="15" customHeight="1">
      <c r="A52" s="15"/>
      <c r="B52" s="4" t="s">
        <v>63</v>
      </c>
      <c r="C52" s="19"/>
      <c r="D52" s="19"/>
      <c r="G52">
        <f>G50+G42</f>
        <v>430.31</v>
      </c>
      <c r="H52">
        <f t="shared" ref="H52:P52" si="12">H50+H42</f>
        <v>465.86</v>
      </c>
      <c r="I52">
        <f t="shared" si="12"/>
        <v>499.38</v>
      </c>
      <c r="J52">
        <f t="shared" si="12"/>
        <v>536.18760000000009</v>
      </c>
      <c r="K52">
        <f t="shared" si="12"/>
        <v>579.08260800000005</v>
      </c>
      <c r="L52">
        <f t="shared" si="12"/>
        <v>619.61839056000008</v>
      </c>
      <c r="M52">
        <f t="shared" si="12"/>
        <v>662.99167789920011</v>
      </c>
      <c r="N52">
        <f t="shared" si="12"/>
        <v>702.77117857315227</v>
      </c>
      <c r="O52">
        <f t="shared" si="12"/>
        <v>744.93744928754131</v>
      </c>
      <c r="P52">
        <f t="shared" si="12"/>
        <v>782.18432175191856</v>
      </c>
    </row>
    <row r="53" spans="1:17" ht="15" customHeight="1">
      <c r="A53" s="15"/>
      <c r="B53" s="4" t="s">
        <v>64</v>
      </c>
      <c r="C53" s="19"/>
      <c r="D53" s="19"/>
      <c r="E53" s="23">
        <f>48.8+53.8-211.1-4.9-4</f>
        <v>-117.4</v>
      </c>
      <c r="F53" s="23">
        <f>55.2+64.4-243.9-9.1-3.4</f>
        <v>-136.80000000000001</v>
      </c>
      <c r="G53">
        <f t="shared" ref="G53:P53" si="13">G36*G40</f>
        <v>-145.85900000000001</v>
      </c>
      <c r="H53">
        <f t="shared" si="13"/>
        <v>-158.25400000000002</v>
      </c>
      <c r="I53">
        <f t="shared" si="13"/>
        <v>-170.58200000000002</v>
      </c>
      <c r="J53">
        <f t="shared" si="13"/>
        <v>-184.22856000000004</v>
      </c>
      <c r="K53">
        <f t="shared" si="13"/>
        <v>-198.96684480000005</v>
      </c>
      <c r="L53">
        <f t="shared" si="13"/>
        <v>-212.89452393600004</v>
      </c>
      <c r="M53">
        <f t="shared" si="13"/>
        <v>-227.79714061152006</v>
      </c>
      <c r="N53">
        <f t="shared" si="13"/>
        <v>-241.46496904821129</v>
      </c>
      <c r="O53">
        <f t="shared" si="13"/>
        <v>-255.95286719110396</v>
      </c>
      <c r="P53">
        <f t="shared" si="13"/>
        <v>-268.75051055065921</v>
      </c>
    </row>
    <row r="54" spans="1:17" ht="15" customHeight="1">
      <c r="A54" s="15"/>
      <c r="B54" s="4" t="s">
        <v>65</v>
      </c>
      <c r="C54" s="19"/>
      <c r="D54" s="19"/>
      <c r="E54" s="23">
        <v>198.1</v>
      </c>
      <c r="F54" s="23">
        <v>240.9</v>
      </c>
      <c r="G54">
        <f>G37*G40</f>
        <v>261.24</v>
      </c>
      <c r="H54">
        <f t="shared" ref="H54:P54" si="14">H37*H40</f>
        <v>283.44</v>
      </c>
      <c r="I54">
        <f t="shared" si="14"/>
        <v>305.52</v>
      </c>
      <c r="J54">
        <f t="shared" si="14"/>
        <v>329.96160000000003</v>
      </c>
      <c r="K54">
        <f t="shared" si="14"/>
        <v>356.35852800000004</v>
      </c>
      <c r="L54">
        <f t="shared" si="14"/>
        <v>381.30362496000004</v>
      </c>
      <c r="M54">
        <f t="shared" si="14"/>
        <v>407.99487870720009</v>
      </c>
      <c r="N54">
        <f t="shared" si="14"/>
        <v>432.47457142963214</v>
      </c>
      <c r="O54">
        <f t="shared" si="14"/>
        <v>458.42304571541007</v>
      </c>
      <c r="P54">
        <f t="shared" si="14"/>
        <v>481.34419800118059</v>
      </c>
    </row>
    <row r="55" spans="1:17" ht="15" customHeight="1">
      <c r="A55" s="15"/>
      <c r="B55" s="4"/>
      <c r="C55" s="19"/>
      <c r="D55" s="19"/>
      <c r="E55" s="23"/>
      <c r="F55" s="23"/>
    </row>
    <row r="56" spans="1:17" ht="15" customHeight="1">
      <c r="A56" s="15" t="s">
        <v>66</v>
      </c>
      <c r="B56" s="19"/>
      <c r="C56" s="19"/>
      <c r="D56" s="19"/>
      <c r="E56" s="19"/>
      <c r="F56" s="19"/>
      <c r="G56" s="19"/>
      <c r="H56" s="19"/>
      <c r="I56" s="19"/>
      <c r="J56" s="19"/>
      <c r="K56" s="19"/>
      <c r="L56" s="19"/>
      <c r="M56" s="19"/>
      <c r="N56" s="19"/>
      <c r="O56" s="19"/>
      <c r="P56" s="19"/>
    </row>
    <row r="57" spans="1:17" ht="15" customHeight="1">
      <c r="A57" s="76"/>
      <c r="B57" s="4" t="s">
        <v>60</v>
      </c>
      <c r="C57" s="19"/>
      <c r="D57" s="19"/>
      <c r="E57" s="19"/>
      <c r="F57" s="4"/>
      <c r="G57">
        <f t="shared" ref="G57:P57" ca="1" si="15">G47</f>
        <v>95.732335082688081</v>
      </c>
      <c r="H57">
        <f t="shared" ca="1" si="15"/>
        <v>108.02894024169254</v>
      </c>
      <c r="I57">
        <f t="shared" ca="1" si="15"/>
        <v>120.05123834155206</v>
      </c>
      <c r="J57">
        <f t="shared" ca="1" si="15"/>
        <v>138.64429029730502</v>
      </c>
      <c r="K57">
        <f t="shared" ca="1" si="15"/>
        <v>159.56312148736222</v>
      </c>
      <c r="L57">
        <f t="shared" ca="1" si="15"/>
        <v>179.98791398613588</v>
      </c>
      <c r="M57">
        <f t="shared" ca="1" si="15"/>
        <v>202.2167558641155</v>
      </c>
      <c r="N57">
        <f t="shared" ca="1" si="15"/>
        <v>223.44716470882594</v>
      </c>
      <c r="O57">
        <f t="shared" ca="1" si="15"/>
        <v>246.31217973855735</v>
      </c>
      <c r="P57">
        <f t="shared" ca="1" si="15"/>
        <v>267.6177541975166</v>
      </c>
    </row>
    <row r="58" spans="1:17" ht="15" customHeight="1">
      <c r="A58" s="15"/>
      <c r="B58" s="4" t="s">
        <v>62</v>
      </c>
      <c r="C58" s="19"/>
      <c r="D58" s="19"/>
      <c r="E58" s="19"/>
      <c r="F58" s="4"/>
      <c r="G58">
        <f>G51</f>
        <v>167</v>
      </c>
      <c r="H58">
        <f t="shared" ref="H58:P58" si="16">H51</f>
        <v>187</v>
      </c>
      <c r="I58">
        <f t="shared" si="16"/>
        <v>205.99999999999997</v>
      </c>
      <c r="J58">
        <f t="shared" si="16"/>
        <v>219.97440000000003</v>
      </c>
      <c r="K58">
        <f t="shared" si="16"/>
        <v>237.572352</v>
      </c>
      <c r="L58">
        <f t="shared" si="16"/>
        <v>254.20241664000002</v>
      </c>
      <c r="M58">
        <f t="shared" si="16"/>
        <v>271.99658580480008</v>
      </c>
      <c r="N58">
        <f t="shared" si="16"/>
        <v>288.31638095308807</v>
      </c>
      <c r="O58">
        <f t="shared" si="16"/>
        <v>305.61536381027338</v>
      </c>
      <c r="P58">
        <f t="shared" si="16"/>
        <v>320.89613200078708</v>
      </c>
    </row>
    <row r="59" spans="1:17" ht="15" customHeight="1">
      <c r="A59" s="15"/>
      <c r="B59" s="4" t="s">
        <v>67</v>
      </c>
      <c r="C59" s="19"/>
      <c r="D59" s="19"/>
      <c r="E59" s="19"/>
      <c r="F59" s="19"/>
      <c r="G59">
        <f>F53-G53</f>
        <v>9.0589999999999975</v>
      </c>
      <c r="H59">
        <f t="shared" ref="H59:P59" si="17">G53-H53</f>
        <v>12.39500000000001</v>
      </c>
      <c r="I59">
        <f t="shared" si="17"/>
        <v>12.328000000000003</v>
      </c>
      <c r="J59">
        <f t="shared" si="17"/>
        <v>13.646560000000022</v>
      </c>
      <c r="K59">
        <f t="shared" si="17"/>
        <v>14.738284800000002</v>
      </c>
      <c r="L59">
        <f t="shared" si="17"/>
        <v>13.927679135999995</v>
      </c>
      <c r="M59">
        <f t="shared" si="17"/>
        <v>14.902616675520022</v>
      </c>
      <c r="N59">
        <f t="shared" si="17"/>
        <v>13.667828436691224</v>
      </c>
      <c r="O59">
        <f t="shared" si="17"/>
        <v>14.487898142892675</v>
      </c>
      <c r="P59">
        <f t="shared" si="17"/>
        <v>12.797643359555252</v>
      </c>
    </row>
    <row r="60" spans="1:17" ht="15" customHeight="1">
      <c r="A60" s="15"/>
      <c r="B60" s="4" t="s">
        <v>68</v>
      </c>
      <c r="C60" s="19"/>
      <c r="D60" s="19"/>
      <c r="E60" s="19"/>
      <c r="F60" s="4"/>
      <c r="G60">
        <f>G54*-1</f>
        <v>-261.24</v>
      </c>
      <c r="H60">
        <f t="shared" ref="H60:P60" si="18">H54*-1</f>
        <v>-283.44</v>
      </c>
      <c r="I60">
        <f t="shared" si="18"/>
        <v>-305.52</v>
      </c>
      <c r="J60">
        <f t="shared" si="18"/>
        <v>-329.96160000000003</v>
      </c>
      <c r="K60">
        <f t="shared" si="18"/>
        <v>-356.35852800000004</v>
      </c>
      <c r="L60">
        <f t="shared" si="18"/>
        <v>-381.30362496000004</v>
      </c>
      <c r="M60">
        <f t="shared" si="18"/>
        <v>-407.99487870720009</v>
      </c>
      <c r="N60">
        <f t="shared" si="18"/>
        <v>-432.47457142963214</v>
      </c>
      <c r="O60">
        <f t="shared" si="18"/>
        <v>-458.42304571541007</v>
      </c>
      <c r="P60">
        <f t="shared" si="18"/>
        <v>-481.34419800118059</v>
      </c>
    </row>
    <row r="61" spans="1:17" s="70" customFormat="1" ht="15" customHeight="1">
      <c r="A61" s="15"/>
      <c r="B61" s="71" t="s">
        <v>69</v>
      </c>
      <c r="C61" s="71"/>
      <c r="D61" s="71"/>
      <c r="E61" s="71"/>
      <c r="F61" s="77"/>
      <c r="G61" s="70">
        <f t="shared" ref="G61:P61" ca="1" si="19">SUM(G57:G60)</f>
        <v>10.55133508268807</v>
      </c>
      <c r="H61" s="70">
        <f t="shared" ca="1" si="19"/>
        <v>23.983940241692551</v>
      </c>
      <c r="I61" s="70">
        <f t="shared" ca="1" si="19"/>
        <v>32.8592383415521</v>
      </c>
      <c r="J61" s="70">
        <f t="shared" ca="1" si="19"/>
        <v>42.303650297305069</v>
      </c>
      <c r="K61" s="70">
        <f t="shared" ca="1" si="19"/>
        <v>55.515230287362158</v>
      </c>
      <c r="L61" s="70">
        <f t="shared" ca="1" si="19"/>
        <v>66.814384802135862</v>
      </c>
      <c r="M61" s="70">
        <f t="shared" ca="1" si="19"/>
        <v>81.121079637235539</v>
      </c>
      <c r="N61" s="70">
        <f t="shared" ca="1" si="19"/>
        <v>92.956802668973125</v>
      </c>
      <c r="O61" s="70">
        <f t="shared" ca="1" si="19"/>
        <v>107.99239597631328</v>
      </c>
      <c r="P61" s="70">
        <f t="shared" ca="1" si="19"/>
        <v>119.96733155667829</v>
      </c>
      <c r="Q61"/>
    </row>
    <row r="62" spans="1:17" ht="15" customHeight="1">
      <c r="A62" s="15"/>
      <c r="B62" s="19"/>
      <c r="C62" s="19"/>
      <c r="D62" s="19"/>
      <c r="E62" s="19"/>
      <c r="F62" s="4"/>
    </row>
    <row r="63" spans="1:17" ht="15" customHeight="1">
      <c r="A63" s="15" t="s">
        <v>70</v>
      </c>
      <c r="B63" s="19"/>
      <c r="C63" s="19"/>
      <c r="D63" s="19"/>
      <c r="E63" s="19"/>
      <c r="F63" s="19"/>
      <c r="G63" s="19"/>
      <c r="H63" s="19"/>
      <c r="I63" s="19"/>
      <c r="J63" s="19"/>
      <c r="K63" s="19"/>
      <c r="L63" s="19"/>
      <c r="M63" s="19"/>
      <c r="N63" s="19"/>
      <c r="O63" s="19"/>
      <c r="P63" s="19"/>
    </row>
    <row r="64" spans="1:17" ht="15" customHeight="1">
      <c r="A64" s="15"/>
      <c r="B64" s="4" t="s">
        <v>71</v>
      </c>
      <c r="C64" s="19"/>
      <c r="D64" s="19"/>
      <c r="E64" s="19"/>
      <c r="G64">
        <f>+F66</f>
        <v>1340</v>
      </c>
      <c r="H64">
        <f t="shared" ref="H64:P64" ca="1" si="20">G66</f>
        <v>1329.4486649173118</v>
      </c>
      <c r="I64">
        <f t="shared" ca="1" si="20"/>
        <v>1305.4647246756192</v>
      </c>
      <c r="J64">
        <f t="shared" ca="1" si="20"/>
        <v>1272.6054863340671</v>
      </c>
      <c r="K64">
        <f t="shared" ca="1" si="20"/>
        <v>1230.3018360367621</v>
      </c>
      <c r="L64">
        <f t="shared" ca="1" si="20"/>
        <v>1174.7866057494</v>
      </c>
      <c r="M64">
        <f t="shared" ca="1" si="20"/>
        <v>1107.9722209472641</v>
      </c>
      <c r="N64">
        <f t="shared" ca="1" si="20"/>
        <v>1026.8511413100287</v>
      </c>
      <c r="O64">
        <f t="shared" ca="1" si="20"/>
        <v>933.89433864105558</v>
      </c>
      <c r="P64">
        <f t="shared" ca="1" si="20"/>
        <v>825.90194266474236</v>
      </c>
    </row>
    <row r="65" spans="1:17" ht="15" customHeight="1">
      <c r="A65" s="15"/>
      <c r="B65" s="4" t="s">
        <v>72</v>
      </c>
      <c r="C65" s="19"/>
      <c r="D65" s="19"/>
      <c r="E65" s="19"/>
      <c r="G65">
        <f t="shared" ref="G65:P65" ca="1" si="21">-MIN(G61,G64)</f>
        <v>-10.55133508268807</v>
      </c>
      <c r="H65">
        <f t="shared" ca="1" si="21"/>
        <v>-23.983940241692551</v>
      </c>
      <c r="I65">
        <f t="shared" ca="1" si="21"/>
        <v>-32.8592383415521</v>
      </c>
      <c r="J65">
        <f t="shared" ca="1" si="21"/>
        <v>-42.303650297305069</v>
      </c>
      <c r="K65">
        <f t="shared" ca="1" si="21"/>
        <v>-55.515230287362158</v>
      </c>
      <c r="L65">
        <f t="shared" ca="1" si="21"/>
        <v>-66.814384802135862</v>
      </c>
      <c r="M65">
        <f t="shared" ca="1" si="21"/>
        <v>-81.121079637235539</v>
      </c>
      <c r="N65">
        <f t="shared" ca="1" si="21"/>
        <v>-92.956802668973125</v>
      </c>
      <c r="O65">
        <f t="shared" ca="1" si="21"/>
        <v>-107.99239597631328</v>
      </c>
      <c r="P65">
        <f t="shared" ca="1" si="21"/>
        <v>-119.96733155667829</v>
      </c>
    </row>
    <row r="66" spans="1:17" s="70" customFormat="1" ht="15" customHeight="1">
      <c r="A66" s="15"/>
      <c r="B66" s="77" t="s">
        <v>73</v>
      </c>
      <c r="C66" s="71"/>
      <c r="D66" s="71"/>
      <c r="E66" s="25"/>
      <c r="F66" s="70">
        <f>O7</f>
        <v>1340</v>
      </c>
      <c r="G66" s="70">
        <f ca="1">SUM(G64:G65)</f>
        <v>1329.4486649173118</v>
      </c>
      <c r="H66" s="70">
        <f t="shared" ref="H66:P66" ca="1" si="22">SUM(H64:H65)</f>
        <v>1305.4647246756192</v>
      </c>
      <c r="I66" s="70">
        <f t="shared" ca="1" si="22"/>
        <v>1272.6054863340671</v>
      </c>
      <c r="J66" s="70">
        <f t="shared" ca="1" si="22"/>
        <v>1230.3018360367621</v>
      </c>
      <c r="K66" s="70">
        <f t="shared" ca="1" si="22"/>
        <v>1174.7866057494</v>
      </c>
      <c r="L66" s="70">
        <f t="shared" ca="1" si="22"/>
        <v>1107.9722209472641</v>
      </c>
      <c r="M66" s="70">
        <f t="shared" ca="1" si="22"/>
        <v>1026.8511413100287</v>
      </c>
      <c r="N66" s="70">
        <f t="shared" ca="1" si="22"/>
        <v>933.89433864105558</v>
      </c>
      <c r="O66" s="70">
        <f t="shared" ca="1" si="22"/>
        <v>825.90194266474236</v>
      </c>
      <c r="P66" s="70">
        <f t="shared" ca="1" si="22"/>
        <v>705.93461110806402</v>
      </c>
      <c r="Q66"/>
    </row>
    <row r="67" spans="1:17" ht="15" customHeight="1">
      <c r="A67" s="15"/>
      <c r="B67" s="4" t="s">
        <v>56</v>
      </c>
      <c r="C67" s="19"/>
      <c r="D67" s="19"/>
      <c r="E67" s="19"/>
      <c r="G67">
        <f t="shared" ref="G67:P67" ca="1" si="23">-$F$21*AVERAGE(F66:G66)</f>
        <v>-79.015680481552437</v>
      </c>
      <c r="H67">
        <f t="shared" ca="1" si="23"/>
        <v>-77.993436331950761</v>
      </c>
      <c r="I67">
        <f t="shared" ca="1" si="23"/>
        <v>-76.310878245886713</v>
      </c>
      <c r="J67">
        <f t="shared" ca="1" si="23"/>
        <v>-74.086056742176552</v>
      </c>
      <c r="K67">
        <f t="shared" ca="1" si="23"/>
        <v>-71.190617876870405</v>
      </c>
      <c r="L67">
        <f t="shared" ca="1" si="23"/>
        <v>-67.56966127022126</v>
      </c>
      <c r="M67">
        <f t="shared" ca="1" si="23"/>
        <v>-63.190771522815858</v>
      </c>
      <c r="N67">
        <f t="shared" ca="1" si="23"/>
        <v>-58.038066206552095</v>
      </c>
      <c r="O67">
        <f t="shared" ca="1" si="23"/>
        <v>-52.089969926651619</v>
      </c>
      <c r="P67">
        <f t="shared" ca="1" si="23"/>
        <v>-45.34236199167507</v>
      </c>
    </row>
    <row r="68" spans="1:17" ht="15" customHeight="1">
      <c r="A68" s="15"/>
      <c r="B68" s="19"/>
      <c r="C68" s="19"/>
      <c r="D68" s="19"/>
      <c r="E68" s="19"/>
    </row>
    <row r="69" spans="1:17" s="70" customFormat="1" ht="15" customHeight="1">
      <c r="A69" s="15"/>
      <c r="B69" s="71" t="s">
        <v>74</v>
      </c>
      <c r="C69" s="71"/>
      <c r="D69" s="71"/>
      <c r="G69" s="70">
        <f t="shared" ref="G69:P69" ca="1" si="24">G61+G65</f>
        <v>0</v>
      </c>
      <c r="H69" s="70">
        <f t="shared" ca="1" si="24"/>
        <v>0</v>
      </c>
      <c r="I69" s="70">
        <f t="shared" ca="1" si="24"/>
        <v>0</v>
      </c>
      <c r="J69" s="70">
        <f t="shared" ca="1" si="24"/>
        <v>0</v>
      </c>
      <c r="K69" s="70">
        <f t="shared" ca="1" si="24"/>
        <v>0</v>
      </c>
      <c r="L69" s="70">
        <f t="shared" ca="1" si="24"/>
        <v>0</v>
      </c>
      <c r="M69" s="70">
        <f t="shared" ca="1" si="24"/>
        <v>0</v>
      </c>
      <c r="N69" s="70">
        <f t="shared" ca="1" si="24"/>
        <v>0</v>
      </c>
      <c r="O69" s="70">
        <f t="shared" ca="1" si="24"/>
        <v>0</v>
      </c>
      <c r="P69" s="70">
        <f t="shared" ca="1" si="24"/>
        <v>0</v>
      </c>
      <c r="Q69"/>
    </row>
    <row r="70" spans="1:17" ht="15" customHeight="1">
      <c r="A70" s="15"/>
      <c r="B70" s="19"/>
      <c r="C70" s="19"/>
      <c r="D70" s="19"/>
      <c r="E70" s="19"/>
    </row>
    <row r="71" spans="1:17" ht="15" customHeight="1">
      <c r="A71" s="15"/>
      <c r="B71" s="19" t="s">
        <v>75</v>
      </c>
      <c r="C71" s="19"/>
      <c r="D71" s="19"/>
      <c r="E71" s="19"/>
      <c r="G71">
        <f>+F73</f>
        <v>670</v>
      </c>
      <c r="H71">
        <f t="shared" ref="H71:P71" ca="1" si="25">G73</f>
        <v>670</v>
      </c>
      <c r="I71">
        <f t="shared" ca="1" si="25"/>
        <v>670</v>
      </c>
      <c r="J71">
        <f t="shared" ca="1" si="25"/>
        <v>670</v>
      </c>
      <c r="K71">
        <f t="shared" ca="1" si="25"/>
        <v>670</v>
      </c>
      <c r="L71">
        <f t="shared" ca="1" si="25"/>
        <v>670</v>
      </c>
      <c r="M71">
        <f t="shared" ca="1" si="25"/>
        <v>670</v>
      </c>
      <c r="N71">
        <f t="shared" ca="1" si="25"/>
        <v>670</v>
      </c>
      <c r="O71">
        <f t="shared" ca="1" si="25"/>
        <v>670</v>
      </c>
      <c r="P71">
        <f t="shared" ca="1" si="25"/>
        <v>670</v>
      </c>
    </row>
    <row r="72" spans="1:17" ht="15" customHeight="1">
      <c r="A72" s="15"/>
      <c r="B72" s="19" t="s">
        <v>72</v>
      </c>
      <c r="C72" s="19"/>
      <c r="D72" s="19"/>
      <c r="E72" s="19"/>
      <c r="G72">
        <f t="shared" ref="G72:P72" ca="1" si="26">-MIN(G71,G69)</f>
        <v>0</v>
      </c>
      <c r="H72">
        <f t="shared" ca="1" si="26"/>
        <v>0</v>
      </c>
      <c r="I72">
        <f t="shared" ca="1" si="26"/>
        <v>0</v>
      </c>
      <c r="J72">
        <f t="shared" ca="1" si="26"/>
        <v>0</v>
      </c>
      <c r="K72">
        <f t="shared" ca="1" si="26"/>
        <v>0</v>
      </c>
      <c r="L72">
        <f t="shared" ca="1" si="26"/>
        <v>0</v>
      </c>
      <c r="M72">
        <f t="shared" ca="1" si="26"/>
        <v>0</v>
      </c>
      <c r="N72">
        <f t="shared" ca="1" si="26"/>
        <v>0</v>
      </c>
      <c r="O72">
        <f t="shared" ca="1" si="26"/>
        <v>0</v>
      </c>
      <c r="P72">
        <f t="shared" ca="1" si="26"/>
        <v>0</v>
      </c>
    </row>
    <row r="73" spans="1:17" s="70" customFormat="1" ht="15" customHeight="1">
      <c r="A73" s="15"/>
      <c r="B73" s="71" t="s">
        <v>76</v>
      </c>
      <c r="C73" s="71"/>
      <c r="D73" s="71"/>
      <c r="E73" s="25"/>
      <c r="F73" s="70">
        <f>O8</f>
        <v>670</v>
      </c>
      <c r="G73" s="70">
        <f t="shared" ref="G73:P73" ca="1" si="27">SUM(G71:G72)</f>
        <v>670</v>
      </c>
      <c r="H73" s="70">
        <f t="shared" ca="1" si="27"/>
        <v>670</v>
      </c>
      <c r="I73" s="70">
        <f t="shared" ca="1" si="27"/>
        <v>670</v>
      </c>
      <c r="J73" s="70">
        <f t="shared" ca="1" si="27"/>
        <v>670</v>
      </c>
      <c r="K73" s="70">
        <f t="shared" ca="1" si="27"/>
        <v>670</v>
      </c>
      <c r="L73" s="70">
        <f t="shared" ca="1" si="27"/>
        <v>670</v>
      </c>
      <c r="M73" s="70">
        <f t="shared" ca="1" si="27"/>
        <v>670</v>
      </c>
      <c r="N73" s="70">
        <f t="shared" ca="1" si="27"/>
        <v>670</v>
      </c>
      <c r="O73" s="70">
        <f t="shared" ca="1" si="27"/>
        <v>670</v>
      </c>
      <c r="P73" s="70">
        <f t="shared" ca="1" si="27"/>
        <v>670</v>
      </c>
      <c r="Q73"/>
    </row>
    <row r="74" spans="1:17" ht="15" customHeight="1">
      <c r="A74" s="15"/>
      <c r="B74" s="19" t="s">
        <v>56</v>
      </c>
      <c r="C74" s="19"/>
      <c r="D74" s="19"/>
      <c r="E74" s="19"/>
      <c r="G74">
        <f t="shared" ref="G74:P74" ca="1" si="28">-$F$22*AVERAGE(F73:G73)</f>
        <v>-55.275000000000006</v>
      </c>
      <c r="H74">
        <f t="shared" ca="1" si="28"/>
        <v>-55.275000000000006</v>
      </c>
      <c r="I74">
        <f t="shared" ca="1" si="28"/>
        <v>-55.275000000000006</v>
      </c>
      <c r="J74">
        <f t="shared" ca="1" si="28"/>
        <v>-55.275000000000006</v>
      </c>
      <c r="K74">
        <f t="shared" ca="1" si="28"/>
        <v>-55.275000000000006</v>
      </c>
      <c r="L74">
        <f t="shared" ca="1" si="28"/>
        <v>-55.275000000000006</v>
      </c>
      <c r="M74">
        <f t="shared" ca="1" si="28"/>
        <v>-55.275000000000006</v>
      </c>
      <c r="N74">
        <f t="shared" ca="1" si="28"/>
        <v>-55.275000000000006</v>
      </c>
      <c r="O74">
        <f t="shared" ca="1" si="28"/>
        <v>-55.275000000000006</v>
      </c>
      <c r="P74">
        <f t="shared" ca="1" si="28"/>
        <v>-55.275000000000006</v>
      </c>
    </row>
    <row r="75" spans="1:17" ht="15" customHeight="1">
      <c r="A75" s="15"/>
      <c r="B75" s="19"/>
      <c r="C75" s="19"/>
      <c r="D75" s="19"/>
      <c r="E75" s="19"/>
      <c r="F75" s="19"/>
      <c r="G75" s="19"/>
      <c r="H75" s="19"/>
      <c r="I75" s="19"/>
      <c r="J75" s="19"/>
      <c r="K75" s="19"/>
      <c r="L75" s="19"/>
      <c r="M75" s="19"/>
      <c r="N75" s="19"/>
      <c r="O75" s="19"/>
      <c r="P75" s="19"/>
    </row>
    <row r="76" spans="1:17" s="70" customFormat="1" ht="15" customHeight="1">
      <c r="A76" s="15"/>
      <c r="B76" s="71" t="s">
        <v>77</v>
      </c>
      <c r="C76" s="71"/>
      <c r="D76" s="71"/>
      <c r="E76" s="79"/>
      <c r="F76" s="79">
        <v>0</v>
      </c>
      <c r="G76" s="70">
        <f t="shared" ref="G76:P76" ca="1" si="29">F76+G61+G65+G72</f>
        <v>0</v>
      </c>
      <c r="H76" s="70">
        <f t="shared" ca="1" si="29"/>
        <v>0</v>
      </c>
      <c r="I76" s="70">
        <f t="shared" ca="1" si="29"/>
        <v>0</v>
      </c>
      <c r="J76" s="70">
        <f t="shared" ca="1" si="29"/>
        <v>0</v>
      </c>
      <c r="K76" s="70">
        <f t="shared" ca="1" si="29"/>
        <v>0</v>
      </c>
      <c r="L76" s="70">
        <f t="shared" ca="1" si="29"/>
        <v>0</v>
      </c>
      <c r="M76" s="70">
        <f t="shared" ca="1" si="29"/>
        <v>0</v>
      </c>
      <c r="N76" s="70">
        <f t="shared" ca="1" si="29"/>
        <v>0</v>
      </c>
      <c r="O76" s="70">
        <f t="shared" ca="1" si="29"/>
        <v>0</v>
      </c>
      <c r="P76" s="70">
        <f t="shared" ca="1" si="29"/>
        <v>0</v>
      </c>
      <c r="Q76"/>
    </row>
    <row r="77" spans="1:17" ht="15" customHeight="1">
      <c r="A77" s="15"/>
      <c r="B77" s="19" t="s">
        <v>57</v>
      </c>
      <c r="C77" s="19"/>
      <c r="D77" s="19"/>
      <c r="E77" s="3"/>
      <c r="F77" s="19"/>
      <c r="G77">
        <f t="shared" ref="G77:P77" ca="1" si="30">$F$23*AVERAGE(F76:G76)</f>
        <v>0</v>
      </c>
      <c r="H77">
        <f t="shared" ca="1" si="30"/>
        <v>0</v>
      </c>
      <c r="I77">
        <f t="shared" ca="1" si="30"/>
        <v>0</v>
      </c>
      <c r="J77">
        <f t="shared" ca="1" si="30"/>
        <v>0</v>
      </c>
      <c r="K77">
        <f t="shared" ca="1" si="30"/>
        <v>0</v>
      </c>
      <c r="L77">
        <f t="shared" ca="1" si="30"/>
        <v>0</v>
      </c>
      <c r="M77">
        <f t="shared" ca="1" si="30"/>
        <v>0</v>
      </c>
      <c r="N77">
        <f t="shared" ca="1" si="30"/>
        <v>0</v>
      </c>
      <c r="O77">
        <f t="shared" ca="1" si="30"/>
        <v>0</v>
      </c>
      <c r="P77">
        <f t="shared" ca="1" si="30"/>
        <v>0</v>
      </c>
    </row>
    <row r="78" spans="1:17" ht="15" customHeight="1">
      <c r="A78" s="15"/>
      <c r="B78" s="19"/>
      <c r="C78" s="19"/>
      <c r="D78" s="19"/>
      <c r="E78" s="3"/>
      <c r="F78" s="19"/>
    </row>
    <row r="79" spans="1:17" ht="15" customHeight="1">
      <c r="A79" s="15"/>
      <c r="B79" s="19" t="s">
        <v>78</v>
      </c>
      <c r="C79" s="19"/>
      <c r="D79" s="19"/>
      <c r="E79" s="3"/>
      <c r="F79" s="19"/>
      <c r="G79">
        <f>F82</f>
        <v>0</v>
      </c>
      <c r="H79">
        <f t="shared" ref="H79:P79" ca="1" si="31">G82</f>
        <v>10.55133508268807</v>
      </c>
      <c r="I79">
        <f t="shared" ca="1" si="31"/>
        <v>34.535275324380621</v>
      </c>
      <c r="J79">
        <f t="shared" ca="1" si="31"/>
        <v>67.39451366593272</v>
      </c>
      <c r="K79">
        <f t="shared" ca="1" si="31"/>
        <v>109.69816396323779</v>
      </c>
      <c r="L79">
        <f t="shared" ca="1" si="31"/>
        <v>165.21339425059995</v>
      </c>
      <c r="M79">
        <f t="shared" ca="1" si="31"/>
        <v>232.02777905273581</v>
      </c>
      <c r="N79">
        <f t="shared" ca="1" si="31"/>
        <v>313.14885868997135</v>
      </c>
      <c r="O79">
        <f t="shared" ca="1" si="31"/>
        <v>406.10566135894447</v>
      </c>
      <c r="P79">
        <f t="shared" ca="1" si="31"/>
        <v>514.09805733525775</v>
      </c>
    </row>
    <row r="80" spans="1:17" ht="15" customHeight="1">
      <c r="A80" s="15"/>
      <c r="B80" s="19" t="s">
        <v>79</v>
      </c>
      <c r="C80" s="19"/>
      <c r="D80" s="19"/>
      <c r="E80" s="3"/>
      <c r="F80" s="19"/>
      <c r="G80">
        <f t="shared" ref="G80:P80" ca="1" si="32">-G65</f>
        <v>10.55133508268807</v>
      </c>
      <c r="H80">
        <f t="shared" ca="1" si="32"/>
        <v>23.983940241692551</v>
      </c>
      <c r="I80">
        <f t="shared" ca="1" si="32"/>
        <v>32.8592383415521</v>
      </c>
      <c r="J80">
        <f t="shared" ca="1" si="32"/>
        <v>42.303650297305069</v>
      </c>
      <c r="K80">
        <f t="shared" ca="1" si="32"/>
        <v>55.515230287362158</v>
      </c>
      <c r="L80">
        <f t="shared" ca="1" si="32"/>
        <v>66.814384802135862</v>
      </c>
      <c r="M80">
        <f t="shared" ca="1" si="32"/>
        <v>81.121079637235539</v>
      </c>
      <c r="N80">
        <f t="shared" ca="1" si="32"/>
        <v>92.956802668973125</v>
      </c>
      <c r="O80">
        <f t="shared" ca="1" si="32"/>
        <v>107.99239597631328</v>
      </c>
      <c r="P80">
        <f t="shared" ca="1" si="32"/>
        <v>119.96733155667829</v>
      </c>
    </row>
    <row r="81" spans="1:17" ht="15" customHeight="1">
      <c r="A81" s="15"/>
      <c r="B81" s="19" t="s">
        <v>80</v>
      </c>
      <c r="C81" s="19"/>
      <c r="D81" s="19"/>
      <c r="E81" s="3"/>
      <c r="F81" s="19"/>
      <c r="G81">
        <f t="shared" ref="G81:P81" ca="1" si="33">-G72</f>
        <v>0</v>
      </c>
      <c r="H81">
        <f t="shared" ca="1" si="33"/>
        <v>0</v>
      </c>
      <c r="I81">
        <f t="shared" ca="1" si="33"/>
        <v>0</v>
      </c>
      <c r="J81">
        <f t="shared" ca="1" si="33"/>
        <v>0</v>
      </c>
      <c r="K81">
        <f t="shared" ca="1" si="33"/>
        <v>0</v>
      </c>
      <c r="L81">
        <f t="shared" ca="1" si="33"/>
        <v>0</v>
      </c>
      <c r="M81">
        <f t="shared" ca="1" si="33"/>
        <v>0</v>
      </c>
      <c r="N81">
        <f t="shared" ca="1" si="33"/>
        <v>0</v>
      </c>
      <c r="O81">
        <f t="shared" ca="1" si="33"/>
        <v>0</v>
      </c>
      <c r="P81">
        <f t="shared" ca="1" si="33"/>
        <v>0</v>
      </c>
    </row>
    <row r="82" spans="1:17" s="70" customFormat="1" ht="15" customHeight="1">
      <c r="A82" s="15"/>
      <c r="B82" s="71" t="s">
        <v>81</v>
      </c>
      <c r="C82" s="71"/>
      <c r="D82" s="71"/>
      <c r="E82" s="79"/>
      <c r="F82" s="78">
        <v>0</v>
      </c>
      <c r="G82" s="70">
        <f ca="1">SUM(G79:G81)</f>
        <v>10.55133508268807</v>
      </c>
      <c r="H82" s="70">
        <f t="shared" ref="H82:P82" ca="1" si="34">SUM(H79:H81)</f>
        <v>34.535275324380621</v>
      </c>
      <c r="I82" s="70">
        <f t="shared" ca="1" si="34"/>
        <v>67.39451366593272</v>
      </c>
      <c r="J82" s="70">
        <f t="shared" ca="1" si="34"/>
        <v>109.69816396323779</v>
      </c>
      <c r="K82" s="70">
        <f t="shared" ca="1" si="34"/>
        <v>165.21339425059995</v>
      </c>
      <c r="L82" s="70">
        <f t="shared" ca="1" si="34"/>
        <v>232.02777905273581</v>
      </c>
      <c r="M82" s="70">
        <f t="shared" ca="1" si="34"/>
        <v>313.14885868997135</v>
      </c>
      <c r="N82" s="70">
        <f t="shared" ca="1" si="34"/>
        <v>406.10566135894447</v>
      </c>
      <c r="O82" s="70">
        <f t="shared" ca="1" si="34"/>
        <v>514.09805733525775</v>
      </c>
      <c r="P82" s="70">
        <f t="shared" ca="1" si="34"/>
        <v>634.06538889193598</v>
      </c>
      <c r="Q82"/>
    </row>
    <row r="83" spans="1:17" ht="15" customHeight="1">
      <c r="A83" s="15"/>
      <c r="B83" s="19"/>
      <c r="C83" s="19"/>
      <c r="D83" s="19"/>
      <c r="E83" s="3"/>
      <c r="F83" s="19"/>
      <c r="G83" s="19"/>
      <c r="H83" s="19"/>
      <c r="I83" s="19"/>
      <c r="J83" s="19"/>
      <c r="K83" s="19"/>
      <c r="L83" s="19"/>
      <c r="M83" s="19"/>
      <c r="N83" s="19"/>
      <c r="O83" s="19"/>
      <c r="P83" s="19"/>
    </row>
    <row r="84" spans="1:17" ht="15" customHeight="1">
      <c r="A84" s="15"/>
      <c r="B84" s="19" t="s">
        <v>82</v>
      </c>
      <c r="C84" s="19"/>
      <c r="D84" s="19"/>
      <c r="E84" s="25"/>
      <c r="F84">
        <f>F$66+F$73</f>
        <v>2010</v>
      </c>
      <c r="H84" s="19"/>
      <c r="I84" s="19"/>
      <c r="J84" s="19"/>
      <c r="K84" s="19"/>
      <c r="L84" s="19"/>
      <c r="M84" s="19"/>
      <c r="N84" s="19"/>
      <c r="O84" s="19"/>
      <c r="P84" s="19"/>
    </row>
    <row r="85" spans="1:17" ht="15" customHeight="1">
      <c r="A85" s="76"/>
      <c r="B85" s="19" t="s">
        <v>83</v>
      </c>
      <c r="C85" s="19"/>
      <c r="D85" s="19"/>
      <c r="E85" s="3"/>
      <c r="F85" s="19"/>
      <c r="G85" s="80">
        <f ca="1">G82/$F$84</f>
        <v>5.2494204391482936E-3</v>
      </c>
      <c r="H85" s="80">
        <f t="shared" ref="H85:P85" ca="1" si="35">H82/$F$84</f>
        <v>1.7181729017104786E-2</v>
      </c>
      <c r="I85" s="80">
        <f t="shared" ca="1" si="35"/>
        <v>3.3529608789021254E-2</v>
      </c>
      <c r="J85" s="80">
        <f t="shared" ca="1" si="35"/>
        <v>5.4576200976735219E-2</v>
      </c>
      <c r="K85" s="80">
        <f t="shared" ca="1" si="35"/>
        <v>8.2195718532636783E-2</v>
      </c>
      <c r="L85" s="80">
        <f t="shared" ca="1" si="35"/>
        <v>0.11543670599638597</v>
      </c>
      <c r="M85" s="80">
        <f t="shared" ca="1" si="35"/>
        <v>0.15579545208456286</v>
      </c>
      <c r="N85" s="80">
        <f t="shared" ca="1" si="35"/>
        <v>0.20204261759151465</v>
      </c>
      <c r="O85" s="80">
        <f t="shared" ca="1" si="35"/>
        <v>0.25577017777873517</v>
      </c>
      <c r="P85" s="80">
        <f t="shared" ca="1" si="35"/>
        <v>0.31545541735917215</v>
      </c>
    </row>
    <row r="86" spans="1:17" ht="15" customHeight="1">
      <c r="A86" s="15"/>
      <c r="B86" s="19"/>
      <c r="C86" s="19"/>
      <c r="D86" s="19"/>
      <c r="E86" s="19"/>
      <c r="F86" s="19"/>
      <c r="G86" s="19"/>
      <c r="H86" s="19"/>
      <c r="I86" s="19"/>
      <c r="J86" s="19"/>
      <c r="K86" s="19"/>
      <c r="L86" s="19"/>
      <c r="M86" s="19"/>
      <c r="N86" s="19"/>
      <c r="O86" s="19"/>
      <c r="P86" s="19"/>
    </row>
    <row r="87" spans="1:17" ht="15" customHeight="1">
      <c r="A87" s="15" t="s">
        <v>84</v>
      </c>
      <c r="B87" s="19"/>
      <c r="C87" s="19"/>
      <c r="D87" s="19"/>
      <c r="E87" s="19"/>
      <c r="F87" s="19"/>
      <c r="G87" s="19"/>
      <c r="H87" s="19"/>
      <c r="I87" s="19"/>
      <c r="J87" s="19"/>
      <c r="K87" s="19"/>
      <c r="L87" s="19"/>
      <c r="M87" s="19"/>
      <c r="N87" s="19"/>
      <c r="O87" s="19"/>
      <c r="P87" s="19"/>
    </row>
    <row r="88" spans="1:17" ht="15" customHeight="1">
      <c r="A88" s="15"/>
      <c r="B88" s="4" t="s">
        <v>85</v>
      </c>
      <c r="C88" s="19"/>
      <c r="D88" s="19"/>
      <c r="E88" s="19"/>
      <c r="G88">
        <f t="shared" ref="G88:P88" si="36">YEAR(F3)-YEAR($E$3)</f>
        <v>1</v>
      </c>
      <c r="H88">
        <f t="shared" si="36"/>
        <v>2</v>
      </c>
      <c r="I88">
        <f t="shared" si="36"/>
        <v>3</v>
      </c>
      <c r="J88">
        <f t="shared" si="36"/>
        <v>4</v>
      </c>
      <c r="K88">
        <f t="shared" si="36"/>
        <v>5</v>
      </c>
      <c r="L88">
        <f t="shared" si="36"/>
        <v>6</v>
      </c>
      <c r="M88">
        <f t="shared" si="36"/>
        <v>7</v>
      </c>
      <c r="N88">
        <f t="shared" si="36"/>
        <v>8</v>
      </c>
      <c r="O88">
        <f t="shared" si="36"/>
        <v>9</v>
      </c>
      <c r="P88">
        <f t="shared" si="36"/>
        <v>10</v>
      </c>
    </row>
    <row r="89" spans="1:17" ht="15" customHeight="1">
      <c r="A89" s="15"/>
      <c r="B89" s="4" t="s">
        <v>27</v>
      </c>
      <c r="C89" s="19"/>
      <c r="D89" s="19"/>
      <c r="E89" s="19"/>
      <c r="F89" s="4"/>
      <c r="G89">
        <f>$F$16*G52</f>
        <v>3723.3350904620888</v>
      </c>
      <c r="H89">
        <f t="shared" ref="H89:P89" si="37">$F$16*H52</f>
        <v>4030.9378941755217</v>
      </c>
      <c r="I89">
        <f t="shared" si="37"/>
        <v>4320.9757557922376</v>
      </c>
      <c r="J89">
        <f t="shared" si="37"/>
        <v>4639.4601709248</v>
      </c>
      <c r="K89">
        <f t="shared" si="37"/>
        <v>5010.6169845987833</v>
      </c>
      <c r="L89">
        <f t="shared" si="37"/>
        <v>5361.3601735206985</v>
      </c>
      <c r="M89">
        <f t="shared" si="37"/>
        <v>5736.6553856671471</v>
      </c>
      <c r="N89">
        <f t="shared" si="37"/>
        <v>6080.8547088071773</v>
      </c>
      <c r="O89">
        <f t="shared" si="37"/>
        <v>6445.7059913356079</v>
      </c>
      <c r="P89">
        <f t="shared" si="37"/>
        <v>6767.9912909023897</v>
      </c>
    </row>
    <row r="90" spans="1:17" ht="15" customHeight="1">
      <c r="A90" s="15"/>
      <c r="B90" s="4" t="s">
        <v>86</v>
      </c>
      <c r="C90" s="19"/>
      <c r="D90" s="19"/>
      <c r="E90" s="19"/>
      <c r="F90" s="19"/>
      <c r="G90">
        <f t="shared" ref="G90:P90" ca="1" si="38">G66+G73-G76</f>
        <v>1999.4486649173118</v>
      </c>
      <c r="H90">
        <f t="shared" ca="1" si="38"/>
        <v>1975.4647246756192</v>
      </c>
      <c r="I90">
        <f t="shared" ca="1" si="38"/>
        <v>1942.6054863340671</v>
      </c>
      <c r="J90">
        <f t="shared" ca="1" si="38"/>
        <v>1900.3018360367621</v>
      </c>
      <c r="K90">
        <f t="shared" ca="1" si="38"/>
        <v>1844.7866057494</v>
      </c>
      <c r="L90">
        <f t="shared" ca="1" si="38"/>
        <v>1777.9722209472641</v>
      </c>
      <c r="M90">
        <f t="shared" ca="1" si="38"/>
        <v>1696.8511413100287</v>
      </c>
      <c r="N90">
        <f t="shared" ca="1" si="38"/>
        <v>1603.8943386410556</v>
      </c>
      <c r="O90">
        <f t="shared" ca="1" si="38"/>
        <v>1495.9019426647424</v>
      </c>
      <c r="P90">
        <f t="shared" ca="1" si="38"/>
        <v>1375.934611108064</v>
      </c>
    </row>
    <row r="91" spans="1:17" s="70" customFormat="1" ht="15" customHeight="1">
      <c r="A91" s="15"/>
      <c r="B91" s="77" t="s">
        <v>87</v>
      </c>
      <c r="C91" s="71"/>
      <c r="D91" s="71"/>
      <c r="E91" s="71"/>
      <c r="F91" s="71"/>
      <c r="G91" s="70">
        <f t="shared" ref="G91:P91" ca="1" si="39">G89-G90</f>
        <v>1723.886425544777</v>
      </c>
      <c r="H91" s="70">
        <f t="shared" ca="1" si="39"/>
        <v>2055.4731694999027</v>
      </c>
      <c r="I91" s="70">
        <f t="shared" ca="1" si="39"/>
        <v>2378.3702694581707</v>
      </c>
      <c r="J91" s="70">
        <f t="shared" ca="1" si="39"/>
        <v>2739.1583348880376</v>
      </c>
      <c r="K91" s="70">
        <f t="shared" ca="1" si="39"/>
        <v>3165.8303788493831</v>
      </c>
      <c r="L91" s="70">
        <f t="shared" ca="1" si="39"/>
        <v>3583.3879525734346</v>
      </c>
      <c r="M91" s="70">
        <f t="shared" ca="1" si="39"/>
        <v>4039.8042443571185</v>
      </c>
      <c r="N91" s="70">
        <f t="shared" ca="1" si="39"/>
        <v>4476.9603701661217</v>
      </c>
      <c r="O91" s="70">
        <f t="shared" ca="1" si="39"/>
        <v>4949.8040486708651</v>
      </c>
      <c r="P91" s="70">
        <f t="shared" ca="1" si="39"/>
        <v>5392.0566797943256</v>
      </c>
      <c r="Q91"/>
    </row>
    <row r="92" spans="1:17" ht="15" customHeight="1">
      <c r="A92" s="15"/>
      <c r="B92" s="19"/>
      <c r="C92" s="19"/>
      <c r="D92" s="19"/>
      <c r="E92" s="19"/>
      <c r="F92" s="19"/>
    </row>
    <row r="93" spans="1:17" ht="15" customHeight="1">
      <c r="A93" s="15"/>
      <c r="B93" s="4" t="s">
        <v>88</v>
      </c>
      <c r="C93" s="19"/>
      <c r="D93" s="19"/>
      <c r="E93" s="25"/>
      <c r="F93">
        <f>-O9</f>
        <v>-946.62104159999944</v>
      </c>
      <c r="G93">
        <f t="shared" ref="G93:P93" si="40">IF(G88=$F$25,G91,0)</f>
        <v>0</v>
      </c>
      <c r="H93">
        <f t="shared" si="40"/>
        <v>0</v>
      </c>
      <c r="I93">
        <f t="shared" si="40"/>
        <v>0</v>
      </c>
      <c r="J93">
        <f t="shared" ca="1" si="40"/>
        <v>2739.1583348880376</v>
      </c>
      <c r="K93">
        <f t="shared" si="40"/>
        <v>0</v>
      </c>
      <c r="L93">
        <f t="shared" si="40"/>
        <v>0</v>
      </c>
      <c r="M93">
        <f t="shared" si="40"/>
        <v>0</v>
      </c>
      <c r="N93">
        <f t="shared" si="40"/>
        <v>0</v>
      </c>
      <c r="O93">
        <f t="shared" si="40"/>
        <v>0</v>
      </c>
      <c r="P93">
        <f t="shared" si="40"/>
        <v>0</v>
      </c>
    </row>
    <row r="94" spans="1:17" s="70" customFormat="1" ht="15" customHeight="1">
      <c r="A94" s="15"/>
      <c r="B94" s="77" t="s">
        <v>89</v>
      </c>
      <c r="C94" s="71"/>
      <c r="D94" s="71"/>
      <c r="E94" s="25"/>
      <c r="F94" s="81">
        <f ca="1">IRR(F93:O93)</f>
        <v>0.30424819936379044</v>
      </c>
      <c r="H94" s="71"/>
      <c r="I94" s="71"/>
      <c r="J94" s="71"/>
      <c r="K94" s="71"/>
      <c r="L94" s="71"/>
      <c r="M94" s="71"/>
      <c r="N94" s="71"/>
      <c r="O94" s="71"/>
      <c r="P94" s="71"/>
    </row>
    <row r="95" spans="1:17" ht="15" customHeight="1">
      <c r="A95" s="15"/>
      <c r="B95" s="19"/>
      <c r="C95" s="19"/>
      <c r="D95" s="19"/>
      <c r="E95" s="19"/>
      <c r="F95" s="19"/>
      <c r="G95" s="19"/>
      <c r="H95" s="19"/>
      <c r="I95" s="19"/>
      <c r="J95" s="19"/>
      <c r="K95" s="19"/>
      <c r="L95" s="19"/>
      <c r="M95" s="19"/>
      <c r="N95" s="19"/>
      <c r="O95" s="19"/>
      <c r="P95" s="19"/>
    </row>
    <row r="96" spans="1:17" ht="15" customHeight="1">
      <c r="A96" s="15" t="s">
        <v>90</v>
      </c>
      <c r="B96" s="19"/>
      <c r="C96" s="19"/>
      <c r="D96" s="19"/>
      <c r="E96" s="19"/>
      <c r="F96" s="19"/>
      <c r="G96" s="19"/>
      <c r="H96" s="19"/>
      <c r="I96" s="19"/>
      <c r="J96" s="19"/>
      <c r="K96" s="19"/>
      <c r="L96" s="19"/>
      <c r="M96" s="19"/>
      <c r="N96" s="19"/>
      <c r="O96" s="19"/>
      <c r="P96" s="19"/>
    </row>
    <row r="97" spans="1:16" ht="15" customHeight="1">
      <c r="A97" s="15"/>
      <c r="B97" s="4" t="s">
        <v>91</v>
      </c>
      <c r="C97" s="19"/>
      <c r="D97" s="19"/>
      <c r="E97" s="19"/>
      <c r="F97" s="19"/>
      <c r="G97" s="19"/>
      <c r="H97" s="19"/>
      <c r="I97" s="19"/>
      <c r="J97" s="19"/>
      <c r="K97" s="19"/>
      <c r="L97" s="19"/>
      <c r="M97" s="19"/>
      <c r="N97" s="19"/>
      <c r="O97" s="19"/>
      <c r="P97" s="19"/>
    </row>
    <row r="98" spans="1:16" ht="15" customHeight="1">
      <c r="A98" s="15"/>
      <c r="B98" s="19"/>
      <c r="C98" s="25"/>
      <c r="E98" s="54" t="s">
        <v>43</v>
      </c>
      <c r="F98" s="19"/>
      <c r="G98" s="19"/>
      <c r="H98" s="19"/>
      <c r="I98" s="19"/>
      <c r="J98" s="19"/>
      <c r="K98" s="19"/>
      <c r="L98" s="19"/>
      <c r="M98" s="19"/>
      <c r="N98" s="19"/>
      <c r="O98" s="19"/>
      <c r="P98" s="19"/>
    </row>
    <row r="99" spans="1:16" ht="15" customHeight="1">
      <c r="A99" s="15"/>
      <c r="B99" s="19"/>
      <c r="C99" s="26">
        <f ca="1">F94</f>
        <v>0.30424819936379044</v>
      </c>
      <c r="D99" s="58">
        <v>3</v>
      </c>
      <c r="E99" s="58">
        <v>4</v>
      </c>
      <c r="F99" s="58">
        <v>5</v>
      </c>
      <c r="G99" s="19"/>
      <c r="H99" s="19"/>
      <c r="I99" s="19"/>
      <c r="J99" s="19"/>
      <c r="K99" s="19"/>
      <c r="L99" s="19"/>
      <c r="M99" s="19"/>
      <c r="N99" s="19"/>
      <c r="O99" s="19"/>
      <c r="P99" s="19"/>
    </row>
    <row r="100" spans="1:16" ht="15" customHeight="1">
      <c r="A100" s="15"/>
      <c r="B100" s="19"/>
      <c r="C100" s="84">
        <v>0.2</v>
      </c>
      <c r="D100" s="26">
        <f t="dataTable" ref="D100:F104" dt2D="1" dtr="1" r1="F25" r2="F8" ca="1"/>
        <v>0.47631235914656789</v>
      </c>
      <c r="E100" s="26">
        <v>0.39455526537989671</v>
      </c>
      <c r="F100" s="26">
        <v>0.34801072212532613</v>
      </c>
      <c r="H100" s="19"/>
      <c r="I100" s="19"/>
      <c r="J100" s="19"/>
      <c r="K100" s="19"/>
      <c r="L100" s="19"/>
      <c r="M100" s="19"/>
      <c r="N100" s="19"/>
      <c r="O100" s="19"/>
      <c r="P100" s="19"/>
    </row>
    <row r="101" spans="1:16" ht="15" customHeight="1">
      <c r="A101" s="15"/>
      <c r="B101" s="19"/>
      <c r="C101" s="84">
        <f>C100+5%</f>
        <v>0.25</v>
      </c>
      <c r="D101" s="26">
        <v>0.43667939064971262</v>
      </c>
      <c r="E101" s="26">
        <v>0.36428330001809339</v>
      </c>
      <c r="F101" s="26">
        <v>0.3231286573536889</v>
      </c>
      <c r="G101" s="19"/>
      <c r="H101" s="19"/>
      <c r="I101" s="19"/>
      <c r="J101" s="19"/>
      <c r="K101" s="19"/>
      <c r="L101" s="19"/>
      <c r="M101" s="19"/>
      <c r="N101" s="19"/>
      <c r="O101" s="19"/>
      <c r="P101" s="19"/>
    </row>
    <row r="102" spans="1:16" ht="15" customHeight="1">
      <c r="A102" s="15"/>
      <c r="B102" s="4" t="s">
        <v>103</v>
      </c>
      <c r="C102" s="84">
        <f t="shared" ref="C102:C104" si="41">C101+5%</f>
        <v>0.3</v>
      </c>
      <c r="D102" s="26">
        <v>0.40550397013698669</v>
      </c>
      <c r="E102" s="26">
        <v>0.34022047410891831</v>
      </c>
      <c r="F102" s="26">
        <v>0.30319074087261022</v>
      </c>
      <c r="G102" s="19"/>
      <c r="H102" s="19"/>
      <c r="I102" s="19"/>
      <c r="J102" s="19"/>
      <c r="K102" s="19"/>
      <c r="L102" s="19"/>
      <c r="M102" s="19"/>
      <c r="N102" s="19"/>
      <c r="O102" s="19"/>
      <c r="P102" s="19"/>
    </row>
    <row r="103" spans="1:16" ht="15" customHeight="1">
      <c r="A103" s="15"/>
      <c r="B103" s="19"/>
      <c r="C103" s="84">
        <f t="shared" si="41"/>
        <v>0.35</v>
      </c>
      <c r="D103" s="26">
        <v>0.38029510742018569</v>
      </c>
      <c r="E103" s="26">
        <v>0.32059100304145849</v>
      </c>
      <c r="F103" s="26">
        <v>0.2868145291630857</v>
      </c>
      <c r="G103" s="19"/>
      <c r="H103" s="19"/>
      <c r="I103" s="19"/>
      <c r="J103" s="19"/>
      <c r="K103" s="19"/>
      <c r="L103" s="19"/>
      <c r="M103" s="19"/>
      <c r="N103" s="19"/>
      <c r="O103" s="19"/>
      <c r="P103" s="19"/>
    </row>
    <row r="104" spans="1:16" ht="15" customHeight="1">
      <c r="A104" s="15"/>
      <c r="B104" s="19"/>
      <c r="C104" s="84">
        <f t="shared" si="41"/>
        <v>0.39999999999999997</v>
      </c>
      <c r="D104" s="26">
        <v>0.35946418683423365</v>
      </c>
      <c r="E104" s="26">
        <v>0.30424819936379044</v>
      </c>
      <c r="F104" s="26">
        <v>0.27309935374657224</v>
      </c>
      <c r="G104" s="19"/>
      <c r="H104" s="19"/>
      <c r="I104" s="19"/>
      <c r="J104" s="19"/>
      <c r="K104" s="19"/>
      <c r="L104" s="19"/>
      <c r="M104" s="19"/>
      <c r="N104" s="19"/>
      <c r="O104" s="19"/>
      <c r="P104" s="19"/>
    </row>
    <row r="105" spans="1:16" ht="15" customHeight="1">
      <c r="A105" s="29"/>
    </row>
    <row r="106" spans="1:16" ht="15" customHeight="1">
      <c r="A106" s="29" t="s">
        <v>93</v>
      </c>
    </row>
    <row r="107" spans="1:16" ht="15" customHeight="1">
      <c r="A107" s="29"/>
    </row>
    <row r="108" spans="1:16" ht="15" customHeight="1">
      <c r="A108" s="29"/>
    </row>
  </sheetData>
  <conditionalFormatting sqref="D100:F104">
    <cfRule type="cellIs" dxfId="0" priority="1" operator="equal">
      <formula>$F$94</formula>
    </cfRule>
  </conditionalFormatting>
  <printOptions headings="1" gridLines="1"/>
  <pageMargins left="0.31496062992125984" right="0.11811023622047245" top="0.74803149606299213" bottom="0.74803149606299213" header="0" footer="0"/>
  <pageSetup paperSize="9" scale="62" fitToHeight="0" orientation="landscape" r:id="rId1"/>
  <headerFooter>
    <oddHeader>&amp;R&amp;F  &amp;A</oddHeader>
    <oddFooter>&amp;L© 2016&amp;CPage &amp;P of</oddFooter>
  </headerFooter>
  <rowBreaks count="2" manualBreakCount="2">
    <brk id="62" max="15" man="1"/>
    <brk id="95" max="1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CCC9-A056-4BFE-A1E8-6C170BAD7EAE}">
  <sheetPr>
    <pageSetUpPr fitToPage="1"/>
  </sheetPr>
  <dimension ref="A1:V425"/>
  <sheetViews>
    <sheetView zoomScaleNormal="100" workbookViewId="0">
      <pane xSplit="2" ySplit="3" topLeftCell="C4" activePane="bottomRight" state="frozen"/>
      <selection pane="bottomRight"/>
      <selection pane="bottomLeft" activeCell="G151" sqref="G151"/>
      <selection pane="topRight" activeCell="G151" sqref="G151"/>
    </sheetView>
  </sheetViews>
  <sheetFormatPr defaultRowHeight="15.75"/>
  <cols>
    <col min="1" max="1" width="1.5703125" style="29" customWidth="1"/>
    <col min="2" max="2" width="49.42578125" bestFit="1" customWidth="1"/>
    <col min="3" max="21" width="10.5703125" customWidth="1"/>
  </cols>
  <sheetData>
    <row r="1" spans="1:21" ht="45" customHeight="1">
      <c r="A1" s="28" t="str">
        <f>"LBO valuation for Bakkavor"</f>
        <v>LBO valuation for Bakkavor</v>
      </c>
      <c r="B1" s="85"/>
      <c r="C1" s="86"/>
      <c r="D1" s="86"/>
      <c r="E1" s="86"/>
      <c r="F1" s="86"/>
      <c r="G1" s="86"/>
      <c r="H1" s="86"/>
      <c r="I1" s="86"/>
      <c r="J1" s="86"/>
      <c r="K1" s="86"/>
      <c r="L1" s="86"/>
      <c r="M1" s="86"/>
      <c r="N1" s="86"/>
      <c r="O1" s="86"/>
      <c r="P1" s="86"/>
      <c r="Q1" s="86"/>
      <c r="R1" s="86"/>
      <c r="S1" s="86"/>
      <c r="T1" s="86"/>
      <c r="U1" s="86"/>
    </row>
    <row r="2" spans="1:21" ht="15" customHeight="1">
      <c r="A2" s="87"/>
      <c r="B2" s="88"/>
      <c r="C2" s="30" t="s">
        <v>20</v>
      </c>
      <c r="D2" s="30" t="s">
        <v>20</v>
      </c>
      <c r="E2" s="30"/>
      <c r="F2" s="30"/>
      <c r="G2" s="30"/>
      <c r="H2" s="30"/>
      <c r="I2" s="30"/>
      <c r="J2" s="30"/>
      <c r="K2" s="30"/>
      <c r="L2" s="30" t="s">
        <v>20</v>
      </c>
      <c r="M2" s="30" t="s">
        <v>21</v>
      </c>
      <c r="N2" s="30" t="s">
        <v>21</v>
      </c>
      <c r="O2" s="30" t="s">
        <v>21</v>
      </c>
      <c r="P2" s="30" t="s">
        <v>21</v>
      </c>
      <c r="Q2" s="30" t="s">
        <v>21</v>
      </c>
      <c r="R2" s="30" t="s">
        <v>21</v>
      </c>
      <c r="S2" s="30" t="s">
        <v>21</v>
      </c>
      <c r="T2" s="30" t="s">
        <v>21</v>
      </c>
      <c r="U2" s="30" t="s">
        <v>21</v>
      </c>
    </row>
    <row r="3" spans="1:21" ht="15" customHeight="1">
      <c r="A3" s="87"/>
      <c r="B3" s="88"/>
      <c r="C3" s="52">
        <f>EDATE(D3,-12)</f>
        <v>45291</v>
      </c>
      <c r="D3" s="52">
        <v>45657</v>
      </c>
      <c r="E3" s="52" t="s">
        <v>104</v>
      </c>
      <c r="F3" s="52" t="s">
        <v>105</v>
      </c>
      <c r="G3" s="52" t="s">
        <v>106</v>
      </c>
      <c r="H3" s="52" t="s">
        <v>107</v>
      </c>
      <c r="I3" s="52" t="s">
        <v>108</v>
      </c>
      <c r="J3" s="52" t="s">
        <v>109</v>
      </c>
      <c r="K3" s="52" t="s">
        <v>30</v>
      </c>
      <c r="L3" s="52">
        <f>EDATE(D3,0)</f>
        <v>45657</v>
      </c>
      <c r="M3" s="52">
        <f>EDATE(L3,12)</f>
        <v>46022</v>
      </c>
      <c r="N3" s="52">
        <f t="shared" ref="N3:U3" si="0">EDATE(M3,12)</f>
        <v>46387</v>
      </c>
      <c r="O3" s="52">
        <f t="shared" si="0"/>
        <v>46752</v>
      </c>
      <c r="P3" s="52">
        <f t="shared" si="0"/>
        <v>47118</v>
      </c>
      <c r="Q3" s="52">
        <f t="shared" si="0"/>
        <v>47483</v>
      </c>
      <c r="R3" s="52">
        <f t="shared" si="0"/>
        <v>47848</v>
      </c>
      <c r="S3" s="52">
        <f t="shared" si="0"/>
        <v>48213</v>
      </c>
      <c r="T3" s="52">
        <f t="shared" si="0"/>
        <v>48579</v>
      </c>
      <c r="U3" s="52">
        <f t="shared" si="0"/>
        <v>48944</v>
      </c>
    </row>
    <row r="4" spans="1:21">
      <c r="B4" s="89"/>
    </row>
    <row r="5" spans="1:21">
      <c r="A5" s="29" t="s">
        <v>110</v>
      </c>
      <c r="B5" s="89"/>
    </row>
    <row r="6" spans="1:21">
      <c r="B6" s="89" t="s">
        <v>111</v>
      </c>
      <c r="C6" s="73">
        <v>0.01</v>
      </c>
    </row>
    <row r="7" spans="1:21">
      <c r="B7" s="89" t="s">
        <v>43</v>
      </c>
      <c r="C7" s="72">
        <v>4</v>
      </c>
    </row>
    <row r="8" spans="1:21">
      <c r="B8" s="89" t="s">
        <v>112</v>
      </c>
      <c r="C8" s="73">
        <v>7.0000000000000001E-3</v>
      </c>
    </row>
    <row r="9" spans="1:21">
      <c r="B9" s="89" t="s">
        <v>113</v>
      </c>
      <c r="C9" s="73">
        <v>0.01</v>
      </c>
    </row>
    <row r="10" spans="1:21">
      <c r="B10" s="89" t="s">
        <v>114</v>
      </c>
      <c r="C10" s="73">
        <v>0.01</v>
      </c>
    </row>
    <row r="11" spans="1:21">
      <c r="B11" s="89" t="str">
        <f>"Weighted average cost of "&amp;B41</f>
        <v>Weighted average cost of Senior debt (Term B)</v>
      </c>
      <c r="C11" s="111">
        <f>ROUND(C54/SUM($C$54:$C$57)*G41,3)</f>
        <v>3.4000000000000002E-2</v>
      </c>
    </row>
    <row r="12" spans="1:21">
      <c r="B12" s="89" t="str">
        <f>"Weighted average cost of "&amp;B42</f>
        <v>Weighted average cost of Senior unsecured high yield notes</v>
      </c>
      <c r="C12" s="111">
        <f>ROUND(C55/SUM($C$54:$C$57)*G42,3)</f>
        <v>2.9000000000000001E-2</v>
      </c>
    </row>
    <row r="13" spans="1:21">
      <c r="B13" s="89" t="str">
        <f>"Weighted average cost of "&amp;B44</f>
        <v>Weighted average cost of Mezzanine</v>
      </c>
      <c r="C13" s="111">
        <f>ROUND(C57/SUM($C$54:$C$57)*G44,3)</f>
        <v>1.2E-2</v>
      </c>
    </row>
    <row r="14" spans="1:21">
      <c r="B14" s="89" t="str">
        <f>"Weighted average cost of all financing"</f>
        <v>Weighted average cost of all financing</v>
      </c>
      <c r="C14" s="111">
        <f>SUM(C13,C12,C11)</f>
        <v>7.5000000000000011E-2</v>
      </c>
    </row>
    <row r="15" spans="1:21">
      <c r="B15" s="90"/>
      <c r="C15" s="90"/>
    </row>
    <row r="16" spans="1:21">
      <c r="A16" s="29" t="s">
        <v>115</v>
      </c>
      <c r="B16" s="89"/>
    </row>
    <row r="17" spans="1:3">
      <c r="B17" s="89" t="s">
        <v>26</v>
      </c>
      <c r="C17">
        <f>D113</f>
        <v>182.39999999999969</v>
      </c>
    </row>
    <row r="18" spans="1:3">
      <c r="B18" s="89" t="s">
        <v>116</v>
      </c>
      <c r="C18" s="112">
        <v>7</v>
      </c>
    </row>
    <row r="19" spans="1:3">
      <c r="B19" s="89" t="s">
        <v>100</v>
      </c>
      <c r="C19">
        <f>C17*C18</f>
        <v>1276.7999999999979</v>
      </c>
    </row>
    <row r="20" spans="1:3">
      <c r="B20" s="89" t="s">
        <v>117</v>
      </c>
      <c r="C20">
        <f>D123</f>
        <v>29.9</v>
      </c>
    </row>
    <row r="21" spans="1:3">
      <c r="B21" s="89" t="s">
        <v>118</v>
      </c>
      <c r="C21">
        <f>D133</f>
        <v>19</v>
      </c>
    </row>
    <row r="22" spans="1:3">
      <c r="B22" s="89" t="s">
        <v>119</v>
      </c>
      <c r="C22">
        <f>D137</f>
        <v>287.60000000000002</v>
      </c>
    </row>
    <row r="23" spans="1:3">
      <c r="B23" s="89" t="s">
        <v>120</v>
      </c>
      <c r="C23">
        <f>D141</f>
        <v>0</v>
      </c>
    </row>
    <row r="24" spans="1:3">
      <c r="B24" s="89" t="s">
        <v>121</v>
      </c>
      <c r="C24">
        <f>C19+C20-C21-C22-C23</f>
        <v>1000.099999999998</v>
      </c>
    </row>
    <row r="25" spans="1:3">
      <c r="B25" s="89"/>
    </row>
    <row r="26" spans="1:3">
      <c r="A26" s="29" t="s">
        <v>122</v>
      </c>
      <c r="B26" s="89"/>
    </row>
    <row r="27" spans="1:3">
      <c r="B27" s="89" t="s">
        <v>121</v>
      </c>
      <c r="C27">
        <f>C24</f>
        <v>1000.099999999998</v>
      </c>
    </row>
    <row r="28" spans="1:3">
      <c r="B28" s="89" t="s">
        <v>123</v>
      </c>
      <c r="C28">
        <f>D142</f>
        <v>616.1</v>
      </c>
    </row>
    <row r="29" spans="1:3">
      <c r="B29" s="89" t="s">
        <v>124</v>
      </c>
      <c r="C29">
        <f>D130*-1</f>
        <v>-653.1</v>
      </c>
    </row>
    <row r="30" spans="1:3">
      <c r="B30" s="89" t="s">
        <v>125</v>
      </c>
      <c r="C30">
        <f>SUM(C28:C29)</f>
        <v>-37</v>
      </c>
    </row>
    <row r="31" spans="1:3">
      <c r="B31" s="93" t="s">
        <v>126</v>
      </c>
      <c r="C31" s="70">
        <f>C27-C30</f>
        <v>1037.0999999999981</v>
      </c>
    </row>
    <row r="32" spans="1:3">
      <c r="B32" s="89"/>
    </row>
    <row r="33" spans="1:15" s="70" customFormat="1">
      <c r="A33" s="29" t="s">
        <v>127</v>
      </c>
      <c r="B33" s="89"/>
      <c r="D33"/>
    </row>
    <row r="34" spans="1:15" s="70" customFormat="1">
      <c r="A34" s="29"/>
      <c r="B34" s="89" t="s">
        <v>121</v>
      </c>
      <c r="C34">
        <f>C24</f>
        <v>1000.099999999998</v>
      </c>
      <c r="D34"/>
    </row>
    <row r="35" spans="1:15">
      <c r="B35" s="89" t="s">
        <v>128</v>
      </c>
      <c r="C35">
        <f>D137+D133-D123</f>
        <v>276.70000000000005</v>
      </c>
    </row>
    <row r="36" spans="1:15">
      <c r="B36" s="89" t="s">
        <v>30</v>
      </c>
      <c r="C36">
        <f>C6*C19</f>
        <v>12.767999999999979</v>
      </c>
    </row>
    <row r="37" spans="1:15" s="70" customFormat="1">
      <c r="A37" s="29"/>
      <c r="B37" s="93" t="s">
        <v>129</v>
      </c>
      <c r="C37" s="70">
        <f>SUM(C34:C36)</f>
        <v>1289.5679999999979</v>
      </c>
      <c r="D37"/>
    </row>
    <row r="38" spans="1:15" s="70" customFormat="1">
      <c r="A38" s="29"/>
      <c r="B38" s="89"/>
      <c r="G38" s="94"/>
      <c r="H38" s="94"/>
      <c r="I38" s="94"/>
      <c r="J38" s="81"/>
      <c r="K38" s="81"/>
    </row>
    <row r="39" spans="1:15" s="70" customFormat="1">
      <c r="A39" s="29"/>
      <c r="B39" s="89"/>
      <c r="D39" s="95" t="s">
        <v>130</v>
      </c>
      <c r="E39" s="95" t="s">
        <v>131</v>
      </c>
      <c r="F39" s="70" t="s">
        <v>132</v>
      </c>
      <c r="G39" s="95" t="s">
        <v>133</v>
      </c>
      <c r="H39" s="81" t="s">
        <v>134</v>
      </c>
      <c r="I39" s="95"/>
    </row>
    <row r="40" spans="1:15" s="70" customFormat="1">
      <c r="A40" s="29"/>
      <c r="B40" s="89" t="str">
        <f>B53</f>
        <v>Revolver</v>
      </c>
      <c r="C40">
        <f>CHOOSE($C$50,C53,D53)</f>
        <v>0</v>
      </c>
      <c r="D40" s="27">
        <f>C40/$C$17</f>
        <v>0</v>
      </c>
      <c r="E40" s="26">
        <f t="shared" ref="E40:E45" si="1">C40/$C$46</f>
        <v>0</v>
      </c>
      <c r="F40" s="111">
        <v>0.05</v>
      </c>
      <c r="G40" s="96">
        <f>F40+$C$8</f>
        <v>5.7000000000000002E-2</v>
      </c>
      <c r="H40" s="81"/>
      <c r="I40"/>
      <c r="J40"/>
      <c r="M40"/>
      <c r="O40"/>
    </row>
    <row r="41" spans="1:15" s="70" customFormat="1">
      <c r="A41" s="29"/>
      <c r="B41" s="89" t="str">
        <f>B54</f>
        <v>Senior debt (Term B)</v>
      </c>
      <c r="C41">
        <f t="shared" ref="C41:C45" si="2">CHOOSE($C$50,C54,D54)</f>
        <v>547.19999999999914</v>
      </c>
      <c r="D41" s="27">
        <f>C41/$C$17+D40</f>
        <v>3.0000000000000004</v>
      </c>
      <c r="E41" s="26">
        <f t="shared" si="1"/>
        <v>0.42432814710042432</v>
      </c>
      <c r="F41" s="111">
        <v>0.05</v>
      </c>
      <c r="G41" s="96">
        <f>F41+$C$8</f>
        <v>5.7000000000000002E-2</v>
      </c>
      <c r="H41" s="72">
        <v>7</v>
      </c>
      <c r="I41"/>
      <c r="J41"/>
      <c r="M41"/>
      <c r="O41"/>
    </row>
    <row r="42" spans="1:15" s="70" customFormat="1">
      <c r="A42" s="29"/>
      <c r="B42" s="89" t="str">
        <f>B55</f>
        <v>Senior unsecured high yield notes</v>
      </c>
      <c r="C42">
        <f t="shared" si="2"/>
        <v>273.59999999999957</v>
      </c>
      <c r="D42" s="27">
        <f>C42/$C$17+D41</f>
        <v>4.5000000000000009</v>
      </c>
      <c r="E42" s="26">
        <f t="shared" si="1"/>
        <v>0.21216407355021216</v>
      </c>
      <c r="F42" s="111">
        <v>0.09</v>
      </c>
      <c r="G42" s="96">
        <f>F42+$C$8</f>
        <v>9.7000000000000003E-2</v>
      </c>
      <c r="H42" s="72">
        <v>8</v>
      </c>
      <c r="I42"/>
      <c r="J42"/>
      <c r="M42"/>
      <c r="O42"/>
    </row>
    <row r="43" spans="1:15" s="70" customFormat="1">
      <c r="A43" s="29"/>
      <c r="B43" s="89" t="str">
        <f>B56</f>
        <v>Unitranche</v>
      </c>
      <c r="C43">
        <f t="shared" si="2"/>
        <v>0</v>
      </c>
      <c r="D43" s="27">
        <f>C43/$C$17+D42</f>
        <v>4.5000000000000009</v>
      </c>
      <c r="E43" s="26">
        <f t="shared" si="1"/>
        <v>0</v>
      </c>
      <c r="F43" s="24" t="s">
        <v>135</v>
      </c>
      <c r="G43" s="111">
        <f>C14+0.5%</f>
        <v>8.0000000000000016E-2</v>
      </c>
      <c r="H43" s="72">
        <v>8</v>
      </c>
      <c r="I43"/>
      <c r="J43"/>
      <c r="M43"/>
      <c r="O43"/>
    </row>
    <row r="44" spans="1:15" s="70" customFormat="1">
      <c r="A44" s="29"/>
      <c r="B44" s="89" t="str">
        <f>B57</f>
        <v>Mezzanine</v>
      </c>
      <c r="C44">
        <f t="shared" si="2"/>
        <v>91.199999999999847</v>
      </c>
      <c r="D44" s="27">
        <f>C44/$C$17+D43</f>
        <v>5.0000000000000009</v>
      </c>
      <c r="E44" s="26">
        <f t="shared" si="1"/>
        <v>7.0721357850070721E-2</v>
      </c>
      <c r="F44" s="24" t="s">
        <v>135</v>
      </c>
      <c r="G44" s="111">
        <v>0.12</v>
      </c>
      <c r="H44" s="81"/>
      <c r="I44"/>
      <c r="J44"/>
      <c r="M44"/>
      <c r="O44"/>
    </row>
    <row r="45" spans="1:15" s="70" customFormat="1">
      <c r="A45" s="29"/>
      <c r="B45" s="89" t="s">
        <v>109</v>
      </c>
      <c r="C45">
        <f t="shared" si="2"/>
        <v>377.56799999999942</v>
      </c>
      <c r="D45" s="24" t="s">
        <v>135</v>
      </c>
      <c r="E45" s="26">
        <f t="shared" si="1"/>
        <v>0.29278642149929279</v>
      </c>
      <c r="F45" s="24" t="s">
        <v>135</v>
      </c>
      <c r="G45" s="111">
        <v>0.01</v>
      </c>
      <c r="H45" s="81"/>
      <c r="I45"/>
      <c r="J45"/>
      <c r="M45"/>
      <c r="O45"/>
    </row>
    <row r="46" spans="1:15" s="70" customFormat="1">
      <c r="A46" s="29"/>
      <c r="B46" s="93" t="s">
        <v>136</v>
      </c>
      <c r="C46" s="70">
        <f>SUM(C40:C45)</f>
        <v>1289.5679999999979</v>
      </c>
      <c r="D46" s="94">
        <f>MAX(D40:D45)</f>
        <v>5.0000000000000009</v>
      </c>
      <c r="E46" s="81">
        <f>SUM(E40:E45)</f>
        <v>1</v>
      </c>
      <c r="I46"/>
      <c r="J46"/>
      <c r="M46"/>
      <c r="O46"/>
    </row>
    <row r="47" spans="1:15" s="70" customFormat="1">
      <c r="A47" s="29"/>
      <c r="B47" s="89"/>
      <c r="G47" s="94"/>
      <c r="H47" s="94"/>
      <c r="I47" s="94"/>
      <c r="J47" s="81"/>
      <c r="K47" s="81"/>
    </row>
    <row r="48" spans="1:15">
      <c r="B48" s="89"/>
    </row>
    <row r="49" spans="1:21">
      <c r="A49" s="29" t="s">
        <v>137</v>
      </c>
      <c r="B49" s="89"/>
    </row>
    <row r="50" spans="1:21">
      <c r="B50" s="89" t="s">
        <v>138</v>
      </c>
      <c r="C50" s="113">
        <v>1</v>
      </c>
      <c r="D50" t="str">
        <f>CHOOSE(C50,C52,D52)</f>
        <v>Standard</v>
      </c>
    </row>
    <row r="51" spans="1:21">
      <c r="B51" s="89"/>
    </row>
    <row r="52" spans="1:21">
      <c r="B52" s="89"/>
      <c r="C52" t="s">
        <v>139</v>
      </c>
      <c r="D52" t="s">
        <v>140</v>
      </c>
    </row>
    <row r="53" spans="1:21">
      <c r="B53" s="89" t="s">
        <v>141</v>
      </c>
      <c r="C53" s="72">
        <v>0</v>
      </c>
      <c r="D53" s="72">
        <v>0</v>
      </c>
    </row>
    <row r="54" spans="1:21">
      <c r="B54" s="89" t="s">
        <v>142</v>
      </c>
      <c r="C54" s="72">
        <f>D113*3</f>
        <v>547.19999999999914</v>
      </c>
      <c r="D54" s="72">
        <v>0</v>
      </c>
      <c r="G54" s="97"/>
      <c r="H54" s="97"/>
      <c r="I54" s="97"/>
      <c r="J54" s="97"/>
      <c r="K54" s="97"/>
    </row>
    <row r="55" spans="1:21">
      <c r="B55" s="89" t="s">
        <v>143</v>
      </c>
      <c r="C55" s="72">
        <f>D113*1.5</f>
        <v>273.59999999999957</v>
      </c>
      <c r="D55" s="72">
        <v>0</v>
      </c>
    </row>
    <row r="56" spans="1:21">
      <c r="B56" s="89" t="s">
        <v>140</v>
      </c>
      <c r="C56" s="72">
        <v>0</v>
      </c>
      <c r="D56">
        <f>SUM(C53:C57)</f>
        <v>911.99999999999852</v>
      </c>
    </row>
    <row r="57" spans="1:21">
      <c r="B57" s="89" t="s">
        <v>120</v>
      </c>
      <c r="C57" s="72">
        <f>D113*0.5</f>
        <v>91.199999999999847</v>
      </c>
      <c r="D57" s="72">
        <v>0</v>
      </c>
    </row>
    <row r="58" spans="1:21">
      <c r="B58" s="89" t="s">
        <v>109</v>
      </c>
      <c r="C58">
        <f>$C$37-SUM(C53:C57)</f>
        <v>377.56799999999942</v>
      </c>
      <c r="D58">
        <f>$C$37-SUM(D53:D57)</f>
        <v>377.56799999999942</v>
      </c>
    </row>
    <row r="59" spans="1:21">
      <c r="A59" s="91"/>
      <c r="B59" s="89"/>
    </row>
    <row r="60" spans="1:21">
      <c r="A60" s="29" t="s">
        <v>144</v>
      </c>
      <c r="B60" s="89"/>
    </row>
    <row r="61" spans="1:21">
      <c r="B61" s="89" t="s">
        <v>145</v>
      </c>
    </row>
    <row r="62" spans="1:21">
      <c r="B62" s="114" t="s">
        <v>146</v>
      </c>
    </row>
    <row r="63" spans="1:21">
      <c r="B63" s="89" t="s">
        <v>147</v>
      </c>
      <c r="M63" s="73">
        <f>D69</f>
        <v>-0.22754830549134211</v>
      </c>
      <c r="N63" s="73">
        <f>M63</f>
        <v>-0.22754830549134211</v>
      </c>
      <c r="O63" s="73">
        <f t="shared" ref="O63:U63" si="3">N63</f>
        <v>-0.22754830549134211</v>
      </c>
      <c r="P63" s="73">
        <f t="shared" si="3"/>
        <v>-0.22754830549134211</v>
      </c>
      <c r="Q63" s="73">
        <f t="shared" si="3"/>
        <v>-0.22754830549134211</v>
      </c>
      <c r="R63" s="73">
        <f t="shared" si="3"/>
        <v>-0.22754830549134211</v>
      </c>
      <c r="S63" s="73">
        <f t="shared" si="3"/>
        <v>-0.22754830549134211</v>
      </c>
      <c r="T63" s="73">
        <f t="shared" si="3"/>
        <v>-0.22754830549134211</v>
      </c>
      <c r="U63" s="73">
        <f t="shared" si="3"/>
        <v>-0.22754830549134211</v>
      </c>
    </row>
    <row r="64" spans="1:21">
      <c r="B64" s="89" t="s">
        <v>148</v>
      </c>
      <c r="M64" s="73">
        <f>M63+3%</f>
        <v>-0.19754830549134211</v>
      </c>
      <c r="N64" s="73">
        <f t="shared" ref="N64:U64" si="4">N63+3%</f>
        <v>-0.19754830549134211</v>
      </c>
      <c r="O64" s="73">
        <f t="shared" si="4"/>
        <v>-0.19754830549134211</v>
      </c>
      <c r="P64" s="73">
        <f t="shared" si="4"/>
        <v>-0.19754830549134211</v>
      </c>
      <c r="Q64" s="73">
        <f t="shared" si="4"/>
        <v>-0.19754830549134211</v>
      </c>
      <c r="R64" s="73">
        <f t="shared" si="4"/>
        <v>-0.19754830549134211</v>
      </c>
      <c r="S64" s="73">
        <f t="shared" si="4"/>
        <v>-0.19754830549134211</v>
      </c>
      <c r="T64" s="73">
        <f t="shared" si="4"/>
        <v>-0.19754830549134211</v>
      </c>
      <c r="U64" s="73">
        <f t="shared" si="4"/>
        <v>-0.19754830549134211</v>
      </c>
    </row>
    <row r="65" spans="1:21">
      <c r="B65" s="89"/>
      <c r="M65" s="75"/>
      <c r="N65" s="75"/>
      <c r="O65" s="75"/>
      <c r="P65" s="75"/>
      <c r="Q65" s="75"/>
      <c r="R65" s="75"/>
      <c r="S65" s="75"/>
      <c r="T65" s="75"/>
      <c r="U65" s="75"/>
    </row>
    <row r="66" spans="1:21">
      <c r="A66" s="29" t="s">
        <v>149</v>
      </c>
      <c r="B66" s="89"/>
    </row>
    <row r="67" spans="1:21">
      <c r="B67" s="89" t="s">
        <v>150</v>
      </c>
      <c r="C67" s="26"/>
      <c r="D67" s="26">
        <f>D106/C106-1</f>
        <v>4.0339413739903573E-2</v>
      </c>
      <c r="M67" s="73">
        <v>0.03</v>
      </c>
      <c r="N67" s="73">
        <v>0.03</v>
      </c>
      <c r="O67" s="73">
        <v>0.03</v>
      </c>
      <c r="P67" s="73">
        <v>0.03</v>
      </c>
      <c r="Q67" s="73">
        <v>0.03</v>
      </c>
      <c r="R67" s="73">
        <v>0.03</v>
      </c>
      <c r="S67" s="73">
        <v>0.03</v>
      </c>
      <c r="T67" s="73">
        <v>0.03</v>
      </c>
      <c r="U67" s="73">
        <v>0.03</v>
      </c>
    </row>
    <row r="68" spans="1:21">
      <c r="B68" s="89" t="s">
        <v>151</v>
      </c>
      <c r="C68" s="26">
        <f>C107/C106</f>
        <v>-0.73255286323622837</v>
      </c>
      <c r="D68" s="26">
        <f>D107/D106</f>
        <v>-0.72290312731713713</v>
      </c>
      <c r="E68" s="26"/>
      <c r="F68" s="26"/>
      <c r="G68" s="26"/>
      <c r="H68" s="26"/>
      <c r="I68" s="26"/>
      <c r="J68" s="26"/>
      <c r="K68" s="26"/>
      <c r="L68" s="26"/>
      <c r="M68" s="73">
        <f>D68</f>
        <v>-0.72290312731713713</v>
      </c>
      <c r="N68" s="73">
        <f>M68</f>
        <v>-0.72290312731713713</v>
      </c>
      <c r="O68" s="73">
        <f t="shared" ref="O68:U68" si="5">N68</f>
        <v>-0.72290312731713713</v>
      </c>
      <c r="P68" s="73">
        <f t="shared" si="5"/>
        <v>-0.72290312731713713</v>
      </c>
      <c r="Q68" s="73">
        <f t="shared" si="5"/>
        <v>-0.72290312731713713</v>
      </c>
      <c r="R68" s="73">
        <f t="shared" si="5"/>
        <v>-0.72290312731713713</v>
      </c>
      <c r="S68" s="73">
        <f t="shared" si="5"/>
        <v>-0.72290312731713713</v>
      </c>
      <c r="T68" s="73">
        <f t="shared" si="5"/>
        <v>-0.72290312731713713</v>
      </c>
      <c r="U68" s="73">
        <f t="shared" si="5"/>
        <v>-0.72290312731713713</v>
      </c>
    </row>
    <row r="69" spans="1:21">
      <c r="B69" s="89" t="s">
        <v>145</v>
      </c>
      <c r="C69" s="26">
        <f>C108/C106</f>
        <v>-0.22465740992830566</v>
      </c>
      <c r="D69" s="26">
        <f>D108/D106</f>
        <v>-0.22754830549134211</v>
      </c>
      <c r="E69" s="26"/>
      <c r="F69" s="26"/>
      <c r="G69" s="26"/>
      <c r="H69" s="26"/>
      <c r="I69" s="26"/>
      <c r="J69" s="26"/>
      <c r="K69" s="26"/>
      <c r="L69" s="26"/>
      <c r="M69" s="92">
        <f t="shared" ref="M69" si="6">CHOOSE(MATCH($B$62,$B$63:$B$64,0),M63,M64)</f>
        <v>-0.22754830549134211</v>
      </c>
      <c r="N69" s="92">
        <f t="shared" ref="N69:U69" si="7">CHOOSE(MATCH($B$62,$B$63:$B$64,0),N63,N64)</f>
        <v>-0.22754830549134211</v>
      </c>
      <c r="O69" s="92">
        <f t="shared" si="7"/>
        <v>-0.22754830549134211</v>
      </c>
      <c r="P69" s="92">
        <f t="shared" si="7"/>
        <v>-0.22754830549134211</v>
      </c>
      <c r="Q69" s="92">
        <f t="shared" si="7"/>
        <v>-0.22754830549134211</v>
      </c>
      <c r="R69" s="92">
        <f t="shared" si="7"/>
        <v>-0.22754830549134211</v>
      </c>
      <c r="S69" s="92">
        <f t="shared" si="7"/>
        <v>-0.22754830549134211</v>
      </c>
      <c r="T69" s="92">
        <f t="shared" si="7"/>
        <v>-0.22754830549134211</v>
      </c>
      <c r="U69" s="92">
        <f t="shared" si="7"/>
        <v>-0.22754830549134211</v>
      </c>
    </row>
    <row r="70" spans="1:21">
      <c r="B70" s="89" t="s">
        <v>152</v>
      </c>
      <c r="C70" s="26">
        <f>C119/C118</f>
        <v>-0.24296296296296274</v>
      </c>
      <c r="D70" s="26">
        <f>D119/D118</f>
        <v>-0.20469798657718191</v>
      </c>
      <c r="E70" s="26"/>
      <c r="F70" s="26"/>
      <c r="G70" s="26"/>
      <c r="H70" s="26"/>
      <c r="I70" s="26"/>
      <c r="J70" s="26"/>
      <c r="K70" s="26"/>
      <c r="L70" s="26"/>
      <c r="M70" s="73">
        <v>-0.2</v>
      </c>
      <c r="N70" s="73">
        <v>-0.2</v>
      </c>
      <c r="O70" s="73">
        <v>-0.2</v>
      </c>
      <c r="P70" s="73">
        <v>-0.2</v>
      </c>
      <c r="Q70" s="73">
        <v>-0.2</v>
      </c>
      <c r="R70" s="73">
        <v>-0.2</v>
      </c>
      <c r="S70" s="73">
        <v>-0.2</v>
      </c>
      <c r="T70" s="73">
        <v>-0.2</v>
      </c>
      <c r="U70" s="73">
        <v>-0.2</v>
      </c>
    </row>
    <row r="71" spans="1:21">
      <c r="B71" s="89" t="s">
        <v>153</v>
      </c>
      <c r="C71" s="26">
        <f>C85/C106</f>
        <v>1.8331972048280239E-2</v>
      </c>
      <c r="D71" s="26">
        <f>D85/D106</f>
        <v>2.1503031360404764E-2</v>
      </c>
      <c r="M71" s="73">
        <v>0.03</v>
      </c>
      <c r="N71" s="73">
        <v>0.03</v>
      </c>
      <c r="O71" s="73">
        <v>0.03</v>
      </c>
      <c r="P71" s="73">
        <v>0.03</v>
      </c>
      <c r="Q71" s="73">
        <v>0.03</v>
      </c>
      <c r="R71" s="73">
        <v>0.03</v>
      </c>
      <c r="S71" s="73">
        <v>0.03</v>
      </c>
      <c r="T71" s="73">
        <v>0.03</v>
      </c>
      <c r="U71" s="73">
        <v>0.03</v>
      </c>
    </row>
    <row r="72" spans="1:21">
      <c r="B72" s="89" t="s">
        <v>154</v>
      </c>
      <c r="C72" s="26"/>
      <c r="D72" s="26">
        <f>D86/C87</f>
        <v>-0.12974995077771218</v>
      </c>
      <c r="E72" s="26"/>
      <c r="F72" s="26"/>
      <c r="G72" s="26"/>
      <c r="H72" s="26"/>
      <c r="I72" s="26"/>
      <c r="J72" s="26"/>
      <c r="K72" s="26"/>
      <c r="L72" s="26"/>
      <c r="M72" s="73">
        <f>D72</f>
        <v>-0.12974995077771218</v>
      </c>
      <c r="N72" s="73">
        <f>M72</f>
        <v>-0.12974995077771218</v>
      </c>
      <c r="O72" s="73">
        <f t="shared" ref="O72:U72" si="8">N72</f>
        <v>-0.12974995077771218</v>
      </c>
      <c r="P72" s="73">
        <f t="shared" si="8"/>
        <v>-0.12974995077771218</v>
      </c>
      <c r="Q72" s="73">
        <f t="shared" si="8"/>
        <v>-0.12974995077771218</v>
      </c>
      <c r="R72" s="73">
        <f t="shared" si="8"/>
        <v>-0.12974995077771218</v>
      </c>
      <c r="S72" s="73">
        <f t="shared" si="8"/>
        <v>-0.12974995077771218</v>
      </c>
      <c r="T72" s="73">
        <f t="shared" si="8"/>
        <v>-0.12974995077771218</v>
      </c>
      <c r="U72" s="73">
        <f t="shared" si="8"/>
        <v>-0.12974995077771218</v>
      </c>
    </row>
    <row r="73" spans="1:21">
      <c r="B73" s="89" t="s">
        <v>155</v>
      </c>
      <c r="C73">
        <f>C112</f>
        <v>3</v>
      </c>
      <c r="D73">
        <f>D112</f>
        <v>2.9</v>
      </c>
      <c r="M73" s="72">
        <v>0</v>
      </c>
      <c r="N73" s="72">
        <v>0</v>
      </c>
      <c r="O73" s="72">
        <v>0</v>
      </c>
      <c r="P73" s="72">
        <v>0</v>
      </c>
      <c r="Q73" s="72">
        <v>0</v>
      </c>
      <c r="R73" s="72">
        <v>0</v>
      </c>
      <c r="S73" s="72">
        <v>0</v>
      </c>
      <c r="T73" s="72">
        <v>0</v>
      </c>
      <c r="U73" s="72">
        <v>0</v>
      </c>
    </row>
    <row r="74" spans="1:21">
      <c r="B74" s="89" t="s">
        <v>156</v>
      </c>
      <c r="C74" s="26">
        <f>C124/C106</f>
        <v>7.7910881205191018E-2</v>
      </c>
      <c r="D74" s="26">
        <f>D124/D106</f>
        <v>8.5227024905133689E-2</v>
      </c>
      <c r="M74" s="73">
        <f t="shared" ref="M74:M80" si="9">D74</f>
        <v>8.5227024905133689E-2</v>
      </c>
      <c r="N74" s="73">
        <f t="shared" ref="N74:N80" si="10">M74</f>
        <v>8.5227024905133689E-2</v>
      </c>
      <c r="O74" s="73">
        <f t="shared" ref="O74:U74" si="11">N74</f>
        <v>8.5227024905133689E-2</v>
      </c>
      <c r="P74" s="73">
        <f t="shared" si="11"/>
        <v>8.5227024905133689E-2</v>
      </c>
      <c r="Q74" s="73">
        <f t="shared" si="11"/>
        <v>8.5227024905133689E-2</v>
      </c>
      <c r="R74" s="73">
        <f t="shared" si="11"/>
        <v>8.5227024905133689E-2</v>
      </c>
      <c r="S74" s="73">
        <f t="shared" si="11"/>
        <v>8.5227024905133689E-2</v>
      </c>
      <c r="T74" s="73">
        <f t="shared" si="11"/>
        <v>8.5227024905133689E-2</v>
      </c>
      <c r="U74" s="73">
        <f t="shared" si="11"/>
        <v>8.5227024905133689E-2</v>
      </c>
    </row>
    <row r="75" spans="1:21">
      <c r="B75" s="89" t="s">
        <v>157</v>
      </c>
      <c r="C75" s="26">
        <f>C125/C107</f>
        <v>-4.4165014866204159E-2</v>
      </c>
      <c r="D75" s="26">
        <f>D125/D107</f>
        <v>-4.977675877881018E-2</v>
      </c>
      <c r="M75" s="73">
        <f t="shared" si="9"/>
        <v>-4.977675877881018E-2</v>
      </c>
      <c r="N75" s="73">
        <f t="shared" si="10"/>
        <v>-4.977675877881018E-2</v>
      </c>
      <c r="O75" s="73">
        <f t="shared" ref="O75:U75" si="12">N75</f>
        <v>-4.977675877881018E-2</v>
      </c>
      <c r="P75" s="73">
        <f t="shared" si="12"/>
        <v>-4.977675877881018E-2</v>
      </c>
      <c r="Q75" s="73">
        <f t="shared" si="12"/>
        <v>-4.977675877881018E-2</v>
      </c>
      <c r="R75" s="73">
        <f t="shared" si="12"/>
        <v>-4.977675877881018E-2</v>
      </c>
      <c r="S75" s="73">
        <f t="shared" si="12"/>
        <v>-4.977675877881018E-2</v>
      </c>
      <c r="T75" s="73">
        <f t="shared" si="12"/>
        <v>-4.977675877881018E-2</v>
      </c>
      <c r="U75" s="73">
        <f t="shared" si="12"/>
        <v>-4.977675877881018E-2</v>
      </c>
    </row>
    <row r="76" spans="1:21">
      <c r="B76" s="89" t="s">
        <v>158</v>
      </c>
      <c r="C76">
        <f>C126</f>
        <v>2.1</v>
      </c>
      <c r="D76">
        <f>D126</f>
        <v>3.5</v>
      </c>
      <c r="M76" s="72">
        <f t="shared" si="9"/>
        <v>3.5</v>
      </c>
      <c r="N76" s="72">
        <f t="shared" si="10"/>
        <v>3.5</v>
      </c>
      <c r="O76" s="72">
        <f t="shared" ref="O76:U76" si="13">N76</f>
        <v>3.5</v>
      </c>
      <c r="P76" s="72">
        <f t="shared" si="13"/>
        <v>3.5</v>
      </c>
      <c r="Q76" s="72">
        <f t="shared" si="13"/>
        <v>3.5</v>
      </c>
      <c r="R76" s="72">
        <f t="shared" si="13"/>
        <v>3.5</v>
      </c>
      <c r="S76" s="72">
        <f t="shared" si="13"/>
        <v>3.5</v>
      </c>
      <c r="T76" s="72">
        <f t="shared" si="13"/>
        <v>3.5</v>
      </c>
      <c r="U76" s="72">
        <f t="shared" si="13"/>
        <v>3.5</v>
      </c>
    </row>
    <row r="77" spans="1:21">
      <c r="B77" s="89" t="s">
        <v>159</v>
      </c>
      <c r="C77">
        <f>C129</f>
        <v>27.699999999999996</v>
      </c>
      <c r="D77">
        <f>D129</f>
        <v>35.1</v>
      </c>
      <c r="M77" s="72">
        <f t="shared" si="9"/>
        <v>35.1</v>
      </c>
      <c r="N77" s="72">
        <f t="shared" si="10"/>
        <v>35.1</v>
      </c>
      <c r="O77" s="72">
        <f t="shared" ref="O77:U77" si="14">N77</f>
        <v>35.1</v>
      </c>
      <c r="P77" s="72">
        <f t="shared" si="14"/>
        <v>35.1</v>
      </c>
      <c r="Q77" s="72">
        <f t="shared" si="14"/>
        <v>35.1</v>
      </c>
      <c r="R77" s="72">
        <f t="shared" si="14"/>
        <v>35.1</v>
      </c>
      <c r="S77" s="72">
        <f t="shared" si="14"/>
        <v>35.1</v>
      </c>
      <c r="T77" s="72">
        <f t="shared" si="14"/>
        <v>35.1</v>
      </c>
      <c r="U77" s="72">
        <f t="shared" si="14"/>
        <v>35.1</v>
      </c>
    </row>
    <row r="78" spans="1:21">
      <c r="B78" s="89" t="s">
        <v>160</v>
      </c>
      <c r="C78" s="26">
        <f>C134/C107</f>
        <v>-0.27725470763131815</v>
      </c>
      <c r="D78" s="26">
        <f>D134/D107</f>
        <v>-0.29727283697357304</v>
      </c>
      <c r="M78" s="73">
        <f t="shared" si="9"/>
        <v>-0.29727283697357304</v>
      </c>
      <c r="N78" s="73">
        <f t="shared" si="10"/>
        <v>-0.29727283697357304</v>
      </c>
      <c r="O78" s="73">
        <f t="shared" ref="O78:U78" si="15">N78</f>
        <v>-0.29727283697357304</v>
      </c>
      <c r="P78" s="73">
        <f t="shared" si="15"/>
        <v>-0.29727283697357304</v>
      </c>
      <c r="Q78" s="73">
        <f t="shared" si="15"/>
        <v>-0.29727283697357304</v>
      </c>
      <c r="R78" s="73">
        <f t="shared" si="15"/>
        <v>-0.29727283697357304</v>
      </c>
      <c r="S78" s="73">
        <f t="shared" si="15"/>
        <v>-0.29727283697357304</v>
      </c>
      <c r="T78" s="73">
        <f t="shared" si="15"/>
        <v>-0.29727283697357304</v>
      </c>
      <c r="U78" s="73">
        <f t="shared" si="15"/>
        <v>-0.29727283697357304</v>
      </c>
    </row>
    <row r="79" spans="1:21">
      <c r="B79" s="89" t="s">
        <v>161</v>
      </c>
      <c r="C79" s="26">
        <f>C135/C107</f>
        <v>-8.8577799801783947E-3</v>
      </c>
      <c r="D79" s="26">
        <f>D135/D107</f>
        <v>-1.3696150597321106E-2</v>
      </c>
      <c r="M79" s="73">
        <f t="shared" si="9"/>
        <v>-1.3696150597321106E-2</v>
      </c>
      <c r="N79" s="73">
        <f t="shared" si="10"/>
        <v>-1.3696150597321106E-2</v>
      </c>
      <c r="O79" s="73">
        <f t="shared" ref="O79:U79" si="16">N79</f>
        <v>-1.3696150597321106E-2</v>
      </c>
      <c r="P79" s="73">
        <f t="shared" si="16"/>
        <v>-1.3696150597321106E-2</v>
      </c>
      <c r="Q79" s="73">
        <f t="shared" si="16"/>
        <v>-1.3696150597321106E-2</v>
      </c>
      <c r="R79" s="73">
        <f t="shared" si="16"/>
        <v>-1.3696150597321106E-2</v>
      </c>
      <c r="S79" s="73">
        <f t="shared" si="16"/>
        <v>-1.3696150597321106E-2</v>
      </c>
      <c r="T79" s="73">
        <f t="shared" si="16"/>
        <v>-1.3696150597321106E-2</v>
      </c>
      <c r="U79" s="73">
        <f t="shared" si="16"/>
        <v>-1.3696150597321106E-2</v>
      </c>
    </row>
    <row r="80" spans="1:21">
      <c r="B80" s="89" t="s">
        <v>162</v>
      </c>
      <c r="C80">
        <f>C136</f>
        <v>54.9</v>
      </c>
      <c r="D80">
        <f>D136</f>
        <v>60.5</v>
      </c>
      <c r="M80" s="72">
        <f t="shared" si="9"/>
        <v>60.5</v>
      </c>
      <c r="N80" s="72">
        <f t="shared" si="10"/>
        <v>60.5</v>
      </c>
      <c r="O80" s="72">
        <f t="shared" ref="O80:U80" si="17">N80</f>
        <v>60.5</v>
      </c>
      <c r="P80" s="72">
        <f t="shared" si="17"/>
        <v>60.5</v>
      </c>
      <c r="Q80" s="72">
        <f t="shared" si="17"/>
        <v>60.5</v>
      </c>
      <c r="R80" s="72">
        <f t="shared" si="17"/>
        <v>60.5</v>
      </c>
      <c r="S80" s="72">
        <f t="shared" si="17"/>
        <v>60.5</v>
      </c>
      <c r="T80" s="72">
        <f t="shared" si="17"/>
        <v>60.5</v>
      </c>
      <c r="U80" s="72">
        <f t="shared" si="17"/>
        <v>60.5</v>
      </c>
    </row>
    <row r="81" spans="1:21">
      <c r="B81" s="89" t="s">
        <v>163</v>
      </c>
      <c r="M81" s="73">
        <v>0</v>
      </c>
      <c r="N81" s="73">
        <v>0</v>
      </c>
      <c r="O81" s="73">
        <v>0</v>
      </c>
      <c r="P81" s="73">
        <v>0</v>
      </c>
      <c r="Q81" s="73">
        <v>0</v>
      </c>
      <c r="R81" s="73">
        <v>0</v>
      </c>
      <c r="S81" s="73">
        <v>0</v>
      </c>
      <c r="T81" s="73">
        <v>0</v>
      </c>
      <c r="U81" s="73">
        <v>0</v>
      </c>
    </row>
    <row r="82" spans="1:21">
      <c r="B82" s="89"/>
    </row>
    <row r="83" spans="1:21">
      <c r="A83" s="29" t="s">
        <v>164</v>
      </c>
      <c r="B83" s="89"/>
    </row>
    <row r="84" spans="1:21">
      <c r="B84" s="89" t="s">
        <v>165</v>
      </c>
      <c r="M84">
        <f t="shared" ref="M84" si="18">L87</f>
        <v>483</v>
      </c>
      <c r="N84">
        <f t="shared" ref="N84" si="19">M87</f>
        <v>491.175203774365</v>
      </c>
      <c r="O84">
        <f t="shared" ref="O84" si="20">N87</f>
        <v>500.41500816140842</v>
      </c>
      <c r="P84">
        <f t="shared" ref="P84" si="21">O87</f>
        <v>510.64504127103726</v>
      </c>
      <c r="Q84">
        <f t="shared" ref="Q84" si="22">P87</f>
        <v>521.80249376184736</v>
      </c>
      <c r="R84">
        <f t="shared" ref="R84" si="23">Q87</f>
        <v>533.83467598498851</v>
      </c>
      <c r="S84">
        <f t="shared" ref="S84" si="24">R87</f>
        <v>546.69776406006144</v>
      </c>
      <c r="T84">
        <f t="shared" ref="T84" si="25">S87</f>
        <v>560.35571042077117</v>
      </c>
      <c r="U84">
        <f t="shared" ref="U84" si="26">T87</f>
        <v>574.77929754358775</v>
      </c>
    </row>
    <row r="85" spans="1:21">
      <c r="B85" s="89" t="s">
        <v>166</v>
      </c>
      <c r="C85" s="23">
        <f>40.4</f>
        <v>40.4</v>
      </c>
      <c r="D85" s="23">
        <f>49.3</f>
        <v>49.3</v>
      </c>
      <c r="M85">
        <f t="shared" ref="M85:U85" si="27">M71*M106</f>
        <v>70.844429999999988</v>
      </c>
      <c r="N85">
        <f t="shared" si="27"/>
        <v>72.969762899999992</v>
      </c>
      <c r="O85">
        <f t="shared" si="27"/>
        <v>75.158855786999993</v>
      </c>
      <c r="P85">
        <f t="shared" si="27"/>
        <v>77.413621460610003</v>
      </c>
      <c r="Q85">
        <f t="shared" si="27"/>
        <v>79.736030104428309</v>
      </c>
      <c r="R85">
        <f t="shared" si="27"/>
        <v>82.128111007561145</v>
      </c>
      <c r="S85">
        <f t="shared" si="27"/>
        <v>84.591954337787982</v>
      </c>
      <c r="T85">
        <f t="shared" si="27"/>
        <v>87.12971296792162</v>
      </c>
      <c r="U85">
        <f t="shared" si="27"/>
        <v>89.743604356959281</v>
      </c>
    </row>
    <row r="86" spans="1:21">
      <c r="B86" s="89" t="s">
        <v>167</v>
      </c>
      <c r="C86">
        <f>C111*-1</f>
        <v>-68.7</v>
      </c>
      <c r="D86">
        <f>D111*-1</f>
        <v>-65.900000000000006</v>
      </c>
      <c r="M86">
        <f t="shared" ref="M86:U86" si="28">M72*M84</f>
        <v>-62.669226225634979</v>
      </c>
      <c r="N86">
        <f t="shared" si="28"/>
        <v>-63.729958512956607</v>
      </c>
      <c r="O86">
        <f t="shared" si="28"/>
        <v>-64.928822677371173</v>
      </c>
      <c r="P86">
        <f t="shared" si="28"/>
        <v>-66.256168969799887</v>
      </c>
      <c r="Q86">
        <f t="shared" si="28"/>
        <v>-67.70384788128716</v>
      </c>
      <c r="R86">
        <f t="shared" si="28"/>
        <v>-69.265022932488193</v>
      </c>
      <c r="S86">
        <f t="shared" si="28"/>
        <v>-70.934007977078281</v>
      </c>
      <c r="T86">
        <f t="shared" si="28"/>
        <v>-72.706125845104992</v>
      </c>
      <c r="U86">
        <f t="shared" si="28"/>
        <v>-74.577585564328487</v>
      </c>
    </row>
    <row r="87" spans="1:21">
      <c r="B87" s="89" t="s">
        <v>168</v>
      </c>
      <c r="C87">
        <f>C127</f>
        <v>507.9</v>
      </c>
      <c r="D87">
        <f>D127</f>
        <v>483</v>
      </c>
      <c r="L87">
        <f>L127</f>
        <v>483</v>
      </c>
      <c r="M87">
        <f t="shared" ref="M87" si="29">SUM(M84:M86)</f>
        <v>491.175203774365</v>
      </c>
      <c r="N87">
        <f t="shared" ref="N87:U87" si="30">SUM(N84:N86)</f>
        <v>500.41500816140842</v>
      </c>
      <c r="O87">
        <f t="shared" si="30"/>
        <v>510.64504127103726</v>
      </c>
      <c r="P87">
        <f t="shared" si="30"/>
        <v>521.80249376184736</v>
      </c>
      <c r="Q87">
        <f t="shared" si="30"/>
        <v>533.83467598498851</v>
      </c>
      <c r="R87">
        <f t="shared" si="30"/>
        <v>546.69776406006144</v>
      </c>
      <c r="S87">
        <f t="shared" si="30"/>
        <v>560.35571042077117</v>
      </c>
      <c r="T87">
        <f t="shared" si="30"/>
        <v>574.77929754358775</v>
      </c>
      <c r="U87">
        <f t="shared" si="30"/>
        <v>589.94531633621853</v>
      </c>
    </row>
    <row r="88" spans="1:21">
      <c r="B88" s="89"/>
    </row>
    <row r="89" spans="1:21">
      <c r="B89" s="89" t="s">
        <v>169</v>
      </c>
      <c r="M89">
        <f t="shared" ref="M89" si="31">L91</f>
        <v>16.100000000000001</v>
      </c>
      <c r="N89">
        <f t="shared" ref="N89" si="32">M91</f>
        <v>16.100000000000001</v>
      </c>
      <c r="O89">
        <f t="shared" ref="O89" si="33">N91</f>
        <v>16.100000000000001</v>
      </c>
      <c r="P89">
        <f t="shared" ref="P89" si="34">O91</f>
        <v>16.100000000000001</v>
      </c>
      <c r="Q89">
        <f t="shared" ref="Q89" si="35">P91</f>
        <v>16.100000000000001</v>
      </c>
      <c r="R89">
        <f t="shared" ref="R89" si="36">Q91</f>
        <v>16.100000000000001</v>
      </c>
      <c r="S89">
        <f t="shared" ref="S89" si="37">R91</f>
        <v>16.100000000000001</v>
      </c>
      <c r="T89">
        <f t="shared" ref="T89" si="38">S91</f>
        <v>16.100000000000001</v>
      </c>
      <c r="U89">
        <f t="shared" ref="U89" si="39">T91</f>
        <v>16.100000000000001</v>
      </c>
    </row>
    <row r="90" spans="1:21">
      <c r="B90" s="89" t="s">
        <v>170</v>
      </c>
      <c r="C90">
        <f>C112</f>
        <v>3</v>
      </c>
      <c r="D90">
        <f>D112</f>
        <v>2.9</v>
      </c>
      <c r="M90">
        <f t="shared" ref="M90:U90" si="40">M73*-1</f>
        <v>0</v>
      </c>
      <c r="N90">
        <f t="shared" si="40"/>
        <v>0</v>
      </c>
      <c r="O90">
        <f t="shared" si="40"/>
        <v>0</v>
      </c>
      <c r="P90">
        <f t="shared" si="40"/>
        <v>0</v>
      </c>
      <c r="Q90">
        <f t="shared" si="40"/>
        <v>0</v>
      </c>
      <c r="R90">
        <f t="shared" si="40"/>
        <v>0</v>
      </c>
      <c r="S90">
        <f t="shared" si="40"/>
        <v>0</v>
      </c>
      <c r="T90">
        <f t="shared" si="40"/>
        <v>0</v>
      </c>
      <c r="U90">
        <f t="shared" si="40"/>
        <v>0</v>
      </c>
    </row>
    <row r="91" spans="1:21">
      <c r="B91" s="89" t="s">
        <v>171</v>
      </c>
      <c r="C91">
        <f>C128</f>
        <v>10.5</v>
      </c>
      <c r="D91">
        <f>D128</f>
        <v>16.100000000000001</v>
      </c>
      <c r="L91">
        <f>L128</f>
        <v>16.100000000000001</v>
      </c>
      <c r="M91">
        <f t="shared" ref="M91" si="41">SUM(M89:M90)</f>
        <v>16.100000000000001</v>
      </c>
      <c r="N91">
        <f t="shared" ref="N91:U91" si="42">SUM(N89:N90)</f>
        <v>16.100000000000001</v>
      </c>
      <c r="O91">
        <f t="shared" si="42"/>
        <v>16.100000000000001</v>
      </c>
      <c r="P91">
        <f t="shared" si="42"/>
        <v>16.100000000000001</v>
      </c>
      <c r="Q91">
        <f t="shared" si="42"/>
        <v>16.100000000000001</v>
      </c>
      <c r="R91">
        <f t="shared" si="42"/>
        <v>16.100000000000001</v>
      </c>
      <c r="S91">
        <f t="shared" si="42"/>
        <v>16.100000000000001</v>
      </c>
      <c r="T91">
        <f t="shared" si="42"/>
        <v>16.100000000000001</v>
      </c>
      <c r="U91">
        <f t="shared" si="42"/>
        <v>16.100000000000001</v>
      </c>
    </row>
    <row r="92" spans="1:21">
      <c r="B92" s="89"/>
    </row>
    <row r="93" spans="1:21">
      <c r="B93" s="89" t="s">
        <v>172</v>
      </c>
      <c r="M93">
        <f t="shared" ref="M93" si="43">L96</f>
        <v>364.79999999999944</v>
      </c>
      <c r="N93">
        <f t="shared" ref="N93" ca="1" si="44">M96</f>
        <v>403.15827895120816</v>
      </c>
      <c r="O93">
        <f t="shared" ref="O93" ca="1" si="45">N96</f>
        <v>445.69828879638942</v>
      </c>
      <c r="P93">
        <f t="shared" ref="P93" ca="1" si="46">O96</f>
        <v>493.13488669065453</v>
      </c>
      <c r="Q93">
        <f t="shared" ref="Q93" ca="1" si="47">P96</f>
        <v>545.75898983722607</v>
      </c>
      <c r="R93">
        <f t="shared" ref="R93" ca="1" si="48">Q96</f>
        <v>603.88148389770299</v>
      </c>
      <c r="S93">
        <f t="shared" ref="S93" ca="1" si="49">R96</f>
        <v>667.83382281266472</v>
      </c>
      <c r="T93">
        <f t="shared" ref="T93" ca="1" si="50">S96</f>
        <v>737.96871767254584</v>
      </c>
      <c r="U93">
        <f t="shared" ref="U93" ca="1" si="51">T96</f>
        <v>815.04956587591016</v>
      </c>
    </row>
    <row r="94" spans="1:21">
      <c r="B94" s="89" t="s">
        <v>173</v>
      </c>
      <c r="M94">
        <f t="shared" ref="M94:U94" ca="1" si="52">M120</f>
        <v>38.358278951208732</v>
      </c>
      <c r="N94">
        <f t="shared" ca="1" si="52"/>
        <v>42.540009845181245</v>
      </c>
      <c r="O94">
        <f t="shared" ca="1" si="52"/>
        <v>47.436597894265105</v>
      </c>
      <c r="P94">
        <f t="shared" ca="1" si="52"/>
        <v>52.624103146571528</v>
      </c>
      <c r="Q94">
        <f t="shared" ca="1" si="52"/>
        <v>58.122494060476924</v>
      </c>
      <c r="R94">
        <f t="shared" ca="1" si="52"/>
        <v>63.952338914961729</v>
      </c>
      <c r="S94">
        <f t="shared" ca="1" si="52"/>
        <v>70.134894859881101</v>
      </c>
      <c r="T94">
        <f t="shared" ca="1" si="52"/>
        <v>77.080848203364283</v>
      </c>
      <c r="U94">
        <f t="shared" ca="1" si="52"/>
        <v>83.903670295876267</v>
      </c>
    </row>
    <row r="95" spans="1:21">
      <c r="B95" s="89" t="s">
        <v>174</v>
      </c>
      <c r="M95">
        <f t="shared" ref="M95:U95" ca="1" si="53">M81*M94*-1</f>
        <v>0</v>
      </c>
      <c r="N95">
        <f t="shared" ca="1" si="53"/>
        <v>0</v>
      </c>
      <c r="O95">
        <f t="shared" ca="1" si="53"/>
        <v>0</v>
      </c>
      <c r="P95">
        <f t="shared" ca="1" si="53"/>
        <v>0</v>
      </c>
      <c r="Q95">
        <f t="shared" ca="1" si="53"/>
        <v>0</v>
      </c>
      <c r="R95">
        <f t="shared" ca="1" si="53"/>
        <v>0</v>
      </c>
      <c r="S95">
        <f t="shared" ca="1" si="53"/>
        <v>0</v>
      </c>
      <c r="T95">
        <f t="shared" ca="1" si="53"/>
        <v>0</v>
      </c>
      <c r="U95">
        <f t="shared" ca="1" si="53"/>
        <v>0</v>
      </c>
    </row>
    <row r="96" spans="1:21">
      <c r="B96" s="89" t="s">
        <v>175</v>
      </c>
      <c r="L96">
        <f>L142</f>
        <v>364.79999999999944</v>
      </c>
      <c r="M96">
        <f t="shared" ref="M96" ca="1" si="54">SUM(M93:M95)</f>
        <v>403.15827895120816</v>
      </c>
      <c r="N96">
        <f t="shared" ref="N96:U96" ca="1" si="55">SUM(N93:N95)</f>
        <v>445.69828879638942</v>
      </c>
      <c r="O96">
        <f t="shared" ca="1" si="55"/>
        <v>493.13488669065453</v>
      </c>
      <c r="P96">
        <f t="shared" ca="1" si="55"/>
        <v>545.75898983722607</v>
      </c>
      <c r="Q96">
        <f t="shared" ca="1" si="55"/>
        <v>603.88148389770299</v>
      </c>
      <c r="R96">
        <f t="shared" ca="1" si="55"/>
        <v>667.83382281266472</v>
      </c>
      <c r="S96">
        <f t="shared" ca="1" si="55"/>
        <v>737.96871767254584</v>
      </c>
      <c r="T96">
        <f t="shared" ca="1" si="55"/>
        <v>815.04956587591016</v>
      </c>
      <c r="U96">
        <f t="shared" ca="1" si="55"/>
        <v>898.95323617178644</v>
      </c>
    </row>
    <row r="97" spans="1:22">
      <c r="B97" s="89"/>
    </row>
    <row r="98" spans="1:22">
      <c r="B98" s="89" t="str">
        <f>B124</f>
        <v>Accounts receivable</v>
      </c>
      <c r="L98">
        <f t="shared" ref="L98:U98" si="56">L124</f>
        <v>195.4</v>
      </c>
      <c r="M98">
        <f t="shared" si="56"/>
        <v>201.262</v>
      </c>
      <c r="N98">
        <f t="shared" si="56"/>
        <v>207.29986</v>
      </c>
      <c r="O98">
        <f t="shared" si="56"/>
        <v>213.51885580000001</v>
      </c>
      <c r="P98">
        <f t="shared" si="56"/>
        <v>219.92442147400001</v>
      </c>
      <c r="Q98">
        <f t="shared" si="56"/>
        <v>226.52215411822002</v>
      </c>
      <c r="R98">
        <f t="shared" si="56"/>
        <v>233.31781874176662</v>
      </c>
      <c r="S98">
        <f t="shared" si="56"/>
        <v>240.3173533040196</v>
      </c>
      <c r="T98">
        <f t="shared" si="56"/>
        <v>247.5268739031402</v>
      </c>
      <c r="U98">
        <f t="shared" si="56"/>
        <v>254.95268012023445</v>
      </c>
    </row>
    <row r="99" spans="1:22">
      <c r="B99" s="89" t="str">
        <f>B125</f>
        <v>Inventories</v>
      </c>
      <c r="L99">
        <f t="shared" ref="L99:U99" si="57">L125</f>
        <v>82.5</v>
      </c>
      <c r="M99">
        <f t="shared" si="57"/>
        <v>84.974999999999994</v>
      </c>
      <c r="N99">
        <f t="shared" si="57"/>
        <v>87.524249999999995</v>
      </c>
      <c r="O99">
        <f t="shared" si="57"/>
        <v>90.149977500000006</v>
      </c>
      <c r="P99">
        <f t="shared" si="57"/>
        <v>92.854476825000006</v>
      </c>
      <c r="Q99">
        <f t="shared" si="57"/>
        <v>95.640111129750011</v>
      </c>
      <c r="R99">
        <f t="shared" si="57"/>
        <v>98.509314463642511</v>
      </c>
      <c r="S99">
        <f t="shared" si="57"/>
        <v>101.46459389755178</v>
      </c>
      <c r="T99">
        <f t="shared" si="57"/>
        <v>104.50853171447834</v>
      </c>
      <c r="U99">
        <f t="shared" si="57"/>
        <v>107.6437876659127</v>
      </c>
    </row>
    <row r="100" spans="1:22">
      <c r="B100" s="89" t="str">
        <f>B126</f>
        <v>Other current assets</v>
      </c>
      <c r="L100">
        <f t="shared" ref="L100:U100" si="58">L126</f>
        <v>3.5</v>
      </c>
      <c r="M100">
        <f t="shared" si="58"/>
        <v>3.5</v>
      </c>
      <c r="N100">
        <f t="shared" si="58"/>
        <v>3.5</v>
      </c>
      <c r="O100">
        <f t="shared" si="58"/>
        <v>3.5</v>
      </c>
      <c r="P100">
        <f t="shared" si="58"/>
        <v>3.5</v>
      </c>
      <c r="Q100">
        <f t="shared" si="58"/>
        <v>3.5</v>
      </c>
      <c r="R100">
        <f t="shared" si="58"/>
        <v>3.5</v>
      </c>
      <c r="S100">
        <f t="shared" si="58"/>
        <v>3.5</v>
      </c>
      <c r="T100">
        <f t="shared" si="58"/>
        <v>3.5</v>
      </c>
      <c r="U100">
        <f t="shared" si="58"/>
        <v>3.5</v>
      </c>
    </row>
    <row r="101" spans="1:22">
      <c r="B101" s="89" t="str">
        <f>B134</f>
        <v>Accounts payable</v>
      </c>
      <c r="L101">
        <f t="shared" ref="L101:U101" si="59">L134</f>
        <v>492.7</v>
      </c>
      <c r="M101">
        <f t="shared" si="59"/>
        <v>507.48099999999999</v>
      </c>
      <c r="N101">
        <f t="shared" si="59"/>
        <v>522.70542999999998</v>
      </c>
      <c r="O101">
        <f t="shared" si="59"/>
        <v>538.3865929000001</v>
      </c>
      <c r="P101">
        <f t="shared" si="59"/>
        <v>554.538190687</v>
      </c>
      <c r="Q101">
        <f t="shared" si="59"/>
        <v>571.1743364076101</v>
      </c>
      <c r="R101">
        <f t="shared" si="59"/>
        <v>588.3095664998383</v>
      </c>
      <c r="S101">
        <f t="shared" si="59"/>
        <v>605.95885349483353</v>
      </c>
      <c r="T101">
        <f t="shared" si="59"/>
        <v>624.13761909967855</v>
      </c>
      <c r="U101">
        <f t="shared" si="59"/>
        <v>642.86174767266891</v>
      </c>
    </row>
    <row r="102" spans="1:22">
      <c r="B102" s="89" t="s">
        <v>176</v>
      </c>
      <c r="L102">
        <f>L135</f>
        <v>22.700000000000003</v>
      </c>
      <c r="M102">
        <f t="shared" ref="M102:U102" si="60">M135</f>
        <v>23.381000000000004</v>
      </c>
      <c r="N102">
        <f t="shared" si="60"/>
        <v>24.082430000000006</v>
      </c>
      <c r="O102">
        <f t="shared" si="60"/>
        <v>24.804902900000005</v>
      </c>
      <c r="P102">
        <f t="shared" si="60"/>
        <v>25.549049987000007</v>
      </c>
      <c r="Q102">
        <f t="shared" si="60"/>
        <v>26.31552148661001</v>
      </c>
      <c r="R102">
        <f t="shared" si="60"/>
        <v>27.104987131208308</v>
      </c>
      <c r="S102">
        <f t="shared" si="60"/>
        <v>27.918136745144555</v>
      </c>
      <c r="T102">
        <f t="shared" si="60"/>
        <v>28.755680847498894</v>
      </c>
      <c r="U102">
        <f t="shared" si="60"/>
        <v>29.618351272923864</v>
      </c>
    </row>
    <row r="103" spans="1:22">
      <c r="B103" s="89" t="s">
        <v>64</v>
      </c>
      <c r="L103">
        <f>L98+L99+L100-L101-L102</f>
        <v>-234</v>
      </c>
      <c r="M103">
        <f t="shared" ref="M103:U103" si="61">M98+M99+M100-M101-M102</f>
        <v>-241.12500000000003</v>
      </c>
      <c r="N103">
        <f t="shared" si="61"/>
        <v>-248.46374999999998</v>
      </c>
      <c r="O103">
        <f t="shared" si="61"/>
        <v>-256.02266250000008</v>
      </c>
      <c r="P103">
        <f t="shared" si="61"/>
        <v>-263.80834237499994</v>
      </c>
      <c r="Q103">
        <f t="shared" si="61"/>
        <v>-271.82759264625008</v>
      </c>
      <c r="R103">
        <f t="shared" si="61"/>
        <v>-280.08742042563745</v>
      </c>
      <c r="S103">
        <f t="shared" si="61"/>
        <v>-288.59504303840674</v>
      </c>
      <c r="T103">
        <f t="shared" si="61"/>
        <v>-297.35789432955892</v>
      </c>
      <c r="U103">
        <f t="shared" si="61"/>
        <v>-306.3836311594456</v>
      </c>
    </row>
    <row r="105" spans="1:22" ht="15" customHeight="1">
      <c r="A105" s="29" t="s">
        <v>54</v>
      </c>
      <c r="B105" s="89"/>
      <c r="C105" s="26"/>
      <c r="D105" s="26"/>
      <c r="E105" s="26"/>
      <c r="F105" s="26"/>
      <c r="G105" s="26"/>
      <c r="H105" s="26"/>
      <c r="I105" s="26"/>
      <c r="J105" s="26"/>
      <c r="K105" s="26"/>
      <c r="L105" s="26"/>
      <c r="M105" s="26"/>
      <c r="N105" s="26"/>
      <c r="O105" s="26"/>
      <c r="P105" s="26"/>
      <c r="Q105" s="26"/>
      <c r="R105" s="26"/>
      <c r="S105" s="26"/>
      <c r="T105" s="26"/>
      <c r="U105" s="26"/>
    </row>
    <row r="106" spans="1:22" ht="15" customHeight="1">
      <c r="B106" s="89" t="s">
        <v>177</v>
      </c>
      <c r="C106" s="23">
        <f>2203.8</f>
        <v>2203.8000000000002</v>
      </c>
      <c r="D106" s="23">
        <f>2292.7</f>
        <v>2292.6999999999998</v>
      </c>
      <c r="L106">
        <f>SUM(D106:K106)</f>
        <v>2292.6999999999998</v>
      </c>
      <c r="M106">
        <f t="shared" ref="M106:U106" si="62">(1+M67)*L106</f>
        <v>2361.4809999999998</v>
      </c>
      <c r="N106">
        <f t="shared" si="62"/>
        <v>2432.3254299999999</v>
      </c>
      <c r="O106">
        <f t="shared" si="62"/>
        <v>2505.2951929000001</v>
      </c>
      <c r="P106">
        <f t="shared" si="62"/>
        <v>2580.4540486870001</v>
      </c>
      <c r="Q106">
        <f t="shared" si="62"/>
        <v>2657.8676701476102</v>
      </c>
      <c r="R106">
        <f t="shared" si="62"/>
        <v>2737.6037002520384</v>
      </c>
      <c r="S106">
        <f t="shared" si="62"/>
        <v>2819.7318112595995</v>
      </c>
      <c r="T106">
        <f t="shared" si="62"/>
        <v>2904.3237655973876</v>
      </c>
      <c r="U106">
        <f t="shared" si="62"/>
        <v>2991.4534785653095</v>
      </c>
    </row>
    <row r="107" spans="1:22">
      <c r="B107" s="89" t="s">
        <v>178</v>
      </c>
      <c r="C107" s="23">
        <f>-1614.4</f>
        <v>-1614.4</v>
      </c>
      <c r="D107" s="23">
        <f>-1657.4</f>
        <v>-1657.4</v>
      </c>
      <c r="L107">
        <f>SUM(D107:K107)</f>
        <v>-1657.4</v>
      </c>
      <c r="M107">
        <f t="shared" ref="M107:U107" si="63">M68*M106</f>
        <v>-1707.1220000000001</v>
      </c>
      <c r="N107">
        <f t="shared" si="63"/>
        <v>-1758.3356600000002</v>
      </c>
      <c r="O107">
        <f t="shared" si="63"/>
        <v>-1811.0857298000003</v>
      </c>
      <c r="P107">
        <f t="shared" si="63"/>
        <v>-1865.4183016940003</v>
      </c>
      <c r="Q107">
        <f t="shared" si="63"/>
        <v>-1921.3808507448205</v>
      </c>
      <c r="R107">
        <f t="shared" si="63"/>
        <v>-1979.0222762671649</v>
      </c>
      <c r="S107">
        <f t="shared" si="63"/>
        <v>-2038.3929445551798</v>
      </c>
      <c r="T107">
        <f t="shared" si="63"/>
        <v>-2099.5447328918353</v>
      </c>
      <c r="U107">
        <f t="shared" si="63"/>
        <v>-2162.5310748785905</v>
      </c>
    </row>
    <row r="108" spans="1:22">
      <c r="B108" s="89" t="s">
        <v>179</v>
      </c>
      <c r="C108" s="23">
        <f>-85.1-409.9-0.1</f>
        <v>-495.1</v>
      </c>
      <c r="D108" s="23">
        <f>-87.1-434.6</f>
        <v>-521.70000000000005</v>
      </c>
      <c r="L108">
        <f>SUM(D108:K108)</f>
        <v>-521.70000000000005</v>
      </c>
      <c r="M108">
        <f t="shared" ref="M108:U108" si="64">M69*M106</f>
        <v>-537.351</v>
      </c>
      <c r="N108">
        <f t="shared" si="64"/>
        <v>-553.47153000000003</v>
      </c>
      <c r="O108">
        <f t="shared" si="64"/>
        <v>-570.07567590000008</v>
      </c>
      <c r="P108">
        <f t="shared" si="64"/>
        <v>-587.17794617700008</v>
      </c>
      <c r="Q108">
        <f t="shared" si="64"/>
        <v>-604.79328456231008</v>
      </c>
      <c r="R108">
        <f t="shared" si="64"/>
        <v>-622.9370830991794</v>
      </c>
      <c r="S108">
        <f t="shared" si="64"/>
        <v>-641.6251955921548</v>
      </c>
      <c r="T108">
        <f t="shared" si="64"/>
        <v>-660.87395145991945</v>
      </c>
      <c r="U108">
        <f t="shared" si="64"/>
        <v>-680.70017000371706</v>
      </c>
    </row>
    <row r="109" spans="1:22" s="70" customFormat="1">
      <c r="A109" s="29"/>
      <c r="B109" s="93" t="s">
        <v>46</v>
      </c>
      <c r="C109" s="70">
        <f>SUM(C106:C108)</f>
        <v>94.300000000000068</v>
      </c>
      <c r="D109" s="70">
        <f>SUM(D106:D108)</f>
        <v>113.59999999999968</v>
      </c>
      <c r="K109"/>
      <c r="L109" s="70">
        <f t="shared" ref="L109:M109" si="65">SUM(L106:L108)</f>
        <v>113.59999999999968</v>
      </c>
      <c r="M109" s="70">
        <f t="shared" si="65"/>
        <v>117.0079999999997</v>
      </c>
      <c r="N109" s="70">
        <f t="shared" ref="N109:U109" si="66">SUM(N106:N108)</f>
        <v>120.51823999999965</v>
      </c>
      <c r="O109" s="70">
        <f t="shared" si="66"/>
        <v>124.13378719999969</v>
      </c>
      <c r="P109" s="70">
        <f t="shared" si="66"/>
        <v>127.85780081599967</v>
      </c>
      <c r="Q109" s="70">
        <f t="shared" si="66"/>
        <v>131.69353484047963</v>
      </c>
      <c r="R109" s="70">
        <f t="shared" si="66"/>
        <v>135.64434088569408</v>
      </c>
      <c r="S109" s="70">
        <f t="shared" si="66"/>
        <v>139.71367111226482</v>
      </c>
      <c r="T109" s="70">
        <f t="shared" si="66"/>
        <v>143.9050812456328</v>
      </c>
      <c r="U109" s="70">
        <f t="shared" si="66"/>
        <v>148.22223368300195</v>
      </c>
      <c r="V109"/>
    </row>
    <row r="110" spans="1:22">
      <c r="B110" s="89"/>
      <c r="M110" s="26"/>
      <c r="N110" s="26"/>
      <c r="O110" s="26"/>
      <c r="P110" s="26"/>
      <c r="Q110" s="26"/>
      <c r="R110" s="26"/>
      <c r="S110" s="26"/>
      <c r="T110" s="26"/>
      <c r="U110" s="26"/>
    </row>
    <row r="111" spans="1:22">
      <c r="B111" s="89" t="s">
        <v>180</v>
      </c>
      <c r="C111" s="23">
        <f>68.7</f>
        <v>68.7</v>
      </c>
      <c r="D111" s="23">
        <f>65.9</f>
        <v>65.900000000000006</v>
      </c>
      <c r="L111">
        <f>SUM(D111:K111)</f>
        <v>65.900000000000006</v>
      </c>
      <c r="M111">
        <f t="shared" ref="M111:U111" si="67">M86*-1</f>
        <v>62.669226225634979</v>
      </c>
      <c r="N111">
        <f t="shared" si="67"/>
        <v>63.729958512956607</v>
      </c>
      <c r="O111">
        <f t="shared" si="67"/>
        <v>64.928822677371173</v>
      </c>
      <c r="P111">
        <f t="shared" si="67"/>
        <v>66.256168969799887</v>
      </c>
      <c r="Q111">
        <f t="shared" si="67"/>
        <v>67.70384788128716</v>
      </c>
      <c r="R111">
        <f t="shared" si="67"/>
        <v>69.265022932488193</v>
      </c>
      <c r="S111">
        <f t="shared" si="67"/>
        <v>70.934007977078281</v>
      </c>
      <c r="T111">
        <f t="shared" si="67"/>
        <v>72.706125845104992</v>
      </c>
      <c r="U111">
        <f t="shared" si="67"/>
        <v>74.577585564328487</v>
      </c>
    </row>
    <row r="112" spans="1:22">
      <c r="B112" s="89" t="s">
        <v>181</v>
      </c>
      <c r="C112" s="23">
        <v>3</v>
      </c>
      <c r="D112" s="23">
        <f>2.9</f>
        <v>2.9</v>
      </c>
      <c r="L112">
        <f>SUM(D112:K112)</f>
        <v>2.9</v>
      </c>
      <c r="M112">
        <f t="shared" ref="M112:U112" si="68">M73</f>
        <v>0</v>
      </c>
      <c r="N112">
        <f t="shared" si="68"/>
        <v>0</v>
      </c>
      <c r="O112">
        <f t="shared" si="68"/>
        <v>0</v>
      </c>
      <c r="P112">
        <f t="shared" si="68"/>
        <v>0</v>
      </c>
      <c r="Q112">
        <f t="shared" si="68"/>
        <v>0</v>
      </c>
      <c r="R112">
        <f t="shared" si="68"/>
        <v>0</v>
      </c>
      <c r="S112">
        <f t="shared" si="68"/>
        <v>0</v>
      </c>
      <c r="T112">
        <f t="shared" si="68"/>
        <v>0</v>
      </c>
      <c r="U112">
        <f t="shared" si="68"/>
        <v>0</v>
      </c>
    </row>
    <row r="113" spans="1:22" s="70" customFormat="1">
      <c r="A113" s="29"/>
      <c r="B113" s="93" t="s">
        <v>48</v>
      </c>
      <c r="C113" s="70">
        <f>SUM(C109,C111:C112)</f>
        <v>166.00000000000006</v>
      </c>
      <c r="D113" s="70">
        <f>SUM(D109,D111:D112)</f>
        <v>182.39999999999969</v>
      </c>
      <c r="K113"/>
      <c r="L113" s="70">
        <f t="shared" ref="L113:U113" si="69">SUM(L109,L111:L112)</f>
        <v>182.39999999999969</v>
      </c>
      <c r="M113" s="70">
        <f t="shared" si="69"/>
        <v>179.67722622563468</v>
      </c>
      <c r="N113" s="70">
        <f t="shared" si="69"/>
        <v>184.24819851295626</v>
      </c>
      <c r="O113" s="70">
        <f t="shared" si="69"/>
        <v>189.06260987737085</v>
      </c>
      <c r="P113" s="70">
        <f t="shared" si="69"/>
        <v>194.11396978579955</v>
      </c>
      <c r="Q113" s="70">
        <f t="shared" si="69"/>
        <v>199.3973827217668</v>
      </c>
      <c r="R113" s="70">
        <f t="shared" si="69"/>
        <v>204.90936381818227</v>
      </c>
      <c r="S113" s="70">
        <f t="shared" si="69"/>
        <v>210.64767908934311</v>
      </c>
      <c r="T113" s="70">
        <f t="shared" si="69"/>
        <v>216.61120709073779</v>
      </c>
      <c r="U113" s="70">
        <f t="shared" si="69"/>
        <v>222.79981924733045</v>
      </c>
      <c r="V113"/>
    </row>
    <row r="114" spans="1:22">
      <c r="B114" s="89"/>
    </row>
    <row r="115" spans="1:22">
      <c r="B115" s="89" t="s">
        <v>57</v>
      </c>
      <c r="C115" s="23">
        <f>0.6</f>
        <v>0.6</v>
      </c>
      <c r="D115" s="23">
        <f>0.5+1.7</f>
        <v>2.2000000000000002</v>
      </c>
      <c r="L115">
        <f>SUM(D115:K115)</f>
        <v>2.2000000000000002</v>
      </c>
      <c r="M115">
        <f t="shared" ref="M115:U115" ca="1" si="70">IF(Circswitch=1,M232,0)</f>
        <v>0.11807405</v>
      </c>
      <c r="N115">
        <f t="shared" ca="1" si="70"/>
        <v>0.2396903215</v>
      </c>
      <c r="O115">
        <f t="shared" ca="1" si="70"/>
        <v>0.24688103114500004</v>
      </c>
      <c r="P115">
        <f t="shared" ca="1" si="70"/>
        <v>0.25428746207934999</v>
      </c>
      <c r="Q115">
        <f t="shared" ca="1" si="70"/>
        <v>0.26191608594173049</v>
      </c>
      <c r="R115">
        <f t="shared" ca="1" si="70"/>
        <v>0.26977356851998241</v>
      </c>
      <c r="S115">
        <f t="shared" ca="1" si="70"/>
        <v>0.27786677557558187</v>
      </c>
      <c r="T115">
        <f t="shared" ca="1" si="70"/>
        <v>0.28620277884284939</v>
      </c>
      <c r="U115">
        <f t="shared" ca="1" si="70"/>
        <v>0.29478886220813494</v>
      </c>
    </row>
    <row r="116" spans="1:22">
      <c r="B116" s="89" t="s">
        <v>182</v>
      </c>
      <c r="C116" s="23">
        <f>-27.4</f>
        <v>-27.4</v>
      </c>
      <c r="D116" s="23">
        <f>-26.4</f>
        <v>-26.4</v>
      </c>
      <c r="L116">
        <f>SUM(D116:K116)</f>
        <v>-26.4</v>
      </c>
      <c r="M116">
        <f t="shared" ref="M116:U116" ca="1" si="71">IF(Circswitch=1,M234,0)*-1</f>
        <v>-69.17822536098879</v>
      </c>
      <c r="N116">
        <f t="shared" ca="1" si="71"/>
        <v>-67.582918015023097</v>
      </c>
      <c r="O116">
        <f t="shared" ca="1" si="71"/>
        <v>-65.0849208633133</v>
      </c>
      <c r="P116">
        <f t="shared" ca="1" si="71"/>
        <v>-62.331959344864615</v>
      </c>
      <c r="Q116">
        <f t="shared" ca="1" si="71"/>
        <v>-59.302333350825194</v>
      </c>
      <c r="R116">
        <f t="shared" ca="1" si="71"/>
        <v>-55.973690810511897</v>
      </c>
      <c r="S116">
        <f t="shared" ca="1" si="71"/>
        <v>-52.322919312989015</v>
      </c>
      <c r="T116">
        <f t="shared" ca="1" si="71"/>
        <v>-47.840223770270313</v>
      </c>
      <c r="U116">
        <f t="shared" ca="1" si="71"/>
        <v>-43.63743467536473</v>
      </c>
    </row>
    <row r="117" spans="1:22">
      <c r="B117" s="89" t="s">
        <v>183</v>
      </c>
      <c r="C117" s="23">
        <v>0</v>
      </c>
      <c r="D117" s="23">
        <v>0</v>
      </c>
      <c r="L117">
        <f>SUM(D117:K117)</f>
        <v>0</v>
      </c>
      <c r="M117">
        <f t="shared" ref="M117:U117" si="72">M235*-1</f>
        <v>0</v>
      </c>
      <c r="N117">
        <f t="shared" si="72"/>
        <v>0</v>
      </c>
      <c r="O117">
        <f t="shared" si="72"/>
        <v>0</v>
      </c>
      <c r="P117">
        <f t="shared" si="72"/>
        <v>0</v>
      </c>
      <c r="Q117">
        <f t="shared" si="72"/>
        <v>0</v>
      </c>
      <c r="R117">
        <f t="shared" si="72"/>
        <v>0</v>
      </c>
      <c r="S117">
        <f t="shared" si="72"/>
        <v>0</v>
      </c>
      <c r="T117">
        <f t="shared" si="72"/>
        <v>0</v>
      </c>
      <c r="U117">
        <f t="shared" si="72"/>
        <v>0</v>
      </c>
    </row>
    <row r="118" spans="1:22" s="70" customFormat="1">
      <c r="A118" s="29"/>
      <c r="B118" s="93" t="s">
        <v>184</v>
      </c>
      <c r="C118" s="70">
        <f>SUM(C109,C115:C117)</f>
        <v>67.500000000000057</v>
      </c>
      <c r="D118" s="70">
        <f>SUM(D109,D115:D117)</f>
        <v>89.399999999999693</v>
      </c>
      <c r="K118"/>
      <c r="L118" s="70">
        <f t="shared" ref="L118:U118" si="73">SUM(L109,L115:L117)</f>
        <v>89.399999999999693</v>
      </c>
      <c r="M118" s="70">
        <f t="shared" ca="1" si="73"/>
        <v>47.947848689010911</v>
      </c>
      <c r="N118" s="70">
        <f t="shared" ca="1" si="73"/>
        <v>53.17501230647656</v>
      </c>
      <c r="O118" s="70">
        <f t="shared" ca="1" si="73"/>
        <v>59.295747367831382</v>
      </c>
      <c r="P118" s="70">
        <f t="shared" ca="1" si="73"/>
        <v>65.780128933214414</v>
      </c>
      <c r="Q118" s="70">
        <f t="shared" ca="1" si="73"/>
        <v>72.653117575596156</v>
      </c>
      <c r="R118" s="70">
        <f t="shared" ca="1" si="73"/>
        <v>79.940423643702161</v>
      </c>
      <c r="S118" s="70">
        <f t="shared" ca="1" si="73"/>
        <v>87.668618574851379</v>
      </c>
      <c r="T118" s="70">
        <f t="shared" ca="1" si="73"/>
        <v>96.35106025420535</v>
      </c>
      <c r="U118" s="70">
        <f t="shared" ca="1" si="73"/>
        <v>104.87958786984534</v>
      </c>
      <c r="V118"/>
    </row>
    <row r="119" spans="1:22">
      <c r="B119" s="89" t="s">
        <v>59</v>
      </c>
      <c r="C119" s="23">
        <f>-16.4</f>
        <v>-16.399999999999999</v>
      </c>
      <c r="D119" s="23">
        <v>-18.3</v>
      </c>
      <c r="L119">
        <f>SUM(D119:K119)</f>
        <v>-18.3</v>
      </c>
      <c r="M119">
        <f t="shared" ref="M119:U119" ca="1" si="74">M70*M118</f>
        <v>-9.5895697378021829</v>
      </c>
      <c r="N119">
        <f t="shared" ca="1" si="74"/>
        <v>-10.635002461295313</v>
      </c>
      <c r="O119">
        <f t="shared" ca="1" si="74"/>
        <v>-11.859149473566276</v>
      </c>
      <c r="P119">
        <f t="shared" ca="1" si="74"/>
        <v>-13.156025786642884</v>
      </c>
      <c r="Q119">
        <f t="shared" ca="1" si="74"/>
        <v>-14.530623515119231</v>
      </c>
      <c r="R119">
        <f t="shared" ca="1" si="74"/>
        <v>-15.988084728740432</v>
      </c>
      <c r="S119">
        <f t="shared" ca="1" si="74"/>
        <v>-17.533723714970275</v>
      </c>
      <c r="T119">
        <f t="shared" ca="1" si="74"/>
        <v>-19.270212050841071</v>
      </c>
      <c r="U119">
        <f t="shared" ca="1" si="74"/>
        <v>-20.97591757396907</v>
      </c>
    </row>
    <row r="120" spans="1:22" s="70" customFormat="1">
      <c r="A120" s="29"/>
      <c r="B120" s="93" t="s">
        <v>60</v>
      </c>
      <c r="C120" s="70">
        <f>C118+C119</f>
        <v>51.100000000000058</v>
      </c>
      <c r="D120" s="70">
        <f>D118+D119</f>
        <v>71.099999999999696</v>
      </c>
      <c r="K120"/>
      <c r="L120" s="70">
        <f>L118+L119</f>
        <v>71.099999999999696</v>
      </c>
      <c r="M120" s="70">
        <f t="shared" ref="M120" ca="1" si="75">SUM(M118:M119)</f>
        <v>38.358278951208732</v>
      </c>
      <c r="N120" s="70">
        <f t="shared" ref="N120:U120" ca="1" si="76">SUM(N118:N119)</f>
        <v>42.540009845181245</v>
      </c>
      <c r="O120" s="70">
        <f t="shared" ca="1" si="76"/>
        <v>47.436597894265105</v>
      </c>
      <c r="P120" s="70">
        <f t="shared" ca="1" si="76"/>
        <v>52.624103146571528</v>
      </c>
      <c r="Q120" s="70">
        <f t="shared" ca="1" si="76"/>
        <v>58.122494060476924</v>
      </c>
      <c r="R120" s="70">
        <f t="shared" ca="1" si="76"/>
        <v>63.952338914961729</v>
      </c>
      <c r="S120" s="70">
        <f t="shared" ca="1" si="76"/>
        <v>70.134894859881101</v>
      </c>
      <c r="T120" s="70">
        <f t="shared" ca="1" si="76"/>
        <v>77.080848203364283</v>
      </c>
      <c r="U120" s="70">
        <f t="shared" ca="1" si="76"/>
        <v>83.903670295876267</v>
      </c>
      <c r="V120"/>
    </row>
    <row r="122" spans="1:22">
      <c r="A122" s="29" t="s">
        <v>185</v>
      </c>
      <c r="B122" s="89"/>
    </row>
    <row r="123" spans="1:22">
      <c r="B123" s="89" t="s">
        <v>117</v>
      </c>
      <c r="C123" s="23">
        <f>36.6</f>
        <v>36.6</v>
      </c>
      <c r="D123" s="23">
        <f>29.9</f>
        <v>29.9</v>
      </c>
      <c r="E123">
        <f>D123*-1</f>
        <v>-29.9</v>
      </c>
      <c r="L123">
        <f t="shared" ref="L123:L130" si="77">SUM(D123:K123)</f>
        <v>0</v>
      </c>
      <c r="M123">
        <f ca="1">M170</f>
        <v>23.614810000000006</v>
      </c>
      <c r="N123">
        <f t="shared" ref="N123:U123" ca="1" si="78">N170</f>
        <v>24.323254300000031</v>
      </c>
      <c r="O123">
        <f t="shared" ca="1" si="78"/>
        <v>25.052951928999988</v>
      </c>
      <c r="P123">
        <f t="shared" ca="1" si="78"/>
        <v>25.80454048687001</v>
      </c>
      <c r="Q123">
        <f t="shared" ca="1" si="78"/>
        <v>26.578676701476155</v>
      </c>
      <c r="R123">
        <f t="shared" ca="1" si="78"/>
        <v>27.376037002520391</v>
      </c>
      <c r="S123">
        <f t="shared" ca="1" si="78"/>
        <v>28.197318112596008</v>
      </c>
      <c r="T123">
        <f t="shared" ca="1" si="78"/>
        <v>29.043237655973883</v>
      </c>
      <c r="U123">
        <f t="shared" ca="1" si="78"/>
        <v>29.914534785653117</v>
      </c>
    </row>
    <row r="124" spans="1:22">
      <c r="B124" s="89" t="s">
        <v>186</v>
      </c>
      <c r="C124" s="23">
        <f>171.7</f>
        <v>171.7</v>
      </c>
      <c r="D124" s="23">
        <f>195.4</f>
        <v>195.4</v>
      </c>
      <c r="L124">
        <f t="shared" si="77"/>
        <v>195.4</v>
      </c>
      <c r="M124">
        <f t="shared" ref="M124:U124" si="79">M74*M106</f>
        <v>201.262</v>
      </c>
      <c r="N124">
        <f t="shared" si="79"/>
        <v>207.29986</v>
      </c>
      <c r="O124">
        <f t="shared" si="79"/>
        <v>213.51885580000001</v>
      </c>
      <c r="P124">
        <f t="shared" si="79"/>
        <v>219.92442147400001</v>
      </c>
      <c r="Q124">
        <f t="shared" si="79"/>
        <v>226.52215411822002</v>
      </c>
      <c r="R124">
        <f t="shared" si="79"/>
        <v>233.31781874176662</v>
      </c>
      <c r="S124">
        <f t="shared" si="79"/>
        <v>240.3173533040196</v>
      </c>
      <c r="T124">
        <f t="shared" si="79"/>
        <v>247.5268739031402</v>
      </c>
      <c r="U124">
        <f t="shared" si="79"/>
        <v>254.95268012023445</v>
      </c>
    </row>
    <row r="125" spans="1:22">
      <c r="B125" s="89" t="s">
        <v>187</v>
      </c>
      <c r="C125" s="23">
        <f>71.3</f>
        <v>71.3</v>
      </c>
      <c r="D125" s="23">
        <f>82.5</f>
        <v>82.5</v>
      </c>
      <c r="L125">
        <f t="shared" si="77"/>
        <v>82.5</v>
      </c>
      <c r="M125">
        <f t="shared" ref="M125:U125" si="80">M75*M107</f>
        <v>84.974999999999994</v>
      </c>
      <c r="N125">
        <f t="shared" si="80"/>
        <v>87.524249999999995</v>
      </c>
      <c r="O125">
        <f t="shared" si="80"/>
        <v>90.149977500000006</v>
      </c>
      <c r="P125">
        <f t="shared" si="80"/>
        <v>92.854476825000006</v>
      </c>
      <c r="Q125">
        <f t="shared" si="80"/>
        <v>95.640111129750011</v>
      </c>
      <c r="R125">
        <f t="shared" si="80"/>
        <v>98.509314463642511</v>
      </c>
      <c r="S125">
        <f t="shared" si="80"/>
        <v>101.46459389755178</v>
      </c>
      <c r="T125">
        <f t="shared" si="80"/>
        <v>104.50853171447834</v>
      </c>
      <c r="U125">
        <f t="shared" si="80"/>
        <v>107.6437876659127</v>
      </c>
    </row>
    <row r="126" spans="1:22">
      <c r="B126" s="89" t="s">
        <v>188</v>
      </c>
      <c r="C126" s="23">
        <f>2.1</f>
        <v>2.1</v>
      </c>
      <c r="D126" s="23">
        <f>2.3+1.2</f>
        <v>3.5</v>
      </c>
      <c r="L126">
        <f t="shared" si="77"/>
        <v>3.5</v>
      </c>
      <c r="M126">
        <f>M76</f>
        <v>3.5</v>
      </c>
      <c r="N126">
        <f t="shared" ref="N126:U126" si="81">N76</f>
        <v>3.5</v>
      </c>
      <c r="O126">
        <f t="shared" si="81"/>
        <v>3.5</v>
      </c>
      <c r="P126">
        <f t="shared" si="81"/>
        <v>3.5</v>
      </c>
      <c r="Q126">
        <f t="shared" si="81"/>
        <v>3.5</v>
      </c>
      <c r="R126">
        <f t="shared" si="81"/>
        <v>3.5</v>
      </c>
      <c r="S126">
        <f t="shared" si="81"/>
        <v>3.5</v>
      </c>
      <c r="T126">
        <f t="shared" si="81"/>
        <v>3.5</v>
      </c>
      <c r="U126">
        <f t="shared" si="81"/>
        <v>3.5</v>
      </c>
    </row>
    <row r="127" spans="1:22">
      <c r="B127" s="89" t="s">
        <v>189</v>
      </c>
      <c r="C127" s="23">
        <f>507.9</f>
        <v>507.9</v>
      </c>
      <c r="D127" s="23">
        <f>483</f>
        <v>483</v>
      </c>
      <c r="L127">
        <f t="shared" si="77"/>
        <v>483</v>
      </c>
      <c r="M127">
        <f t="shared" ref="M127:U127" si="82">M87</f>
        <v>491.175203774365</v>
      </c>
      <c r="N127">
        <f t="shared" si="82"/>
        <v>500.41500816140842</v>
      </c>
      <c r="O127">
        <f t="shared" si="82"/>
        <v>510.64504127103726</v>
      </c>
      <c r="P127">
        <f t="shared" si="82"/>
        <v>521.80249376184736</v>
      </c>
      <c r="Q127">
        <f t="shared" si="82"/>
        <v>533.83467598498851</v>
      </c>
      <c r="R127">
        <f t="shared" si="82"/>
        <v>546.69776406006144</v>
      </c>
      <c r="S127">
        <f t="shared" si="82"/>
        <v>560.35571042077117</v>
      </c>
      <c r="T127">
        <f t="shared" si="82"/>
        <v>574.77929754358775</v>
      </c>
      <c r="U127">
        <f t="shared" si="82"/>
        <v>589.94531633621853</v>
      </c>
    </row>
    <row r="128" spans="1:22">
      <c r="B128" s="89" t="s">
        <v>190</v>
      </c>
      <c r="C128" s="23">
        <f>10.5</f>
        <v>10.5</v>
      </c>
      <c r="D128" s="23">
        <f>16.1</f>
        <v>16.100000000000001</v>
      </c>
      <c r="L128">
        <f t="shared" si="77"/>
        <v>16.100000000000001</v>
      </c>
      <c r="M128">
        <f t="shared" ref="M128:U128" si="83">M91</f>
        <v>16.100000000000001</v>
      </c>
      <c r="N128">
        <f t="shared" si="83"/>
        <v>16.100000000000001</v>
      </c>
      <c r="O128">
        <f t="shared" si="83"/>
        <v>16.100000000000001</v>
      </c>
      <c r="P128">
        <f t="shared" si="83"/>
        <v>16.100000000000001</v>
      </c>
      <c r="Q128">
        <f t="shared" si="83"/>
        <v>16.100000000000001</v>
      </c>
      <c r="R128">
        <f t="shared" si="83"/>
        <v>16.100000000000001</v>
      </c>
      <c r="S128">
        <f t="shared" si="83"/>
        <v>16.100000000000001</v>
      </c>
      <c r="T128">
        <f t="shared" si="83"/>
        <v>16.100000000000001</v>
      </c>
      <c r="U128">
        <f t="shared" si="83"/>
        <v>16.100000000000001</v>
      </c>
    </row>
    <row r="129" spans="1:22">
      <c r="B129" s="89" t="s">
        <v>191</v>
      </c>
      <c r="C129" s="23">
        <f>0.1 +14.7+12+0.9</f>
        <v>27.699999999999996</v>
      </c>
      <c r="D129" s="23">
        <f>0.1 +16.2 +18.8</f>
        <v>35.1</v>
      </c>
      <c r="L129">
        <f t="shared" si="77"/>
        <v>35.1</v>
      </c>
      <c r="M129">
        <f t="shared" ref="M129:U129" si="84">M77</f>
        <v>35.1</v>
      </c>
      <c r="N129">
        <f t="shared" si="84"/>
        <v>35.1</v>
      </c>
      <c r="O129">
        <f t="shared" si="84"/>
        <v>35.1</v>
      </c>
      <c r="P129">
        <f t="shared" si="84"/>
        <v>35.1</v>
      </c>
      <c r="Q129">
        <f t="shared" si="84"/>
        <v>35.1</v>
      </c>
      <c r="R129">
        <f t="shared" si="84"/>
        <v>35.1</v>
      </c>
      <c r="S129">
        <f t="shared" si="84"/>
        <v>35.1</v>
      </c>
      <c r="T129">
        <f t="shared" si="84"/>
        <v>35.1</v>
      </c>
      <c r="U129">
        <f t="shared" si="84"/>
        <v>35.1</v>
      </c>
    </row>
    <row r="130" spans="1:22">
      <c r="B130" s="89" t="s">
        <v>122</v>
      </c>
      <c r="C130" s="23">
        <f>652.5</f>
        <v>652.5</v>
      </c>
      <c r="D130" s="23">
        <f>653.1</f>
        <v>653.1</v>
      </c>
      <c r="G130">
        <f>D130*-1</f>
        <v>-653.1</v>
      </c>
      <c r="H130">
        <f>C31</f>
        <v>1037.0999999999981</v>
      </c>
      <c r="L130">
        <f t="shared" si="77"/>
        <v>1037.0999999999981</v>
      </c>
      <c r="M130">
        <f t="shared" ref="M130" si="85">L130</f>
        <v>1037.0999999999981</v>
      </c>
      <c r="N130">
        <f t="shared" ref="N130" si="86">M130</f>
        <v>1037.0999999999981</v>
      </c>
      <c r="O130">
        <f t="shared" ref="O130" si="87">N130</f>
        <v>1037.0999999999981</v>
      </c>
      <c r="P130">
        <f t="shared" ref="P130" si="88">O130</f>
        <v>1037.0999999999981</v>
      </c>
      <c r="Q130">
        <f t="shared" ref="Q130" si="89">P130</f>
        <v>1037.0999999999981</v>
      </c>
      <c r="R130">
        <f t="shared" ref="R130" si="90">Q130</f>
        <v>1037.0999999999981</v>
      </c>
      <c r="S130">
        <f t="shared" ref="S130" si="91">R130</f>
        <v>1037.0999999999981</v>
      </c>
      <c r="T130">
        <f t="shared" ref="T130" si="92">S130</f>
        <v>1037.0999999999981</v>
      </c>
      <c r="U130">
        <f t="shared" ref="U130" si="93">T130</f>
        <v>1037.0999999999981</v>
      </c>
    </row>
    <row r="131" spans="1:22" s="70" customFormat="1">
      <c r="A131" s="29"/>
      <c r="B131" s="93" t="s">
        <v>192</v>
      </c>
      <c r="C131" s="70">
        <f>SUM(C123:C130)</f>
        <v>1480.3</v>
      </c>
      <c r="D131" s="70">
        <f>SUM(D123:D130)</f>
        <v>1498.6</v>
      </c>
      <c r="G131"/>
      <c r="K131"/>
      <c r="L131" s="70">
        <f t="shared" ref="L131:U131" si="94">SUM(L123:L130)</f>
        <v>1852.699999999998</v>
      </c>
      <c r="M131" s="70">
        <f t="shared" ca="1" si="94"/>
        <v>1892.8270137743632</v>
      </c>
      <c r="N131" s="70">
        <f t="shared" ca="1" si="94"/>
        <v>1911.3623724614067</v>
      </c>
      <c r="O131" s="70">
        <f t="shared" ca="1" si="94"/>
        <v>1931.1668265000353</v>
      </c>
      <c r="P131" s="70">
        <f t="shared" ca="1" si="94"/>
        <v>1952.1859325477155</v>
      </c>
      <c r="Q131" s="70">
        <f t="shared" ca="1" si="94"/>
        <v>1974.3756179344327</v>
      </c>
      <c r="R131" s="70">
        <f t="shared" ca="1" si="94"/>
        <v>1997.7009342679892</v>
      </c>
      <c r="S131" s="70">
        <f t="shared" ca="1" si="94"/>
        <v>2022.1349757349367</v>
      </c>
      <c r="T131" s="70">
        <f t="shared" ca="1" si="94"/>
        <v>2047.6579408171783</v>
      </c>
      <c r="U131" s="70">
        <f t="shared" ca="1" si="94"/>
        <v>2074.256318908017</v>
      </c>
      <c r="V131"/>
    </row>
    <row r="132" spans="1:22">
      <c r="B132" s="89"/>
    </row>
    <row r="133" spans="1:22">
      <c r="B133" s="89" t="s">
        <v>118</v>
      </c>
      <c r="C133" s="23">
        <f>25.4+11.6</f>
        <v>37</v>
      </c>
      <c r="D133" s="23">
        <f>6.9+12.1</f>
        <v>19</v>
      </c>
      <c r="E133">
        <f>D133*-1</f>
        <v>-19</v>
      </c>
      <c r="I133">
        <f>C40</f>
        <v>0</v>
      </c>
      <c r="L133">
        <f t="shared" ref="L133:L142" si="95">SUM(D133:K133)</f>
        <v>0</v>
      </c>
      <c r="M133">
        <f t="shared" ref="M133:U133" ca="1" si="96">M192</f>
        <v>0</v>
      </c>
      <c r="N133">
        <f t="shared" ca="1" si="96"/>
        <v>0</v>
      </c>
      <c r="O133">
        <f t="shared" ca="1" si="96"/>
        <v>0</v>
      </c>
      <c r="P133">
        <f t="shared" ca="1" si="96"/>
        <v>0</v>
      </c>
      <c r="Q133">
        <f t="shared" ca="1" si="96"/>
        <v>0</v>
      </c>
      <c r="R133">
        <f t="shared" ca="1" si="96"/>
        <v>0</v>
      </c>
      <c r="S133">
        <f t="shared" ca="1" si="96"/>
        <v>0</v>
      </c>
      <c r="T133">
        <f t="shared" ca="1" si="96"/>
        <v>0</v>
      </c>
      <c r="U133">
        <f t="shared" ca="1" si="96"/>
        <v>0</v>
      </c>
    </row>
    <row r="134" spans="1:22">
      <c r="B134" s="89" t="s">
        <v>193</v>
      </c>
      <c r="C134" s="23">
        <f>447.6</f>
        <v>447.6</v>
      </c>
      <c r="D134" s="23">
        <f>492.7</f>
        <v>492.7</v>
      </c>
      <c r="L134">
        <f t="shared" si="95"/>
        <v>492.7</v>
      </c>
      <c r="M134">
        <f t="shared" ref="M134:U134" si="97">M78*M107</f>
        <v>507.48099999999999</v>
      </c>
      <c r="N134">
        <f t="shared" si="97"/>
        <v>522.70542999999998</v>
      </c>
      <c r="O134">
        <f t="shared" si="97"/>
        <v>538.3865929000001</v>
      </c>
      <c r="P134">
        <f t="shared" si="97"/>
        <v>554.538190687</v>
      </c>
      <c r="Q134">
        <f t="shared" si="97"/>
        <v>571.1743364076101</v>
      </c>
      <c r="R134">
        <f t="shared" si="97"/>
        <v>588.3095664998383</v>
      </c>
      <c r="S134">
        <f t="shared" si="97"/>
        <v>605.95885349483353</v>
      </c>
      <c r="T134">
        <f t="shared" si="97"/>
        <v>624.13761909967855</v>
      </c>
      <c r="U134">
        <f t="shared" si="97"/>
        <v>642.86174767266891</v>
      </c>
    </row>
    <row r="135" spans="1:22">
      <c r="B135" s="89" t="s">
        <v>176</v>
      </c>
      <c r="C135" s="23">
        <f>0+3.4+10.4+0.5</f>
        <v>14.3</v>
      </c>
      <c r="D135" s="23">
        <f>3+1.7+15.9+2.1</f>
        <v>22.700000000000003</v>
      </c>
      <c r="L135">
        <f t="shared" si="95"/>
        <v>22.700000000000003</v>
      </c>
      <c r="M135">
        <f t="shared" ref="M135:U135" si="98">M79*M107</f>
        <v>23.381000000000004</v>
      </c>
      <c r="N135">
        <f t="shared" si="98"/>
        <v>24.082430000000006</v>
      </c>
      <c r="O135">
        <f t="shared" si="98"/>
        <v>24.804902900000005</v>
      </c>
      <c r="P135">
        <f t="shared" si="98"/>
        <v>25.549049987000007</v>
      </c>
      <c r="Q135">
        <f t="shared" si="98"/>
        <v>26.31552148661001</v>
      </c>
      <c r="R135">
        <f t="shared" si="98"/>
        <v>27.104987131208308</v>
      </c>
      <c r="S135">
        <f t="shared" si="98"/>
        <v>27.918136745144555</v>
      </c>
      <c r="T135">
        <f t="shared" si="98"/>
        <v>28.755680847498894</v>
      </c>
      <c r="U135">
        <f t="shared" si="98"/>
        <v>29.618351272923864</v>
      </c>
    </row>
    <row r="136" spans="1:22">
      <c r="B136" s="89" t="s">
        <v>194</v>
      </c>
      <c r="C136" s="23">
        <f>15.7+0.8+38.4</f>
        <v>54.9</v>
      </c>
      <c r="D136" s="23">
        <f>18.3+0+42.2</f>
        <v>60.5</v>
      </c>
      <c r="L136">
        <f t="shared" si="95"/>
        <v>60.5</v>
      </c>
      <c r="M136">
        <f>M80</f>
        <v>60.5</v>
      </c>
      <c r="N136">
        <f t="shared" ref="N136:U136" si="99">N80</f>
        <v>60.5</v>
      </c>
      <c r="O136">
        <f t="shared" si="99"/>
        <v>60.5</v>
      </c>
      <c r="P136">
        <f t="shared" si="99"/>
        <v>60.5</v>
      </c>
      <c r="Q136">
        <f t="shared" si="99"/>
        <v>60.5</v>
      </c>
      <c r="R136">
        <f t="shared" si="99"/>
        <v>60.5</v>
      </c>
      <c r="S136">
        <f t="shared" si="99"/>
        <v>60.5</v>
      </c>
      <c r="T136">
        <f t="shared" si="99"/>
        <v>60.5</v>
      </c>
      <c r="U136">
        <f t="shared" si="99"/>
        <v>60.5</v>
      </c>
    </row>
    <row r="137" spans="1:22">
      <c r="B137" s="89" t="s">
        <v>119</v>
      </c>
      <c r="C137" s="23">
        <f>240+78.9</f>
        <v>318.89999999999998</v>
      </c>
      <c r="D137" s="23">
        <f>215.4+72.2</f>
        <v>287.60000000000002</v>
      </c>
      <c r="E137">
        <f>D137*-1</f>
        <v>-287.60000000000002</v>
      </c>
      <c r="L137">
        <f t="shared" si="95"/>
        <v>0</v>
      </c>
      <c r="M137">
        <f t="shared" ref="M137" si="100">L137</f>
        <v>0</v>
      </c>
      <c r="N137">
        <f t="shared" ref="N137" si="101">M137</f>
        <v>0</v>
      </c>
      <c r="O137">
        <f t="shared" ref="O137" si="102">N137</f>
        <v>0</v>
      </c>
      <c r="P137">
        <f t="shared" ref="P137" si="103">O137</f>
        <v>0</v>
      </c>
      <c r="Q137">
        <f t="shared" ref="Q137" si="104">P137</f>
        <v>0</v>
      </c>
      <c r="R137">
        <f t="shared" ref="R137" si="105">Q137</f>
        <v>0</v>
      </c>
      <c r="S137">
        <f t="shared" ref="S137" si="106">R137</f>
        <v>0</v>
      </c>
      <c r="T137">
        <f t="shared" ref="T137" si="107">S137</f>
        <v>0</v>
      </c>
      <c r="U137">
        <f t="shared" ref="U137" si="108">T137</f>
        <v>0</v>
      </c>
    </row>
    <row r="138" spans="1:22">
      <c r="B138" s="89" t="str">
        <f>B41</f>
        <v>Senior debt (Term B)</v>
      </c>
      <c r="C138" s="23">
        <v>0</v>
      </c>
      <c r="D138" s="23">
        <v>0</v>
      </c>
      <c r="I138">
        <f>C41</f>
        <v>547.19999999999914</v>
      </c>
      <c r="L138">
        <f t="shared" si="95"/>
        <v>547.19999999999914</v>
      </c>
      <c r="M138">
        <f t="shared" ref="M138:U138" ca="1" si="109">M200</f>
        <v>533.5067348231554</v>
      </c>
      <c r="N138">
        <f t="shared" ca="1" si="109"/>
        <v>493.57622366501761</v>
      </c>
      <c r="O138">
        <f t="shared" ca="1" si="109"/>
        <v>449.54044400938119</v>
      </c>
      <c r="P138">
        <f t="shared" ca="1" si="109"/>
        <v>401.03970203648993</v>
      </c>
      <c r="Q138">
        <f t="shared" ca="1" si="109"/>
        <v>347.70427614251014</v>
      </c>
      <c r="R138">
        <f t="shared" ca="1" si="109"/>
        <v>289.15255782427823</v>
      </c>
      <c r="S138">
        <f t="shared" ca="1" si="109"/>
        <v>224.98926782241313</v>
      </c>
      <c r="T138">
        <f t="shared" ca="1" si="109"/>
        <v>154.41507499409119</v>
      </c>
      <c r="U138">
        <f t="shared" ca="1" si="109"/>
        <v>77.522983790638236</v>
      </c>
    </row>
    <row r="139" spans="1:22">
      <c r="B139" s="89" t="str">
        <f>B42</f>
        <v>Senior unsecured high yield notes</v>
      </c>
      <c r="C139" s="23">
        <v>0</v>
      </c>
      <c r="D139" s="23">
        <v>0</v>
      </c>
      <c r="I139">
        <f>C42</f>
        <v>273.59999999999957</v>
      </c>
      <c r="L139">
        <f t="shared" si="95"/>
        <v>273.59999999999957</v>
      </c>
      <c r="M139">
        <f t="shared" ref="M139:U139" ca="1" si="110">M214</f>
        <v>273.59999999999957</v>
      </c>
      <c r="N139">
        <f t="shared" ca="1" si="110"/>
        <v>273.59999999999957</v>
      </c>
      <c r="O139">
        <f t="shared" ca="1" si="110"/>
        <v>273.59999999999957</v>
      </c>
      <c r="P139">
        <f t="shared" ca="1" si="110"/>
        <v>273.59999999999957</v>
      </c>
      <c r="Q139">
        <f t="shared" ca="1" si="110"/>
        <v>273.59999999999957</v>
      </c>
      <c r="R139">
        <f t="shared" ca="1" si="110"/>
        <v>273.59999999999957</v>
      </c>
      <c r="S139">
        <f t="shared" ca="1" si="110"/>
        <v>273.59999999999957</v>
      </c>
      <c r="T139">
        <f t="shared" ca="1" si="110"/>
        <v>273.59999999999957</v>
      </c>
      <c r="U139">
        <f t="shared" ca="1" si="110"/>
        <v>273.59999999999957</v>
      </c>
    </row>
    <row r="140" spans="1:22">
      <c r="B140" s="89" t="str">
        <f>B43</f>
        <v>Unitranche</v>
      </c>
      <c r="C140" s="23">
        <v>0</v>
      </c>
      <c r="D140" s="23">
        <v>0</v>
      </c>
      <c r="I140">
        <f>C43</f>
        <v>0</v>
      </c>
      <c r="L140">
        <f t="shared" si="95"/>
        <v>0</v>
      </c>
      <c r="M140">
        <f t="shared" ref="M140:U140" ca="1" si="111">M222</f>
        <v>0</v>
      </c>
      <c r="N140">
        <f t="shared" ca="1" si="111"/>
        <v>0</v>
      </c>
      <c r="O140">
        <f t="shared" ca="1" si="111"/>
        <v>0</v>
      </c>
      <c r="P140">
        <f t="shared" ca="1" si="111"/>
        <v>0</v>
      </c>
      <c r="Q140">
        <f t="shared" ca="1" si="111"/>
        <v>0</v>
      </c>
      <c r="R140">
        <f t="shared" ca="1" si="111"/>
        <v>0</v>
      </c>
      <c r="S140">
        <f t="shared" ca="1" si="111"/>
        <v>0</v>
      </c>
      <c r="T140">
        <f t="shared" ca="1" si="111"/>
        <v>0</v>
      </c>
      <c r="U140">
        <f t="shared" ca="1" si="111"/>
        <v>0</v>
      </c>
    </row>
    <row r="141" spans="1:22">
      <c r="B141" s="89" t="str">
        <f>B44</f>
        <v>Mezzanine</v>
      </c>
      <c r="C141" s="23">
        <v>0</v>
      </c>
      <c r="D141" s="23">
        <v>0</v>
      </c>
      <c r="E141">
        <f>D141*-1</f>
        <v>0</v>
      </c>
      <c r="I141">
        <f>C44</f>
        <v>91.199999999999847</v>
      </c>
      <c r="L141">
        <f t="shared" si="95"/>
        <v>91.199999999999847</v>
      </c>
      <c r="M141">
        <f t="shared" ref="M141:U141" si="112">M227</f>
        <v>91.199999999999847</v>
      </c>
      <c r="N141">
        <f t="shared" si="112"/>
        <v>91.199999999999847</v>
      </c>
      <c r="O141">
        <f t="shared" si="112"/>
        <v>91.199999999999847</v>
      </c>
      <c r="P141">
        <f t="shared" si="112"/>
        <v>91.199999999999847</v>
      </c>
      <c r="Q141">
        <f t="shared" si="112"/>
        <v>91.199999999999847</v>
      </c>
      <c r="R141">
        <f t="shared" si="112"/>
        <v>91.199999999999847</v>
      </c>
      <c r="S141">
        <f t="shared" si="112"/>
        <v>91.199999999999847</v>
      </c>
      <c r="T141">
        <f t="shared" si="112"/>
        <v>91.199999999999847</v>
      </c>
      <c r="U141">
        <f t="shared" si="112"/>
        <v>91.199999999999847</v>
      </c>
    </row>
    <row r="142" spans="1:22">
      <c r="A142" s="91"/>
      <c r="B142" s="89" t="s">
        <v>195</v>
      </c>
      <c r="C142" s="23">
        <f>607.6</f>
        <v>607.6</v>
      </c>
      <c r="D142" s="23">
        <f>616.1</f>
        <v>616.1</v>
      </c>
      <c r="F142">
        <f>D142*-1</f>
        <v>-616.1</v>
      </c>
      <c r="J142">
        <f>C45</f>
        <v>377.56799999999942</v>
      </c>
      <c r="K142">
        <f>C36*-1</f>
        <v>-12.767999999999979</v>
      </c>
      <c r="L142">
        <f t="shared" si="95"/>
        <v>364.79999999999944</v>
      </c>
      <c r="M142">
        <f t="shared" ref="M142:U142" ca="1" si="113">M96</f>
        <v>403.15827895120816</v>
      </c>
      <c r="N142">
        <f t="shared" ca="1" si="113"/>
        <v>445.69828879638942</v>
      </c>
      <c r="O142">
        <f t="shared" ca="1" si="113"/>
        <v>493.13488669065453</v>
      </c>
      <c r="P142">
        <f t="shared" ca="1" si="113"/>
        <v>545.75898983722607</v>
      </c>
      <c r="Q142">
        <f t="shared" ca="1" si="113"/>
        <v>603.88148389770299</v>
      </c>
      <c r="R142">
        <f t="shared" ca="1" si="113"/>
        <v>667.83382281266472</v>
      </c>
      <c r="S142">
        <f t="shared" ca="1" si="113"/>
        <v>737.96871767254584</v>
      </c>
      <c r="T142">
        <f t="shared" ca="1" si="113"/>
        <v>815.04956587591016</v>
      </c>
      <c r="U142">
        <f t="shared" ca="1" si="113"/>
        <v>898.95323617178644</v>
      </c>
    </row>
    <row r="143" spans="1:22" s="70" customFormat="1">
      <c r="A143" s="29"/>
      <c r="B143" s="93" t="s">
        <v>196</v>
      </c>
      <c r="C143" s="70">
        <f>SUM(C133:C142)</f>
        <v>1480.3000000000002</v>
      </c>
      <c r="D143" s="70">
        <f>SUM(D133:D142)</f>
        <v>1498.6</v>
      </c>
      <c r="J143"/>
      <c r="K143"/>
      <c r="L143" s="70">
        <f t="shared" ref="L143:U143" si="114">SUM(L133:L142)</f>
        <v>1852.6999999999978</v>
      </c>
      <c r="M143" s="70">
        <f t="shared" ca="1" si="114"/>
        <v>1892.827013774363</v>
      </c>
      <c r="N143" s="70">
        <f t="shared" ca="1" si="114"/>
        <v>1911.3623724614067</v>
      </c>
      <c r="O143" s="70">
        <f t="shared" ca="1" si="114"/>
        <v>1931.1668265000353</v>
      </c>
      <c r="P143" s="70">
        <f t="shared" ca="1" si="114"/>
        <v>1952.1859325477153</v>
      </c>
      <c r="Q143" s="70">
        <f t="shared" ca="1" si="114"/>
        <v>1974.3756179344325</v>
      </c>
      <c r="R143" s="70">
        <f t="shared" ca="1" si="114"/>
        <v>1997.7009342679889</v>
      </c>
      <c r="S143" s="70">
        <f t="shared" ca="1" si="114"/>
        <v>2022.1349757349365</v>
      </c>
      <c r="T143" s="70">
        <f t="shared" ca="1" si="114"/>
        <v>2047.6579408171779</v>
      </c>
      <c r="U143" s="70">
        <f t="shared" ca="1" si="114"/>
        <v>2074.256318908017</v>
      </c>
      <c r="V143"/>
    </row>
    <row r="144" spans="1:22">
      <c r="B144" s="89"/>
    </row>
    <row r="145" spans="1:22">
      <c r="B145" s="89" t="s">
        <v>197</v>
      </c>
      <c r="C145" s="100">
        <f>C143-C131</f>
        <v>0</v>
      </c>
      <c r="D145" s="100">
        <f>D143-D131</f>
        <v>0</v>
      </c>
      <c r="E145" s="100"/>
      <c r="F145" s="100"/>
      <c r="G145" s="100"/>
      <c r="H145" s="100"/>
      <c r="I145" s="100"/>
      <c r="J145" s="100"/>
      <c r="K145" s="100"/>
      <c r="L145" s="100">
        <f t="shared" ref="L145:U145" si="115">L143-L131</f>
        <v>0</v>
      </c>
      <c r="M145" s="100">
        <f t="shared" ca="1" si="115"/>
        <v>0</v>
      </c>
      <c r="N145" s="100">
        <f t="shared" ca="1" si="115"/>
        <v>0</v>
      </c>
      <c r="O145" s="100">
        <f t="shared" ca="1" si="115"/>
        <v>0</v>
      </c>
      <c r="P145" s="100">
        <f t="shared" ca="1" si="115"/>
        <v>0</v>
      </c>
      <c r="Q145" s="100">
        <f t="shared" ca="1" si="115"/>
        <v>0</v>
      </c>
      <c r="R145" s="100">
        <f t="shared" ca="1" si="115"/>
        <v>0</v>
      </c>
      <c r="S145" s="100">
        <f t="shared" ca="1" si="115"/>
        <v>0</v>
      </c>
      <c r="T145" s="100">
        <f t="shared" ca="1" si="115"/>
        <v>0</v>
      </c>
      <c r="U145" s="100">
        <f t="shared" ca="1" si="115"/>
        <v>0</v>
      </c>
    </row>
    <row r="147" spans="1:22">
      <c r="A147" s="29" t="s">
        <v>198</v>
      </c>
      <c r="B147" s="89"/>
    </row>
    <row r="148" spans="1:22">
      <c r="B148" s="89" t="s">
        <v>48</v>
      </c>
      <c r="M148">
        <f t="shared" ref="M148:U148" si="116">M113</f>
        <v>179.67722622563468</v>
      </c>
      <c r="N148">
        <f t="shared" si="116"/>
        <v>184.24819851295626</v>
      </c>
      <c r="O148">
        <f t="shared" si="116"/>
        <v>189.06260987737085</v>
      </c>
      <c r="P148">
        <f t="shared" si="116"/>
        <v>194.11396978579955</v>
      </c>
      <c r="Q148">
        <f t="shared" si="116"/>
        <v>199.3973827217668</v>
      </c>
      <c r="R148">
        <f t="shared" si="116"/>
        <v>204.90936381818227</v>
      </c>
      <c r="S148">
        <f t="shared" si="116"/>
        <v>210.64767908934311</v>
      </c>
      <c r="T148">
        <f t="shared" si="116"/>
        <v>216.61120709073779</v>
      </c>
      <c r="U148">
        <f t="shared" si="116"/>
        <v>222.79981924733045</v>
      </c>
    </row>
    <row r="149" spans="1:22">
      <c r="B149" s="89" t="s">
        <v>57</v>
      </c>
      <c r="M149">
        <f t="shared" ref="M149:U149" ca="1" si="117">M115</f>
        <v>0.11807405</v>
      </c>
      <c r="N149">
        <f t="shared" ca="1" si="117"/>
        <v>0.2396903215</v>
      </c>
      <c r="O149">
        <f t="shared" ca="1" si="117"/>
        <v>0.24688103114500004</v>
      </c>
      <c r="P149">
        <f t="shared" ca="1" si="117"/>
        <v>0.25428746207934999</v>
      </c>
      <c r="Q149">
        <f t="shared" ca="1" si="117"/>
        <v>0.26191608594173049</v>
      </c>
      <c r="R149">
        <f t="shared" ca="1" si="117"/>
        <v>0.26977356851998241</v>
      </c>
      <c r="S149">
        <f t="shared" ca="1" si="117"/>
        <v>0.27786677557558187</v>
      </c>
      <c r="T149">
        <f t="shared" ca="1" si="117"/>
        <v>0.28620277884284939</v>
      </c>
      <c r="U149">
        <f t="shared" ca="1" si="117"/>
        <v>0.29478886220813494</v>
      </c>
    </row>
    <row r="150" spans="1:22">
      <c r="B150" s="89" t="s">
        <v>182</v>
      </c>
      <c r="M150">
        <f t="shared" ref="M150:U150" ca="1" si="118">M116</f>
        <v>-69.17822536098879</v>
      </c>
      <c r="N150">
        <f t="shared" ca="1" si="118"/>
        <v>-67.582918015023097</v>
      </c>
      <c r="O150">
        <f t="shared" ca="1" si="118"/>
        <v>-65.0849208633133</v>
      </c>
      <c r="P150">
        <f t="shared" ca="1" si="118"/>
        <v>-62.331959344864615</v>
      </c>
      <c r="Q150">
        <f t="shared" ca="1" si="118"/>
        <v>-59.302333350825194</v>
      </c>
      <c r="R150">
        <f t="shared" ca="1" si="118"/>
        <v>-55.973690810511897</v>
      </c>
      <c r="S150">
        <f t="shared" ca="1" si="118"/>
        <v>-52.322919312989015</v>
      </c>
      <c r="T150">
        <f t="shared" ca="1" si="118"/>
        <v>-47.840223770270313</v>
      </c>
      <c r="U150">
        <f t="shared" ca="1" si="118"/>
        <v>-43.63743467536473</v>
      </c>
    </row>
    <row r="151" spans="1:22">
      <c r="B151" s="89" t="s">
        <v>59</v>
      </c>
      <c r="M151">
        <f t="shared" ref="M151:U151" ca="1" si="119">M119</f>
        <v>-9.5895697378021829</v>
      </c>
      <c r="N151">
        <f t="shared" ca="1" si="119"/>
        <v>-10.635002461295313</v>
      </c>
      <c r="O151">
        <f t="shared" ca="1" si="119"/>
        <v>-11.859149473566276</v>
      </c>
      <c r="P151">
        <f t="shared" ca="1" si="119"/>
        <v>-13.156025786642884</v>
      </c>
      <c r="Q151">
        <f t="shared" ca="1" si="119"/>
        <v>-14.530623515119231</v>
      </c>
      <c r="R151">
        <f t="shared" ca="1" si="119"/>
        <v>-15.988084728740432</v>
      </c>
      <c r="S151">
        <f t="shared" ca="1" si="119"/>
        <v>-17.533723714970275</v>
      </c>
      <c r="T151">
        <f t="shared" ca="1" si="119"/>
        <v>-19.270212050841071</v>
      </c>
      <c r="U151">
        <f t="shared" ca="1" si="119"/>
        <v>-20.97591757396907</v>
      </c>
    </row>
    <row r="152" spans="1:22">
      <c r="B152" s="89" t="s">
        <v>199</v>
      </c>
      <c r="M152">
        <f t="shared" ref="M152:U152" si="120">L103-M103</f>
        <v>7.1250000000000284</v>
      </c>
      <c r="N152">
        <f t="shared" si="120"/>
        <v>7.3387499999999477</v>
      </c>
      <c r="O152">
        <f t="shared" si="120"/>
        <v>7.5589125000001047</v>
      </c>
      <c r="P152">
        <f t="shared" si="120"/>
        <v>7.7856798749998575</v>
      </c>
      <c r="Q152">
        <f t="shared" si="120"/>
        <v>8.0192502712501437</v>
      </c>
      <c r="R152">
        <f t="shared" si="120"/>
        <v>8.2598277793873649</v>
      </c>
      <c r="S152">
        <f t="shared" si="120"/>
        <v>8.5076226127692962</v>
      </c>
      <c r="T152">
        <f t="shared" si="120"/>
        <v>8.7628512911521739</v>
      </c>
      <c r="U152">
        <f t="shared" si="120"/>
        <v>9.0257368298866822</v>
      </c>
    </row>
    <row r="153" spans="1:22">
      <c r="B153" s="89" t="s">
        <v>200</v>
      </c>
      <c r="M153">
        <f t="shared" ref="M153:U153" si="121">L129-M129</f>
        <v>0</v>
      </c>
      <c r="N153">
        <f t="shared" si="121"/>
        <v>0</v>
      </c>
      <c r="O153">
        <f t="shared" si="121"/>
        <v>0</v>
      </c>
      <c r="P153">
        <f t="shared" si="121"/>
        <v>0</v>
      </c>
      <c r="Q153">
        <f t="shared" si="121"/>
        <v>0</v>
      </c>
      <c r="R153">
        <f t="shared" si="121"/>
        <v>0</v>
      </c>
      <c r="S153">
        <f t="shared" si="121"/>
        <v>0</v>
      </c>
      <c r="T153">
        <f t="shared" si="121"/>
        <v>0</v>
      </c>
      <c r="U153">
        <f t="shared" si="121"/>
        <v>0</v>
      </c>
    </row>
    <row r="154" spans="1:22">
      <c r="B154" s="89" t="s">
        <v>201</v>
      </c>
      <c r="M154">
        <f t="shared" ref="M154:U154" si="122">M136-L136</f>
        <v>0</v>
      </c>
      <c r="N154">
        <f t="shared" si="122"/>
        <v>0</v>
      </c>
      <c r="O154">
        <f t="shared" si="122"/>
        <v>0</v>
      </c>
      <c r="P154">
        <f t="shared" si="122"/>
        <v>0</v>
      </c>
      <c r="Q154">
        <f t="shared" si="122"/>
        <v>0</v>
      </c>
      <c r="R154">
        <f t="shared" si="122"/>
        <v>0</v>
      </c>
      <c r="S154">
        <f t="shared" si="122"/>
        <v>0</v>
      </c>
      <c r="T154">
        <f t="shared" si="122"/>
        <v>0</v>
      </c>
      <c r="U154">
        <f t="shared" si="122"/>
        <v>0</v>
      </c>
    </row>
    <row r="155" spans="1:22" s="70" customFormat="1">
      <c r="A155" s="29"/>
      <c r="B155" s="93" t="s">
        <v>202</v>
      </c>
      <c r="M155" s="70">
        <f ca="1">SUM(M148:M154)</f>
        <v>108.15250517684373</v>
      </c>
      <c r="N155" s="70">
        <f t="shared" ref="N155:U155" ca="1" si="123">SUM(N148:N154)</f>
        <v>113.60871835813781</v>
      </c>
      <c r="O155" s="70">
        <f t="shared" ca="1" si="123"/>
        <v>119.92433307163637</v>
      </c>
      <c r="P155" s="70">
        <f t="shared" ca="1" si="123"/>
        <v>126.66595199137129</v>
      </c>
      <c r="Q155" s="70">
        <f t="shared" ca="1" si="123"/>
        <v>133.84559221301424</v>
      </c>
      <c r="R155" s="70">
        <f t="shared" ca="1" si="123"/>
        <v>141.47718962683729</v>
      </c>
      <c r="S155" s="70">
        <f t="shared" ca="1" si="123"/>
        <v>149.57652544972871</v>
      </c>
      <c r="T155" s="70">
        <f t="shared" ca="1" si="123"/>
        <v>158.54982533962144</v>
      </c>
      <c r="U155" s="70">
        <f t="shared" ca="1" si="123"/>
        <v>167.50699269009147</v>
      </c>
      <c r="V155"/>
    </row>
    <row r="156" spans="1:22">
      <c r="B156" s="89"/>
    </row>
    <row r="157" spans="1:22">
      <c r="B157" s="89" t="s">
        <v>203</v>
      </c>
      <c r="M157">
        <f t="shared" ref="M157:U157" si="124">M85*-1</f>
        <v>-70.844429999999988</v>
      </c>
      <c r="N157">
        <f t="shared" si="124"/>
        <v>-72.969762899999992</v>
      </c>
      <c r="O157">
        <f t="shared" si="124"/>
        <v>-75.158855786999993</v>
      </c>
      <c r="P157">
        <f t="shared" si="124"/>
        <v>-77.413621460610003</v>
      </c>
      <c r="Q157">
        <f t="shared" si="124"/>
        <v>-79.736030104428309</v>
      </c>
      <c r="R157">
        <f t="shared" si="124"/>
        <v>-82.128111007561145</v>
      </c>
      <c r="S157">
        <f t="shared" si="124"/>
        <v>-84.591954337787982</v>
      </c>
      <c r="T157">
        <f t="shared" si="124"/>
        <v>-87.12971296792162</v>
      </c>
      <c r="U157">
        <f t="shared" si="124"/>
        <v>-89.743604356959281</v>
      </c>
    </row>
    <row r="158" spans="1:22" s="70" customFormat="1">
      <c r="A158" s="29"/>
      <c r="B158" s="93" t="s">
        <v>204</v>
      </c>
      <c r="M158" s="70">
        <f t="shared" ref="M158" si="125">SUM(M157)</f>
        <v>-70.844429999999988</v>
      </c>
      <c r="N158" s="70">
        <f t="shared" ref="N158:U158" si="126">SUM(N157)</f>
        <v>-72.969762899999992</v>
      </c>
      <c r="O158" s="70">
        <f t="shared" si="126"/>
        <v>-75.158855786999993</v>
      </c>
      <c r="P158" s="70">
        <f t="shared" si="126"/>
        <v>-77.413621460610003</v>
      </c>
      <c r="Q158" s="70">
        <f t="shared" si="126"/>
        <v>-79.736030104428309</v>
      </c>
      <c r="R158" s="70">
        <f t="shared" si="126"/>
        <v>-82.128111007561145</v>
      </c>
      <c r="S158" s="70">
        <f t="shared" si="126"/>
        <v>-84.591954337787982</v>
      </c>
      <c r="T158" s="70">
        <f t="shared" si="126"/>
        <v>-87.12971296792162</v>
      </c>
      <c r="U158" s="70">
        <f t="shared" si="126"/>
        <v>-89.743604356959281</v>
      </c>
      <c r="V158"/>
    </row>
    <row r="159" spans="1:22">
      <c r="B159" s="89"/>
    </row>
    <row r="160" spans="1:22">
      <c r="B160" s="89" t="s">
        <v>205</v>
      </c>
      <c r="M160">
        <f t="shared" ref="M160:U160" ca="1" si="127">M133-L133</f>
        <v>0</v>
      </c>
      <c r="N160">
        <f t="shared" ca="1" si="127"/>
        <v>0</v>
      </c>
      <c r="O160">
        <f t="shared" ca="1" si="127"/>
        <v>0</v>
      </c>
      <c r="P160">
        <f t="shared" ca="1" si="127"/>
        <v>0</v>
      </c>
      <c r="Q160">
        <f t="shared" ca="1" si="127"/>
        <v>0</v>
      </c>
      <c r="R160">
        <f t="shared" ca="1" si="127"/>
        <v>0</v>
      </c>
      <c r="S160">
        <f t="shared" ca="1" si="127"/>
        <v>0</v>
      </c>
      <c r="T160">
        <f t="shared" ca="1" si="127"/>
        <v>0</v>
      </c>
      <c r="U160">
        <f t="shared" ca="1" si="127"/>
        <v>0</v>
      </c>
    </row>
    <row r="161" spans="1:22">
      <c r="B161" s="89" t="s">
        <v>206</v>
      </c>
      <c r="M161">
        <f t="shared" ref="M161:U161" si="128">M137-L137</f>
        <v>0</v>
      </c>
      <c r="N161">
        <f t="shared" si="128"/>
        <v>0</v>
      </c>
      <c r="O161">
        <f t="shared" si="128"/>
        <v>0</v>
      </c>
      <c r="P161">
        <f t="shared" si="128"/>
        <v>0</v>
      </c>
      <c r="Q161">
        <f t="shared" si="128"/>
        <v>0</v>
      </c>
      <c r="R161">
        <f t="shared" si="128"/>
        <v>0</v>
      </c>
      <c r="S161">
        <f t="shared" si="128"/>
        <v>0</v>
      </c>
      <c r="T161">
        <f t="shared" si="128"/>
        <v>0</v>
      </c>
      <c r="U161">
        <f t="shared" si="128"/>
        <v>0</v>
      </c>
    </row>
    <row r="162" spans="1:22">
      <c r="B162" s="89" t="str">
        <f>"Inc (dec) in "&amp;B138</f>
        <v>Inc (dec) in Senior debt (Term B)</v>
      </c>
      <c r="M162">
        <f t="shared" ref="M162:U162" ca="1" si="129">M138-L138</f>
        <v>-13.693265176843738</v>
      </c>
      <c r="N162">
        <f t="shared" ca="1" si="129"/>
        <v>-39.93051115813779</v>
      </c>
      <c r="O162">
        <f t="shared" ca="1" si="129"/>
        <v>-44.035779655636418</v>
      </c>
      <c r="P162">
        <f t="shared" ca="1" si="129"/>
        <v>-48.500741972891262</v>
      </c>
      <c r="Q162">
        <f t="shared" ca="1" si="129"/>
        <v>-53.335425893979789</v>
      </c>
      <c r="R162">
        <f t="shared" ca="1" si="129"/>
        <v>-58.551718318231906</v>
      </c>
      <c r="S162">
        <f t="shared" ca="1" si="129"/>
        <v>-64.163290001865107</v>
      </c>
      <c r="T162">
        <f t="shared" ca="1" si="129"/>
        <v>-70.574192828321941</v>
      </c>
      <c r="U162">
        <f t="shared" ca="1" si="129"/>
        <v>-76.892091203452949</v>
      </c>
    </row>
    <row r="163" spans="1:22">
      <c r="B163" s="89" t="str">
        <f>"Inc (dec) in "&amp;B139</f>
        <v>Inc (dec) in Senior unsecured high yield notes</v>
      </c>
      <c r="M163">
        <f t="shared" ref="M163:U163" ca="1" si="130">M139-L139</f>
        <v>0</v>
      </c>
      <c r="N163">
        <f t="shared" ca="1" si="130"/>
        <v>0</v>
      </c>
      <c r="O163">
        <f t="shared" ca="1" si="130"/>
        <v>0</v>
      </c>
      <c r="P163">
        <f t="shared" ca="1" si="130"/>
        <v>0</v>
      </c>
      <c r="Q163">
        <f t="shared" ca="1" si="130"/>
        <v>0</v>
      </c>
      <c r="R163">
        <f t="shared" ca="1" si="130"/>
        <v>0</v>
      </c>
      <c r="S163">
        <f t="shared" ca="1" si="130"/>
        <v>0</v>
      </c>
      <c r="T163">
        <f t="shared" ca="1" si="130"/>
        <v>0</v>
      </c>
      <c r="U163">
        <f t="shared" ca="1" si="130"/>
        <v>0</v>
      </c>
    </row>
    <row r="164" spans="1:22">
      <c r="B164" s="89" t="str">
        <f>"Inc (dec) in "&amp;B140</f>
        <v>Inc (dec) in Unitranche</v>
      </c>
      <c r="M164">
        <f t="shared" ref="M164:U164" ca="1" si="131">M140-L140</f>
        <v>0</v>
      </c>
      <c r="N164">
        <f t="shared" ca="1" si="131"/>
        <v>0</v>
      </c>
      <c r="O164">
        <f t="shared" ca="1" si="131"/>
        <v>0</v>
      </c>
      <c r="P164">
        <f t="shared" ca="1" si="131"/>
        <v>0</v>
      </c>
      <c r="Q164">
        <f t="shared" ca="1" si="131"/>
        <v>0</v>
      </c>
      <c r="R164">
        <f t="shared" ca="1" si="131"/>
        <v>0</v>
      </c>
      <c r="S164">
        <f t="shared" ca="1" si="131"/>
        <v>0</v>
      </c>
      <c r="T164">
        <f t="shared" ca="1" si="131"/>
        <v>0</v>
      </c>
      <c r="U164">
        <f t="shared" ca="1" si="131"/>
        <v>0</v>
      </c>
    </row>
    <row r="165" spans="1:22">
      <c r="B165" s="89" t="s">
        <v>207</v>
      </c>
      <c r="M165">
        <f t="shared" ref="M165:U165" ca="1" si="132">M95</f>
        <v>0</v>
      </c>
      <c r="N165">
        <f t="shared" ca="1" si="132"/>
        <v>0</v>
      </c>
      <c r="O165">
        <f t="shared" ca="1" si="132"/>
        <v>0</v>
      </c>
      <c r="P165">
        <f t="shared" ca="1" si="132"/>
        <v>0</v>
      </c>
      <c r="Q165">
        <f t="shared" ca="1" si="132"/>
        <v>0</v>
      </c>
      <c r="R165">
        <f t="shared" ca="1" si="132"/>
        <v>0</v>
      </c>
      <c r="S165">
        <f t="shared" ca="1" si="132"/>
        <v>0</v>
      </c>
      <c r="T165">
        <f t="shared" ca="1" si="132"/>
        <v>0</v>
      </c>
      <c r="U165">
        <f t="shared" ca="1" si="132"/>
        <v>0</v>
      </c>
    </row>
    <row r="166" spans="1:22" s="70" customFormat="1">
      <c r="A166" s="29"/>
      <c r="B166" s="93" t="s">
        <v>208</v>
      </c>
      <c r="M166" s="70">
        <f t="shared" ref="M166:U166" ca="1" si="133">SUM(M160:M165)</f>
        <v>-13.693265176843738</v>
      </c>
      <c r="N166" s="70">
        <f t="shared" ca="1" si="133"/>
        <v>-39.93051115813779</v>
      </c>
      <c r="O166" s="70">
        <f t="shared" ca="1" si="133"/>
        <v>-44.035779655636418</v>
      </c>
      <c r="P166" s="70">
        <f t="shared" ca="1" si="133"/>
        <v>-48.500741972891262</v>
      </c>
      <c r="Q166" s="70">
        <f t="shared" ca="1" si="133"/>
        <v>-53.335425893979789</v>
      </c>
      <c r="R166" s="70">
        <f t="shared" ca="1" si="133"/>
        <v>-58.551718318231906</v>
      </c>
      <c r="S166" s="70">
        <f t="shared" ca="1" si="133"/>
        <v>-64.163290001865107</v>
      </c>
      <c r="T166" s="70">
        <f t="shared" ca="1" si="133"/>
        <v>-70.574192828321941</v>
      </c>
      <c r="U166" s="70">
        <f t="shared" ca="1" si="133"/>
        <v>-76.892091203452949</v>
      </c>
      <c r="V166"/>
    </row>
    <row r="167" spans="1:22">
      <c r="B167" s="89"/>
    </row>
    <row r="168" spans="1:22">
      <c r="B168" s="89" t="s">
        <v>209</v>
      </c>
      <c r="M168">
        <f t="shared" ref="M168" si="134">L170</f>
        <v>0</v>
      </c>
      <c r="N168">
        <f t="shared" ref="N168" ca="1" si="135">M170</f>
        <v>23.614810000000006</v>
      </c>
      <c r="O168">
        <f t="shared" ref="O168" ca="1" si="136">N170</f>
        <v>24.323254300000031</v>
      </c>
      <c r="P168">
        <f t="shared" ref="P168" ca="1" si="137">O170</f>
        <v>25.052951928999988</v>
      </c>
      <c r="Q168">
        <f t="shared" ref="Q168" ca="1" si="138">P170</f>
        <v>25.80454048687001</v>
      </c>
      <c r="R168">
        <f t="shared" ref="R168" ca="1" si="139">Q170</f>
        <v>26.578676701476155</v>
      </c>
      <c r="S168">
        <f t="shared" ref="S168" ca="1" si="140">R170</f>
        <v>27.376037002520391</v>
      </c>
      <c r="T168">
        <f t="shared" ref="T168" ca="1" si="141">S170</f>
        <v>28.197318112596008</v>
      </c>
      <c r="U168">
        <f t="shared" ref="U168" ca="1" si="142">T170</f>
        <v>29.043237655973883</v>
      </c>
    </row>
    <row r="169" spans="1:22">
      <c r="B169" s="89" t="s">
        <v>210</v>
      </c>
      <c r="M169">
        <f t="shared" ref="M169:U169" ca="1" si="143">SUM(M155,M158,M166)</f>
        <v>23.614810000000006</v>
      </c>
      <c r="N169">
        <f t="shared" ca="1" si="143"/>
        <v>0.7084443000000249</v>
      </c>
      <c r="O169">
        <f t="shared" ca="1" si="143"/>
        <v>0.72969762899995771</v>
      </c>
      <c r="P169">
        <f t="shared" ca="1" si="143"/>
        <v>0.7515885578700221</v>
      </c>
      <c r="Q169">
        <f t="shared" ca="1" si="143"/>
        <v>0.77413621460614479</v>
      </c>
      <c r="R169">
        <f t="shared" ca="1" si="143"/>
        <v>0.79736030104423605</v>
      </c>
      <c r="S169">
        <f t="shared" ca="1" si="143"/>
        <v>0.82128111007561699</v>
      </c>
      <c r="T169">
        <f t="shared" ca="1" si="143"/>
        <v>0.84591954337787456</v>
      </c>
      <c r="U169">
        <f t="shared" ca="1" si="143"/>
        <v>0.87129712967923467</v>
      </c>
    </row>
    <row r="170" spans="1:22" s="70" customFormat="1">
      <c r="A170" s="29"/>
      <c r="B170" s="93" t="s">
        <v>77</v>
      </c>
      <c r="L170" s="70">
        <f>L123</f>
        <v>0</v>
      </c>
      <c r="M170" s="70">
        <f t="shared" ref="M170" ca="1" si="144">SUM(M168:M169)</f>
        <v>23.614810000000006</v>
      </c>
      <c r="N170" s="70">
        <f t="shared" ref="N170:U170" ca="1" si="145">SUM(N168:N169)</f>
        <v>24.323254300000031</v>
      </c>
      <c r="O170" s="70">
        <f t="shared" ca="1" si="145"/>
        <v>25.052951928999988</v>
      </c>
      <c r="P170" s="70">
        <f t="shared" ca="1" si="145"/>
        <v>25.80454048687001</v>
      </c>
      <c r="Q170" s="70">
        <f t="shared" ca="1" si="145"/>
        <v>26.578676701476155</v>
      </c>
      <c r="R170" s="70">
        <f t="shared" ca="1" si="145"/>
        <v>27.376037002520391</v>
      </c>
      <c r="S170" s="70">
        <f t="shared" ca="1" si="145"/>
        <v>28.197318112596008</v>
      </c>
      <c r="T170" s="70">
        <f t="shared" ca="1" si="145"/>
        <v>29.043237655973883</v>
      </c>
      <c r="U170" s="70">
        <f t="shared" ca="1" si="145"/>
        <v>29.914534785653117</v>
      </c>
      <c r="V170"/>
    </row>
    <row r="172" spans="1:22">
      <c r="A172" s="29" t="s">
        <v>211</v>
      </c>
      <c r="B172" s="89"/>
    </row>
    <row r="173" spans="1:22">
      <c r="B173" s="89" t="str">
        <f>B54&amp;" mandatory repayment"</f>
        <v>Senior debt (Term B) mandatory repayment</v>
      </c>
      <c r="M173" s="72">
        <f t="shared" ref="M173:U173" si="146">$C$54*1%*-1</f>
        <v>-5.4719999999999915</v>
      </c>
      <c r="N173" s="72">
        <f t="shared" si="146"/>
        <v>-5.4719999999999915</v>
      </c>
      <c r="O173" s="72">
        <f t="shared" si="146"/>
        <v>-5.4719999999999915</v>
      </c>
      <c r="P173" s="72">
        <f t="shared" si="146"/>
        <v>-5.4719999999999915</v>
      </c>
      <c r="Q173" s="72">
        <f t="shared" si="146"/>
        <v>-5.4719999999999915</v>
      </c>
      <c r="R173" s="72">
        <f t="shared" si="146"/>
        <v>-5.4719999999999915</v>
      </c>
      <c r="S173" s="72">
        <f t="shared" si="146"/>
        <v>-5.4719999999999915</v>
      </c>
      <c r="T173" s="72">
        <f t="shared" si="146"/>
        <v>-5.4719999999999915</v>
      </c>
      <c r="U173" s="72">
        <f t="shared" si="146"/>
        <v>-5.4719999999999915</v>
      </c>
    </row>
    <row r="174" spans="1:22">
      <c r="B174" s="89" t="str">
        <f>B55&amp;" mandatory repayment"</f>
        <v>Senior unsecured high yield notes mandatory repayment</v>
      </c>
      <c r="M174" s="72">
        <v>0</v>
      </c>
      <c r="N174" s="72">
        <v>0</v>
      </c>
      <c r="O174" s="72">
        <v>0</v>
      </c>
      <c r="P174" s="72">
        <v>0</v>
      </c>
      <c r="Q174" s="72">
        <v>0</v>
      </c>
      <c r="R174" s="72">
        <v>0</v>
      </c>
      <c r="S174" s="72">
        <v>0</v>
      </c>
      <c r="T174" s="72">
        <v>0</v>
      </c>
      <c r="U174" s="72">
        <v>0</v>
      </c>
    </row>
    <row r="175" spans="1:22">
      <c r="B175" s="89" t="s">
        <v>212</v>
      </c>
      <c r="M175" s="72">
        <v>0</v>
      </c>
      <c r="N175" s="72">
        <v>0</v>
      </c>
      <c r="O175" s="72">
        <v>0</v>
      </c>
      <c r="P175" s="72">
        <v>0</v>
      </c>
      <c r="Q175" s="72">
        <v>0</v>
      </c>
      <c r="R175" s="72">
        <v>0</v>
      </c>
      <c r="S175" s="72">
        <v>0</v>
      </c>
      <c r="T175" s="72">
        <v>0</v>
      </c>
      <c r="U175" s="72">
        <v>0</v>
      </c>
    </row>
    <row r="176" spans="1:22">
      <c r="B176" s="89"/>
    </row>
    <row r="177" spans="1:22">
      <c r="B177" s="89" t="s">
        <v>209</v>
      </c>
      <c r="M177">
        <f t="shared" ref="M177:U177" si="147">M168</f>
        <v>0</v>
      </c>
      <c r="N177">
        <f t="shared" ca="1" si="147"/>
        <v>23.614810000000006</v>
      </c>
      <c r="O177">
        <f t="shared" ca="1" si="147"/>
        <v>24.323254300000031</v>
      </c>
      <c r="P177">
        <f t="shared" ca="1" si="147"/>
        <v>25.052951928999988</v>
      </c>
      <c r="Q177">
        <f t="shared" ca="1" si="147"/>
        <v>25.80454048687001</v>
      </c>
      <c r="R177">
        <f t="shared" ca="1" si="147"/>
        <v>26.578676701476155</v>
      </c>
      <c r="S177">
        <f t="shared" ca="1" si="147"/>
        <v>27.376037002520391</v>
      </c>
      <c r="T177">
        <f t="shared" ca="1" si="147"/>
        <v>28.197318112596008</v>
      </c>
      <c r="U177">
        <f t="shared" ca="1" si="147"/>
        <v>29.043237655973883</v>
      </c>
    </row>
    <row r="178" spans="1:22">
      <c r="B178" s="89" t="s">
        <v>202</v>
      </c>
      <c r="M178">
        <f t="shared" ref="M178:U178" ca="1" si="148">M155</f>
        <v>108.15250517684373</v>
      </c>
      <c r="N178">
        <f t="shared" ca="1" si="148"/>
        <v>113.60871835813781</v>
      </c>
      <c r="O178">
        <f t="shared" ca="1" si="148"/>
        <v>119.92433307163637</v>
      </c>
      <c r="P178">
        <f t="shared" ca="1" si="148"/>
        <v>126.66595199137129</v>
      </c>
      <c r="Q178">
        <f t="shared" ca="1" si="148"/>
        <v>133.84559221301424</v>
      </c>
      <c r="R178">
        <f t="shared" ca="1" si="148"/>
        <v>141.47718962683729</v>
      </c>
      <c r="S178">
        <f t="shared" ca="1" si="148"/>
        <v>149.57652544972871</v>
      </c>
      <c r="T178">
        <f t="shared" ca="1" si="148"/>
        <v>158.54982533962144</v>
      </c>
      <c r="U178">
        <f t="shared" ca="1" si="148"/>
        <v>167.50699269009147</v>
      </c>
    </row>
    <row r="179" spans="1:22">
      <c r="B179" s="89" t="s">
        <v>204</v>
      </c>
      <c r="M179">
        <f t="shared" ref="M179:U179" si="149">M158</f>
        <v>-70.844429999999988</v>
      </c>
      <c r="N179">
        <f t="shared" si="149"/>
        <v>-72.969762899999992</v>
      </c>
      <c r="O179">
        <f t="shared" si="149"/>
        <v>-75.158855786999993</v>
      </c>
      <c r="P179">
        <f t="shared" si="149"/>
        <v>-77.413621460610003</v>
      </c>
      <c r="Q179">
        <f t="shared" si="149"/>
        <v>-79.736030104428309</v>
      </c>
      <c r="R179">
        <f t="shared" si="149"/>
        <v>-82.128111007561145</v>
      </c>
      <c r="S179">
        <f t="shared" si="149"/>
        <v>-84.591954337787982</v>
      </c>
      <c r="T179">
        <f t="shared" si="149"/>
        <v>-87.12971296792162</v>
      </c>
      <c r="U179">
        <f t="shared" si="149"/>
        <v>-89.743604356959281</v>
      </c>
    </row>
    <row r="180" spans="1:22">
      <c r="B180" s="89" t="s">
        <v>207</v>
      </c>
      <c r="M180">
        <f t="shared" ref="M180:U180" ca="1" si="150">M165</f>
        <v>0</v>
      </c>
      <c r="N180">
        <f t="shared" ca="1" si="150"/>
        <v>0</v>
      </c>
      <c r="O180">
        <f t="shared" ca="1" si="150"/>
        <v>0</v>
      </c>
      <c r="P180">
        <f t="shared" ca="1" si="150"/>
        <v>0</v>
      </c>
      <c r="Q180">
        <f t="shared" ca="1" si="150"/>
        <v>0</v>
      </c>
      <c r="R180">
        <f t="shared" ca="1" si="150"/>
        <v>0</v>
      </c>
      <c r="S180">
        <f t="shared" ca="1" si="150"/>
        <v>0</v>
      </c>
      <c r="T180">
        <f t="shared" ca="1" si="150"/>
        <v>0</v>
      </c>
      <c r="U180">
        <f t="shared" ca="1" si="150"/>
        <v>0</v>
      </c>
    </row>
    <row r="181" spans="1:22">
      <c r="B181" s="89" t="s">
        <v>213</v>
      </c>
      <c r="M181">
        <f t="shared" ref="M181" ca="1" si="151">SUM(M177:M180)</f>
        <v>37.308075176843744</v>
      </c>
      <c r="N181">
        <f t="shared" ref="N181:U181" ca="1" si="152">SUM(N177:N180)</f>
        <v>64.253765458137806</v>
      </c>
      <c r="O181">
        <f t="shared" ca="1" si="152"/>
        <v>69.088731584636406</v>
      </c>
      <c r="P181">
        <f t="shared" ca="1" si="152"/>
        <v>74.305282459761273</v>
      </c>
      <c r="Q181">
        <f t="shared" ca="1" si="152"/>
        <v>79.91410259545593</v>
      </c>
      <c r="R181">
        <f t="shared" ca="1" si="152"/>
        <v>85.927755320752297</v>
      </c>
      <c r="S181">
        <f t="shared" ca="1" si="152"/>
        <v>92.360608114461101</v>
      </c>
      <c r="T181">
        <f t="shared" ca="1" si="152"/>
        <v>99.617430484295824</v>
      </c>
      <c r="U181">
        <f t="shared" ca="1" si="152"/>
        <v>106.80662598910607</v>
      </c>
    </row>
    <row r="182" spans="1:22">
      <c r="B182" s="89"/>
    </row>
    <row r="183" spans="1:22">
      <c r="B183" s="89" t="s">
        <v>214</v>
      </c>
      <c r="M183">
        <f t="shared" ref="M183:U183" si="153">$C$10*M106</f>
        <v>23.614809999999999</v>
      </c>
      <c r="N183">
        <f t="shared" si="153"/>
        <v>24.323254299999999</v>
      </c>
      <c r="O183">
        <f t="shared" si="153"/>
        <v>25.052951929000002</v>
      </c>
      <c r="P183">
        <f t="shared" si="153"/>
        <v>25.80454048687</v>
      </c>
      <c r="Q183">
        <f t="shared" si="153"/>
        <v>26.578676701476102</v>
      </c>
      <c r="R183">
        <f t="shared" si="153"/>
        <v>27.376037002520384</v>
      </c>
      <c r="S183">
        <f t="shared" si="153"/>
        <v>28.197318112595994</v>
      </c>
      <c r="T183">
        <f t="shared" si="153"/>
        <v>29.043237655973876</v>
      </c>
      <c r="U183">
        <f t="shared" si="153"/>
        <v>29.914534785653096</v>
      </c>
    </row>
    <row r="184" spans="1:22">
      <c r="B184" s="89"/>
    </row>
    <row r="185" spans="1:22">
      <c r="B185" s="89" t="s">
        <v>215</v>
      </c>
      <c r="M185">
        <f t="shared" ref="M185" ca="1" si="154">M181-M183</f>
        <v>13.693265176843745</v>
      </c>
      <c r="N185">
        <f t="shared" ref="N185:U185" ca="1" si="155">N181-N183</f>
        <v>39.930511158137804</v>
      </c>
      <c r="O185">
        <f t="shared" ca="1" si="155"/>
        <v>44.035779655636404</v>
      </c>
      <c r="P185">
        <f t="shared" ca="1" si="155"/>
        <v>48.500741972891277</v>
      </c>
      <c r="Q185">
        <f t="shared" ca="1" si="155"/>
        <v>53.335425893979831</v>
      </c>
      <c r="R185">
        <f t="shared" ca="1" si="155"/>
        <v>58.551718318231913</v>
      </c>
      <c r="S185">
        <f t="shared" ca="1" si="155"/>
        <v>64.163290001865107</v>
      </c>
      <c r="T185">
        <f t="shared" ca="1" si="155"/>
        <v>70.574192828321941</v>
      </c>
      <c r="U185">
        <f t="shared" ca="1" si="155"/>
        <v>76.892091203452964</v>
      </c>
    </row>
    <row r="186" spans="1:22">
      <c r="B186" s="89"/>
    </row>
    <row r="187" spans="1:22">
      <c r="B187" s="89" t="s">
        <v>216</v>
      </c>
      <c r="M187">
        <f>SUM(M198,M212,M220)</f>
        <v>-5.4719999999999915</v>
      </c>
      <c r="N187">
        <f t="shared" ref="N187:U187" ca="1" si="156">SUM(N198,N212,N220)</f>
        <v>-5.4719999999999915</v>
      </c>
      <c r="O187">
        <f t="shared" ca="1" si="156"/>
        <v>-5.4719999999999915</v>
      </c>
      <c r="P187">
        <f t="shared" ca="1" si="156"/>
        <v>-5.4719999999999915</v>
      </c>
      <c r="Q187">
        <f t="shared" ca="1" si="156"/>
        <v>-5.4719999999999915</v>
      </c>
      <c r="R187">
        <f t="shared" ca="1" si="156"/>
        <v>-5.4719999999999915</v>
      </c>
      <c r="S187">
        <f t="shared" ca="1" si="156"/>
        <v>-5.4719999999999915</v>
      </c>
      <c r="T187">
        <f t="shared" ca="1" si="156"/>
        <v>-5.4719999999999915</v>
      </c>
      <c r="U187">
        <f t="shared" ca="1" si="156"/>
        <v>-5.4719999999999915</v>
      </c>
    </row>
    <row r="188" spans="1:22">
      <c r="B188" s="89" t="s">
        <v>217</v>
      </c>
      <c r="M188">
        <f t="shared" ref="M188" ca="1" si="157">SUM(M185,M187)</f>
        <v>8.2212651768437546</v>
      </c>
      <c r="N188">
        <f t="shared" ref="N188:U188" ca="1" si="158">SUM(N185,N187)</f>
        <v>34.45851115813781</v>
      </c>
      <c r="O188">
        <f t="shared" ca="1" si="158"/>
        <v>38.563779655636409</v>
      </c>
      <c r="P188">
        <f t="shared" ca="1" si="158"/>
        <v>43.028741972891282</v>
      </c>
      <c r="Q188">
        <f t="shared" ca="1" si="158"/>
        <v>47.863425893979837</v>
      </c>
      <c r="R188">
        <f t="shared" ca="1" si="158"/>
        <v>53.079718318231919</v>
      </c>
      <c r="S188">
        <f t="shared" ca="1" si="158"/>
        <v>58.691290001865113</v>
      </c>
      <c r="T188">
        <f t="shared" ca="1" si="158"/>
        <v>65.102192828321947</v>
      </c>
      <c r="U188">
        <f t="shared" ca="1" si="158"/>
        <v>71.420091203452969</v>
      </c>
    </row>
    <row r="189" spans="1:22">
      <c r="B189" s="89"/>
    </row>
    <row r="190" spans="1:22">
      <c r="B190" s="89" t="s">
        <v>218</v>
      </c>
      <c r="M190">
        <f t="shared" ref="M190" si="159">L192</f>
        <v>0</v>
      </c>
      <c r="N190">
        <f t="shared" ref="N190" ca="1" si="160">M192</f>
        <v>0</v>
      </c>
      <c r="O190">
        <f t="shared" ref="O190" ca="1" si="161">N192</f>
        <v>0</v>
      </c>
      <c r="P190">
        <f t="shared" ref="P190" ca="1" si="162">O192</f>
        <v>0</v>
      </c>
      <c r="Q190">
        <f t="shared" ref="Q190" ca="1" si="163">P192</f>
        <v>0</v>
      </c>
      <c r="R190">
        <f t="shared" ref="R190" ca="1" si="164">Q192</f>
        <v>0</v>
      </c>
      <c r="S190">
        <f t="shared" ref="S190" ca="1" si="165">R192</f>
        <v>0</v>
      </c>
      <c r="T190">
        <f t="shared" ref="T190" ca="1" si="166">S192</f>
        <v>0</v>
      </c>
      <c r="U190">
        <f t="shared" ref="U190" ca="1" si="167">T192</f>
        <v>0</v>
      </c>
    </row>
    <row r="191" spans="1:22">
      <c r="B191" s="89" t="s">
        <v>219</v>
      </c>
      <c r="M191">
        <f t="shared" ref="M191" ca="1" si="168">MIN(M188,M190)*-1</f>
        <v>0</v>
      </c>
      <c r="N191">
        <f t="shared" ref="N191:U191" ca="1" si="169">MIN(N188,N190)*-1</f>
        <v>0</v>
      </c>
      <c r="O191">
        <f t="shared" ca="1" si="169"/>
        <v>0</v>
      </c>
      <c r="P191">
        <f t="shared" ca="1" si="169"/>
        <v>0</v>
      </c>
      <c r="Q191">
        <f t="shared" ca="1" si="169"/>
        <v>0</v>
      </c>
      <c r="R191">
        <f t="shared" ca="1" si="169"/>
        <v>0</v>
      </c>
      <c r="S191">
        <f t="shared" ca="1" si="169"/>
        <v>0</v>
      </c>
      <c r="T191">
        <f t="shared" ca="1" si="169"/>
        <v>0</v>
      </c>
      <c r="U191">
        <f t="shared" ca="1" si="169"/>
        <v>0</v>
      </c>
    </row>
    <row r="192" spans="1:22" s="70" customFormat="1">
      <c r="A192" s="29"/>
      <c r="B192" s="93" t="s">
        <v>220</v>
      </c>
      <c r="K192"/>
      <c r="L192" s="70">
        <f>L133</f>
        <v>0</v>
      </c>
      <c r="M192" s="70">
        <f t="shared" ref="M192" ca="1" si="170">SUM(M190:M191)</f>
        <v>0</v>
      </c>
      <c r="N192" s="70">
        <f t="shared" ref="N192:U192" ca="1" si="171">SUM(N190:N191)</f>
        <v>0</v>
      </c>
      <c r="O192" s="70">
        <f t="shared" ca="1" si="171"/>
        <v>0</v>
      </c>
      <c r="P192" s="70">
        <f t="shared" ca="1" si="171"/>
        <v>0</v>
      </c>
      <c r="Q192" s="70">
        <f t="shared" ca="1" si="171"/>
        <v>0</v>
      </c>
      <c r="R192" s="70">
        <f t="shared" ca="1" si="171"/>
        <v>0</v>
      </c>
      <c r="S192" s="70">
        <f t="shared" ca="1" si="171"/>
        <v>0</v>
      </c>
      <c r="T192" s="70">
        <f t="shared" ca="1" si="171"/>
        <v>0</v>
      </c>
      <c r="U192" s="70">
        <f t="shared" ca="1" si="171"/>
        <v>0</v>
      </c>
      <c r="V192"/>
    </row>
    <row r="193" spans="1:22">
      <c r="B193" s="89" t="s">
        <v>56</v>
      </c>
      <c r="M193">
        <f t="shared" ref="M193:U193" ca="1" si="172">$G$40*AVERAGE(L192:M192)</f>
        <v>0</v>
      </c>
      <c r="N193">
        <f t="shared" ca="1" si="172"/>
        <v>0</v>
      </c>
      <c r="O193">
        <f t="shared" ca="1" si="172"/>
        <v>0</v>
      </c>
      <c r="P193">
        <f t="shared" ca="1" si="172"/>
        <v>0</v>
      </c>
      <c r="Q193">
        <f t="shared" ca="1" si="172"/>
        <v>0</v>
      </c>
      <c r="R193">
        <f t="shared" ca="1" si="172"/>
        <v>0</v>
      </c>
      <c r="S193">
        <f t="shared" ca="1" si="172"/>
        <v>0</v>
      </c>
      <c r="T193">
        <f t="shared" ca="1" si="172"/>
        <v>0</v>
      </c>
      <c r="U193">
        <f t="shared" ca="1" si="172"/>
        <v>0</v>
      </c>
    </row>
    <row r="194" spans="1:22">
      <c r="B194" s="89"/>
    </row>
    <row r="195" spans="1:22">
      <c r="B195" s="89" t="s">
        <v>221</v>
      </c>
      <c r="M195">
        <f t="shared" ref="M195" ca="1" si="173">SUM(M188,M191)</f>
        <v>8.2212651768437546</v>
      </c>
      <c r="N195">
        <f t="shared" ref="N195:U195" ca="1" si="174">SUM(N188,N191)</f>
        <v>34.45851115813781</v>
      </c>
      <c r="O195">
        <f t="shared" ca="1" si="174"/>
        <v>38.563779655636409</v>
      </c>
      <c r="P195">
        <f t="shared" ca="1" si="174"/>
        <v>43.028741972891282</v>
      </c>
      <c r="Q195">
        <f t="shared" ca="1" si="174"/>
        <v>47.863425893979837</v>
      </c>
      <c r="R195">
        <f t="shared" ca="1" si="174"/>
        <v>53.079718318231919</v>
      </c>
      <c r="S195">
        <f t="shared" ca="1" si="174"/>
        <v>58.691290001865113</v>
      </c>
      <c r="T195">
        <f t="shared" ca="1" si="174"/>
        <v>65.102192828321947</v>
      </c>
      <c r="U195">
        <f t="shared" ca="1" si="174"/>
        <v>71.420091203452969</v>
      </c>
    </row>
    <row r="196" spans="1:22">
      <c r="B196" s="89"/>
    </row>
    <row r="197" spans="1:22">
      <c r="B197" s="89" t="str">
        <f>"Beginning "&amp;B41</f>
        <v>Beginning Senior debt (Term B)</v>
      </c>
      <c r="M197">
        <f t="shared" ref="M197" si="175">L200</f>
        <v>547.19999999999914</v>
      </c>
      <c r="N197">
        <f t="shared" ref="N197" ca="1" si="176">M200</f>
        <v>533.5067348231554</v>
      </c>
      <c r="O197">
        <f t="shared" ref="O197" ca="1" si="177">N200</f>
        <v>493.57622366501761</v>
      </c>
      <c r="P197">
        <f t="shared" ref="P197" ca="1" si="178">O200</f>
        <v>449.54044400938119</v>
      </c>
      <c r="Q197">
        <f t="shared" ref="Q197" ca="1" si="179">P200</f>
        <v>401.03970203648993</v>
      </c>
      <c r="R197">
        <f t="shared" ref="R197" ca="1" si="180">Q200</f>
        <v>347.70427614251014</v>
      </c>
      <c r="S197">
        <f t="shared" ref="S197" ca="1" si="181">R200</f>
        <v>289.15255782427823</v>
      </c>
      <c r="T197">
        <f t="shared" ref="T197" ca="1" si="182">S200</f>
        <v>224.98926782241313</v>
      </c>
      <c r="U197">
        <f t="shared" ref="U197" ca="1" si="183">T200</f>
        <v>154.41507499409119</v>
      </c>
    </row>
    <row r="198" spans="1:22">
      <c r="B198" s="89" t="s">
        <v>222</v>
      </c>
      <c r="M198">
        <f t="shared" ref="M198:U198" si="184">MIN(M173*-1,M197)*-1</f>
        <v>-5.4719999999999915</v>
      </c>
      <c r="N198">
        <f t="shared" ca="1" si="184"/>
        <v>-5.4719999999999915</v>
      </c>
      <c r="O198">
        <f t="shared" ca="1" si="184"/>
        <v>-5.4719999999999915</v>
      </c>
      <c r="P198">
        <f t="shared" ca="1" si="184"/>
        <v>-5.4719999999999915</v>
      </c>
      <c r="Q198">
        <f t="shared" ca="1" si="184"/>
        <v>-5.4719999999999915</v>
      </c>
      <c r="R198">
        <f t="shared" ca="1" si="184"/>
        <v>-5.4719999999999915</v>
      </c>
      <c r="S198">
        <f t="shared" ca="1" si="184"/>
        <v>-5.4719999999999915</v>
      </c>
      <c r="T198">
        <f t="shared" ca="1" si="184"/>
        <v>-5.4719999999999915</v>
      </c>
      <c r="U198">
        <f t="shared" ca="1" si="184"/>
        <v>-5.4719999999999915</v>
      </c>
    </row>
    <row r="199" spans="1:22">
      <c r="B199" s="89" t="s">
        <v>223</v>
      </c>
      <c r="C199" t="s">
        <v>224</v>
      </c>
      <c r="D199" s="113">
        <v>1</v>
      </c>
      <c r="M199">
        <f t="shared" ref="M199:U199" ca="1" si="185">MIN(M195,M197+M198)*-1*$D$199</f>
        <v>-8.2212651768437546</v>
      </c>
      <c r="N199">
        <f t="shared" ca="1" si="185"/>
        <v>-34.45851115813781</v>
      </c>
      <c r="O199">
        <f t="shared" ca="1" si="185"/>
        <v>-38.563779655636409</v>
      </c>
      <c r="P199">
        <f t="shared" ca="1" si="185"/>
        <v>-43.028741972891282</v>
      </c>
      <c r="Q199">
        <f t="shared" ca="1" si="185"/>
        <v>-47.863425893979837</v>
      </c>
      <c r="R199">
        <f t="shared" ca="1" si="185"/>
        <v>-53.079718318231919</v>
      </c>
      <c r="S199">
        <f t="shared" ca="1" si="185"/>
        <v>-58.691290001865113</v>
      </c>
      <c r="T199">
        <f t="shared" ca="1" si="185"/>
        <v>-65.102192828321947</v>
      </c>
      <c r="U199">
        <f t="shared" ca="1" si="185"/>
        <v>-71.420091203452969</v>
      </c>
    </row>
    <row r="200" spans="1:22" s="70" customFormat="1">
      <c r="A200" s="29"/>
      <c r="B200" s="93" t="str">
        <f>"Ending "&amp;B41</f>
        <v>Ending Senior debt (Term B)</v>
      </c>
      <c r="K200"/>
      <c r="L200" s="70">
        <f>L138</f>
        <v>547.19999999999914</v>
      </c>
      <c r="M200" s="70">
        <f t="shared" ref="M200" ca="1" si="186">SUM(M197:M199)</f>
        <v>533.5067348231554</v>
      </c>
      <c r="N200" s="70">
        <f t="shared" ref="N200:U200" ca="1" si="187">SUM(N197:N199)</f>
        <v>493.57622366501761</v>
      </c>
      <c r="O200" s="70">
        <f t="shared" ca="1" si="187"/>
        <v>449.54044400938119</v>
      </c>
      <c r="P200" s="70">
        <f t="shared" ca="1" si="187"/>
        <v>401.03970203648993</v>
      </c>
      <c r="Q200" s="70">
        <f t="shared" ca="1" si="187"/>
        <v>347.70427614251014</v>
      </c>
      <c r="R200" s="70">
        <f t="shared" ca="1" si="187"/>
        <v>289.15255782427823</v>
      </c>
      <c r="S200" s="70">
        <f t="shared" ca="1" si="187"/>
        <v>224.98926782241313</v>
      </c>
      <c r="T200" s="70">
        <f t="shared" ca="1" si="187"/>
        <v>154.41507499409119</v>
      </c>
      <c r="U200" s="70">
        <f t="shared" ca="1" si="187"/>
        <v>77.522983790638236</v>
      </c>
      <c r="V200"/>
    </row>
    <row r="201" spans="1:22">
      <c r="B201" s="89"/>
    </row>
    <row r="202" spans="1:22">
      <c r="B202" s="89" t="s">
        <v>48</v>
      </c>
      <c r="M202">
        <f t="shared" ref="M202:U202" si="188">M113</f>
        <v>179.67722622563468</v>
      </c>
      <c r="N202">
        <f t="shared" si="188"/>
        <v>184.24819851295626</v>
      </c>
      <c r="O202">
        <f t="shared" si="188"/>
        <v>189.06260987737085</v>
      </c>
      <c r="P202">
        <f t="shared" si="188"/>
        <v>194.11396978579955</v>
      </c>
      <c r="Q202">
        <f t="shared" si="188"/>
        <v>199.3973827217668</v>
      </c>
      <c r="R202">
        <f t="shared" si="188"/>
        <v>204.90936381818227</v>
      </c>
      <c r="S202">
        <f t="shared" si="188"/>
        <v>210.64767908934311</v>
      </c>
      <c r="T202">
        <f t="shared" si="188"/>
        <v>216.61120709073779</v>
      </c>
      <c r="U202">
        <f t="shared" si="188"/>
        <v>222.79981924733045</v>
      </c>
    </row>
    <row r="203" spans="1:22">
      <c r="B203" s="89" t="str">
        <f>B41&amp;" / EBITDA"</f>
        <v>Senior debt (Term B) / EBITDA</v>
      </c>
      <c r="M203" s="27">
        <f t="shared" ref="M203" ca="1" si="189">M200/M202</f>
        <v>2.9692507282653029</v>
      </c>
      <c r="N203" s="27">
        <f t="shared" ref="N203:U203" ca="1" si="190">N200/N202</f>
        <v>2.6788659408808795</v>
      </c>
      <c r="O203" s="27">
        <f t="shared" ca="1" si="190"/>
        <v>2.3777331980181624</v>
      </c>
      <c r="P203" s="27">
        <f t="shared" ca="1" si="190"/>
        <v>2.0660012387517925</v>
      </c>
      <c r="Q203" s="27">
        <f t="shared" ca="1" si="190"/>
        <v>1.7437755270222697</v>
      </c>
      <c r="R203" s="27">
        <f t="shared" ca="1" si="190"/>
        <v>1.4111241791802429</v>
      </c>
      <c r="S203" s="27">
        <f t="shared" ca="1" si="190"/>
        <v>1.0680832981168866</v>
      </c>
      <c r="T203" s="27">
        <f t="shared" ca="1" si="190"/>
        <v>0.71286743224420135</v>
      </c>
      <c r="U203" s="27">
        <f t="shared" ca="1" si="190"/>
        <v>0.34794904256443693</v>
      </c>
    </row>
    <row r="204" spans="1:22">
      <c r="B204" s="89" t="str">
        <f>B203&amp;" margin ratchet covenant"</f>
        <v>Senior debt (Term B) / EBITDA margin ratchet covenant</v>
      </c>
      <c r="M204" s="112">
        <v>1</v>
      </c>
      <c r="N204" s="112">
        <v>1</v>
      </c>
      <c r="O204" s="112">
        <v>1</v>
      </c>
      <c r="P204" s="112">
        <v>1</v>
      </c>
      <c r="Q204" s="112">
        <v>1</v>
      </c>
      <c r="R204" s="112">
        <v>1</v>
      </c>
      <c r="S204" s="112">
        <v>1</v>
      </c>
      <c r="T204" s="112">
        <v>1</v>
      </c>
      <c r="U204" s="112">
        <v>1</v>
      </c>
    </row>
    <row r="205" spans="1:22">
      <c r="B205" s="89" t="s">
        <v>225</v>
      </c>
      <c r="M205" s="73">
        <v>2.5000000000000001E-3</v>
      </c>
      <c r="N205" s="73">
        <v>2.5000000000000001E-3</v>
      </c>
      <c r="O205" s="73">
        <v>2.5000000000000001E-3</v>
      </c>
      <c r="P205" s="73">
        <v>2.5000000000000001E-3</v>
      </c>
      <c r="Q205" s="73">
        <v>2.5000000000000001E-3</v>
      </c>
      <c r="R205" s="73">
        <v>2.5000000000000001E-3</v>
      </c>
      <c r="S205" s="73">
        <v>2.5000000000000001E-3</v>
      </c>
      <c r="T205" s="73">
        <v>2.5000000000000001E-3</v>
      </c>
      <c r="U205" s="73">
        <v>2.5000000000000001E-3</v>
      </c>
    </row>
    <row r="206" spans="1:22">
      <c r="B206" s="89" t="s">
        <v>133</v>
      </c>
      <c r="M206" s="92">
        <f t="shared" ref="M206:U206" ca="1" si="191">IF(M203&gt;M204,$G$41+M205,$G$41)</f>
        <v>5.9500000000000004E-2</v>
      </c>
      <c r="N206" s="92">
        <f t="shared" ca="1" si="191"/>
        <v>5.9500000000000004E-2</v>
      </c>
      <c r="O206" s="92">
        <f t="shared" ca="1" si="191"/>
        <v>5.9500000000000004E-2</v>
      </c>
      <c r="P206" s="92">
        <f t="shared" ca="1" si="191"/>
        <v>5.9500000000000004E-2</v>
      </c>
      <c r="Q206" s="92">
        <f t="shared" ca="1" si="191"/>
        <v>5.9500000000000004E-2</v>
      </c>
      <c r="R206" s="92">
        <f t="shared" ca="1" si="191"/>
        <v>5.9500000000000004E-2</v>
      </c>
      <c r="S206" s="92">
        <f t="shared" ca="1" si="191"/>
        <v>5.9500000000000004E-2</v>
      </c>
      <c r="T206" s="92">
        <f t="shared" ca="1" si="191"/>
        <v>5.7000000000000002E-2</v>
      </c>
      <c r="U206" s="92">
        <f t="shared" ca="1" si="191"/>
        <v>5.7000000000000002E-2</v>
      </c>
    </row>
    <row r="207" spans="1:22">
      <c r="B207" s="89" t="s">
        <v>56</v>
      </c>
      <c r="M207">
        <f t="shared" ref="M207:U207" ca="1" si="192">M206*AVERAGE(L200:M200)</f>
        <v>32.151025360988847</v>
      </c>
      <c r="N207">
        <f t="shared" ca="1" si="192"/>
        <v>30.55571801502315</v>
      </c>
      <c r="O207">
        <f t="shared" ca="1" si="192"/>
        <v>28.057720863313364</v>
      </c>
      <c r="P207">
        <f t="shared" ca="1" si="192"/>
        <v>25.304759344864667</v>
      </c>
      <c r="Q207">
        <f t="shared" ca="1" si="192"/>
        <v>22.275133350825254</v>
      </c>
      <c r="R207">
        <f t="shared" ca="1" si="192"/>
        <v>18.946490810511957</v>
      </c>
      <c r="S207">
        <f t="shared" ca="1" si="192"/>
        <v>15.295719312989069</v>
      </c>
      <c r="T207">
        <f t="shared" ca="1" si="192"/>
        <v>10.813023770270373</v>
      </c>
      <c r="U207">
        <f t="shared" ca="1" si="192"/>
        <v>6.6102346753647891</v>
      </c>
    </row>
    <row r="208" spans="1:22">
      <c r="B208" s="89"/>
    </row>
    <row r="209" spans="1:22">
      <c r="B209" s="89" t="s">
        <v>221</v>
      </c>
      <c r="M209">
        <f t="shared" ref="M209" ca="1" si="193">SUM(M195,M199)</f>
        <v>0</v>
      </c>
      <c r="N209">
        <f t="shared" ref="N209:U209" ca="1" si="194">SUM(N195,N199)</f>
        <v>0</v>
      </c>
      <c r="O209">
        <f t="shared" ca="1" si="194"/>
        <v>0</v>
      </c>
      <c r="P209">
        <f t="shared" ca="1" si="194"/>
        <v>0</v>
      </c>
      <c r="Q209">
        <f t="shared" ca="1" si="194"/>
        <v>0</v>
      </c>
      <c r="R209">
        <f t="shared" ca="1" si="194"/>
        <v>0</v>
      </c>
      <c r="S209">
        <f t="shared" ca="1" si="194"/>
        <v>0</v>
      </c>
      <c r="T209">
        <f t="shared" ca="1" si="194"/>
        <v>0</v>
      </c>
      <c r="U209">
        <f t="shared" ca="1" si="194"/>
        <v>0</v>
      </c>
    </row>
    <row r="210" spans="1:22">
      <c r="B210" s="89"/>
    </row>
    <row r="211" spans="1:22">
      <c r="A211" s="91" t="s">
        <v>226</v>
      </c>
      <c r="B211" s="89" t="str">
        <f>"Beginning "&amp;B42</f>
        <v>Beginning Senior unsecured high yield notes</v>
      </c>
      <c r="M211">
        <f t="shared" ref="M211" si="195">L214</f>
        <v>273.59999999999957</v>
      </c>
      <c r="N211">
        <f t="shared" ref="N211" ca="1" si="196">M214</f>
        <v>273.59999999999957</v>
      </c>
      <c r="O211">
        <f t="shared" ref="O211" ca="1" si="197">N214</f>
        <v>273.59999999999957</v>
      </c>
      <c r="P211">
        <f t="shared" ref="P211" ca="1" si="198">O214</f>
        <v>273.59999999999957</v>
      </c>
      <c r="Q211">
        <f t="shared" ref="Q211" ca="1" si="199">P214</f>
        <v>273.59999999999957</v>
      </c>
      <c r="R211">
        <f t="shared" ref="R211" ca="1" si="200">Q214</f>
        <v>273.59999999999957</v>
      </c>
      <c r="S211">
        <f t="shared" ref="S211" ca="1" si="201">R214</f>
        <v>273.59999999999957</v>
      </c>
      <c r="T211">
        <f t="shared" ref="T211" ca="1" si="202">S214</f>
        <v>273.59999999999957</v>
      </c>
      <c r="U211">
        <f t="shared" ref="U211" ca="1" si="203">T214</f>
        <v>273.59999999999957</v>
      </c>
    </row>
    <row r="212" spans="1:22">
      <c r="A212" s="91"/>
      <c r="B212" s="89" t="s">
        <v>222</v>
      </c>
      <c r="M212">
        <f t="shared" ref="M212:U212" si="204">MIN(M174*-1,M211)*-1</f>
        <v>0</v>
      </c>
      <c r="N212">
        <f t="shared" ca="1" si="204"/>
        <v>0</v>
      </c>
      <c r="O212">
        <f t="shared" ca="1" si="204"/>
        <v>0</v>
      </c>
      <c r="P212">
        <f t="shared" ca="1" si="204"/>
        <v>0</v>
      </c>
      <c r="Q212">
        <f t="shared" ca="1" si="204"/>
        <v>0</v>
      </c>
      <c r="R212">
        <f t="shared" ca="1" si="204"/>
        <v>0</v>
      </c>
      <c r="S212">
        <f t="shared" ca="1" si="204"/>
        <v>0</v>
      </c>
      <c r="T212">
        <f t="shared" ca="1" si="204"/>
        <v>0</v>
      </c>
      <c r="U212">
        <f t="shared" ca="1" si="204"/>
        <v>0</v>
      </c>
    </row>
    <row r="213" spans="1:22">
      <c r="A213" s="91"/>
      <c r="B213" s="89" t="s">
        <v>223</v>
      </c>
      <c r="C213" t="s">
        <v>224</v>
      </c>
      <c r="D213" s="113">
        <v>0</v>
      </c>
      <c r="M213">
        <f t="shared" ref="M213:U213" ca="1" si="205">MIN(M209,M211+M212)*-1*$D$213</f>
        <v>0</v>
      </c>
      <c r="N213">
        <f t="shared" ca="1" si="205"/>
        <v>0</v>
      </c>
      <c r="O213">
        <f t="shared" ca="1" si="205"/>
        <v>0</v>
      </c>
      <c r="P213">
        <f t="shared" ca="1" si="205"/>
        <v>0</v>
      </c>
      <c r="Q213">
        <f t="shared" ca="1" si="205"/>
        <v>0</v>
      </c>
      <c r="R213">
        <f t="shared" ca="1" si="205"/>
        <v>0</v>
      </c>
      <c r="S213">
        <f t="shared" ca="1" si="205"/>
        <v>0</v>
      </c>
      <c r="T213">
        <f t="shared" ca="1" si="205"/>
        <v>0</v>
      </c>
      <c r="U213">
        <f t="shared" ca="1" si="205"/>
        <v>0</v>
      </c>
    </row>
    <row r="214" spans="1:22" s="70" customFormat="1">
      <c r="A214" s="91"/>
      <c r="B214" s="93" t="str">
        <f>"Ending "&amp;B42</f>
        <v>Ending Senior unsecured high yield notes</v>
      </c>
      <c r="K214"/>
      <c r="L214" s="70">
        <f>L139</f>
        <v>273.59999999999957</v>
      </c>
      <c r="M214" s="70">
        <f t="shared" ref="M214" ca="1" si="206">SUM(M211:M213)</f>
        <v>273.59999999999957</v>
      </c>
      <c r="N214" s="70">
        <f t="shared" ref="N214:U214" ca="1" si="207">SUM(N211:N213)</f>
        <v>273.59999999999957</v>
      </c>
      <c r="O214" s="70">
        <f t="shared" ca="1" si="207"/>
        <v>273.59999999999957</v>
      </c>
      <c r="P214" s="70">
        <f t="shared" ca="1" si="207"/>
        <v>273.59999999999957</v>
      </c>
      <c r="Q214" s="70">
        <f t="shared" ca="1" si="207"/>
        <v>273.59999999999957</v>
      </c>
      <c r="R214" s="70">
        <f t="shared" ca="1" si="207"/>
        <v>273.59999999999957</v>
      </c>
      <c r="S214" s="70">
        <f t="shared" ca="1" si="207"/>
        <v>273.59999999999957</v>
      </c>
      <c r="T214" s="70">
        <f t="shared" ca="1" si="207"/>
        <v>273.59999999999957</v>
      </c>
      <c r="U214" s="70">
        <f t="shared" ca="1" si="207"/>
        <v>273.59999999999957</v>
      </c>
      <c r="V214"/>
    </row>
    <row r="215" spans="1:22">
      <c r="B215" s="89" t="s">
        <v>56</v>
      </c>
      <c r="M215">
        <f t="shared" ref="M215:U215" ca="1" si="208">$G$42*AVERAGE(L214:M214)</f>
        <v>26.539199999999958</v>
      </c>
      <c r="N215">
        <f t="shared" ca="1" si="208"/>
        <v>26.539199999999958</v>
      </c>
      <c r="O215">
        <f t="shared" ca="1" si="208"/>
        <v>26.539199999999958</v>
      </c>
      <c r="P215">
        <f t="shared" ca="1" si="208"/>
        <v>26.539199999999958</v>
      </c>
      <c r="Q215">
        <f t="shared" ca="1" si="208"/>
        <v>26.539199999999958</v>
      </c>
      <c r="R215">
        <f t="shared" ca="1" si="208"/>
        <v>26.539199999999958</v>
      </c>
      <c r="S215">
        <f t="shared" ca="1" si="208"/>
        <v>26.539199999999958</v>
      </c>
      <c r="T215">
        <f t="shared" ca="1" si="208"/>
        <v>26.539199999999958</v>
      </c>
      <c r="U215">
        <f t="shared" ca="1" si="208"/>
        <v>26.539199999999958</v>
      </c>
    </row>
    <row r="216" spans="1:22">
      <c r="B216" s="89"/>
    </row>
    <row r="217" spans="1:22">
      <c r="B217" s="89" t="s">
        <v>221</v>
      </c>
      <c r="M217">
        <f t="shared" ref="M217" ca="1" si="209">SUM(M209,M213)</f>
        <v>0</v>
      </c>
      <c r="N217">
        <f t="shared" ref="N217:U217" ca="1" si="210">SUM(N209,N213)</f>
        <v>0</v>
      </c>
      <c r="O217">
        <f t="shared" ca="1" si="210"/>
        <v>0</v>
      </c>
      <c r="P217">
        <f t="shared" ca="1" si="210"/>
        <v>0</v>
      </c>
      <c r="Q217">
        <f t="shared" ca="1" si="210"/>
        <v>0</v>
      </c>
      <c r="R217">
        <f t="shared" ca="1" si="210"/>
        <v>0</v>
      </c>
      <c r="S217">
        <f t="shared" ca="1" si="210"/>
        <v>0</v>
      </c>
      <c r="T217">
        <f t="shared" ca="1" si="210"/>
        <v>0</v>
      </c>
      <c r="U217">
        <f t="shared" ca="1" si="210"/>
        <v>0</v>
      </c>
    </row>
    <row r="218" spans="1:22">
      <c r="B218" s="89"/>
    </row>
    <row r="219" spans="1:22">
      <c r="B219" s="89" t="str">
        <f>"Beginning "&amp;B43</f>
        <v>Beginning Unitranche</v>
      </c>
      <c r="M219">
        <f t="shared" ref="M219" si="211">L222</f>
        <v>0</v>
      </c>
      <c r="N219">
        <f t="shared" ref="N219" ca="1" si="212">M222</f>
        <v>0</v>
      </c>
      <c r="O219">
        <f t="shared" ref="O219" ca="1" si="213">N222</f>
        <v>0</v>
      </c>
      <c r="P219">
        <f t="shared" ref="P219" ca="1" si="214">O222</f>
        <v>0</v>
      </c>
      <c r="Q219">
        <f t="shared" ref="Q219" ca="1" si="215">P222</f>
        <v>0</v>
      </c>
      <c r="R219">
        <f t="shared" ref="R219" ca="1" si="216">Q222</f>
        <v>0</v>
      </c>
      <c r="S219">
        <f t="shared" ref="S219" ca="1" si="217">R222</f>
        <v>0</v>
      </c>
      <c r="T219">
        <f t="shared" ref="T219" ca="1" si="218">S222</f>
        <v>0</v>
      </c>
      <c r="U219">
        <f t="shared" ref="U219" ca="1" si="219">T222</f>
        <v>0</v>
      </c>
    </row>
    <row r="220" spans="1:22">
      <c r="B220" s="89" t="s">
        <v>222</v>
      </c>
      <c r="M220">
        <f t="shared" ref="M220:U220" si="220">MIN(M175*-1,M219)*-1</f>
        <v>0</v>
      </c>
      <c r="N220">
        <f t="shared" ca="1" si="220"/>
        <v>0</v>
      </c>
      <c r="O220">
        <f t="shared" ca="1" si="220"/>
        <v>0</v>
      </c>
      <c r="P220">
        <f t="shared" ca="1" si="220"/>
        <v>0</v>
      </c>
      <c r="Q220">
        <f t="shared" ca="1" si="220"/>
        <v>0</v>
      </c>
      <c r="R220">
        <f t="shared" ca="1" si="220"/>
        <v>0</v>
      </c>
      <c r="S220">
        <f t="shared" ca="1" si="220"/>
        <v>0</v>
      </c>
      <c r="T220">
        <f t="shared" ca="1" si="220"/>
        <v>0</v>
      </c>
      <c r="U220">
        <f t="shared" ca="1" si="220"/>
        <v>0</v>
      </c>
    </row>
    <row r="221" spans="1:22">
      <c r="B221" s="89" t="s">
        <v>223</v>
      </c>
      <c r="C221" t="s">
        <v>224</v>
      </c>
      <c r="D221" s="113">
        <v>1</v>
      </c>
      <c r="M221">
        <f t="shared" ref="M221:U221" ca="1" si="221">MIN(M217,M219+M220)*-1*$D$221</f>
        <v>0</v>
      </c>
      <c r="N221">
        <f t="shared" ca="1" si="221"/>
        <v>0</v>
      </c>
      <c r="O221">
        <f t="shared" ca="1" si="221"/>
        <v>0</v>
      </c>
      <c r="P221">
        <f t="shared" ca="1" si="221"/>
        <v>0</v>
      </c>
      <c r="Q221">
        <f t="shared" ca="1" si="221"/>
        <v>0</v>
      </c>
      <c r="R221">
        <f t="shared" ca="1" si="221"/>
        <v>0</v>
      </c>
      <c r="S221">
        <f t="shared" ca="1" si="221"/>
        <v>0</v>
      </c>
      <c r="T221">
        <f t="shared" ca="1" si="221"/>
        <v>0</v>
      </c>
      <c r="U221">
        <f t="shared" ca="1" si="221"/>
        <v>0</v>
      </c>
    </row>
    <row r="222" spans="1:22" s="70" customFormat="1">
      <c r="A222" s="29"/>
      <c r="B222" s="93" t="str">
        <f>"Ending "&amp;B43</f>
        <v>Ending Unitranche</v>
      </c>
      <c r="K222"/>
      <c r="L222" s="70">
        <f>L140</f>
        <v>0</v>
      </c>
      <c r="M222" s="70">
        <f t="shared" ref="M222" ca="1" si="222">SUM(M219:M221)</f>
        <v>0</v>
      </c>
      <c r="N222" s="70">
        <f t="shared" ref="N222:U222" ca="1" si="223">SUM(N219:N221)</f>
        <v>0</v>
      </c>
      <c r="O222" s="70">
        <f t="shared" ca="1" si="223"/>
        <v>0</v>
      </c>
      <c r="P222" s="70">
        <f t="shared" ca="1" si="223"/>
        <v>0</v>
      </c>
      <c r="Q222" s="70">
        <f t="shared" ca="1" si="223"/>
        <v>0</v>
      </c>
      <c r="R222" s="70">
        <f t="shared" ca="1" si="223"/>
        <v>0</v>
      </c>
      <c r="S222" s="70">
        <f t="shared" ca="1" si="223"/>
        <v>0</v>
      </c>
      <c r="T222" s="70">
        <f t="shared" ca="1" si="223"/>
        <v>0</v>
      </c>
      <c r="U222" s="70">
        <f t="shared" ca="1" si="223"/>
        <v>0</v>
      </c>
      <c r="V222"/>
    </row>
    <row r="223" spans="1:22">
      <c r="B223" s="89" t="s">
        <v>56</v>
      </c>
      <c r="M223" s="100">
        <f t="shared" ref="M223:U223" ca="1" si="224">$G$43*AVERAGE(L222:M222)</f>
        <v>0</v>
      </c>
      <c r="N223" s="100">
        <f t="shared" ca="1" si="224"/>
        <v>0</v>
      </c>
      <c r="O223" s="100">
        <f t="shared" ca="1" si="224"/>
        <v>0</v>
      </c>
      <c r="P223" s="100">
        <f t="shared" ca="1" si="224"/>
        <v>0</v>
      </c>
      <c r="Q223" s="100">
        <f t="shared" ca="1" si="224"/>
        <v>0</v>
      </c>
      <c r="R223" s="100">
        <f t="shared" ca="1" si="224"/>
        <v>0</v>
      </c>
      <c r="S223" s="100">
        <f t="shared" ca="1" si="224"/>
        <v>0</v>
      </c>
      <c r="T223" s="100">
        <f t="shared" ca="1" si="224"/>
        <v>0</v>
      </c>
      <c r="U223" s="100">
        <f t="shared" ca="1" si="224"/>
        <v>0</v>
      </c>
    </row>
    <row r="224" spans="1:22">
      <c r="B224" s="89"/>
    </row>
    <row r="225" spans="1:22">
      <c r="B225" s="89" t="s">
        <v>227</v>
      </c>
      <c r="M225">
        <f t="shared" ref="M225" si="225">L227</f>
        <v>91.199999999999847</v>
      </c>
      <c r="N225">
        <f t="shared" ref="N225" si="226">M227</f>
        <v>91.199999999999847</v>
      </c>
      <c r="O225">
        <f t="shared" ref="O225" si="227">N227</f>
        <v>91.199999999999847</v>
      </c>
      <c r="P225">
        <f t="shared" ref="P225" si="228">O227</f>
        <v>91.199999999999847</v>
      </c>
      <c r="Q225">
        <f t="shared" ref="Q225" si="229">P227</f>
        <v>91.199999999999847</v>
      </c>
      <c r="R225">
        <f t="shared" ref="R225" si="230">Q227</f>
        <v>91.199999999999847</v>
      </c>
      <c r="S225">
        <f t="shared" ref="S225" si="231">R227</f>
        <v>91.199999999999847</v>
      </c>
      <c r="T225">
        <f t="shared" ref="T225" si="232">S227</f>
        <v>91.199999999999847</v>
      </c>
      <c r="U225">
        <f t="shared" ref="U225" si="233">T227</f>
        <v>91.199999999999847</v>
      </c>
    </row>
    <row r="226" spans="1:22">
      <c r="B226" s="89" t="s">
        <v>228</v>
      </c>
      <c r="C226" t="s">
        <v>229</v>
      </c>
      <c r="D226" s="113">
        <v>0</v>
      </c>
      <c r="M226">
        <f t="shared" ref="M226:U226" si="234">IF($D$226=1,$G$44*M225,0)</f>
        <v>0</v>
      </c>
      <c r="N226">
        <f t="shared" si="234"/>
        <v>0</v>
      </c>
      <c r="O226">
        <f t="shared" si="234"/>
        <v>0</v>
      </c>
      <c r="P226">
        <f t="shared" si="234"/>
        <v>0</v>
      </c>
      <c r="Q226">
        <f t="shared" si="234"/>
        <v>0</v>
      </c>
      <c r="R226">
        <f t="shared" si="234"/>
        <v>0</v>
      </c>
      <c r="S226">
        <f t="shared" si="234"/>
        <v>0</v>
      </c>
      <c r="T226">
        <f t="shared" si="234"/>
        <v>0</v>
      </c>
      <c r="U226">
        <f t="shared" si="234"/>
        <v>0</v>
      </c>
    </row>
    <row r="227" spans="1:22" s="70" customFormat="1">
      <c r="A227" s="29"/>
      <c r="B227" s="93" t="s">
        <v>230</v>
      </c>
      <c r="K227"/>
      <c r="L227" s="70">
        <f>L141</f>
        <v>91.199999999999847</v>
      </c>
      <c r="M227" s="70">
        <f t="shared" ref="M227" si="235">SUM(M225:M226)</f>
        <v>91.199999999999847</v>
      </c>
      <c r="N227" s="70">
        <f t="shared" ref="N227:U227" si="236">SUM(N225:N226)</f>
        <v>91.199999999999847</v>
      </c>
      <c r="O227" s="70">
        <f t="shared" si="236"/>
        <v>91.199999999999847</v>
      </c>
      <c r="P227" s="70">
        <f t="shared" si="236"/>
        <v>91.199999999999847</v>
      </c>
      <c r="Q227" s="70">
        <f t="shared" si="236"/>
        <v>91.199999999999847</v>
      </c>
      <c r="R227" s="70">
        <f t="shared" si="236"/>
        <v>91.199999999999847</v>
      </c>
      <c r="S227" s="70">
        <f t="shared" si="236"/>
        <v>91.199999999999847</v>
      </c>
      <c r="T227" s="70">
        <f t="shared" si="236"/>
        <v>91.199999999999847</v>
      </c>
      <c r="U227" s="70">
        <f t="shared" si="236"/>
        <v>91.199999999999847</v>
      </c>
      <c r="V227"/>
    </row>
    <row r="228" spans="1:22">
      <c r="B228" s="89" t="s">
        <v>231</v>
      </c>
      <c r="M228" s="73">
        <v>-5.0000000000000001E-3</v>
      </c>
      <c r="N228" s="73">
        <v>-5.0000000000000001E-3</v>
      </c>
      <c r="O228" s="73">
        <v>-5.0000000000000001E-3</v>
      </c>
      <c r="P228" s="73">
        <v>-5.0000000000000001E-3</v>
      </c>
      <c r="Q228" s="73">
        <v>-5.0000000000000001E-3</v>
      </c>
      <c r="R228" s="73">
        <v>-5.0000000000000001E-3</v>
      </c>
      <c r="S228" s="73">
        <v>-5.0000000000000001E-3</v>
      </c>
      <c r="T228" s="73">
        <v>-5.0000000000000001E-3</v>
      </c>
      <c r="U228" s="73">
        <v>-5.0000000000000001E-3</v>
      </c>
    </row>
    <row r="229" spans="1:22">
      <c r="B229" s="89" t="s">
        <v>232</v>
      </c>
      <c r="M229">
        <f t="shared" ref="M229:U229" si="237">IF($D$226=0,($G$44+M228)*AVERAGE(L227:M227),0)</f>
        <v>10.487999999999982</v>
      </c>
      <c r="N229">
        <f t="shared" si="237"/>
        <v>10.487999999999982</v>
      </c>
      <c r="O229">
        <f t="shared" si="237"/>
        <v>10.487999999999982</v>
      </c>
      <c r="P229">
        <f t="shared" si="237"/>
        <v>10.487999999999982</v>
      </c>
      <c r="Q229">
        <f t="shared" si="237"/>
        <v>10.487999999999982</v>
      </c>
      <c r="R229">
        <f t="shared" si="237"/>
        <v>10.487999999999982</v>
      </c>
      <c r="S229">
        <f t="shared" si="237"/>
        <v>10.487999999999982</v>
      </c>
      <c r="T229">
        <f t="shared" si="237"/>
        <v>10.487999999999982</v>
      </c>
      <c r="U229">
        <f t="shared" si="237"/>
        <v>10.487999999999982</v>
      </c>
    </row>
    <row r="230" spans="1:22">
      <c r="B230" s="89"/>
    </row>
    <row r="231" spans="1:22" s="70" customFormat="1" ht="15" customHeight="1">
      <c r="A231" s="99"/>
      <c r="B231" s="93" t="s">
        <v>77</v>
      </c>
      <c r="K231"/>
      <c r="L231" s="70">
        <f>L123</f>
        <v>0</v>
      </c>
      <c r="M231" s="70">
        <f t="shared" ref="M231:U231" ca="1" si="238">SUM(M181,M187,M191,M199,M213,M221)</f>
        <v>23.614809999999999</v>
      </c>
      <c r="N231" s="70">
        <f t="shared" ca="1" si="238"/>
        <v>24.323254300000002</v>
      </c>
      <c r="O231" s="70">
        <f t="shared" ca="1" si="238"/>
        <v>25.052951929000002</v>
      </c>
      <c r="P231" s="70">
        <f t="shared" ca="1" si="238"/>
        <v>25.804540486869996</v>
      </c>
      <c r="Q231" s="70">
        <f t="shared" ca="1" si="238"/>
        <v>26.578676701476098</v>
      </c>
      <c r="R231" s="70">
        <f t="shared" ca="1" si="238"/>
        <v>27.376037002520384</v>
      </c>
      <c r="S231" s="70">
        <f t="shared" ca="1" si="238"/>
        <v>28.197318112595994</v>
      </c>
      <c r="T231" s="70">
        <f t="shared" ca="1" si="238"/>
        <v>29.043237655973883</v>
      </c>
      <c r="U231" s="70">
        <f t="shared" ca="1" si="238"/>
        <v>29.914534785653103</v>
      </c>
      <c r="V231"/>
    </row>
    <row r="232" spans="1:22" ht="15" customHeight="1">
      <c r="A232" s="99"/>
      <c r="B232" s="89" t="s">
        <v>57</v>
      </c>
      <c r="M232">
        <f t="shared" ref="M232:U232" ca="1" si="239">$G$45*AVERAGE(L231:M231)</f>
        <v>0.11807405</v>
      </c>
      <c r="N232">
        <f t="shared" ca="1" si="239"/>
        <v>0.2396903215</v>
      </c>
      <c r="O232">
        <f t="shared" ca="1" si="239"/>
        <v>0.24688103114500004</v>
      </c>
      <c r="P232">
        <f t="shared" ca="1" si="239"/>
        <v>0.25428746207934999</v>
      </c>
      <c r="Q232">
        <f t="shared" ca="1" si="239"/>
        <v>0.26191608594173049</v>
      </c>
      <c r="R232">
        <f t="shared" ca="1" si="239"/>
        <v>0.26977356851998241</v>
      </c>
      <c r="S232">
        <f t="shared" ca="1" si="239"/>
        <v>0.27786677557558187</v>
      </c>
      <c r="T232">
        <f t="shared" ca="1" si="239"/>
        <v>0.28620277884284939</v>
      </c>
      <c r="U232">
        <f t="shared" ca="1" si="239"/>
        <v>0.29478886220813494</v>
      </c>
    </row>
    <row r="233" spans="1:22" ht="15" customHeight="1">
      <c r="A233" s="99"/>
      <c r="B233" s="89"/>
      <c r="C233" s="101"/>
      <c r="D233" s="101"/>
      <c r="E233" s="101"/>
      <c r="F233" s="101"/>
      <c r="G233" s="101"/>
      <c r="H233" s="101"/>
      <c r="I233" s="101"/>
      <c r="J233" s="101"/>
      <c r="K233" s="101"/>
    </row>
    <row r="234" spans="1:22">
      <c r="B234" s="89" t="s">
        <v>182</v>
      </c>
      <c r="M234">
        <f t="shared" ref="M234:U234" ca="1" si="240">SUM(M193,M207,M215,M223,M229)</f>
        <v>69.17822536098879</v>
      </c>
      <c r="N234">
        <f t="shared" ca="1" si="240"/>
        <v>67.582918015023097</v>
      </c>
      <c r="O234">
        <f t="shared" ca="1" si="240"/>
        <v>65.0849208633133</v>
      </c>
      <c r="P234">
        <f t="shared" ca="1" si="240"/>
        <v>62.331959344864615</v>
      </c>
      <c r="Q234">
        <f t="shared" ca="1" si="240"/>
        <v>59.302333350825194</v>
      </c>
      <c r="R234">
        <f t="shared" ca="1" si="240"/>
        <v>55.973690810511897</v>
      </c>
      <c r="S234">
        <f t="shared" ca="1" si="240"/>
        <v>52.322919312989015</v>
      </c>
      <c r="T234">
        <f t="shared" ca="1" si="240"/>
        <v>47.840223770270313</v>
      </c>
      <c r="U234">
        <f t="shared" ca="1" si="240"/>
        <v>43.63743467536473</v>
      </c>
    </row>
    <row r="235" spans="1:22">
      <c r="B235" s="89" t="s">
        <v>233</v>
      </c>
      <c r="M235">
        <f t="shared" ref="M235:U235" si="241">M226</f>
        <v>0</v>
      </c>
      <c r="N235">
        <f t="shared" si="241"/>
        <v>0</v>
      </c>
      <c r="O235">
        <f t="shared" si="241"/>
        <v>0</v>
      </c>
      <c r="P235">
        <f t="shared" si="241"/>
        <v>0</v>
      </c>
      <c r="Q235">
        <f t="shared" si="241"/>
        <v>0</v>
      </c>
      <c r="R235">
        <f t="shared" si="241"/>
        <v>0</v>
      </c>
      <c r="S235">
        <f t="shared" si="241"/>
        <v>0</v>
      </c>
      <c r="T235">
        <f t="shared" si="241"/>
        <v>0</v>
      </c>
      <c r="U235">
        <f t="shared" si="241"/>
        <v>0</v>
      </c>
    </row>
    <row r="237" spans="1:22">
      <c r="A237" s="29" t="s">
        <v>89</v>
      </c>
      <c r="M237" s="26"/>
      <c r="N237" s="26"/>
      <c r="O237" s="26"/>
      <c r="P237" s="26"/>
      <c r="Q237" s="26"/>
      <c r="R237" s="26"/>
      <c r="S237" s="26"/>
      <c r="T237" s="26"/>
      <c r="U237" s="26"/>
    </row>
    <row r="238" spans="1:22">
      <c r="B238" s="89" t="s">
        <v>85</v>
      </c>
      <c r="L238">
        <f>YEAR(L3)-YEAR($L$3)</f>
        <v>0</v>
      </c>
      <c r="M238">
        <f>YEAR(M3)-YEAR($L$3)</f>
        <v>1</v>
      </c>
      <c r="N238">
        <f>YEAR(N3)-YEAR($L$3)</f>
        <v>2</v>
      </c>
      <c r="O238">
        <f>YEAR(O3)-YEAR($L$3)</f>
        <v>3</v>
      </c>
      <c r="P238">
        <f>YEAR(P3)-YEAR($L$3)</f>
        <v>4</v>
      </c>
      <c r="Q238">
        <f>YEAR(Q3)-YEAR($L$3)</f>
        <v>5</v>
      </c>
      <c r="R238">
        <f>YEAR(R3)-YEAR($L$3)</f>
        <v>6</v>
      </c>
      <c r="S238">
        <f>YEAR(S3)-YEAR($L$3)</f>
        <v>7</v>
      </c>
      <c r="T238">
        <f>YEAR(T3)-YEAR($L$3)</f>
        <v>8</v>
      </c>
      <c r="U238">
        <f>YEAR(U3)-YEAR($L$3)</f>
        <v>9</v>
      </c>
    </row>
    <row r="239" spans="1:22">
      <c r="B239" s="89" t="s">
        <v>48</v>
      </c>
      <c r="M239">
        <f t="shared" ref="M239:U239" si="242">M113</f>
        <v>179.67722622563468</v>
      </c>
      <c r="N239">
        <f t="shared" si="242"/>
        <v>184.24819851295626</v>
      </c>
      <c r="O239">
        <f t="shared" si="242"/>
        <v>189.06260987737085</v>
      </c>
      <c r="P239">
        <f t="shared" si="242"/>
        <v>194.11396978579955</v>
      </c>
      <c r="Q239">
        <f t="shared" si="242"/>
        <v>199.3973827217668</v>
      </c>
      <c r="R239">
        <f t="shared" si="242"/>
        <v>204.90936381818227</v>
      </c>
      <c r="S239">
        <f t="shared" si="242"/>
        <v>210.64767908934311</v>
      </c>
      <c r="T239">
        <f t="shared" si="242"/>
        <v>216.61120709073779</v>
      </c>
      <c r="U239">
        <f t="shared" si="242"/>
        <v>222.79981924733045</v>
      </c>
    </row>
    <row r="240" spans="1:22">
      <c r="B240" s="89" t="s">
        <v>234</v>
      </c>
      <c r="M240">
        <f t="shared" ref="M240:U240" si="243">M239*$C$18</f>
        <v>1257.7405835794427</v>
      </c>
      <c r="N240">
        <f t="shared" si="243"/>
        <v>1289.737389590694</v>
      </c>
      <c r="O240">
        <f t="shared" si="243"/>
        <v>1323.4382691415958</v>
      </c>
      <c r="P240">
        <f t="shared" si="243"/>
        <v>1358.7977885005969</v>
      </c>
      <c r="Q240">
        <f t="shared" si="243"/>
        <v>1395.7816790523675</v>
      </c>
      <c r="R240">
        <f t="shared" si="243"/>
        <v>1434.3655467272758</v>
      </c>
      <c r="S240">
        <f t="shared" si="243"/>
        <v>1474.5337536254019</v>
      </c>
      <c r="T240">
        <f t="shared" si="243"/>
        <v>1516.2784496351646</v>
      </c>
      <c r="U240">
        <f t="shared" si="243"/>
        <v>1559.598734731313</v>
      </c>
    </row>
    <row r="241" spans="1:22">
      <c r="B241" s="89" t="str">
        <f>B123</f>
        <v>Cash</v>
      </c>
      <c r="M241">
        <f t="shared" ref="M241:U241" ca="1" si="244">M123</f>
        <v>23.614810000000006</v>
      </c>
      <c r="N241">
        <f t="shared" ca="1" si="244"/>
        <v>24.323254300000031</v>
      </c>
      <c r="O241">
        <f t="shared" ca="1" si="244"/>
        <v>25.052951928999988</v>
      </c>
      <c r="P241">
        <f t="shared" ca="1" si="244"/>
        <v>25.80454048687001</v>
      </c>
      <c r="Q241">
        <f t="shared" ca="1" si="244"/>
        <v>26.578676701476155</v>
      </c>
      <c r="R241">
        <f t="shared" ca="1" si="244"/>
        <v>27.376037002520391</v>
      </c>
      <c r="S241">
        <f t="shared" ca="1" si="244"/>
        <v>28.197318112596008</v>
      </c>
      <c r="T241">
        <f t="shared" ca="1" si="244"/>
        <v>29.043237655973883</v>
      </c>
      <c r="U241">
        <f t="shared" ca="1" si="244"/>
        <v>29.914534785653117</v>
      </c>
    </row>
    <row r="242" spans="1:22">
      <c r="B242" s="89" t="str">
        <f>B133</f>
        <v>Short term debt</v>
      </c>
      <c r="M242">
        <f ca="1">M133</f>
        <v>0</v>
      </c>
      <c r="N242">
        <f t="shared" ref="N242:U242" ca="1" si="245">N133</f>
        <v>0</v>
      </c>
      <c r="O242">
        <f t="shared" ca="1" si="245"/>
        <v>0</v>
      </c>
      <c r="P242">
        <f t="shared" ca="1" si="245"/>
        <v>0</v>
      </c>
      <c r="Q242">
        <f t="shared" ca="1" si="245"/>
        <v>0</v>
      </c>
      <c r="R242">
        <f t="shared" ca="1" si="245"/>
        <v>0</v>
      </c>
      <c r="S242">
        <f t="shared" ca="1" si="245"/>
        <v>0</v>
      </c>
      <c r="T242">
        <f t="shared" ca="1" si="245"/>
        <v>0</v>
      </c>
      <c r="U242">
        <f t="shared" ca="1" si="245"/>
        <v>0</v>
      </c>
    </row>
    <row r="243" spans="1:22">
      <c r="B243" s="89" t="str">
        <f>B137</f>
        <v>Long term debt</v>
      </c>
      <c r="M243">
        <f>M137</f>
        <v>0</v>
      </c>
      <c r="N243">
        <f t="shared" ref="N243:U243" si="246">N137</f>
        <v>0</v>
      </c>
      <c r="O243">
        <f t="shared" si="246"/>
        <v>0</v>
      </c>
      <c r="P243">
        <f t="shared" si="246"/>
        <v>0</v>
      </c>
      <c r="Q243">
        <f t="shared" si="246"/>
        <v>0</v>
      </c>
      <c r="R243">
        <f t="shared" si="246"/>
        <v>0</v>
      </c>
      <c r="S243">
        <f t="shared" si="246"/>
        <v>0</v>
      </c>
      <c r="T243">
        <f t="shared" si="246"/>
        <v>0</v>
      </c>
      <c r="U243">
        <f t="shared" si="246"/>
        <v>0</v>
      </c>
    </row>
    <row r="244" spans="1:22">
      <c r="B244" s="89" t="str">
        <f>B138</f>
        <v>Senior debt (Term B)</v>
      </c>
      <c r="M244">
        <f ca="1">M138</f>
        <v>533.5067348231554</v>
      </c>
      <c r="N244">
        <f t="shared" ref="N244:U247" ca="1" si="247">N138</f>
        <v>493.57622366501761</v>
      </c>
      <c r="O244">
        <f t="shared" ca="1" si="247"/>
        <v>449.54044400938119</v>
      </c>
      <c r="P244">
        <f t="shared" ca="1" si="247"/>
        <v>401.03970203648993</v>
      </c>
      <c r="Q244">
        <f t="shared" ca="1" si="247"/>
        <v>347.70427614251014</v>
      </c>
      <c r="R244">
        <f t="shared" ca="1" si="247"/>
        <v>289.15255782427823</v>
      </c>
      <c r="S244">
        <f t="shared" ca="1" si="247"/>
        <v>224.98926782241313</v>
      </c>
      <c r="T244">
        <f t="shared" ca="1" si="247"/>
        <v>154.41507499409119</v>
      </c>
      <c r="U244">
        <f t="shared" ca="1" si="247"/>
        <v>77.522983790638236</v>
      </c>
    </row>
    <row r="245" spans="1:22">
      <c r="B245" s="89" t="str">
        <f>B139</f>
        <v>Senior unsecured high yield notes</v>
      </c>
      <c r="M245">
        <f ca="1">M139</f>
        <v>273.59999999999957</v>
      </c>
      <c r="N245">
        <f t="shared" ca="1" si="247"/>
        <v>273.59999999999957</v>
      </c>
      <c r="O245">
        <f t="shared" ca="1" si="247"/>
        <v>273.59999999999957</v>
      </c>
      <c r="P245">
        <f t="shared" ca="1" si="247"/>
        <v>273.59999999999957</v>
      </c>
      <c r="Q245">
        <f t="shared" ca="1" si="247"/>
        <v>273.59999999999957</v>
      </c>
      <c r="R245">
        <f t="shared" ca="1" si="247"/>
        <v>273.59999999999957</v>
      </c>
      <c r="S245">
        <f t="shared" ca="1" si="247"/>
        <v>273.59999999999957</v>
      </c>
      <c r="T245">
        <f t="shared" ca="1" si="247"/>
        <v>273.59999999999957</v>
      </c>
      <c r="U245">
        <f t="shared" ca="1" si="247"/>
        <v>273.59999999999957</v>
      </c>
    </row>
    <row r="246" spans="1:22">
      <c r="B246" s="89" t="str">
        <f>B140</f>
        <v>Unitranche</v>
      </c>
      <c r="M246">
        <f ca="1">M140</f>
        <v>0</v>
      </c>
      <c r="N246">
        <f t="shared" ca="1" si="247"/>
        <v>0</v>
      </c>
      <c r="O246">
        <f t="shared" ca="1" si="247"/>
        <v>0</v>
      </c>
      <c r="P246">
        <f t="shared" ca="1" si="247"/>
        <v>0</v>
      </c>
      <c r="Q246">
        <f t="shared" ca="1" si="247"/>
        <v>0</v>
      </c>
      <c r="R246">
        <f t="shared" ca="1" si="247"/>
        <v>0</v>
      </c>
      <c r="S246">
        <f t="shared" ca="1" si="247"/>
        <v>0</v>
      </c>
      <c r="T246">
        <f t="shared" ca="1" si="247"/>
        <v>0</v>
      </c>
      <c r="U246">
        <f t="shared" ca="1" si="247"/>
        <v>0</v>
      </c>
    </row>
    <row r="247" spans="1:22">
      <c r="B247" s="89" t="str">
        <f>B141</f>
        <v>Mezzanine</v>
      </c>
      <c r="M247">
        <f>M141</f>
        <v>91.199999999999847</v>
      </c>
      <c r="N247">
        <f t="shared" si="247"/>
        <v>91.199999999999847</v>
      </c>
      <c r="O247">
        <f t="shared" si="247"/>
        <v>91.199999999999847</v>
      </c>
      <c r="P247">
        <f t="shared" si="247"/>
        <v>91.199999999999847</v>
      </c>
      <c r="Q247">
        <f t="shared" si="247"/>
        <v>91.199999999999847</v>
      </c>
      <c r="R247">
        <f t="shared" si="247"/>
        <v>91.199999999999847</v>
      </c>
      <c r="S247">
        <f t="shared" si="247"/>
        <v>91.199999999999847</v>
      </c>
      <c r="T247">
        <f t="shared" si="247"/>
        <v>91.199999999999847</v>
      </c>
      <c r="U247">
        <f t="shared" si="247"/>
        <v>91.199999999999847</v>
      </c>
    </row>
    <row r="248" spans="1:22" s="70" customFormat="1">
      <c r="A248" s="29"/>
      <c r="B248" s="93" t="s">
        <v>33</v>
      </c>
      <c r="M248" s="70">
        <f t="shared" ref="M248:U248" ca="1" si="248">M240+M241-SUM(M242:M247)</f>
        <v>383.04865875628798</v>
      </c>
      <c r="N248" s="70">
        <f t="shared" ca="1" si="248"/>
        <v>455.68442022567683</v>
      </c>
      <c r="O248" s="70">
        <f t="shared" ca="1" si="248"/>
        <v>534.15077706121531</v>
      </c>
      <c r="P248" s="70">
        <f t="shared" ca="1" si="248"/>
        <v>618.76262695097762</v>
      </c>
      <c r="Q248" s="70">
        <f t="shared" ca="1" si="248"/>
        <v>709.85607961133405</v>
      </c>
      <c r="R248" s="70">
        <f t="shared" ca="1" si="248"/>
        <v>807.78902590551866</v>
      </c>
      <c r="S248" s="70">
        <f t="shared" ca="1" si="248"/>
        <v>912.9418039155853</v>
      </c>
      <c r="T248" s="70">
        <f t="shared" ca="1" si="248"/>
        <v>1026.1066122970478</v>
      </c>
      <c r="U248" s="70">
        <f t="shared" ca="1" si="248"/>
        <v>1147.1902857263285</v>
      </c>
      <c r="V248"/>
    </row>
    <row r="249" spans="1:22">
      <c r="B249" s="89"/>
    </row>
    <row r="250" spans="1:22">
      <c r="B250" s="89" t="s">
        <v>235</v>
      </c>
      <c r="L250">
        <f>C45*-1</f>
        <v>-377.56799999999942</v>
      </c>
      <c r="M250">
        <f t="shared" ref="M250:U250" si="249">IF($C$7=M238,M248,0)</f>
        <v>0</v>
      </c>
      <c r="N250">
        <f t="shared" si="249"/>
        <v>0</v>
      </c>
      <c r="O250">
        <f t="shared" si="249"/>
        <v>0</v>
      </c>
      <c r="P250">
        <f t="shared" ca="1" si="249"/>
        <v>618.76262695097762</v>
      </c>
      <c r="Q250">
        <f t="shared" si="249"/>
        <v>0</v>
      </c>
      <c r="R250">
        <f t="shared" si="249"/>
        <v>0</v>
      </c>
      <c r="S250">
        <f t="shared" si="249"/>
        <v>0</v>
      </c>
      <c r="T250">
        <f t="shared" si="249"/>
        <v>0</v>
      </c>
      <c r="U250">
        <f t="shared" si="249"/>
        <v>0</v>
      </c>
    </row>
    <row r="251" spans="1:22" s="70" customFormat="1">
      <c r="A251" s="29"/>
      <c r="B251" s="93" t="s">
        <v>89</v>
      </c>
      <c r="J251"/>
      <c r="L251" s="81">
        <f ca="1">IRR(L250:T250)</f>
        <v>0.1314418117197016</v>
      </c>
    </row>
    <row r="252" spans="1:22">
      <c r="B252" s="89"/>
    </row>
    <row r="253" spans="1:22">
      <c r="A253" s="29" t="s">
        <v>93</v>
      </c>
    </row>
    <row r="254" spans="1:22">
      <c r="B254" s="89"/>
    </row>
    <row r="420" spans="2:2">
      <c r="B420" s="89"/>
    </row>
    <row r="421" spans="2:2">
      <c r="B421" s="89"/>
    </row>
    <row r="422" spans="2:2">
      <c r="B422" s="89"/>
    </row>
    <row r="423" spans="2:2">
      <c r="B423" s="89"/>
    </row>
    <row r="424" spans="2:2">
      <c r="B424" s="89"/>
    </row>
    <row r="425" spans="2:2">
      <c r="B425" s="89"/>
    </row>
  </sheetData>
  <dataValidations disablePrompts="1" count="4">
    <dataValidation type="list" allowBlank="1" showInputMessage="1" showErrorMessage="1" errorTitle="Financial Edge" error="0 = PIK off_x000a_1 = PIK on" promptTitle="Financial Edge" prompt="0 = PIK off_x000a_1 = PIK on" sqref="D226" xr:uid="{4DD253C4-4BF2-4597-B59E-0537508BDF28}">
      <formula1>"0,1"</formula1>
    </dataValidation>
    <dataValidation type="list" allowBlank="1" showInputMessage="1" showErrorMessage="1" errorTitle="Financial Edge" error="0 = Acceleration off_x000a_1 = Acceleration on" promptTitle="Financial Edge" prompt="0 = Acceleration off_x000a_1 = Acceleration on" sqref="D199 D213 D221" xr:uid="{61FCAAFF-4AE2-406F-84B8-BEB0078450AE}">
      <formula1>"0,1"</formula1>
    </dataValidation>
    <dataValidation type="list" allowBlank="1" showInputMessage="1" showErrorMessage="1" sqref="C50" xr:uid="{BFA51BC9-1680-4F1C-BB45-E920AA1901DC}">
      <formula1>"1,2"</formula1>
    </dataValidation>
    <dataValidation type="list" allowBlank="1" showInputMessage="1" showErrorMessage="1" sqref="B62" xr:uid="{388599D2-80BC-4304-AF18-045E895339EC}">
      <formula1>"Bank Case, Management Case"</formula1>
    </dataValidation>
  </dataValidations>
  <printOptions headings="1" gridLines="1"/>
  <pageMargins left="0.31496062992125984" right="0.11811023622047245" top="0.74803149606299213" bottom="0.74803149606299213" header="0" footer="0"/>
  <pageSetup paperSize="9" scale="55" fitToHeight="0" orientation="landscape" r:id="rId1"/>
  <headerFooter>
    <oddHeader>&amp;R&amp;F  &amp;A</oddHeader>
    <oddFooter>&amp;L© 2016&amp;CPage &amp;P of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14A3C-6ECD-4030-980F-5A983748DC8C}">
  <sheetPr>
    <pageSetUpPr fitToPage="1"/>
  </sheetPr>
  <dimension ref="A1:V447"/>
  <sheetViews>
    <sheetView zoomScaleNormal="100" workbookViewId="0">
      <pane xSplit="2" ySplit="3" topLeftCell="C4" activePane="bottomRight" state="frozen"/>
      <selection pane="bottomRight"/>
      <selection pane="bottomLeft"/>
      <selection pane="topRight"/>
    </sheetView>
  </sheetViews>
  <sheetFormatPr defaultRowHeight="15.75"/>
  <cols>
    <col min="1" max="1" width="1.5703125" style="29" customWidth="1"/>
    <col min="2" max="2" width="49.42578125" bestFit="1" customWidth="1"/>
    <col min="3" max="21" width="10.5703125" customWidth="1"/>
  </cols>
  <sheetData>
    <row r="1" spans="1:21" ht="45" customHeight="1">
      <c r="A1" s="28" t="str">
        <f>"LBO valuation for Wincanton"</f>
        <v>LBO valuation for Wincanton</v>
      </c>
      <c r="B1" s="85"/>
      <c r="C1" s="86"/>
      <c r="D1" s="86"/>
      <c r="E1" s="86"/>
      <c r="F1" s="86"/>
      <c r="G1" s="86"/>
      <c r="H1" s="86"/>
      <c r="I1" s="86"/>
      <c r="J1" s="86"/>
      <c r="K1" s="86"/>
      <c r="L1" s="86"/>
      <c r="M1" s="86"/>
      <c r="N1" s="86"/>
      <c r="O1" s="86"/>
      <c r="P1" s="86"/>
      <c r="Q1" s="86"/>
      <c r="R1" s="86"/>
      <c r="S1" s="86"/>
      <c r="T1" s="86"/>
      <c r="U1" s="86"/>
    </row>
    <row r="2" spans="1:21" ht="15" customHeight="1">
      <c r="A2" s="87"/>
      <c r="B2" s="88"/>
      <c r="C2" s="30" t="s">
        <v>20</v>
      </c>
      <c r="D2" s="30" t="s">
        <v>20</v>
      </c>
      <c r="E2" s="30"/>
      <c r="F2" s="30"/>
      <c r="G2" s="30"/>
      <c r="H2" s="30"/>
      <c r="I2" s="30"/>
      <c r="J2" s="30"/>
      <c r="K2" s="30"/>
      <c r="L2" s="30" t="s">
        <v>20</v>
      </c>
      <c r="M2" s="30" t="s">
        <v>21</v>
      </c>
      <c r="N2" s="30" t="s">
        <v>21</v>
      </c>
      <c r="O2" s="30" t="s">
        <v>21</v>
      </c>
      <c r="P2" s="30" t="s">
        <v>21</v>
      </c>
      <c r="Q2" s="30" t="s">
        <v>21</v>
      </c>
      <c r="R2" s="30" t="s">
        <v>21</v>
      </c>
      <c r="S2" s="30" t="s">
        <v>21</v>
      </c>
      <c r="T2" s="30" t="s">
        <v>21</v>
      </c>
      <c r="U2" s="30" t="s">
        <v>21</v>
      </c>
    </row>
    <row r="3" spans="1:21" ht="15" customHeight="1">
      <c r="A3" s="87"/>
      <c r="B3" s="88"/>
      <c r="C3" s="52">
        <f>EDATE(D3,-12)</f>
        <v>44957</v>
      </c>
      <c r="D3" s="52">
        <v>45322</v>
      </c>
      <c r="E3" s="52" t="s">
        <v>104</v>
      </c>
      <c r="F3" s="52" t="s">
        <v>105</v>
      </c>
      <c r="G3" s="52" t="s">
        <v>236</v>
      </c>
      <c r="H3" s="52" t="s">
        <v>107</v>
      </c>
      <c r="I3" s="52" t="s">
        <v>108</v>
      </c>
      <c r="J3" s="52" t="s">
        <v>109</v>
      </c>
      <c r="K3" s="52" t="s">
        <v>30</v>
      </c>
      <c r="L3" s="52">
        <f>EDATE(D3,0)</f>
        <v>45322</v>
      </c>
      <c r="M3" s="52">
        <f>EDATE(L3,12)</f>
        <v>45688</v>
      </c>
      <c r="N3" s="52">
        <f t="shared" ref="N3:U3" si="0">EDATE(M3,12)</f>
        <v>46053</v>
      </c>
      <c r="O3" s="52">
        <f t="shared" si="0"/>
        <v>46418</v>
      </c>
      <c r="P3" s="52">
        <f t="shared" si="0"/>
        <v>46783</v>
      </c>
      <c r="Q3" s="52">
        <f t="shared" si="0"/>
        <v>47149</v>
      </c>
      <c r="R3" s="52">
        <f t="shared" si="0"/>
        <v>47514</v>
      </c>
      <c r="S3" s="52">
        <f t="shared" si="0"/>
        <v>47879</v>
      </c>
      <c r="T3" s="52">
        <f t="shared" si="0"/>
        <v>48244</v>
      </c>
      <c r="U3" s="52">
        <f t="shared" si="0"/>
        <v>48610</v>
      </c>
    </row>
    <row r="4" spans="1:21">
      <c r="B4" s="89"/>
    </row>
    <row r="5" spans="1:21">
      <c r="A5" s="29" t="s">
        <v>110</v>
      </c>
      <c r="B5" s="89"/>
    </row>
    <row r="6" spans="1:21">
      <c r="B6" s="89" t="s">
        <v>111</v>
      </c>
      <c r="C6" s="73">
        <v>0.01</v>
      </c>
      <c r="D6" t="str">
        <f ca="1">IFERROR(_xlfn.FORMULATEXT(C6),"")</f>
        <v/>
      </c>
    </row>
    <row r="7" spans="1:21">
      <c r="B7" s="89" t="s">
        <v>43</v>
      </c>
      <c r="C7" s="72">
        <v>4</v>
      </c>
      <c r="D7" t="str">
        <f t="shared" ref="D7:D9" ca="1" si="1">IFERROR(_xlfn.FORMULATEXT(C7),"")</f>
        <v/>
      </c>
    </row>
    <row r="8" spans="1:21">
      <c r="B8" s="89" t="s">
        <v>112</v>
      </c>
      <c r="C8" s="73">
        <v>7.0000000000000001E-3</v>
      </c>
      <c r="D8" t="str">
        <f t="shared" ca="1" si="1"/>
        <v/>
      </c>
    </row>
    <row r="9" spans="1:21">
      <c r="B9" s="89" t="s">
        <v>113</v>
      </c>
      <c r="C9" s="73">
        <v>0.01</v>
      </c>
      <c r="D9" t="str">
        <f t="shared" ca="1" si="1"/>
        <v/>
      </c>
    </row>
    <row r="10" spans="1:21">
      <c r="B10" s="89" t="s">
        <v>114</v>
      </c>
      <c r="C10" s="73">
        <v>0.01</v>
      </c>
    </row>
    <row r="11" spans="1:21">
      <c r="B11" s="89" t="str">
        <f>"Weighted average cost of "&amp;B41</f>
        <v>Weighted average cost of Senior debt (Term B)</v>
      </c>
      <c r="C11" s="111">
        <f>ROUND(C54/SUM($C$54:$C$57)*G41,3)</f>
        <v>3.4000000000000002E-2</v>
      </c>
    </row>
    <row r="12" spans="1:21">
      <c r="B12" s="89" t="str">
        <f>"Weighted average cost of "&amp;B42</f>
        <v>Weighted average cost of Senior unsecured high yield notes</v>
      </c>
      <c r="C12" s="111">
        <f>ROUND(C55/SUM($C$54:$C$57)*G42,3)</f>
        <v>2.9000000000000001E-2</v>
      </c>
    </row>
    <row r="13" spans="1:21">
      <c r="B13" s="89" t="str">
        <f>"Weighted average cost of "&amp;B44</f>
        <v>Weighted average cost of Mezzanine</v>
      </c>
      <c r="C13" s="111">
        <f>ROUND(C57/SUM($C$54:$C$57)*G44,3)</f>
        <v>1.2E-2</v>
      </c>
    </row>
    <row r="14" spans="1:21">
      <c r="B14" s="89" t="str">
        <f>"Weighted average cost of all financing"</f>
        <v>Weighted average cost of all financing</v>
      </c>
      <c r="C14" s="111">
        <f>SUM(C13,C12,C11)</f>
        <v>7.5000000000000011E-2</v>
      </c>
    </row>
    <row r="15" spans="1:21">
      <c r="B15" s="90"/>
      <c r="C15" s="90"/>
    </row>
    <row r="16" spans="1:21">
      <c r="A16" s="29" t="s">
        <v>115</v>
      </c>
      <c r="B16" s="89"/>
    </row>
    <row r="17" spans="1:3">
      <c r="B17" s="89" t="s">
        <v>26</v>
      </c>
      <c r="C17">
        <f>D120</f>
        <v>107.19999999999992</v>
      </c>
    </row>
    <row r="18" spans="1:3">
      <c r="B18" s="89" t="s">
        <v>116</v>
      </c>
      <c r="C18" s="112">
        <v>7</v>
      </c>
    </row>
    <row r="19" spans="1:3">
      <c r="B19" s="89" t="s">
        <v>100</v>
      </c>
      <c r="C19">
        <f>C17*C18</f>
        <v>750.39999999999941</v>
      </c>
    </row>
    <row r="20" spans="1:3">
      <c r="B20" s="89" t="s">
        <v>117</v>
      </c>
      <c r="C20">
        <f>D131</f>
        <v>28.7</v>
      </c>
    </row>
    <row r="21" spans="1:3">
      <c r="B21" s="89" t="s">
        <v>118</v>
      </c>
      <c r="C21">
        <f>D141</f>
        <v>41.4</v>
      </c>
    </row>
    <row r="22" spans="1:3">
      <c r="B22" s="89" t="s">
        <v>119</v>
      </c>
      <c r="C22">
        <f>D145</f>
        <v>174.5</v>
      </c>
    </row>
    <row r="23" spans="1:3">
      <c r="B23" s="89" t="s">
        <v>120</v>
      </c>
      <c r="C23">
        <f>D149</f>
        <v>0</v>
      </c>
    </row>
    <row r="24" spans="1:3">
      <c r="B24" s="89" t="s">
        <v>121</v>
      </c>
      <c r="C24">
        <f>C19+C20-C21-C22-C23</f>
        <v>563.19999999999948</v>
      </c>
    </row>
    <row r="25" spans="1:3">
      <c r="B25" s="89"/>
    </row>
    <row r="26" spans="1:3">
      <c r="A26" s="29" t="s">
        <v>122</v>
      </c>
      <c r="B26" s="89"/>
    </row>
    <row r="27" spans="1:3">
      <c r="B27" s="89" t="s">
        <v>121</v>
      </c>
      <c r="C27">
        <f>C24</f>
        <v>563.19999999999948</v>
      </c>
    </row>
    <row r="28" spans="1:3">
      <c r="B28" s="89" t="s">
        <v>123</v>
      </c>
      <c r="C28">
        <f>D150</f>
        <v>-34</v>
      </c>
    </row>
    <row r="29" spans="1:3">
      <c r="B29" s="89" t="s">
        <v>237</v>
      </c>
      <c r="C29" s="72">
        <f>D135*10%</f>
        <v>17.430000000000003</v>
      </c>
    </row>
    <row r="30" spans="1:3">
      <c r="B30" s="89" t="s">
        <v>125</v>
      </c>
      <c r="C30">
        <f>SUM(C28:C29)</f>
        <v>-16.569999999999997</v>
      </c>
    </row>
    <row r="31" spans="1:3">
      <c r="B31" s="93" t="s">
        <v>126</v>
      </c>
      <c r="C31" s="70">
        <f>C27-C30</f>
        <v>579.76999999999953</v>
      </c>
    </row>
    <row r="32" spans="1:3">
      <c r="B32" s="89"/>
    </row>
    <row r="33" spans="1:15" s="70" customFormat="1">
      <c r="A33" s="29" t="s">
        <v>127</v>
      </c>
      <c r="B33" s="89"/>
      <c r="D33"/>
    </row>
    <row r="34" spans="1:15" s="70" customFormat="1">
      <c r="A34" s="29"/>
      <c r="B34" s="89" t="s">
        <v>121</v>
      </c>
      <c r="C34">
        <f>C24</f>
        <v>563.19999999999948</v>
      </c>
      <c r="D34"/>
    </row>
    <row r="35" spans="1:15">
      <c r="B35" s="89" t="s">
        <v>128</v>
      </c>
      <c r="C35">
        <f>D145+D141-D131</f>
        <v>187.20000000000002</v>
      </c>
    </row>
    <row r="36" spans="1:15">
      <c r="B36" s="89" t="s">
        <v>30</v>
      </c>
      <c r="C36">
        <f>C6*C19</f>
        <v>7.5039999999999942</v>
      </c>
    </row>
    <row r="37" spans="1:15" s="70" customFormat="1">
      <c r="A37" s="29"/>
      <c r="B37" s="93" t="s">
        <v>129</v>
      </c>
      <c r="C37" s="70">
        <f>SUM(C34:C36)</f>
        <v>757.90399999999954</v>
      </c>
      <c r="D37"/>
    </row>
    <row r="38" spans="1:15" s="70" customFormat="1">
      <c r="A38" s="29"/>
      <c r="B38" s="89"/>
      <c r="G38" s="94"/>
      <c r="H38" s="94"/>
      <c r="I38" s="94"/>
      <c r="J38" s="81"/>
      <c r="K38" s="81"/>
    </row>
    <row r="39" spans="1:15" s="70" customFormat="1">
      <c r="A39" s="29"/>
      <c r="B39" s="89"/>
      <c r="D39" s="95" t="s">
        <v>130</v>
      </c>
      <c r="E39" s="95" t="s">
        <v>131</v>
      </c>
      <c r="F39" s="70" t="s">
        <v>132</v>
      </c>
      <c r="G39" s="95" t="s">
        <v>133</v>
      </c>
      <c r="H39" s="81" t="s">
        <v>134</v>
      </c>
      <c r="I39" s="95"/>
      <c r="J39"/>
    </row>
    <row r="40" spans="1:15" s="70" customFormat="1">
      <c r="A40" s="29"/>
      <c r="B40" s="89" t="str">
        <f>B53</f>
        <v>Revolver</v>
      </c>
      <c r="C40">
        <f>CHOOSE($C$50,C53,D53)</f>
        <v>0</v>
      </c>
      <c r="D40" s="27">
        <f>C40/$C$17</f>
        <v>0</v>
      </c>
      <c r="E40" s="26">
        <f t="shared" ref="E40:E45" si="2">C40/$C$46</f>
        <v>0</v>
      </c>
      <c r="F40" s="111">
        <v>0.05</v>
      </c>
      <c r="G40" s="96">
        <f>F40+$C$8</f>
        <v>5.7000000000000002E-2</v>
      </c>
      <c r="H40" s="81"/>
      <c r="I40"/>
      <c r="J40"/>
      <c r="M40"/>
      <c r="O40"/>
    </row>
    <row r="41" spans="1:15" s="70" customFormat="1">
      <c r="A41" s="29"/>
      <c r="B41" s="89" t="str">
        <f>B54</f>
        <v>Senior debt (Term B)</v>
      </c>
      <c r="C41">
        <f t="shared" ref="C41:C45" si="3">CHOOSE($C$50,C54,D54)</f>
        <v>321.59999999999974</v>
      </c>
      <c r="D41" s="27">
        <f>C41/$C$17+D40</f>
        <v>3</v>
      </c>
      <c r="E41" s="26">
        <f t="shared" si="2"/>
        <v>0.42432814710042421</v>
      </c>
      <c r="F41" s="111">
        <v>0.05</v>
      </c>
      <c r="G41" s="96">
        <f>F41+$C$8</f>
        <v>5.7000000000000002E-2</v>
      </c>
      <c r="H41" s="72">
        <v>7</v>
      </c>
      <c r="I41"/>
      <c r="J41"/>
      <c r="M41"/>
      <c r="O41"/>
    </row>
    <row r="42" spans="1:15" s="70" customFormat="1">
      <c r="A42" s="29"/>
      <c r="B42" s="89" t="str">
        <f>B55</f>
        <v>Senior unsecured high yield notes</v>
      </c>
      <c r="C42">
        <f t="shared" si="3"/>
        <v>160.79999999999987</v>
      </c>
      <c r="D42" s="27">
        <f>C42/$C$17+D41</f>
        <v>4.5</v>
      </c>
      <c r="E42" s="26">
        <f t="shared" si="2"/>
        <v>0.21216407355021211</v>
      </c>
      <c r="F42" s="111">
        <v>0.09</v>
      </c>
      <c r="G42" s="96">
        <f>F42+$C$8</f>
        <v>9.7000000000000003E-2</v>
      </c>
      <c r="H42" s="72">
        <v>8</v>
      </c>
      <c r="I42"/>
      <c r="J42"/>
      <c r="M42"/>
      <c r="O42"/>
    </row>
    <row r="43" spans="1:15" s="70" customFormat="1">
      <c r="A43" s="29"/>
      <c r="B43" s="89" t="str">
        <f>B56</f>
        <v>Unitranche</v>
      </c>
      <c r="C43">
        <f t="shared" si="3"/>
        <v>0</v>
      </c>
      <c r="D43" s="27">
        <f>C43/$C$17+D42</f>
        <v>4.5</v>
      </c>
      <c r="E43" s="26">
        <f t="shared" si="2"/>
        <v>0</v>
      </c>
      <c r="F43" s="24" t="s">
        <v>135</v>
      </c>
      <c r="G43" s="111">
        <f>C14+0.5%</f>
        <v>8.0000000000000016E-2</v>
      </c>
      <c r="H43" s="72">
        <v>8</v>
      </c>
      <c r="I43"/>
      <c r="J43"/>
      <c r="M43"/>
      <c r="O43"/>
    </row>
    <row r="44" spans="1:15" s="70" customFormat="1">
      <c r="A44" s="29"/>
      <c r="B44" s="89" t="str">
        <f>B57</f>
        <v>Mezzanine</v>
      </c>
      <c r="C44">
        <f t="shared" si="3"/>
        <v>53.599999999999959</v>
      </c>
      <c r="D44" s="27">
        <f>C44/$C$17+D43</f>
        <v>5</v>
      </c>
      <c r="E44" s="26">
        <f t="shared" si="2"/>
        <v>7.0721357850070707E-2</v>
      </c>
      <c r="F44" s="24" t="s">
        <v>135</v>
      </c>
      <c r="G44" s="111">
        <v>0.12</v>
      </c>
      <c r="H44" s="81"/>
      <c r="I44"/>
      <c r="J44"/>
      <c r="M44"/>
      <c r="O44"/>
    </row>
    <row r="45" spans="1:15" s="70" customFormat="1">
      <c r="A45" s="29"/>
      <c r="B45" s="89" t="s">
        <v>109</v>
      </c>
      <c r="C45">
        <f t="shared" si="3"/>
        <v>221.904</v>
      </c>
      <c r="D45" s="24" t="s">
        <v>135</v>
      </c>
      <c r="E45" s="26">
        <f t="shared" si="2"/>
        <v>0.29278642149929296</v>
      </c>
      <c r="F45" s="24" t="s">
        <v>135</v>
      </c>
      <c r="G45" s="111">
        <v>0.01</v>
      </c>
      <c r="H45" s="81"/>
      <c r="I45"/>
      <c r="J45"/>
      <c r="M45"/>
      <c r="O45"/>
    </row>
    <row r="46" spans="1:15" s="70" customFormat="1">
      <c r="A46" s="29"/>
      <c r="B46" s="93" t="s">
        <v>136</v>
      </c>
      <c r="C46" s="70">
        <f>SUM(C40:C45)</f>
        <v>757.90399999999954</v>
      </c>
      <c r="D46" s="94">
        <f>MAX(D40:D45)</f>
        <v>5</v>
      </c>
      <c r="E46" s="81">
        <f>SUM(E40:E45)</f>
        <v>1</v>
      </c>
      <c r="I46"/>
      <c r="J46"/>
      <c r="M46"/>
      <c r="O46"/>
    </row>
    <row r="47" spans="1:15" s="70" customFormat="1">
      <c r="A47" s="29"/>
      <c r="B47" s="89"/>
      <c r="G47" s="94"/>
      <c r="H47" s="94"/>
      <c r="I47" s="94"/>
      <c r="J47" s="81"/>
      <c r="K47" s="81"/>
    </row>
    <row r="48" spans="1:15">
      <c r="B48" s="89"/>
    </row>
    <row r="49" spans="1:11">
      <c r="A49" s="29" t="s">
        <v>137</v>
      </c>
      <c r="B49" s="89"/>
    </row>
    <row r="50" spans="1:11">
      <c r="B50" s="89" t="s">
        <v>138</v>
      </c>
      <c r="C50" s="113">
        <v>1</v>
      </c>
      <c r="D50" t="str">
        <f>CHOOSE(C50,C52,D52)</f>
        <v>Standard</v>
      </c>
    </row>
    <row r="51" spans="1:11">
      <c r="B51" s="89"/>
    </row>
    <row r="52" spans="1:11">
      <c r="B52" s="89"/>
      <c r="C52" t="s">
        <v>139</v>
      </c>
      <c r="D52" t="s">
        <v>140</v>
      </c>
    </row>
    <row r="53" spans="1:11">
      <c r="B53" s="89" t="s">
        <v>141</v>
      </c>
      <c r="C53" s="72">
        <v>0</v>
      </c>
      <c r="D53" s="72">
        <v>0</v>
      </c>
    </row>
    <row r="54" spans="1:11">
      <c r="B54" s="89" t="s">
        <v>142</v>
      </c>
      <c r="C54" s="72">
        <f>D120*3</f>
        <v>321.59999999999974</v>
      </c>
      <c r="D54" s="72">
        <v>0</v>
      </c>
      <c r="G54" s="97"/>
      <c r="H54" s="97"/>
      <c r="I54" s="97"/>
      <c r="J54" s="97"/>
      <c r="K54" s="97"/>
    </row>
    <row r="55" spans="1:11">
      <c r="B55" s="89" t="s">
        <v>143</v>
      </c>
      <c r="C55" s="72">
        <f>D120*1.5</f>
        <v>160.79999999999987</v>
      </c>
      <c r="D55" s="72">
        <v>0</v>
      </c>
    </row>
    <row r="56" spans="1:11">
      <c r="B56" s="89" t="s">
        <v>140</v>
      </c>
      <c r="C56" s="72">
        <v>0</v>
      </c>
      <c r="D56">
        <f>SUM(C53:C57)</f>
        <v>535.99999999999955</v>
      </c>
    </row>
    <row r="57" spans="1:11">
      <c r="B57" s="89" t="s">
        <v>120</v>
      </c>
      <c r="C57" s="72">
        <f>D120*0.5</f>
        <v>53.599999999999959</v>
      </c>
      <c r="D57" s="72">
        <v>0</v>
      </c>
    </row>
    <row r="58" spans="1:11">
      <c r="B58" s="89" t="s">
        <v>109</v>
      </c>
      <c r="C58">
        <f>$C$37-SUM(C53:C57)</f>
        <v>221.904</v>
      </c>
      <c r="D58">
        <f>$C$37-SUM(D53:D57)</f>
        <v>221.904</v>
      </c>
    </row>
    <row r="59" spans="1:11">
      <c r="A59" s="91"/>
      <c r="B59" s="89"/>
    </row>
    <row r="60" spans="1:11">
      <c r="A60" s="91" t="s">
        <v>238</v>
      </c>
      <c r="B60" s="89"/>
      <c r="C60" t="s">
        <v>239</v>
      </c>
      <c r="D60" t="s">
        <v>240</v>
      </c>
    </row>
    <row r="61" spans="1:11">
      <c r="A61" s="91"/>
      <c r="B61" s="89" t="s">
        <v>241</v>
      </c>
      <c r="C61" s="102">
        <f>1-C62-C63</f>
        <v>0.9</v>
      </c>
      <c r="D61" s="102">
        <f>C61*(1-D62)</f>
        <v>0.85499999999999998</v>
      </c>
    </row>
    <row r="62" spans="1:11">
      <c r="A62" s="91"/>
      <c r="B62" s="89" t="s">
        <v>120</v>
      </c>
      <c r="C62" s="73">
        <v>0</v>
      </c>
      <c r="D62" s="73">
        <v>0.05</v>
      </c>
    </row>
    <row r="63" spans="1:11">
      <c r="A63" s="91"/>
      <c r="B63" s="89" t="s">
        <v>242</v>
      </c>
      <c r="C63" s="73">
        <v>0.1</v>
      </c>
      <c r="D63" s="102">
        <f>C63*(1-D62)</f>
        <v>9.5000000000000001E-2</v>
      </c>
    </row>
    <row r="64" spans="1:11" s="70" customFormat="1">
      <c r="A64" s="91"/>
      <c r="B64" s="93" t="s">
        <v>243</v>
      </c>
      <c r="C64" s="81">
        <f>SUM(C61:C63)</f>
        <v>1</v>
      </c>
      <c r="D64" s="81">
        <f>SUM(D61:D63)</f>
        <v>1</v>
      </c>
      <c r="E64"/>
    </row>
    <row r="65" spans="1:22">
      <c r="A65" s="91"/>
      <c r="B65" s="89"/>
    </row>
    <row r="66" spans="1:22">
      <c r="A66" s="29" t="s">
        <v>144</v>
      </c>
      <c r="B66" s="89"/>
    </row>
    <row r="67" spans="1:22">
      <c r="B67" s="89" t="s">
        <v>151</v>
      </c>
    </row>
    <row r="68" spans="1:22">
      <c r="B68" s="98" t="s">
        <v>146</v>
      </c>
    </row>
    <row r="69" spans="1:22">
      <c r="B69" s="89" t="s">
        <v>147</v>
      </c>
      <c r="M69" s="73">
        <f>D74</f>
        <v>-0.94838617943978398</v>
      </c>
      <c r="N69" s="73">
        <f>M69</f>
        <v>-0.94838617943978398</v>
      </c>
      <c r="O69" s="73">
        <f t="shared" ref="O69:U69" si="4">N69</f>
        <v>-0.94838617943978398</v>
      </c>
      <c r="P69" s="73">
        <f t="shared" si="4"/>
        <v>-0.94838617943978398</v>
      </c>
      <c r="Q69" s="73">
        <f t="shared" si="4"/>
        <v>-0.94838617943978398</v>
      </c>
      <c r="R69" s="73">
        <f t="shared" si="4"/>
        <v>-0.94838617943978398</v>
      </c>
      <c r="S69" s="73">
        <f t="shared" si="4"/>
        <v>-0.94838617943978398</v>
      </c>
      <c r="T69" s="73">
        <f t="shared" si="4"/>
        <v>-0.94838617943978398</v>
      </c>
      <c r="U69" s="73">
        <f t="shared" si="4"/>
        <v>-0.94838617943978398</v>
      </c>
    </row>
    <row r="70" spans="1:22">
      <c r="B70" s="89" t="s">
        <v>148</v>
      </c>
      <c r="M70" s="73">
        <f>M69+3%</f>
        <v>-0.91838617943978396</v>
      </c>
      <c r="N70" s="73">
        <f t="shared" ref="N70:U70" si="5">N69+3%</f>
        <v>-0.91838617943978396</v>
      </c>
      <c r="O70" s="73">
        <f t="shared" si="5"/>
        <v>-0.91838617943978396</v>
      </c>
      <c r="P70" s="73">
        <f t="shared" si="5"/>
        <v>-0.91838617943978396</v>
      </c>
      <c r="Q70" s="73">
        <f t="shared" si="5"/>
        <v>-0.91838617943978396</v>
      </c>
      <c r="R70" s="73">
        <f t="shared" si="5"/>
        <v>-0.91838617943978396</v>
      </c>
      <c r="S70" s="73">
        <f t="shared" si="5"/>
        <v>-0.91838617943978396</v>
      </c>
      <c r="T70" s="73">
        <f t="shared" si="5"/>
        <v>-0.91838617943978396</v>
      </c>
      <c r="U70" s="73">
        <f t="shared" si="5"/>
        <v>-0.91838617943978396</v>
      </c>
    </row>
    <row r="71" spans="1:22">
      <c r="B71" s="89"/>
      <c r="M71" s="75"/>
      <c r="N71" s="75"/>
      <c r="O71" s="75"/>
      <c r="P71" s="75"/>
      <c r="Q71" s="75"/>
      <c r="R71" s="75"/>
      <c r="S71" s="75"/>
      <c r="T71" s="75"/>
      <c r="U71" s="75"/>
    </row>
    <row r="72" spans="1:22">
      <c r="A72" s="29" t="s">
        <v>149</v>
      </c>
      <c r="B72" s="89"/>
    </row>
    <row r="73" spans="1:22">
      <c r="B73" s="89" t="s">
        <v>150</v>
      </c>
      <c r="C73" s="26"/>
      <c r="D73" s="26">
        <f>D113/C113-1</f>
        <v>-3.7893296853625191E-2</v>
      </c>
      <c r="M73" s="73">
        <v>0.03</v>
      </c>
      <c r="N73" s="73">
        <v>0.03</v>
      </c>
      <c r="O73" s="73">
        <v>0.03</v>
      </c>
      <c r="P73" s="73">
        <v>0.03</v>
      </c>
      <c r="Q73" s="73">
        <v>0.03</v>
      </c>
      <c r="R73" s="73">
        <v>0.03</v>
      </c>
      <c r="S73" s="73">
        <v>0.03</v>
      </c>
      <c r="T73" s="73">
        <v>0.03</v>
      </c>
      <c r="U73" s="73">
        <v>0.03</v>
      </c>
    </row>
    <row r="74" spans="1:22">
      <c r="B74" s="89" t="s">
        <v>151</v>
      </c>
      <c r="C74" s="26">
        <f>C114/C113</f>
        <v>-0.93707250341997261</v>
      </c>
      <c r="D74" s="26">
        <f>D114/D113</f>
        <v>-0.94838617943978398</v>
      </c>
      <c r="E74" s="26"/>
      <c r="F74" s="26"/>
      <c r="G74" s="26"/>
      <c r="H74" s="26"/>
      <c r="I74" s="26"/>
      <c r="J74" s="26"/>
      <c r="K74" s="26"/>
      <c r="L74" s="26"/>
      <c r="M74" s="26">
        <f>CHOOSE(MATCH($B$68,$B$69:$B$70,0),M69,M70)</f>
        <v>-0.94838617943978398</v>
      </c>
      <c r="N74" s="26">
        <f t="shared" ref="N74:U74" si="6">CHOOSE(MATCH($B$68,$B$69:$B$70,0),N69,N70)</f>
        <v>-0.94838617943978398</v>
      </c>
      <c r="O74" s="26">
        <f t="shared" si="6"/>
        <v>-0.94838617943978398</v>
      </c>
      <c r="P74" s="26">
        <f t="shared" si="6"/>
        <v>-0.94838617943978398</v>
      </c>
      <c r="Q74" s="26">
        <f t="shared" si="6"/>
        <v>-0.94838617943978398</v>
      </c>
      <c r="R74" s="26">
        <f t="shared" si="6"/>
        <v>-0.94838617943978398</v>
      </c>
      <c r="S74" s="26">
        <f t="shared" si="6"/>
        <v>-0.94838617943978398</v>
      </c>
      <c r="T74" s="26">
        <f t="shared" si="6"/>
        <v>-0.94838617943978398</v>
      </c>
      <c r="U74" s="26">
        <f t="shared" si="6"/>
        <v>-0.94838617943978398</v>
      </c>
      <c r="V74" s="26"/>
    </row>
    <row r="75" spans="1:22">
      <c r="B75" s="89" t="s">
        <v>145</v>
      </c>
      <c r="C75" s="26">
        <f>C115/C113</f>
        <v>-6.429548563611491E-3</v>
      </c>
      <c r="D75" s="26">
        <f>D115/D113</f>
        <v>-8.7444902602019058E-3</v>
      </c>
      <c r="E75" s="26"/>
      <c r="F75" s="26"/>
      <c r="G75" s="26"/>
      <c r="H75" s="26"/>
      <c r="I75" s="26"/>
      <c r="J75" s="26"/>
      <c r="K75" s="26"/>
      <c r="L75" s="26"/>
      <c r="M75" s="73">
        <f>D75</f>
        <v>-8.7444902602019058E-3</v>
      </c>
      <c r="N75" s="73">
        <f>M75</f>
        <v>-8.7444902602019058E-3</v>
      </c>
      <c r="O75" s="73">
        <f t="shared" ref="O75:U75" si="7">N75</f>
        <v>-8.7444902602019058E-3</v>
      </c>
      <c r="P75" s="73">
        <f t="shared" si="7"/>
        <v>-8.7444902602019058E-3</v>
      </c>
      <c r="Q75" s="73">
        <f t="shared" si="7"/>
        <v>-8.7444902602019058E-3</v>
      </c>
      <c r="R75" s="73">
        <f t="shared" si="7"/>
        <v>-8.7444902602019058E-3</v>
      </c>
      <c r="S75" s="73">
        <f t="shared" si="7"/>
        <v>-8.7444902602019058E-3</v>
      </c>
      <c r="T75" s="73">
        <f t="shared" si="7"/>
        <v>-8.7444902602019058E-3</v>
      </c>
      <c r="U75" s="73">
        <f t="shared" si="7"/>
        <v>-8.7444902602019058E-3</v>
      </c>
    </row>
    <row r="76" spans="1:22">
      <c r="B76" s="89" t="s">
        <v>244</v>
      </c>
      <c r="C76">
        <f>C122</f>
        <v>-32.699999999999996</v>
      </c>
      <c r="D76">
        <f>D122</f>
        <v>-90.899999999999991</v>
      </c>
      <c r="E76" s="26"/>
      <c r="F76" s="26"/>
      <c r="G76" s="26"/>
      <c r="H76" s="26"/>
      <c r="I76" s="26"/>
      <c r="J76" s="26"/>
      <c r="K76" s="26"/>
      <c r="L76" s="26"/>
      <c r="M76" s="72">
        <v>0</v>
      </c>
      <c r="N76" s="72">
        <v>0</v>
      </c>
      <c r="O76" s="72">
        <v>0</v>
      </c>
      <c r="P76" s="72">
        <v>0</v>
      </c>
      <c r="Q76" s="72">
        <v>0</v>
      </c>
      <c r="R76" s="72">
        <v>0</v>
      </c>
      <c r="S76" s="72">
        <v>0</v>
      </c>
      <c r="T76" s="72">
        <v>0</v>
      </c>
      <c r="U76" s="72">
        <v>0</v>
      </c>
    </row>
    <row r="77" spans="1:22">
      <c r="B77" s="89" t="s">
        <v>152</v>
      </c>
      <c r="C77" s="26">
        <f>C127/C126</f>
        <v>-0.13089005235602094</v>
      </c>
      <c r="D77" s="26">
        <f>D127/D126</f>
        <v>-0.11804008908685948</v>
      </c>
      <c r="E77" s="26"/>
      <c r="F77" s="26"/>
      <c r="G77" s="26"/>
      <c r="H77" s="26"/>
      <c r="I77" s="26"/>
      <c r="J77" s="26"/>
      <c r="K77" s="26"/>
      <c r="L77" s="26"/>
      <c r="M77" s="73">
        <f>AVERAGE(C77:D77)</f>
        <v>-0.12446507072144021</v>
      </c>
      <c r="N77" s="73">
        <f t="shared" ref="N77:N87" si="8">M77</f>
        <v>-0.12446507072144021</v>
      </c>
      <c r="O77" s="73">
        <f t="shared" ref="O77:U77" si="9">N77</f>
        <v>-0.12446507072144021</v>
      </c>
      <c r="P77" s="73">
        <f t="shared" si="9"/>
        <v>-0.12446507072144021</v>
      </c>
      <c r="Q77" s="73">
        <f t="shared" si="9"/>
        <v>-0.12446507072144021</v>
      </c>
      <c r="R77" s="73">
        <f t="shared" si="9"/>
        <v>-0.12446507072144021</v>
      </c>
      <c r="S77" s="73">
        <f t="shared" si="9"/>
        <v>-0.12446507072144021</v>
      </c>
      <c r="T77" s="73">
        <f t="shared" si="9"/>
        <v>-0.12446507072144021</v>
      </c>
      <c r="U77" s="73">
        <f t="shared" si="9"/>
        <v>-0.12446507072144021</v>
      </c>
    </row>
    <row r="78" spans="1:22">
      <c r="B78" s="89" t="s">
        <v>153</v>
      </c>
      <c r="C78" s="26">
        <f>C92/C113</f>
        <v>1.1285909712722298E-2</v>
      </c>
      <c r="D78" s="26">
        <f>D92/D113</f>
        <v>1.4716337267169061E-2</v>
      </c>
      <c r="M78" s="73">
        <v>0.03</v>
      </c>
      <c r="N78" s="73">
        <f t="shared" si="8"/>
        <v>0.03</v>
      </c>
      <c r="O78" s="73">
        <f t="shared" ref="O78:U78" si="10">N78</f>
        <v>0.03</v>
      </c>
      <c r="P78" s="73">
        <f t="shared" si="10"/>
        <v>0.03</v>
      </c>
      <c r="Q78" s="73">
        <f t="shared" si="10"/>
        <v>0.03</v>
      </c>
      <c r="R78" s="73">
        <f t="shared" si="10"/>
        <v>0.03</v>
      </c>
      <c r="S78" s="73">
        <f t="shared" si="10"/>
        <v>0.03</v>
      </c>
      <c r="T78" s="73">
        <f t="shared" si="10"/>
        <v>0.03</v>
      </c>
      <c r="U78" s="73">
        <f t="shared" si="10"/>
        <v>0.03</v>
      </c>
    </row>
    <row r="79" spans="1:22">
      <c r="B79" s="89" t="s">
        <v>154</v>
      </c>
      <c r="C79" s="26"/>
      <c r="D79" s="26">
        <f>D93/C94</f>
        <v>-0.21414634146341466</v>
      </c>
      <c r="E79" s="26"/>
      <c r="F79" s="26"/>
      <c r="G79" s="26"/>
      <c r="H79" s="26"/>
      <c r="I79" s="26"/>
      <c r="J79" s="26"/>
      <c r="K79" s="26"/>
      <c r="L79" s="26"/>
      <c r="M79" s="73">
        <f t="shared" ref="M79:M87" si="11">D79</f>
        <v>-0.21414634146341466</v>
      </c>
      <c r="N79" s="73">
        <f t="shared" si="8"/>
        <v>-0.21414634146341466</v>
      </c>
      <c r="O79" s="73">
        <f t="shared" ref="O79:U79" si="12">N79</f>
        <v>-0.21414634146341466</v>
      </c>
      <c r="P79" s="73">
        <f t="shared" si="12"/>
        <v>-0.21414634146341466</v>
      </c>
      <c r="Q79" s="73">
        <f t="shared" si="12"/>
        <v>-0.21414634146341466</v>
      </c>
      <c r="R79" s="73">
        <f t="shared" si="12"/>
        <v>-0.21414634146341466</v>
      </c>
      <c r="S79" s="73">
        <f t="shared" si="12"/>
        <v>-0.21414634146341466</v>
      </c>
      <c r="T79" s="73">
        <f t="shared" si="12"/>
        <v>-0.21414634146341466</v>
      </c>
      <c r="U79" s="73">
        <f t="shared" si="12"/>
        <v>-0.21414634146341466</v>
      </c>
    </row>
    <row r="80" spans="1:22">
      <c r="B80" s="89" t="s">
        <v>155</v>
      </c>
      <c r="C80">
        <f>C119</f>
        <v>3.6</v>
      </c>
      <c r="D80">
        <f>D119</f>
        <v>3</v>
      </c>
      <c r="M80" s="72">
        <f t="shared" si="11"/>
        <v>3</v>
      </c>
      <c r="N80" s="72">
        <f t="shared" si="8"/>
        <v>3</v>
      </c>
      <c r="O80" s="72">
        <f t="shared" ref="O80:U80" si="13">N80</f>
        <v>3</v>
      </c>
      <c r="P80" s="72">
        <f t="shared" si="13"/>
        <v>3</v>
      </c>
      <c r="Q80" s="72">
        <f t="shared" si="13"/>
        <v>3</v>
      </c>
      <c r="R80" s="72">
        <f t="shared" si="13"/>
        <v>3</v>
      </c>
      <c r="S80" s="72">
        <f t="shared" si="13"/>
        <v>3</v>
      </c>
      <c r="T80" s="72">
        <f t="shared" si="13"/>
        <v>3</v>
      </c>
      <c r="U80" s="72">
        <f t="shared" si="13"/>
        <v>3</v>
      </c>
    </row>
    <row r="81" spans="1:21">
      <c r="B81" s="89" t="s">
        <v>156</v>
      </c>
      <c r="C81" s="26">
        <f>C132/C113</f>
        <v>8.99452804377565E-2</v>
      </c>
      <c r="D81" s="26">
        <f>D132/D113</f>
        <v>0.12050334139058724</v>
      </c>
      <c r="M81" s="73">
        <f t="shared" si="11"/>
        <v>0.12050334139058724</v>
      </c>
      <c r="N81" s="73">
        <f t="shared" si="8"/>
        <v>0.12050334139058724</v>
      </c>
      <c r="O81" s="73">
        <f t="shared" ref="O81:U87" si="14">N81</f>
        <v>0.12050334139058724</v>
      </c>
      <c r="P81" s="73">
        <f t="shared" si="14"/>
        <v>0.12050334139058724</v>
      </c>
      <c r="Q81" s="73">
        <f t="shared" si="14"/>
        <v>0.12050334139058724</v>
      </c>
      <c r="R81" s="73">
        <f t="shared" si="14"/>
        <v>0.12050334139058724</v>
      </c>
      <c r="S81" s="73">
        <f t="shared" si="14"/>
        <v>0.12050334139058724</v>
      </c>
      <c r="T81" s="73">
        <f t="shared" si="14"/>
        <v>0.12050334139058724</v>
      </c>
      <c r="U81" s="73">
        <f t="shared" si="14"/>
        <v>0.12050334139058724</v>
      </c>
    </row>
    <row r="82" spans="1:21">
      <c r="B82" s="89" t="s">
        <v>157</v>
      </c>
      <c r="C82" s="26">
        <f>C133/C114</f>
        <v>-1.3138686131386862E-3</v>
      </c>
      <c r="D82" s="26">
        <f>D133/D114</f>
        <v>-1.4992503748125937E-3</v>
      </c>
      <c r="M82" s="73">
        <f t="shared" si="11"/>
        <v>-1.4992503748125937E-3</v>
      </c>
      <c r="N82" s="73">
        <f t="shared" si="8"/>
        <v>-1.4992503748125937E-3</v>
      </c>
      <c r="O82" s="73">
        <f t="shared" si="14"/>
        <v>-1.4992503748125937E-3</v>
      </c>
      <c r="P82" s="73">
        <f t="shared" si="14"/>
        <v>-1.4992503748125937E-3</v>
      </c>
      <c r="Q82" s="73">
        <f t="shared" si="14"/>
        <v>-1.4992503748125937E-3</v>
      </c>
      <c r="R82" s="73">
        <f t="shared" si="14"/>
        <v>-1.4992503748125937E-3</v>
      </c>
      <c r="S82" s="73">
        <f t="shared" si="14"/>
        <v>-1.4992503748125937E-3</v>
      </c>
      <c r="T82" s="73">
        <f t="shared" si="14"/>
        <v>-1.4992503748125937E-3</v>
      </c>
      <c r="U82" s="73">
        <f t="shared" si="14"/>
        <v>-1.4992503748125937E-3</v>
      </c>
    </row>
    <row r="83" spans="1:21">
      <c r="B83" s="89" t="s">
        <v>158</v>
      </c>
      <c r="C83">
        <f>C134</f>
        <v>43.7</v>
      </c>
      <c r="D83">
        <f>D134</f>
        <v>44.9</v>
      </c>
      <c r="M83" s="72">
        <f t="shared" si="11"/>
        <v>44.9</v>
      </c>
      <c r="N83" s="72">
        <f t="shared" si="8"/>
        <v>44.9</v>
      </c>
      <c r="O83" s="72">
        <f t="shared" si="14"/>
        <v>44.9</v>
      </c>
      <c r="P83" s="72">
        <f t="shared" si="14"/>
        <v>44.9</v>
      </c>
      <c r="Q83" s="72">
        <f t="shared" si="14"/>
        <v>44.9</v>
      </c>
      <c r="R83" s="72">
        <f t="shared" si="14"/>
        <v>44.9</v>
      </c>
      <c r="S83" s="72">
        <f t="shared" si="14"/>
        <v>44.9</v>
      </c>
      <c r="T83" s="72">
        <f t="shared" si="14"/>
        <v>44.9</v>
      </c>
      <c r="U83" s="72">
        <f t="shared" si="14"/>
        <v>44.9</v>
      </c>
    </row>
    <row r="84" spans="1:21">
      <c r="B84" s="89" t="s">
        <v>159</v>
      </c>
      <c r="C84">
        <f>C137</f>
        <v>134</v>
      </c>
      <c r="D84">
        <f>D137</f>
        <v>121.19999999999999</v>
      </c>
      <c r="M84" s="72">
        <f t="shared" si="11"/>
        <v>121.19999999999999</v>
      </c>
      <c r="N84" s="72">
        <f t="shared" si="8"/>
        <v>121.19999999999999</v>
      </c>
      <c r="O84" s="72">
        <f t="shared" si="14"/>
        <v>121.19999999999999</v>
      </c>
      <c r="P84" s="72">
        <f t="shared" si="14"/>
        <v>121.19999999999999</v>
      </c>
      <c r="Q84" s="72">
        <f t="shared" si="14"/>
        <v>121.19999999999999</v>
      </c>
      <c r="R84" s="72">
        <f t="shared" si="14"/>
        <v>121.19999999999999</v>
      </c>
      <c r="S84" s="72">
        <f t="shared" si="14"/>
        <v>121.19999999999999</v>
      </c>
      <c r="T84" s="72">
        <f t="shared" si="14"/>
        <v>121.19999999999999</v>
      </c>
      <c r="U84" s="72">
        <f t="shared" si="14"/>
        <v>121.19999999999999</v>
      </c>
    </row>
    <row r="85" spans="1:21">
      <c r="B85" s="89" t="s">
        <v>160</v>
      </c>
      <c r="C85" s="26">
        <f>C142/C114</f>
        <v>-4.0802919708029198E-2</v>
      </c>
      <c r="D85" s="26">
        <f>D142/D114</f>
        <v>-4.6776611694152925E-2</v>
      </c>
      <c r="M85" s="73">
        <f t="shared" si="11"/>
        <v>-4.6776611694152925E-2</v>
      </c>
      <c r="N85" s="73">
        <f t="shared" si="8"/>
        <v>-4.6776611694152925E-2</v>
      </c>
      <c r="O85" s="73">
        <f t="shared" si="14"/>
        <v>-4.6776611694152925E-2</v>
      </c>
      <c r="P85" s="73">
        <f t="shared" si="14"/>
        <v>-4.6776611694152925E-2</v>
      </c>
      <c r="Q85" s="73">
        <f t="shared" si="14"/>
        <v>-4.6776611694152925E-2</v>
      </c>
      <c r="R85" s="73">
        <f t="shared" si="14"/>
        <v>-4.6776611694152925E-2</v>
      </c>
      <c r="S85" s="73">
        <f t="shared" si="14"/>
        <v>-4.6776611694152925E-2</v>
      </c>
      <c r="T85" s="73">
        <f t="shared" si="14"/>
        <v>-4.6776611694152925E-2</v>
      </c>
      <c r="U85" s="73">
        <f t="shared" si="14"/>
        <v>-4.6776611694152925E-2</v>
      </c>
    </row>
    <row r="86" spans="1:21">
      <c r="B86" s="89" t="s">
        <v>161</v>
      </c>
      <c r="C86" s="26">
        <f>C143/C114</f>
        <v>-0.17883211678832117</v>
      </c>
      <c r="D86" s="26">
        <f>D143/D114</f>
        <v>-0.26251874062968517</v>
      </c>
      <c r="M86" s="73">
        <f t="shared" si="11"/>
        <v>-0.26251874062968517</v>
      </c>
      <c r="N86" s="73">
        <f t="shared" si="8"/>
        <v>-0.26251874062968517</v>
      </c>
      <c r="O86" s="73">
        <f t="shared" si="14"/>
        <v>-0.26251874062968517</v>
      </c>
      <c r="P86" s="73">
        <f t="shared" si="14"/>
        <v>-0.26251874062968517</v>
      </c>
      <c r="Q86" s="73">
        <f t="shared" si="14"/>
        <v>-0.26251874062968517</v>
      </c>
      <c r="R86" s="73">
        <f t="shared" si="14"/>
        <v>-0.26251874062968517</v>
      </c>
      <c r="S86" s="73">
        <f t="shared" si="14"/>
        <v>-0.26251874062968517</v>
      </c>
      <c r="T86" s="73">
        <f t="shared" si="14"/>
        <v>-0.26251874062968517</v>
      </c>
      <c r="U86" s="73">
        <f t="shared" si="14"/>
        <v>-0.26251874062968517</v>
      </c>
    </row>
    <row r="87" spans="1:21">
      <c r="B87" s="89" t="s">
        <v>162</v>
      </c>
      <c r="C87">
        <f>C144</f>
        <v>68.199999999999989</v>
      </c>
      <c r="D87">
        <f>D144</f>
        <v>73.599999999999994</v>
      </c>
      <c r="M87" s="72">
        <f t="shared" si="11"/>
        <v>73.599999999999994</v>
      </c>
      <c r="N87" s="72">
        <f t="shared" si="8"/>
        <v>73.599999999999994</v>
      </c>
      <c r="O87" s="72">
        <f t="shared" si="14"/>
        <v>73.599999999999994</v>
      </c>
      <c r="P87" s="72">
        <f t="shared" si="14"/>
        <v>73.599999999999994</v>
      </c>
      <c r="Q87" s="72">
        <f t="shared" si="14"/>
        <v>73.599999999999994</v>
      </c>
      <c r="R87" s="72">
        <f t="shared" si="14"/>
        <v>73.599999999999994</v>
      </c>
      <c r="S87" s="72">
        <f t="shared" si="14"/>
        <v>73.599999999999994</v>
      </c>
      <c r="T87" s="72">
        <f t="shared" si="14"/>
        <v>73.599999999999994</v>
      </c>
      <c r="U87" s="72">
        <f t="shared" si="14"/>
        <v>73.599999999999994</v>
      </c>
    </row>
    <row r="88" spans="1:21">
      <c r="B88" s="89" t="s">
        <v>163</v>
      </c>
      <c r="M88" s="73">
        <v>0</v>
      </c>
      <c r="N88" s="73">
        <v>0</v>
      </c>
      <c r="O88" s="73">
        <v>0</v>
      </c>
      <c r="P88" s="73">
        <v>0</v>
      </c>
      <c r="Q88" s="73">
        <v>0</v>
      </c>
      <c r="R88" s="73">
        <v>0</v>
      </c>
      <c r="S88" s="73">
        <v>0</v>
      </c>
      <c r="T88" s="73">
        <v>0</v>
      </c>
      <c r="U88" s="73">
        <v>0</v>
      </c>
    </row>
    <row r="89" spans="1:21">
      <c r="B89" s="89"/>
    </row>
    <row r="90" spans="1:21">
      <c r="A90" s="29" t="s">
        <v>164</v>
      </c>
      <c r="B90" s="89"/>
    </row>
    <row r="91" spans="1:21">
      <c r="B91" s="89" t="s">
        <v>165</v>
      </c>
      <c r="M91">
        <f t="shared" ref="M91:U91" si="15">L94</f>
        <v>191.73000000000002</v>
      </c>
      <c r="N91">
        <f t="shared" si="15"/>
        <v>194.13566195121953</v>
      </c>
      <c r="O91">
        <f t="shared" si="15"/>
        <v>197.33007839678766</v>
      </c>
      <c r="P91">
        <f t="shared" si="15"/>
        <v>201.18345799342677</v>
      </c>
      <c r="Q91">
        <f t="shared" si="15"/>
        <v>205.59497726555588</v>
      </c>
      <c r="R91">
        <f t="shared" si="15"/>
        <v>210.48661244819459</v>
      </c>
      <c r="S91">
        <f t="shared" si="15"/>
        <v>215.79829327431682</v>
      </c>
      <c r="T91">
        <f t="shared" si="15"/>
        <v>221.48409564877153</v>
      </c>
      <c r="U91">
        <f t="shared" si="15"/>
        <v>227.50925076764872</v>
      </c>
    </row>
    <row r="92" spans="1:21">
      <c r="B92" s="89" t="s">
        <v>166</v>
      </c>
      <c r="C92" s="23">
        <v>16.5</v>
      </c>
      <c r="D92" s="23">
        <v>20.7</v>
      </c>
      <c r="M92">
        <f>M78*M113</f>
        <v>43.463940000000001</v>
      </c>
      <c r="N92">
        <f t="shared" ref="N92:U92" si="16">N78*N113</f>
        <v>44.767858199999999</v>
      </c>
      <c r="O92">
        <f t="shared" si="16"/>
        <v>46.110893946000004</v>
      </c>
      <c r="P92">
        <f t="shared" si="16"/>
        <v>47.494220764380003</v>
      </c>
      <c r="Q92">
        <f t="shared" si="16"/>
        <v>48.919047387311409</v>
      </c>
      <c r="R92">
        <f t="shared" si="16"/>
        <v>50.386618808930749</v>
      </c>
      <c r="S92">
        <f t="shared" si="16"/>
        <v>51.898217373198669</v>
      </c>
      <c r="T92">
        <f t="shared" si="16"/>
        <v>53.455163894394637</v>
      </c>
      <c r="U92">
        <f t="shared" si="16"/>
        <v>55.058818811226473</v>
      </c>
    </row>
    <row r="93" spans="1:21">
      <c r="B93" s="89" t="s">
        <v>167</v>
      </c>
      <c r="C93">
        <f>C118*-1</f>
        <v>-49.5</v>
      </c>
      <c r="D93">
        <f>D118*-1</f>
        <v>-43.900000000000006</v>
      </c>
      <c r="M93">
        <f t="shared" ref="M93:U93" si="17">M79*M91</f>
        <v>-41.058278048780494</v>
      </c>
      <c r="N93">
        <f t="shared" si="17"/>
        <v>-41.573441754431897</v>
      </c>
      <c r="O93">
        <f t="shared" si="17"/>
        <v>-42.257514349360875</v>
      </c>
      <c r="P93">
        <f t="shared" si="17"/>
        <v>-43.082701492250905</v>
      </c>
      <c r="Q93">
        <f t="shared" si="17"/>
        <v>-44.027412204672707</v>
      </c>
      <c r="R93">
        <f t="shared" si="17"/>
        <v>-45.074937982808507</v>
      </c>
      <c r="S93">
        <f t="shared" si="17"/>
        <v>-46.212414998743945</v>
      </c>
      <c r="T93">
        <f t="shared" si="17"/>
        <v>-47.430008775517422</v>
      </c>
      <c r="U93">
        <f t="shared" si="17"/>
        <v>-48.720273700974538</v>
      </c>
    </row>
    <row r="94" spans="1:21">
      <c r="B94" s="89" t="s">
        <v>168</v>
      </c>
      <c r="C94">
        <f>C135</f>
        <v>205</v>
      </c>
      <c r="D94">
        <f>D135</f>
        <v>174.3</v>
      </c>
      <c r="L94">
        <f>L135</f>
        <v>191.73000000000002</v>
      </c>
      <c r="M94">
        <f t="shared" ref="M94:U94" si="18">SUM(M91:M93)</f>
        <v>194.13566195121953</v>
      </c>
      <c r="N94">
        <f t="shared" si="18"/>
        <v>197.33007839678766</v>
      </c>
      <c r="O94">
        <f t="shared" si="18"/>
        <v>201.18345799342677</v>
      </c>
      <c r="P94">
        <f t="shared" si="18"/>
        <v>205.59497726555588</v>
      </c>
      <c r="Q94">
        <f t="shared" si="18"/>
        <v>210.48661244819459</v>
      </c>
      <c r="R94">
        <f t="shared" si="18"/>
        <v>215.79829327431682</v>
      </c>
      <c r="S94">
        <f t="shared" si="18"/>
        <v>221.48409564877153</v>
      </c>
      <c r="T94">
        <f t="shared" si="18"/>
        <v>227.50925076764872</v>
      </c>
      <c r="U94">
        <f t="shared" si="18"/>
        <v>233.84779587790069</v>
      </c>
    </row>
    <row r="95" spans="1:21">
      <c r="B95" s="89"/>
    </row>
    <row r="96" spans="1:21">
      <c r="B96" s="89" t="s">
        <v>169</v>
      </c>
      <c r="M96">
        <f t="shared" ref="M96:U96" si="19">L98</f>
        <v>127.5</v>
      </c>
      <c r="N96">
        <f t="shared" si="19"/>
        <v>124.5</v>
      </c>
      <c r="O96">
        <f t="shared" si="19"/>
        <v>121.5</v>
      </c>
      <c r="P96">
        <f t="shared" si="19"/>
        <v>118.5</v>
      </c>
      <c r="Q96">
        <f t="shared" si="19"/>
        <v>115.5</v>
      </c>
      <c r="R96">
        <f t="shared" si="19"/>
        <v>112.5</v>
      </c>
      <c r="S96">
        <f t="shared" si="19"/>
        <v>109.5</v>
      </c>
      <c r="T96">
        <f t="shared" si="19"/>
        <v>106.5</v>
      </c>
      <c r="U96">
        <f t="shared" si="19"/>
        <v>103.5</v>
      </c>
    </row>
    <row r="97" spans="1:21">
      <c r="B97" s="89" t="s">
        <v>170</v>
      </c>
      <c r="C97">
        <f>C119</f>
        <v>3.6</v>
      </c>
      <c r="D97">
        <f>D119</f>
        <v>3</v>
      </c>
      <c r="M97">
        <f t="shared" ref="M97:U97" si="20">M80*-1</f>
        <v>-3</v>
      </c>
      <c r="N97">
        <f t="shared" si="20"/>
        <v>-3</v>
      </c>
      <c r="O97">
        <f t="shared" si="20"/>
        <v>-3</v>
      </c>
      <c r="P97">
        <f t="shared" si="20"/>
        <v>-3</v>
      </c>
      <c r="Q97">
        <f t="shared" si="20"/>
        <v>-3</v>
      </c>
      <c r="R97">
        <f t="shared" si="20"/>
        <v>-3</v>
      </c>
      <c r="S97">
        <f t="shared" si="20"/>
        <v>-3</v>
      </c>
      <c r="T97">
        <f t="shared" si="20"/>
        <v>-3</v>
      </c>
      <c r="U97">
        <f t="shared" si="20"/>
        <v>-3</v>
      </c>
    </row>
    <row r="98" spans="1:21">
      <c r="B98" s="89" t="s">
        <v>171</v>
      </c>
      <c r="C98">
        <f>C136</f>
        <v>105.4</v>
      </c>
      <c r="D98">
        <f>D136</f>
        <v>127.5</v>
      </c>
      <c r="L98">
        <f>L136</f>
        <v>127.5</v>
      </c>
      <c r="M98">
        <f t="shared" ref="M98:U98" si="21">SUM(M96:M97)</f>
        <v>124.5</v>
      </c>
      <c r="N98">
        <f t="shared" si="21"/>
        <v>121.5</v>
      </c>
      <c r="O98">
        <f t="shared" si="21"/>
        <v>118.5</v>
      </c>
      <c r="P98">
        <f t="shared" si="21"/>
        <v>115.5</v>
      </c>
      <c r="Q98">
        <f t="shared" si="21"/>
        <v>112.5</v>
      </c>
      <c r="R98">
        <f t="shared" si="21"/>
        <v>109.5</v>
      </c>
      <c r="S98">
        <f t="shared" si="21"/>
        <v>106.5</v>
      </c>
      <c r="T98">
        <f t="shared" si="21"/>
        <v>103.5</v>
      </c>
      <c r="U98">
        <f t="shared" si="21"/>
        <v>100.5</v>
      </c>
    </row>
    <row r="99" spans="1:21">
      <c r="B99" s="89"/>
    </row>
    <row r="100" spans="1:21">
      <c r="B100" s="89" t="s">
        <v>172</v>
      </c>
      <c r="M100">
        <f t="shared" ref="M100:U100" si="22">L103</f>
        <v>214.4</v>
      </c>
      <c r="N100">
        <f t="shared" ca="1" si="22"/>
        <v>233.42277045243674</v>
      </c>
      <c r="O100">
        <f t="shared" ca="1" si="22"/>
        <v>255.1462610816701</v>
      </c>
      <c r="P100">
        <f t="shared" ca="1" si="22"/>
        <v>280.11384873528732</v>
      </c>
      <c r="Q100">
        <f t="shared" ca="1" si="22"/>
        <v>308.5298077269515</v>
      </c>
      <c r="R100">
        <f t="shared" ca="1" si="22"/>
        <v>340.61602071132791</v>
      </c>
      <c r="S100">
        <f t="shared" ca="1" si="22"/>
        <v>376.61188759147501</v>
      </c>
      <c r="T100">
        <f t="shared" ca="1" si="22"/>
        <v>417.02737045905525</v>
      </c>
      <c r="U100">
        <f t="shared" ca="1" si="22"/>
        <v>461.8563431411921</v>
      </c>
    </row>
    <row r="101" spans="1:21">
      <c r="B101" s="89" t="s">
        <v>173</v>
      </c>
      <c r="M101">
        <f t="shared" ref="M101:U101" ca="1" si="23">M128</f>
        <v>19.02277045243672</v>
      </c>
      <c r="N101">
        <f t="shared" ca="1" si="23"/>
        <v>21.723490629233371</v>
      </c>
      <c r="O101">
        <f t="shared" ca="1" si="23"/>
        <v>24.967587653617215</v>
      </c>
      <c r="P101">
        <f t="shared" ca="1" si="23"/>
        <v>28.415958991664176</v>
      </c>
      <c r="Q101">
        <f t="shared" ca="1" si="23"/>
        <v>32.086212984376395</v>
      </c>
      <c r="R101">
        <f t="shared" ca="1" si="23"/>
        <v>35.995866880147126</v>
      </c>
      <c r="S101">
        <f t="shared" ca="1" si="23"/>
        <v>40.415482867580252</v>
      </c>
      <c r="T101">
        <f t="shared" ca="1" si="23"/>
        <v>44.82897268213685</v>
      </c>
      <c r="U101">
        <f t="shared" ca="1" si="23"/>
        <v>48.848428457808438</v>
      </c>
    </row>
    <row r="102" spans="1:21">
      <c r="B102" s="89" t="s">
        <v>174</v>
      </c>
      <c r="M102">
        <f t="shared" ref="M102:U102" ca="1" si="24">M88*M101*-1</f>
        <v>0</v>
      </c>
      <c r="N102">
        <f t="shared" ca="1" si="24"/>
        <v>0</v>
      </c>
      <c r="O102">
        <f t="shared" ca="1" si="24"/>
        <v>0</v>
      </c>
      <c r="P102">
        <f t="shared" ca="1" si="24"/>
        <v>0</v>
      </c>
      <c r="Q102">
        <f t="shared" ca="1" si="24"/>
        <v>0</v>
      </c>
      <c r="R102">
        <f t="shared" ca="1" si="24"/>
        <v>0</v>
      </c>
      <c r="S102">
        <f t="shared" ca="1" si="24"/>
        <v>0</v>
      </c>
      <c r="T102">
        <f t="shared" ca="1" si="24"/>
        <v>0</v>
      </c>
      <c r="U102">
        <f t="shared" ca="1" si="24"/>
        <v>0</v>
      </c>
    </row>
    <row r="103" spans="1:21">
      <c r="B103" s="89" t="s">
        <v>175</v>
      </c>
      <c r="L103">
        <f>L150</f>
        <v>214.4</v>
      </c>
      <c r="M103">
        <f t="shared" ref="M103:U103" ca="1" si="25">SUM(M100:M102)</f>
        <v>233.42277045243674</v>
      </c>
      <c r="N103">
        <f t="shared" ca="1" si="25"/>
        <v>255.1462610816701</v>
      </c>
      <c r="O103">
        <f t="shared" ca="1" si="25"/>
        <v>280.11384873528732</v>
      </c>
      <c r="P103">
        <f t="shared" ca="1" si="25"/>
        <v>308.5298077269515</v>
      </c>
      <c r="Q103">
        <f t="shared" ca="1" si="25"/>
        <v>340.61602071132791</v>
      </c>
      <c r="R103">
        <f t="shared" ca="1" si="25"/>
        <v>376.61188759147501</v>
      </c>
      <c r="S103">
        <f t="shared" ca="1" si="25"/>
        <v>417.02737045905525</v>
      </c>
      <c r="T103">
        <f t="shared" ca="1" si="25"/>
        <v>461.8563431411921</v>
      </c>
      <c r="U103">
        <f t="shared" ca="1" si="25"/>
        <v>510.70477159900054</v>
      </c>
    </row>
    <row r="104" spans="1:21">
      <c r="B104" s="89"/>
    </row>
    <row r="105" spans="1:21">
      <c r="B105" s="89" t="str">
        <f>B132</f>
        <v>Accounts receivable</v>
      </c>
      <c r="L105">
        <f t="shared" ref="L105:U105" si="26">L132</f>
        <v>169.5</v>
      </c>
      <c r="M105">
        <f t="shared" si="26"/>
        <v>174.58500000000001</v>
      </c>
      <c r="N105">
        <f t="shared" si="26"/>
        <v>179.82255000000004</v>
      </c>
      <c r="O105">
        <f t="shared" si="26"/>
        <v>185.21722650000004</v>
      </c>
      <c r="P105">
        <f t="shared" si="26"/>
        <v>190.77374329500003</v>
      </c>
      <c r="Q105">
        <f t="shared" si="26"/>
        <v>196.49695559385006</v>
      </c>
      <c r="R105">
        <f t="shared" si="26"/>
        <v>202.39186426166555</v>
      </c>
      <c r="S105">
        <f t="shared" si="26"/>
        <v>208.46362018951552</v>
      </c>
      <c r="T105">
        <f t="shared" si="26"/>
        <v>214.71752879520099</v>
      </c>
      <c r="U105">
        <f t="shared" si="26"/>
        <v>221.15905465905703</v>
      </c>
    </row>
    <row r="106" spans="1:21">
      <c r="B106" s="89" t="str">
        <f>B133</f>
        <v>Inventories</v>
      </c>
      <c r="L106">
        <f t="shared" ref="L106:U106" si="27">L133</f>
        <v>2</v>
      </c>
      <c r="M106">
        <f t="shared" si="27"/>
        <v>2.06</v>
      </c>
      <c r="N106">
        <f t="shared" si="27"/>
        <v>2.1218000000000004</v>
      </c>
      <c r="O106">
        <f t="shared" si="27"/>
        <v>2.1854540000000005</v>
      </c>
      <c r="P106">
        <f t="shared" si="27"/>
        <v>2.2510176200000007</v>
      </c>
      <c r="Q106">
        <f t="shared" si="27"/>
        <v>2.3185481486000006</v>
      </c>
      <c r="R106">
        <f t="shared" si="27"/>
        <v>2.3881045930580003</v>
      </c>
      <c r="S106">
        <f t="shared" si="27"/>
        <v>2.4597477308497404</v>
      </c>
      <c r="T106">
        <f t="shared" si="27"/>
        <v>2.5335401627752328</v>
      </c>
      <c r="U106">
        <f t="shared" si="27"/>
        <v>2.6095463676584898</v>
      </c>
    </row>
    <row r="107" spans="1:21">
      <c r="B107" s="89" t="str">
        <f>B134</f>
        <v>Other current assets</v>
      </c>
      <c r="L107">
        <f t="shared" ref="L107:U107" si="28">L134</f>
        <v>44.9</v>
      </c>
      <c r="M107">
        <f t="shared" si="28"/>
        <v>44.9</v>
      </c>
      <c r="N107">
        <f t="shared" si="28"/>
        <v>44.9</v>
      </c>
      <c r="O107">
        <f t="shared" si="28"/>
        <v>44.9</v>
      </c>
      <c r="P107">
        <f t="shared" si="28"/>
        <v>44.9</v>
      </c>
      <c r="Q107">
        <f t="shared" si="28"/>
        <v>44.9</v>
      </c>
      <c r="R107">
        <f t="shared" si="28"/>
        <v>44.9</v>
      </c>
      <c r="S107">
        <f t="shared" si="28"/>
        <v>44.9</v>
      </c>
      <c r="T107">
        <f t="shared" si="28"/>
        <v>44.9</v>
      </c>
      <c r="U107">
        <f t="shared" si="28"/>
        <v>44.9</v>
      </c>
    </row>
    <row r="108" spans="1:21">
      <c r="B108" s="89" t="str">
        <f>B142</f>
        <v>Accounts payable</v>
      </c>
      <c r="L108">
        <f t="shared" ref="L108:U108" si="29">L142</f>
        <v>62.4</v>
      </c>
      <c r="M108">
        <f t="shared" si="29"/>
        <v>64.272000000000006</v>
      </c>
      <c r="N108">
        <f t="shared" si="29"/>
        <v>66.200160000000011</v>
      </c>
      <c r="O108">
        <f t="shared" si="29"/>
        <v>68.186164800000014</v>
      </c>
      <c r="P108">
        <f t="shared" si="29"/>
        <v>70.231749744000027</v>
      </c>
      <c r="Q108">
        <f t="shared" si="29"/>
        <v>72.338702236320017</v>
      </c>
      <c r="R108">
        <f t="shared" si="29"/>
        <v>74.508863303409626</v>
      </c>
      <c r="S108">
        <f t="shared" si="29"/>
        <v>76.744129202511914</v>
      </c>
      <c r="T108">
        <f t="shared" si="29"/>
        <v>79.046453078587277</v>
      </c>
      <c r="U108">
        <f t="shared" si="29"/>
        <v>81.417846670944897</v>
      </c>
    </row>
    <row r="109" spans="1:21">
      <c r="B109" s="89" t="s">
        <v>176</v>
      </c>
      <c r="L109">
        <f>L143</f>
        <v>350.20000000000005</v>
      </c>
      <c r="M109">
        <f t="shared" ref="M109:U109" si="30">M143</f>
        <v>360.70600000000007</v>
      </c>
      <c r="N109">
        <f t="shared" si="30"/>
        <v>371.5271800000001</v>
      </c>
      <c r="O109">
        <f t="shared" si="30"/>
        <v>382.6729954000001</v>
      </c>
      <c r="P109">
        <f t="shared" si="30"/>
        <v>394.15318526200014</v>
      </c>
      <c r="Q109">
        <f t="shared" si="30"/>
        <v>405.97778081986013</v>
      </c>
      <c r="R109">
        <f t="shared" si="30"/>
        <v>418.1571142444559</v>
      </c>
      <c r="S109">
        <f t="shared" si="30"/>
        <v>430.7018276717896</v>
      </c>
      <c r="T109">
        <f t="shared" si="30"/>
        <v>443.62288250194331</v>
      </c>
      <c r="U109">
        <f t="shared" si="30"/>
        <v>456.93156897700163</v>
      </c>
    </row>
    <row r="110" spans="1:21">
      <c r="B110" s="89" t="s">
        <v>64</v>
      </c>
      <c r="L110">
        <f>L105+L106+L107-L108-L109</f>
        <v>-196.20000000000005</v>
      </c>
      <c r="M110">
        <f t="shared" ref="M110:U110" si="31">M105+M106+M107-M108-M109</f>
        <v>-203.43300000000005</v>
      </c>
      <c r="N110">
        <f t="shared" si="31"/>
        <v>-210.88299000000006</v>
      </c>
      <c r="O110">
        <f t="shared" si="31"/>
        <v>-218.55647970000007</v>
      </c>
      <c r="P110">
        <f t="shared" si="31"/>
        <v>-226.46017409100011</v>
      </c>
      <c r="Q110">
        <f t="shared" si="31"/>
        <v>-234.60097931373008</v>
      </c>
      <c r="R110">
        <f t="shared" si="31"/>
        <v>-242.98600869314197</v>
      </c>
      <c r="S110">
        <f t="shared" si="31"/>
        <v>-251.62258895393626</v>
      </c>
      <c r="T110">
        <f t="shared" si="31"/>
        <v>-260.51826662255434</v>
      </c>
      <c r="U110">
        <f t="shared" si="31"/>
        <v>-269.68081462123098</v>
      </c>
    </row>
    <row r="112" spans="1:21" ht="15" customHeight="1">
      <c r="A112" s="29" t="s">
        <v>54</v>
      </c>
      <c r="B112" s="89"/>
      <c r="C112" s="26"/>
      <c r="D112" s="26"/>
      <c r="E112" s="26"/>
      <c r="F112" s="26"/>
      <c r="G112" s="26"/>
      <c r="H112" s="26"/>
      <c r="I112" s="26"/>
      <c r="J112" s="26"/>
      <c r="K112" s="26"/>
      <c r="L112" s="26"/>
      <c r="M112" s="26"/>
      <c r="N112" s="26"/>
      <c r="O112" s="26"/>
      <c r="P112" s="26"/>
      <c r="Q112" s="26"/>
      <c r="R112" s="26"/>
      <c r="S112" s="26"/>
      <c r="T112" s="26"/>
      <c r="U112" s="26"/>
    </row>
    <row r="113" spans="1:22" ht="15" customHeight="1">
      <c r="B113" s="89" t="s">
        <v>177</v>
      </c>
      <c r="C113" s="23">
        <f>1462</f>
        <v>1462</v>
      </c>
      <c r="D113" s="23">
        <f>1406.6</f>
        <v>1406.6</v>
      </c>
      <c r="L113">
        <f>SUM(D113:K113)</f>
        <v>1406.6</v>
      </c>
      <c r="M113">
        <f t="shared" ref="M113:U113" si="32">(1+M73)*L113</f>
        <v>1448.798</v>
      </c>
      <c r="N113">
        <f t="shared" si="32"/>
        <v>1492.2619400000001</v>
      </c>
      <c r="O113">
        <f t="shared" si="32"/>
        <v>1537.0297982000002</v>
      </c>
      <c r="P113">
        <f t="shared" si="32"/>
        <v>1583.1406921460002</v>
      </c>
      <c r="Q113">
        <f t="shared" si="32"/>
        <v>1630.6349129103803</v>
      </c>
      <c r="R113">
        <f t="shared" si="32"/>
        <v>1679.5539602976917</v>
      </c>
      <c r="S113">
        <f t="shared" si="32"/>
        <v>1729.9405791066224</v>
      </c>
      <c r="T113">
        <f t="shared" si="32"/>
        <v>1781.8387964798212</v>
      </c>
      <c r="U113">
        <f t="shared" si="32"/>
        <v>1835.2939603742159</v>
      </c>
    </row>
    <row r="114" spans="1:22">
      <c r="B114" s="89" t="s">
        <v>178</v>
      </c>
      <c r="C114" s="23">
        <f>-1370</f>
        <v>-1370</v>
      </c>
      <c r="D114" s="23">
        <f>-1334</f>
        <v>-1334</v>
      </c>
      <c r="L114">
        <f>SUM(D114:K114)</f>
        <v>-1334</v>
      </c>
      <c r="M114">
        <f t="shared" ref="M114:U114" si="33">M74*M113</f>
        <v>-1374.0200000000002</v>
      </c>
      <c r="N114">
        <f t="shared" si="33"/>
        <v>-1415.2406000000003</v>
      </c>
      <c r="O114">
        <f t="shared" si="33"/>
        <v>-1457.6978180000003</v>
      </c>
      <c r="P114">
        <f t="shared" si="33"/>
        <v>-1501.4287525400005</v>
      </c>
      <c r="Q114">
        <f t="shared" si="33"/>
        <v>-1546.4716151162004</v>
      </c>
      <c r="R114">
        <f t="shared" si="33"/>
        <v>-1592.8657635696864</v>
      </c>
      <c r="S114">
        <f t="shared" si="33"/>
        <v>-1640.6517364767769</v>
      </c>
      <c r="T114">
        <f t="shared" si="33"/>
        <v>-1689.8712885710804</v>
      </c>
      <c r="U114">
        <f t="shared" si="33"/>
        <v>-1740.5674272282129</v>
      </c>
    </row>
    <row r="115" spans="1:22">
      <c r="B115" s="89" t="s">
        <v>179</v>
      </c>
      <c r="C115" s="23">
        <f>-9.4</f>
        <v>-9.4</v>
      </c>
      <c r="D115" s="23">
        <f>-12.3</f>
        <v>-12.3</v>
      </c>
      <c r="L115">
        <f>SUM(D115:K115)</f>
        <v>-12.3</v>
      </c>
      <c r="M115">
        <f t="shared" ref="M115:U115" si="34">M75*M113</f>
        <v>-12.669</v>
      </c>
      <c r="N115">
        <f t="shared" si="34"/>
        <v>-13.049070000000002</v>
      </c>
      <c r="O115">
        <f t="shared" si="34"/>
        <v>-13.440542100000002</v>
      </c>
      <c r="P115">
        <f t="shared" si="34"/>
        <v>-13.843758363000003</v>
      </c>
      <c r="Q115">
        <f t="shared" si="34"/>
        <v>-14.259071113890004</v>
      </c>
      <c r="R115">
        <f t="shared" si="34"/>
        <v>-14.686843247306703</v>
      </c>
      <c r="S115">
        <f t="shared" si="34"/>
        <v>-15.127448544725905</v>
      </c>
      <c r="T115">
        <f t="shared" si="34"/>
        <v>-15.581272001067683</v>
      </c>
      <c r="U115">
        <f t="shared" si="34"/>
        <v>-16.048710161099713</v>
      </c>
    </row>
    <row r="116" spans="1:22" s="70" customFormat="1">
      <c r="A116" s="29"/>
      <c r="B116" s="93" t="s">
        <v>46</v>
      </c>
      <c r="C116" s="70">
        <f>SUM(C113:C115)</f>
        <v>82.6</v>
      </c>
      <c r="D116" s="70">
        <f>SUM(D113:D115)</f>
        <v>60.299999999999912</v>
      </c>
      <c r="L116" s="70">
        <f t="shared" ref="L116:U116" si="35">SUM(L113:L115)</f>
        <v>60.299999999999912</v>
      </c>
      <c r="M116" s="70">
        <f t="shared" si="35"/>
        <v>62.108999999999796</v>
      </c>
      <c r="N116" s="70">
        <f t="shared" si="35"/>
        <v>63.972269999999781</v>
      </c>
      <c r="O116" s="70">
        <f t="shared" si="35"/>
        <v>65.89143809999986</v>
      </c>
      <c r="P116" s="70">
        <f t="shared" si="35"/>
        <v>67.868181242999754</v>
      </c>
      <c r="Q116" s="70">
        <f t="shared" si="35"/>
        <v>69.904226680289923</v>
      </c>
      <c r="R116" s="70">
        <f t="shared" si="35"/>
        <v>72.001353480698626</v>
      </c>
      <c r="S116" s="70">
        <f t="shared" si="35"/>
        <v>74.161394085119568</v>
      </c>
      <c r="T116" s="70">
        <f t="shared" si="35"/>
        <v>76.386235907673111</v>
      </c>
      <c r="U116" s="70">
        <f t="shared" si="35"/>
        <v>78.677822984903315</v>
      </c>
      <c r="V116"/>
    </row>
    <row r="117" spans="1:22">
      <c r="B117" s="89"/>
      <c r="M117" s="26"/>
      <c r="N117" s="26"/>
      <c r="O117" s="26"/>
      <c r="P117" s="26"/>
      <c r="Q117" s="26"/>
      <c r="R117" s="26"/>
      <c r="S117" s="26"/>
      <c r="T117" s="26"/>
      <c r="U117" s="26"/>
    </row>
    <row r="118" spans="1:22">
      <c r="B118" s="89" t="s">
        <v>180</v>
      </c>
      <c r="C118" s="23">
        <f>8.4+41.1</f>
        <v>49.5</v>
      </c>
      <c r="D118" s="23">
        <f>7.2+36.7</f>
        <v>43.900000000000006</v>
      </c>
      <c r="L118">
        <f>SUM(D118:K118)</f>
        <v>43.900000000000006</v>
      </c>
      <c r="M118">
        <f t="shared" ref="M118:U118" si="36">M93*-1</f>
        <v>41.058278048780494</v>
      </c>
      <c r="N118">
        <f t="shared" si="36"/>
        <v>41.573441754431897</v>
      </c>
      <c r="O118">
        <f t="shared" si="36"/>
        <v>42.257514349360875</v>
      </c>
      <c r="P118">
        <f t="shared" si="36"/>
        <v>43.082701492250905</v>
      </c>
      <c r="Q118">
        <f t="shared" si="36"/>
        <v>44.027412204672707</v>
      </c>
      <c r="R118">
        <f t="shared" si="36"/>
        <v>45.074937982808507</v>
      </c>
      <c r="S118">
        <f t="shared" si="36"/>
        <v>46.212414998743945</v>
      </c>
      <c r="T118">
        <f t="shared" si="36"/>
        <v>47.430008775517422</v>
      </c>
      <c r="U118">
        <f t="shared" si="36"/>
        <v>48.720273700974538</v>
      </c>
    </row>
    <row r="119" spans="1:22">
      <c r="B119" s="89" t="s">
        <v>181</v>
      </c>
      <c r="C119" s="23">
        <f>1+1+1.6</f>
        <v>3.6</v>
      </c>
      <c r="D119" s="23">
        <f>1.9+1.1</f>
        <v>3</v>
      </c>
      <c r="L119">
        <f>SUM(D119:K119)</f>
        <v>3</v>
      </c>
      <c r="M119">
        <f t="shared" ref="M119:U119" si="37">M80</f>
        <v>3</v>
      </c>
      <c r="N119">
        <f t="shared" si="37"/>
        <v>3</v>
      </c>
      <c r="O119">
        <f t="shared" si="37"/>
        <v>3</v>
      </c>
      <c r="P119">
        <f t="shared" si="37"/>
        <v>3</v>
      </c>
      <c r="Q119">
        <f t="shared" si="37"/>
        <v>3</v>
      </c>
      <c r="R119">
        <f t="shared" si="37"/>
        <v>3</v>
      </c>
      <c r="S119">
        <f t="shared" si="37"/>
        <v>3</v>
      </c>
      <c r="T119">
        <f t="shared" si="37"/>
        <v>3</v>
      </c>
      <c r="U119">
        <f t="shared" si="37"/>
        <v>3</v>
      </c>
    </row>
    <row r="120" spans="1:22" s="70" customFormat="1">
      <c r="A120" s="29"/>
      <c r="B120" s="93" t="s">
        <v>48</v>
      </c>
      <c r="C120" s="70">
        <f>SUM(C116,C118:C119)</f>
        <v>135.69999999999999</v>
      </c>
      <c r="D120" s="70">
        <f>SUM(D116,D118:D119)</f>
        <v>107.19999999999992</v>
      </c>
      <c r="L120" s="70">
        <f t="shared" ref="L120:U120" si="38">SUM(L116,L118:L119)</f>
        <v>107.19999999999992</v>
      </c>
      <c r="M120" s="70">
        <f t="shared" si="38"/>
        <v>106.16727804878029</v>
      </c>
      <c r="N120" s="70">
        <f t="shared" si="38"/>
        <v>108.54571175443168</v>
      </c>
      <c r="O120" s="70">
        <f t="shared" si="38"/>
        <v>111.14895244936073</v>
      </c>
      <c r="P120" s="70">
        <f t="shared" si="38"/>
        <v>113.95088273525066</v>
      </c>
      <c r="Q120" s="70">
        <f t="shared" si="38"/>
        <v>116.93163888496264</v>
      </c>
      <c r="R120" s="70">
        <f t="shared" si="38"/>
        <v>120.07629146350713</v>
      </c>
      <c r="S120" s="70">
        <f t="shared" si="38"/>
        <v>123.37380908386351</v>
      </c>
      <c r="T120" s="70">
        <f t="shared" si="38"/>
        <v>126.81624468319053</v>
      </c>
      <c r="U120" s="70">
        <f t="shared" si="38"/>
        <v>130.39809668587785</v>
      </c>
      <c r="V120"/>
    </row>
    <row r="121" spans="1:22">
      <c r="B121" s="89"/>
    </row>
    <row r="122" spans="1:22">
      <c r="B122" s="89" t="s">
        <v>245</v>
      </c>
      <c r="C122" s="23">
        <f>9.6-42.3</f>
        <v>-32.699999999999996</v>
      </c>
      <c r="D122" s="23">
        <f>11.4-102.3</f>
        <v>-90.899999999999991</v>
      </c>
      <c r="L122">
        <f>SUM(D122:K122)</f>
        <v>-90.899999999999991</v>
      </c>
      <c r="M122">
        <f>M76</f>
        <v>0</v>
      </c>
      <c r="N122">
        <f t="shared" ref="N122:U122" si="39">N76</f>
        <v>0</v>
      </c>
      <c r="O122">
        <f t="shared" si="39"/>
        <v>0</v>
      </c>
      <c r="P122">
        <f t="shared" si="39"/>
        <v>0</v>
      </c>
      <c r="Q122">
        <f t="shared" si="39"/>
        <v>0</v>
      </c>
      <c r="R122">
        <f t="shared" si="39"/>
        <v>0</v>
      </c>
      <c r="S122">
        <f t="shared" si="39"/>
        <v>0</v>
      </c>
      <c r="T122">
        <f t="shared" si="39"/>
        <v>0</v>
      </c>
      <c r="U122">
        <f t="shared" si="39"/>
        <v>0</v>
      </c>
    </row>
    <row r="123" spans="1:22">
      <c r="B123" s="89" t="s">
        <v>57</v>
      </c>
      <c r="C123" s="23">
        <v>0</v>
      </c>
      <c r="D123" s="23">
        <v>0</v>
      </c>
      <c r="L123">
        <f>SUM(D123:K123)</f>
        <v>0</v>
      </c>
      <c r="M123">
        <f t="shared" ref="M123:U123" ca="1" si="40">IF(Circswitch=1,N240,0)</f>
        <v>0.14705299699999999</v>
      </c>
      <c r="N123">
        <f t="shared" ca="1" si="40"/>
        <v>0.15146458691000003</v>
      </c>
      <c r="O123">
        <f t="shared" ca="1" si="40"/>
        <v>0.15600852451730007</v>
      </c>
      <c r="P123">
        <f t="shared" ca="1" si="40"/>
        <v>0.16068878025281905</v>
      </c>
      <c r="Q123">
        <f t="shared" ca="1" si="40"/>
        <v>0.16550944366040363</v>
      </c>
      <c r="R123">
        <f t="shared" ca="1" si="40"/>
        <v>0.17047472697021568</v>
      </c>
      <c r="S123">
        <f t="shared" ca="1" si="40"/>
        <v>0.1755889687793222</v>
      </c>
      <c r="T123">
        <f t="shared" ca="1" si="40"/>
        <v>0.25443089153564641</v>
      </c>
      <c r="U123">
        <f t="shared" si="40"/>
        <v>0</v>
      </c>
    </row>
    <row r="124" spans="1:22">
      <c r="B124" s="89" t="s">
        <v>182</v>
      </c>
      <c r="C124" s="23">
        <f>-11.7</f>
        <v>-11.7</v>
      </c>
      <c r="D124" s="23">
        <f>-14.3</f>
        <v>-14.3</v>
      </c>
      <c r="L124">
        <f>SUM(D124:K124)</f>
        <v>-14.3</v>
      </c>
      <c r="M124">
        <f t="shared" ref="M124:U124" ca="1" si="41">IF(Circswitch=1,M242,0)*-1</f>
        <v>-40.529026677088758</v>
      </c>
      <c r="N124">
        <f t="shared" ca="1" si="41"/>
        <v>-39.312056716863502</v>
      </c>
      <c r="O124">
        <f t="shared" ca="1" si="41"/>
        <v>-37.530494509093863</v>
      </c>
      <c r="P124">
        <f t="shared" ca="1" si="41"/>
        <v>-35.573329939798775</v>
      </c>
      <c r="Q124">
        <f t="shared" ca="1" si="41"/>
        <v>-33.422182826658783</v>
      </c>
      <c r="R124">
        <f t="shared" ca="1" si="41"/>
        <v>-31.058828969811252</v>
      </c>
      <c r="S124">
        <f t="shared" ca="1" si="41"/>
        <v>-28.176080140656374</v>
      </c>
      <c r="T124">
        <f t="shared" ca="1" si="41"/>
        <v>-25.438857273373053</v>
      </c>
      <c r="U124">
        <f t="shared" ca="1" si="41"/>
        <v>-22.885156325607941</v>
      </c>
    </row>
    <row r="125" spans="1:22">
      <c r="B125" s="89" t="s">
        <v>183</v>
      </c>
      <c r="C125" s="23">
        <v>0</v>
      </c>
      <c r="D125" s="23">
        <v>0</v>
      </c>
      <c r="L125">
        <f>SUM(D125:K125)</f>
        <v>0</v>
      </c>
      <c r="M125">
        <f t="shared" ref="M125:U125" si="42">M243*-1</f>
        <v>0</v>
      </c>
      <c r="N125">
        <f t="shared" si="42"/>
        <v>0</v>
      </c>
      <c r="O125">
        <f t="shared" si="42"/>
        <v>0</v>
      </c>
      <c r="P125">
        <f t="shared" si="42"/>
        <v>0</v>
      </c>
      <c r="Q125">
        <f t="shared" si="42"/>
        <v>0</v>
      </c>
      <c r="R125">
        <f t="shared" si="42"/>
        <v>0</v>
      </c>
      <c r="S125">
        <f t="shared" si="42"/>
        <v>0</v>
      </c>
      <c r="T125">
        <f t="shared" si="42"/>
        <v>0</v>
      </c>
      <c r="U125">
        <f t="shared" si="42"/>
        <v>0</v>
      </c>
    </row>
    <row r="126" spans="1:22" s="70" customFormat="1">
      <c r="A126" s="29"/>
      <c r="B126" s="93" t="s">
        <v>184</v>
      </c>
      <c r="C126" s="70">
        <f>SUM(C116,C122:C125)</f>
        <v>38.200000000000003</v>
      </c>
      <c r="D126" s="70">
        <f>SUM(D116,D122:D125)</f>
        <v>-44.900000000000077</v>
      </c>
      <c r="L126" s="70">
        <f>SUM(L116,L122:L125)</f>
        <v>-44.900000000000077</v>
      </c>
      <c r="M126" s="70">
        <f t="shared" ref="M126:U126" ca="1" si="43">SUM(M116,M122:M125)</f>
        <v>21.72702631991104</v>
      </c>
      <c r="N126" s="70">
        <f t="shared" ca="1" si="43"/>
        <v>24.811677870046275</v>
      </c>
      <c r="O126" s="70">
        <f t="shared" ca="1" si="43"/>
        <v>28.516952115423301</v>
      </c>
      <c r="P126" s="70">
        <f t="shared" ca="1" si="43"/>
        <v>32.455540083453791</v>
      </c>
      <c r="Q126" s="70">
        <f t="shared" ca="1" si="43"/>
        <v>36.647553297291537</v>
      </c>
      <c r="R126" s="70">
        <f t="shared" ca="1" si="43"/>
        <v>41.112999237857586</v>
      </c>
      <c r="S126" s="70">
        <f t="shared" ca="1" si="43"/>
        <v>46.160902913242516</v>
      </c>
      <c r="T126" s="70">
        <f t="shared" ca="1" si="43"/>
        <v>51.201809525835706</v>
      </c>
      <c r="U126" s="70">
        <f t="shared" ca="1" si="43"/>
        <v>55.792666659295378</v>
      </c>
      <c r="V126"/>
    </row>
    <row r="127" spans="1:22">
      <c r="B127" s="89" t="s">
        <v>59</v>
      </c>
      <c r="C127" s="23">
        <v>-5</v>
      </c>
      <c r="D127" s="23">
        <v>5.3</v>
      </c>
      <c r="L127">
        <f>SUM(D127:K127)</f>
        <v>5.3</v>
      </c>
      <c r="M127">
        <f t="shared" ref="M127:U127" ca="1" si="44">M77*M126</f>
        <v>-2.7042558674743207</v>
      </c>
      <c r="N127">
        <f t="shared" ca="1" si="44"/>
        <v>-3.0881872408129025</v>
      </c>
      <c r="O127">
        <f t="shared" ca="1" si="44"/>
        <v>-3.5493644618060851</v>
      </c>
      <c r="P127">
        <f t="shared" ca="1" si="44"/>
        <v>-4.0395810917896133</v>
      </c>
      <c r="Q127">
        <f t="shared" ca="1" si="44"/>
        <v>-4.5613403129151404</v>
      </c>
      <c r="R127">
        <f t="shared" ca="1" si="44"/>
        <v>-5.1171323577104619</v>
      </c>
      <c r="S127">
        <f t="shared" ca="1" si="44"/>
        <v>-5.7454200456622653</v>
      </c>
      <c r="T127">
        <f t="shared" ca="1" si="44"/>
        <v>-6.3728368436988525</v>
      </c>
      <c r="U127">
        <f t="shared" ca="1" si="44"/>
        <v>-6.9442382014869386</v>
      </c>
    </row>
    <row r="128" spans="1:22" s="70" customFormat="1">
      <c r="A128" s="29"/>
      <c r="B128" s="93" t="s">
        <v>60</v>
      </c>
      <c r="C128" s="70">
        <f>C126+C127</f>
        <v>33.200000000000003</v>
      </c>
      <c r="D128" s="70">
        <f>D126+D127</f>
        <v>-39.60000000000008</v>
      </c>
      <c r="L128" s="70">
        <f>L126+L127</f>
        <v>-39.60000000000008</v>
      </c>
      <c r="M128" s="70">
        <f t="shared" ref="M128:U128" ca="1" si="45">SUM(M126:M127)</f>
        <v>19.02277045243672</v>
      </c>
      <c r="N128" s="70">
        <f t="shared" ca="1" si="45"/>
        <v>21.723490629233371</v>
      </c>
      <c r="O128" s="70">
        <f t="shared" ca="1" si="45"/>
        <v>24.967587653617215</v>
      </c>
      <c r="P128" s="70">
        <f t="shared" ca="1" si="45"/>
        <v>28.415958991664176</v>
      </c>
      <c r="Q128" s="70">
        <f t="shared" ca="1" si="45"/>
        <v>32.086212984376395</v>
      </c>
      <c r="R128" s="70">
        <f t="shared" ca="1" si="45"/>
        <v>35.995866880147126</v>
      </c>
      <c r="S128" s="70">
        <f t="shared" ca="1" si="45"/>
        <v>40.415482867580252</v>
      </c>
      <c r="T128" s="70">
        <f t="shared" ca="1" si="45"/>
        <v>44.82897268213685</v>
      </c>
      <c r="U128" s="70">
        <f t="shared" ca="1" si="45"/>
        <v>48.848428457808438</v>
      </c>
      <c r="V128"/>
    </row>
    <row r="130" spans="1:22">
      <c r="A130" s="29" t="s">
        <v>185</v>
      </c>
      <c r="B130" s="89"/>
    </row>
    <row r="131" spans="1:22">
      <c r="B131" s="89" t="s">
        <v>117</v>
      </c>
      <c r="C131" s="23">
        <v>13.2</v>
      </c>
      <c r="D131" s="23">
        <v>28.7</v>
      </c>
      <c r="E131">
        <f>D131*-1</f>
        <v>-28.7</v>
      </c>
      <c r="L131">
        <f t="shared" ref="L131:L138" si="46">SUM(D131:K131)</f>
        <v>0</v>
      </c>
      <c r="M131">
        <f ca="1">M178</f>
        <v>14.487979999999972</v>
      </c>
      <c r="N131">
        <f t="shared" ref="N131:U131" ca="1" si="47">N178</f>
        <v>14.922619400000002</v>
      </c>
      <c r="O131">
        <f t="shared" ca="1" si="47"/>
        <v>15.370297981999983</v>
      </c>
      <c r="P131">
        <f t="shared" ca="1" si="47"/>
        <v>15.831406921460001</v>
      </c>
      <c r="Q131">
        <f t="shared" ca="1" si="47"/>
        <v>16.306349129103793</v>
      </c>
      <c r="R131">
        <f t="shared" ca="1" si="47"/>
        <v>16.795539602976902</v>
      </c>
      <c r="S131">
        <f t="shared" ca="1" si="47"/>
        <v>17.299405791066214</v>
      </c>
      <c r="T131">
        <f t="shared" ca="1" si="47"/>
        <v>17.81838796479822</v>
      </c>
      <c r="U131">
        <f t="shared" ca="1" si="47"/>
        <v>33.067790342331065</v>
      </c>
    </row>
    <row r="132" spans="1:22">
      <c r="B132" s="89" t="s">
        <v>186</v>
      </c>
      <c r="C132" s="23">
        <v>131.5</v>
      </c>
      <c r="D132" s="23">
        <v>169.5</v>
      </c>
      <c r="L132">
        <f t="shared" si="46"/>
        <v>169.5</v>
      </c>
      <c r="M132">
        <f t="shared" ref="M132:U132" si="48">M81*M113</f>
        <v>174.58500000000001</v>
      </c>
      <c r="N132">
        <f t="shared" si="48"/>
        <v>179.82255000000004</v>
      </c>
      <c r="O132">
        <f t="shared" si="48"/>
        <v>185.21722650000004</v>
      </c>
      <c r="P132">
        <f t="shared" si="48"/>
        <v>190.77374329500003</v>
      </c>
      <c r="Q132">
        <f t="shared" si="48"/>
        <v>196.49695559385006</v>
      </c>
      <c r="R132">
        <f t="shared" si="48"/>
        <v>202.39186426166555</v>
      </c>
      <c r="S132">
        <f t="shared" si="48"/>
        <v>208.46362018951552</v>
      </c>
      <c r="T132">
        <f t="shared" si="48"/>
        <v>214.71752879520099</v>
      </c>
      <c r="U132">
        <f t="shared" si="48"/>
        <v>221.15905465905703</v>
      </c>
    </row>
    <row r="133" spans="1:22">
      <c r="B133" s="89" t="s">
        <v>187</v>
      </c>
      <c r="C133" s="23">
        <v>1.8</v>
      </c>
      <c r="D133" s="23">
        <v>2</v>
      </c>
      <c r="L133">
        <f t="shared" si="46"/>
        <v>2</v>
      </c>
      <c r="M133">
        <f t="shared" ref="M133:U133" si="49">M82*M114</f>
        <v>2.06</v>
      </c>
      <c r="N133">
        <f t="shared" si="49"/>
        <v>2.1218000000000004</v>
      </c>
      <c r="O133">
        <f t="shared" si="49"/>
        <v>2.1854540000000005</v>
      </c>
      <c r="P133">
        <f t="shared" si="49"/>
        <v>2.2510176200000007</v>
      </c>
      <c r="Q133">
        <f t="shared" si="49"/>
        <v>2.3185481486000006</v>
      </c>
      <c r="R133">
        <f t="shared" si="49"/>
        <v>2.3881045930580003</v>
      </c>
      <c r="S133">
        <f t="shared" si="49"/>
        <v>2.4597477308497404</v>
      </c>
      <c r="T133">
        <f t="shared" si="49"/>
        <v>2.5335401627752328</v>
      </c>
      <c r="U133">
        <f t="shared" si="49"/>
        <v>2.6095463676584898</v>
      </c>
    </row>
    <row r="134" spans="1:22">
      <c r="B134" s="89" t="s">
        <v>188</v>
      </c>
      <c r="C134" s="23">
        <v>43.7</v>
      </c>
      <c r="D134" s="23">
        <v>44.9</v>
      </c>
      <c r="L134">
        <f t="shared" si="46"/>
        <v>44.9</v>
      </c>
      <c r="M134">
        <f t="shared" ref="M134:U134" si="50">M83</f>
        <v>44.9</v>
      </c>
      <c r="N134">
        <f t="shared" si="50"/>
        <v>44.9</v>
      </c>
      <c r="O134">
        <f t="shared" si="50"/>
        <v>44.9</v>
      </c>
      <c r="P134">
        <f t="shared" si="50"/>
        <v>44.9</v>
      </c>
      <c r="Q134">
        <f t="shared" si="50"/>
        <v>44.9</v>
      </c>
      <c r="R134">
        <f t="shared" si="50"/>
        <v>44.9</v>
      </c>
      <c r="S134">
        <f t="shared" si="50"/>
        <v>44.9</v>
      </c>
      <c r="T134">
        <f t="shared" si="50"/>
        <v>44.9</v>
      </c>
      <c r="U134">
        <f t="shared" si="50"/>
        <v>44.9</v>
      </c>
    </row>
    <row r="135" spans="1:22">
      <c r="B135" s="89" t="s">
        <v>189</v>
      </c>
      <c r="C135" s="23">
        <v>205</v>
      </c>
      <c r="D135" s="23">
        <v>174.3</v>
      </c>
      <c r="G135">
        <f>C29</f>
        <v>17.430000000000003</v>
      </c>
      <c r="L135">
        <f t="shared" si="46"/>
        <v>191.73000000000002</v>
      </c>
      <c r="M135">
        <f t="shared" ref="M135:U135" si="51">M94</f>
        <v>194.13566195121953</v>
      </c>
      <c r="N135">
        <f t="shared" si="51"/>
        <v>197.33007839678766</v>
      </c>
      <c r="O135">
        <f t="shared" si="51"/>
        <v>201.18345799342677</v>
      </c>
      <c r="P135">
        <f t="shared" si="51"/>
        <v>205.59497726555588</v>
      </c>
      <c r="Q135">
        <f t="shared" si="51"/>
        <v>210.48661244819459</v>
      </c>
      <c r="R135">
        <f t="shared" si="51"/>
        <v>215.79829327431682</v>
      </c>
      <c r="S135">
        <f t="shared" si="51"/>
        <v>221.48409564877153</v>
      </c>
      <c r="T135">
        <f t="shared" si="51"/>
        <v>227.50925076764872</v>
      </c>
      <c r="U135">
        <f t="shared" si="51"/>
        <v>233.84779587790069</v>
      </c>
    </row>
    <row r="136" spans="1:22">
      <c r="B136" s="89" t="s">
        <v>190</v>
      </c>
      <c r="C136" s="23">
        <v>105.4</v>
      </c>
      <c r="D136" s="23">
        <v>127.5</v>
      </c>
      <c r="L136">
        <f t="shared" si="46"/>
        <v>127.5</v>
      </c>
      <c r="M136">
        <f t="shared" ref="M136:U136" si="52">M98</f>
        <v>124.5</v>
      </c>
      <c r="N136">
        <f t="shared" si="52"/>
        <v>121.5</v>
      </c>
      <c r="O136">
        <f t="shared" si="52"/>
        <v>118.5</v>
      </c>
      <c r="P136">
        <f t="shared" si="52"/>
        <v>115.5</v>
      </c>
      <c r="Q136">
        <f t="shared" si="52"/>
        <v>112.5</v>
      </c>
      <c r="R136">
        <f t="shared" si="52"/>
        <v>109.5</v>
      </c>
      <c r="S136">
        <f t="shared" si="52"/>
        <v>106.5</v>
      </c>
      <c r="T136">
        <f t="shared" si="52"/>
        <v>103.5</v>
      </c>
      <c r="U136">
        <f t="shared" si="52"/>
        <v>100.5</v>
      </c>
    </row>
    <row r="137" spans="1:22">
      <c r="B137" s="89" t="s">
        <v>191</v>
      </c>
      <c r="C137" s="23">
        <f>17.4+116.6</f>
        <v>134</v>
      </c>
      <c r="D137" s="23">
        <f>11.2+29.4+80.6</f>
        <v>121.19999999999999</v>
      </c>
      <c r="L137">
        <f t="shared" si="46"/>
        <v>121.19999999999999</v>
      </c>
      <c r="M137">
        <f t="shared" ref="M137:U137" si="53">M84</f>
        <v>121.19999999999999</v>
      </c>
      <c r="N137">
        <f t="shared" si="53"/>
        <v>121.19999999999999</v>
      </c>
      <c r="O137">
        <f t="shared" si="53"/>
        <v>121.19999999999999</v>
      </c>
      <c r="P137">
        <f t="shared" si="53"/>
        <v>121.19999999999999</v>
      </c>
      <c r="Q137">
        <f t="shared" si="53"/>
        <v>121.19999999999999</v>
      </c>
      <c r="R137">
        <f t="shared" si="53"/>
        <v>121.19999999999999</v>
      </c>
      <c r="S137">
        <f t="shared" si="53"/>
        <v>121.19999999999999</v>
      </c>
      <c r="T137">
        <f t="shared" si="53"/>
        <v>121.19999999999999</v>
      </c>
      <c r="U137">
        <f t="shared" si="53"/>
        <v>121.19999999999999</v>
      </c>
    </row>
    <row r="138" spans="1:22">
      <c r="B138" s="89" t="s">
        <v>122</v>
      </c>
      <c r="C138" s="23">
        <v>0</v>
      </c>
      <c r="D138" s="23">
        <v>0</v>
      </c>
      <c r="H138">
        <f>C31</f>
        <v>579.76999999999953</v>
      </c>
      <c r="L138">
        <f t="shared" si="46"/>
        <v>579.76999999999953</v>
      </c>
      <c r="M138">
        <f t="shared" ref="M138:U138" si="54">L138</f>
        <v>579.76999999999953</v>
      </c>
      <c r="N138">
        <f t="shared" si="54"/>
        <v>579.76999999999953</v>
      </c>
      <c r="O138">
        <f t="shared" si="54"/>
        <v>579.76999999999953</v>
      </c>
      <c r="P138">
        <f t="shared" si="54"/>
        <v>579.76999999999953</v>
      </c>
      <c r="Q138">
        <f t="shared" si="54"/>
        <v>579.76999999999953</v>
      </c>
      <c r="R138">
        <f t="shared" si="54"/>
        <v>579.76999999999953</v>
      </c>
      <c r="S138">
        <f t="shared" si="54"/>
        <v>579.76999999999953</v>
      </c>
      <c r="T138">
        <f t="shared" si="54"/>
        <v>579.76999999999953</v>
      </c>
      <c r="U138">
        <f t="shared" si="54"/>
        <v>579.76999999999953</v>
      </c>
    </row>
    <row r="139" spans="1:22" s="70" customFormat="1">
      <c r="A139" s="29"/>
      <c r="B139" s="93" t="s">
        <v>192</v>
      </c>
      <c r="C139" s="70">
        <f>SUM(C131:C138)</f>
        <v>634.6</v>
      </c>
      <c r="D139" s="70">
        <f>SUM(D131:D138)</f>
        <v>668.09999999999991</v>
      </c>
      <c r="K139"/>
      <c r="L139" s="70">
        <f t="shared" ref="L139:U139" si="55">SUM(L131:L138)</f>
        <v>1236.5999999999995</v>
      </c>
      <c r="M139" s="70">
        <f t="shared" ca="1" si="55"/>
        <v>1255.6386419512191</v>
      </c>
      <c r="N139" s="70">
        <f t="shared" ca="1" si="55"/>
        <v>1261.5670477967872</v>
      </c>
      <c r="O139" s="70">
        <f t="shared" ca="1" si="55"/>
        <v>1268.3264364754264</v>
      </c>
      <c r="P139" s="70">
        <f t="shared" ca="1" si="55"/>
        <v>1275.8211451020154</v>
      </c>
      <c r="Q139" s="70">
        <f t="shared" ca="1" si="55"/>
        <v>1283.978465319748</v>
      </c>
      <c r="R139" s="70">
        <f t="shared" ca="1" si="55"/>
        <v>1292.7438017320167</v>
      </c>
      <c r="S139" s="70">
        <f t="shared" ca="1" si="55"/>
        <v>1302.0768693602026</v>
      </c>
      <c r="T139" s="70">
        <f t="shared" ca="1" si="55"/>
        <v>1311.9487076904227</v>
      </c>
      <c r="U139" s="70">
        <f t="shared" ca="1" si="55"/>
        <v>1337.0541872469469</v>
      </c>
      <c r="V139"/>
    </row>
    <row r="140" spans="1:22">
      <c r="B140" s="89"/>
    </row>
    <row r="141" spans="1:22">
      <c r="B141" s="89" t="s">
        <v>118</v>
      </c>
      <c r="C141" s="23">
        <v>37.5</v>
      </c>
      <c r="D141" s="23">
        <v>41.4</v>
      </c>
      <c r="E141">
        <f>D141*-1</f>
        <v>-41.4</v>
      </c>
      <c r="I141">
        <f>C40</f>
        <v>0</v>
      </c>
      <c r="L141">
        <f t="shared" ref="L141:L150" si="56">SUM(D141:K141)</f>
        <v>0</v>
      </c>
      <c r="M141">
        <f t="shared" ref="M141:U141" ca="1" si="57">M200</f>
        <v>0</v>
      </c>
      <c r="N141">
        <f t="shared" ca="1" si="57"/>
        <v>0</v>
      </c>
      <c r="O141">
        <f t="shared" ca="1" si="57"/>
        <v>0</v>
      </c>
      <c r="P141">
        <f t="shared" ca="1" si="57"/>
        <v>0</v>
      </c>
      <c r="Q141">
        <f t="shared" ca="1" si="57"/>
        <v>0</v>
      </c>
      <c r="R141">
        <f t="shared" ca="1" si="57"/>
        <v>0</v>
      </c>
      <c r="S141">
        <f t="shared" ca="1" si="57"/>
        <v>0</v>
      </c>
      <c r="T141">
        <f t="shared" ca="1" si="57"/>
        <v>0</v>
      </c>
      <c r="U141">
        <f t="shared" ca="1" si="57"/>
        <v>0</v>
      </c>
    </row>
    <row r="142" spans="1:22">
      <c r="B142" s="89" t="s">
        <v>193</v>
      </c>
      <c r="C142" s="23">
        <v>55.9</v>
      </c>
      <c r="D142" s="23">
        <v>62.4</v>
      </c>
      <c r="L142">
        <f t="shared" si="56"/>
        <v>62.4</v>
      </c>
      <c r="M142">
        <f t="shared" ref="M142:U142" si="58">M85*M114</f>
        <v>64.272000000000006</v>
      </c>
      <c r="N142">
        <f t="shared" si="58"/>
        <v>66.200160000000011</v>
      </c>
      <c r="O142">
        <f t="shared" si="58"/>
        <v>68.186164800000014</v>
      </c>
      <c r="P142">
        <f t="shared" si="58"/>
        <v>70.231749744000027</v>
      </c>
      <c r="Q142">
        <f t="shared" si="58"/>
        <v>72.338702236320017</v>
      </c>
      <c r="R142">
        <f t="shared" si="58"/>
        <v>74.508863303409626</v>
      </c>
      <c r="S142">
        <f t="shared" si="58"/>
        <v>76.744129202511914</v>
      </c>
      <c r="T142">
        <f t="shared" si="58"/>
        <v>79.046453078587277</v>
      </c>
      <c r="U142">
        <f t="shared" si="58"/>
        <v>81.417846670944897</v>
      </c>
    </row>
    <row r="143" spans="1:22">
      <c r="B143" s="89" t="s">
        <v>176</v>
      </c>
      <c r="C143" s="23">
        <f>0+245</f>
        <v>245</v>
      </c>
      <c r="D143" s="23">
        <f>1.1+349.1</f>
        <v>350.20000000000005</v>
      </c>
      <c r="L143">
        <f t="shared" si="56"/>
        <v>350.20000000000005</v>
      </c>
      <c r="M143">
        <f t="shared" ref="M143:U143" si="59">M86*M114</f>
        <v>360.70600000000007</v>
      </c>
      <c r="N143">
        <f t="shared" si="59"/>
        <v>371.5271800000001</v>
      </c>
      <c r="O143">
        <f t="shared" si="59"/>
        <v>382.6729954000001</v>
      </c>
      <c r="P143">
        <f t="shared" si="59"/>
        <v>394.15318526200014</v>
      </c>
      <c r="Q143">
        <f t="shared" si="59"/>
        <v>405.97778081986013</v>
      </c>
      <c r="R143">
        <f t="shared" si="59"/>
        <v>418.1571142444559</v>
      </c>
      <c r="S143">
        <f t="shared" si="59"/>
        <v>430.7018276717896</v>
      </c>
      <c r="T143">
        <f t="shared" si="59"/>
        <v>443.62288250194331</v>
      </c>
      <c r="U143">
        <f t="shared" si="59"/>
        <v>456.93156897700163</v>
      </c>
    </row>
    <row r="144" spans="1:22">
      <c r="B144" s="89" t="s">
        <v>194</v>
      </c>
      <c r="C144" s="23">
        <f>33.9+34.3+0</f>
        <v>68.199999999999989</v>
      </c>
      <c r="D144" s="23">
        <f>48.9+24.7+0</f>
        <v>73.599999999999994</v>
      </c>
      <c r="L144">
        <f t="shared" si="56"/>
        <v>73.599999999999994</v>
      </c>
      <c r="M144">
        <f t="shared" ref="M144:U144" si="60">M87</f>
        <v>73.599999999999994</v>
      </c>
      <c r="N144">
        <f t="shared" si="60"/>
        <v>73.599999999999994</v>
      </c>
      <c r="O144">
        <f t="shared" si="60"/>
        <v>73.599999999999994</v>
      </c>
      <c r="P144">
        <f t="shared" si="60"/>
        <v>73.599999999999994</v>
      </c>
      <c r="Q144">
        <f t="shared" si="60"/>
        <v>73.599999999999994</v>
      </c>
      <c r="R144">
        <f t="shared" si="60"/>
        <v>73.599999999999994</v>
      </c>
      <c r="S144">
        <f t="shared" si="60"/>
        <v>73.599999999999994</v>
      </c>
      <c r="T144">
        <f t="shared" si="60"/>
        <v>73.599999999999994</v>
      </c>
      <c r="U144">
        <f t="shared" si="60"/>
        <v>73.599999999999994</v>
      </c>
    </row>
    <row r="145" spans="1:22">
      <c r="B145" s="89" t="s">
        <v>119</v>
      </c>
      <c r="C145" s="23">
        <f>168.9</f>
        <v>168.9</v>
      </c>
      <c r="D145" s="23">
        <f>174.5</f>
        <v>174.5</v>
      </c>
      <c r="E145">
        <f>D145*-1</f>
        <v>-174.5</v>
      </c>
      <c r="L145">
        <f t="shared" si="56"/>
        <v>0</v>
      </c>
      <c r="M145">
        <f t="shared" ref="M145:U145" si="61">L145</f>
        <v>0</v>
      </c>
      <c r="N145">
        <f t="shared" si="61"/>
        <v>0</v>
      </c>
      <c r="O145">
        <f t="shared" si="61"/>
        <v>0</v>
      </c>
      <c r="P145">
        <f t="shared" si="61"/>
        <v>0</v>
      </c>
      <c r="Q145">
        <f t="shared" si="61"/>
        <v>0</v>
      </c>
      <c r="R145">
        <f t="shared" si="61"/>
        <v>0</v>
      </c>
      <c r="S145">
        <f t="shared" si="61"/>
        <v>0</v>
      </c>
      <c r="T145">
        <f t="shared" si="61"/>
        <v>0</v>
      </c>
      <c r="U145">
        <f t="shared" si="61"/>
        <v>0</v>
      </c>
    </row>
    <row r="146" spans="1:22">
      <c r="B146" s="89" t="str">
        <f>B41</f>
        <v>Senior debt (Term B)</v>
      </c>
      <c r="C146" s="23">
        <v>0</v>
      </c>
      <c r="D146" s="23">
        <v>0</v>
      </c>
      <c r="I146">
        <f>C41</f>
        <v>321.59999999999974</v>
      </c>
      <c r="L146">
        <f t="shared" si="56"/>
        <v>321.59999999999974</v>
      </c>
      <c r="M146">
        <f t="shared" ref="M146:U146" ca="1" si="62">M208</f>
        <v>309.23787149878251</v>
      </c>
      <c r="N146">
        <f t="shared" ca="1" si="62"/>
        <v>280.69344671511726</v>
      </c>
      <c r="O146">
        <f t="shared" ca="1" si="62"/>
        <v>249.35342754013914</v>
      </c>
      <c r="P146">
        <f t="shared" ca="1" si="62"/>
        <v>214.90640236906404</v>
      </c>
      <c r="Q146">
        <f t="shared" ca="1" si="62"/>
        <v>177.04596155224016</v>
      </c>
      <c r="R146">
        <f t="shared" ca="1" si="62"/>
        <v>135.46593659267648</v>
      </c>
      <c r="S146">
        <f t="shared" ca="1" si="62"/>
        <v>89.603542026846</v>
      </c>
      <c r="T146">
        <f t="shared" ca="1" si="62"/>
        <v>39.423028968700294</v>
      </c>
      <c r="U146">
        <f t="shared" ca="1" si="62"/>
        <v>0</v>
      </c>
    </row>
    <row r="147" spans="1:22">
      <c r="B147" s="89" t="str">
        <f>B42</f>
        <v>Senior unsecured high yield notes</v>
      </c>
      <c r="C147" s="23">
        <v>0</v>
      </c>
      <c r="D147" s="23">
        <v>0</v>
      </c>
      <c r="I147">
        <f>C42</f>
        <v>160.79999999999987</v>
      </c>
      <c r="L147">
        <f t="shared" si="56"/>
        <v>160.79999999999987</v>
      </c>
      <c r="M147">
        <f t="shared" ref="M147:U147" ca="1" si="63">M222</f>
        <v>160.79999999999987</v>
      </c>
      <c r="N147">
        <f t="shared" ca="1" si="63"/>
        <v>160.79999999999987</v>
      </c>
      <c r="O147">
        <f t="shared" ca="1" si="63"/>
        <v>160.79999999999987</v>
      </c>
      <c r="P147">
        <f t="shared" ca="1" si="63"/>
        <v>160.79999999999987</v>
      </c>
      <c r="Q147">
        <f t="shared" ca="1" si="63"/>
        <v>160.79999999999987</v>
      </c>
      <c r="R147">
        <f t="shared" ca="1" si="63"/>
        <v>160.79999999999987</v>
      </c>
      <c r="S147">
        <f t="shared" ca="1" si="63"/>
        <v>160.79999999999987</v>
      </c>
      <c r="T147">
        <f t="shared" ca="1" si="63"/>
        <v>160.79999999999987</v>
      </c>
      <c r="U147">
        <f t="shared" ca="1" si="63"/>
        <v>160.79999999999987</v>
      </c>
    </row>
    <row r="148" spans="1:22">
      <c r="B148" s="89" t="str">
        <f>B43</f>
        <v>Unitranche</v>
      </c>
      <c r="C148" s="23">
        <v>0</v>
      </c>
      <c r="D148" s="23">
        <v>0</v>
      </c>
      <c r="I148">
        <f>C43</f>
        <v>0</v>
      </c>
      <c r="L148">
        <f t="shared" si="56"/>
        <v>0</v>
      </c>
      <c r="M148">
        <f t="shared" ref="M148:U148" ca="1" si="64">M230</f>
        <v>0</v>
      </c>
      <c r="N148">
        <f t="shared" ca="1" si="64"/>
        <v>0</v>
      </c>
      <c r="O148">
        <f t="shared" ca="1" si="64"/>
        <v>0</v>
      </c>
      <c r="P148">
        <f t="shared" ca="1" si="64"/>
        <v>0</v>
      </c>
      <c r="Q148">
        <f t="shared" ca="1" si="64"/>
        <v>0</v>
      </c>
      <c r="R148">
        <f t="shared" ca="1" si="64"/>
        <v>0</v>
      </c>
      <c r="S148">
        <f t="shared" ca="1" si="64"/>
        <v>0</v>
      </c>
      <c r="T148">
        <f t="shared" ca="1" si="64"/>
        <v>0</v>
      </c>
      <c r="U148">
        <f t="shared" ca="1" si="64"/>
        <v>0</v>
      </c>
    </row>
    <row r="149" spans="1:22">
      <c r="B149" s="89" t="str">
        <f>B44</f>
        <v>Mezzanine</v>
      </c>
      <c r="C149" s="23">
        <v>0</v>
      </c>
      <c r="D149" s="23">
        <v>0</v>
      </c>
      <c r="E149">
        <f>D149*-1</f>
        <v>0</v>
      </c>
      <c r="I149">
        <f>C44</f>
        <v>53.599999999999959</v>
      </c>
      <c r="L149">
        <f t="shared" si="56"/>
        <v>53.599999999999959</v>
      </c>
      <c r="M149">
        <f t="shared" ref="M149:U149" si="65">M235</f>
        <v>53.599999999999959</v>
      </c>
      <c r="N149">
        <f t="shared" si="65"/>
        <v>53.599999999999959</v>
      </c>
      <c r="O149">
        <f t="shared" si="65"/>
        <v>53.599999999999959</v>
      </c>
      <c r="P149">
        <f t="shared" si="65"/>
        <v>53.599999999999959</v>
      </c>
      <c r="Q149">
        <f t="shared" si="65"/>
        <v>53.599999999999959</v>
      </c>
      <c r="R149">
        <f t="shared" si="65"/>
        <v>53.599999999999959</v>
      </c>
      <c r="S149">
        <f t="shared" si="65"/>
        <v>53.599999999999959</v>
      </c>
      <c r="T149">
        <f t="shared" si="65"/>
        <v>53.599999999999959</v>
      </c>
      <c r="U149">
        <f t="shared" si="65"/>
        <v>53.599999999999959</v>
      </c>
    </row>
    <row r="150" spans="1:22">
      <c r="A150" s="91"/>
      <c r="B150" s="89" t="s">
        <v>195</v>
      </c>
      <c r="C150" s="23">
        <f>59.1</f>
        <v>59.1</v>
      </c>
      <c r="D150" s="23">
        <f>-34</f>
        <v>-34</v>
      </c>
      <c r="F150">
        <f>D150*-1</f>
        <v>34</v>
      </c>
      <c r="J150">
        <f>C45</f>
        <v>221.904</v>
      </c>
      <c r="K150">
        <f>C36*-1</f>
        <v>-7.5039999999999942</v>
      </c>
      <c r="L150">
        <f t="shared" si="56"/>
        <v>214.4</v>
      </c>
      <c r="M150">
        <f t="shared" ref="M150:U150" ca="1" si="66">M103</f>
        <v>233.42277045243674</v>
      </c>
      <c r="N150">
        <f t="shared" ca="1" si="66"/>
        <v>255.1462610816701</v>
      </c>
      <c r="O150">
        <f t="shared" ca="1" si="66"/>
        <v>280.11384873528732</v>
      </c>
      <c r="P150">
        <f t="shared" ca="1" si="66"/>
        <v>308.5298077269515</v>
      </c>
      <c r="Q150">
        <f t="shared" ca="1" si="66"/>
        <v>340.61602071132791</v>
      </c>
      <c r="R150">
        <f t="shared" ca="1" si="66"/>
        <v>376.61188759147501</v>
      </c>
      <c r="S150">
        <f t="shared" ca="1" si="66"/>
        <v>417.02737045905525</v>
      </c>
      <c r="T150">
        <f t="shared" ca="1" si="66"/>
        <v>461.8563431411921</v>
      </c>
      <c r="U150">
        <f t="shared" ca="1" si="66"/>
        <v>510.70477159900054</v>
      </c>
    </row>
    <row r="151" spans="1:22" s="70" customFormat="1">
      <c r="A151" s="29"/>
      <c r="B151" s="93" t="s">
        <v>196</v>
      </c>
      <c r="C151" s="70">
        <f>SUM(C141:C150)</f>
        <v>634.6</v>
      </c>
      <c r="D151" s="70">
        <f>SUM(D141:D150)</f>
        <v>668.1</v>
      </c>
      <c r="J151"/>
      <c r="K151"/>
      <c r="L151" s="70">
        <f t="shared" ref="L151:U151" si="67">SUM(L141:L150)</f>
        <v>1236.5999999999995</v>
      </c>
      <c r="M151" s="70">
        <f t="shared" ca="1" si="67"/>
        <v>1255.6386419512191</v>
      </c>
      <c r="N151" s="70">
        <f t="shared" ca="1" si="67"/>
        <v>1261.5670477967874</v>
      </c>
      <c r="O151" s="70">
        <f t="shared" ca="1" si="67"/>
        <v>1268.3264364754264</v>
      </c>
      <c r="P151" s="70">
        <f t="shared" ca="1" si="67"/>
        <v>1275.8211451020154</v>
      </c>
      <c r="Q151" s="70">
        <f t="shared" ca="1" si="67"/>
        <v>1283.978465319748</v>
      </c>
      <c r="R151" s="70">
        <f t="shared" ca="1" si="67"/>
        <v>1292.7438017320169</v>
      </c>
      <c r="S151" s="70">
        <f t="shared" ca="1" si="67"/>
        <v>1302.0768693602024</v>
      </c>
      <c r="T151" s="70">
        <f t="shared" ca="1" si="67"/>
        <v>1311.9487076904227</v>
      </c>
      <c r="U151" s="70">
        <f t="shared" ca="1" si="67"/>
        <v>1337.0541872469469</v>
      </c>
      <c r="V151"/>
    </row>
    <row r="152" spans="1:22">
      <c r="B152" s="89"/>
    </row>
    <row r="153" spans="1:22">
      <c r="B153" s="89" t="s">
        <v>197</v>
      </c>
      <c r="C153" s="100">
        <f>C151-C139</f>
        <v>0</v>
      </c>
      <c r="D153" s="100">
        <f>D151-D139</f>
        <v>0</v>
      </c>
      <c r="E153" s="100"/>
      <c r="F153" s="100"/>
      <c r="G153" s="100"/>
      <c r="H153" s="100"/>
      <c r="I153" s="100"/>
      <c r="J153" s="100"/>
      <c r="K153" s="100"/>
      <c r="L153" s="100">
        <f t="shared" ref="L153:U153" si="68">L151-L139</f>
        <v>0</v>
      </c>
      <c r="M153" s="100">
        <f t="shared" ca="1" si="68"/>
        <v>0</v>
      </c>
      <c r="N153" s="100">
        <f t="shared" ca="1" si="68"/>
        <v>0</v>
      </c>
      <c r="O153" s="100">
        <f t="shared" ca="1" si="68"/>
        <v>0</v>
      </c>
      <c r="P153" s="100">
        <f t="shared" ca="1" si="68"/>
        <v>0</v>
      </c>
      <c r="Q153" s="100">
        <f t="shared" ca="1" si="68"/>
        <v>0</v>
      </c>
      <c r="R153" s="100">
        <f t="shared" ca="1" si="68"/>
        <v>0</v>
      </c>
      <c r="S153" s="100">
        <f t="shared" ca="1" si="68"/>
        <v>0</v>
      </c>
      <c r="T153" s="100">
        <f t="shared" ca="1" si="68"/>
        <v>0</v>
      </c>
      <c r="U153" s="100">
        <f t="shared" ca="1" si="68"/>
        <v>0</v>
      </c>
    </row>
    <row r="155" spans="1:22">
      <c r="A155" s="29" t="s">
        <v>198</v>
      </c>
      <c r="B155" s="89"/>
    </row>
    <row r="156" spans="1:22">
      <c r="B156" s="89" t="s">
        <v>48</v>
      </c>
      <c r="M156">
        <f t="shared" ref="M156:U156" si="69">M120</f>
        <v>106.16727804878029</v>
      </c>
      <c r="N156">
        <f t="shared" si="69"/>
        <v>108.54571175443168</v>
      </c>
      <c r="O156">
        <f t="shared" si="69"/>
        <v>111.14895244936073</v>
      </c>
      <c r="P156">
        <f t="shared" si="69"/>
        <v>113.95088273525066</v>
      </c>
      <c r="Q156">
        <f t="shared" si="69"/>
        <v>116.93163888496264</v>
      </c>
      <c r="R156">
        <f t="shared" si="69"/>
        <v>120.07629146350713</v>
      </c>
      <c r="S156">
        <f t="shared" si="69"/>
        <v>123.37380908386351</v>
      </c>
      <c r="T156">
        <f t="shared" si="69"/>
        <v>126.81624468319053</v>
      </c>
      <c r="U156">
        <f t="shared" si="69"/>
        <v>130.39809668587785</v>
      </c>
    </row>
    <row r="157" spans="1:22">
      <c r="B157" s="89" t="s">
        <v>57</v>
      </c>
      <c r="M157">
        <f t="shared" ref="M157:U157" ca="1" si="70">M123</f>
        <v>0.14705299699999999</v>
      </c>
      <c r="N157">
        <f t="shared" ca="1" si="70"/>
        <v>0.15146458691000003</v>
      </c>
      <c r="O157">
        <f t="shared" ca="1" si="70"/>
        <v>0.15600852451730007</v>
      </c>
      <c r="P157">
        <f t="shared" ca="1" si="70"/>
        <v>0.16068878025281905</v>
      </c>
      <c r="Q157">
        <f t="shared" ca="1" si="70"/>
        <v>0.16550944366040363</v>
      </c>
      <c r="R157">
        <f t="shared" ca="1" si="70"/>
        <v>0.17047472697021568</v>
      </c>
      <c r="S157">
        <f t="shared" ca="1" si="70"/>
        <v>0.1755889687793222</v>
      </c>
      <c r="T157">
        <f t="shared" ca="1" si="70"/>
        <v>0.25443089153564641</v>
      </c>
      <c r="U157">
        <f t="shared" si="70"/>
        <v>0</v>
      </c>
    </row>
    <row r="158" spans="1:22">
      <c r="B158" s="89" t="s">
        <v>182</v>
      </c>
      <c r="M158">
        <f t="shared" ref="M158:U158" ca="1" si="71">M124</f>
        <v>-40.529026677088758</v>
      </c>
      <c r="N158">
        <f t="shared" ca="1" si="71"/>
        <v>-39.312056716863502</v>
      </c>
      <c r="O158">
        <f t="shared" ca="1" si="71"/>
        <v>-37.530494509093863</v>
      </c>
      <c r="P158">
        <f t="shared" ca="1" si="71"/>
        <v>-35.573329939798775</v>
      </c>
      <c r="Q158">
        <f t="shared" ca="1" si="71"/>
        <v>-33.422182826658783</v>
      </c>
      <c r="R158">
        <f t="shared" ca="1" si="71"/>
        <v>-31.058828969811252</v>
      </c>
      <c r="S158">
        <f t="shared" ca="1" si="71"/>
        <v>-28.176080140656374</v>
      </c>
      <c r="T158">
        <f t="shared" ca="1" si="71"/>
        <v>-25.438857273373053</v>
      </c>
      <c r="U158">
        <f t="shared" ca="1" si="71"/>
        <v>-22.885156325607941</v>
      </c>
    </row>
    <row r="159" spans="1:22">
      <c r="B159" s="89" t="s">
        <v>59</v>
      </c>
      <c r="M159">
        <f t="shared" ref="M159:U159" ca="1" si="72">M127</f>
        <v>-2.7042558674743207</v>
      </c>
      <c r="N159">
        <f t="shared" ca="1" si="72"/>
        <v>-3.0881872408129025</v>
      </c>
      <c r="O159">
        <f t="shared" ca="1" si="72"/>
        <v>-3.5493644618060851</v>
      </c>
      <c r="P159">
        <f t="shared" ca="1" si="72"/>
        <v>-4.0395810917896133</v>
      </c>
      <c r="Q159">
        <f t="shared" ca="1" si="72"/>
        <v>-4.5613403129151404</v>
      </c>
      <c r="R159">
        <f t="shared" ca="1" si="72"/>
        <v>-5.1171323577104619</v>
      </c>
      <c r="S159">
        <f t="shared" ca="1" si="72"/>
        <v>-5.7454200456622653</v>
      </c>
      <c r="T159">
        <f t="shared" ca="1" si="72"/>
        <v>-6.3728368436988525</v>
      </c>
      <c r="U159">
        <f t="shared" ca="1" si="72"/>
        <v>-6.9442382014869386</v>
      </c>
    </row>
    <row r="160" spans="1:22">
      <c r="B160" s="89" t="s">
        <v>199</v>
      </c>
      <c r="M160">
        <f t="shared" ref="M160:U160" si="73">L110-M110</f>
        <v>7.2330000000000041</v>
      </c>
      <c r="N160">
        <f t="shared" si="73"/>
        <v>7.4499900000000139</v>
      </c>
      <c r="O160">
        <f t="shared" si="73"/>
        <v>7.6734897000000046</v>
      </c>
      <c r="P160">
        <f t="shared" si="73"/>
        <v>7.9036943910000446</v>
      </c>
      <c r="Q160">
        <f t="shared" si="73"/>
        <v>8.1408052227299663</v>
      </c>
      <c r="R160">
        <f t="shared" si="73"/>
        <v>8.3850293794118897</v>
      </c>
      <c r="S160">
        <f t="shared" si="73"/>
        <v>8.6365802607942896</v>
      </c>
      <c r="T160">
        <f t="shared" si="73"/>
        <v>8.8956776686180774</v>
      </c>
      <c r="U160">
        <f t="shared" si="73"/>
        <v>9.1625479986766436</v>
      </c>
    </row>
    <row r="161" spans="1:22">
      <c r="B161" s="89" t="s">
        <v>200</v>
      </c>
      <c r="M161">
        <f t="shared" ref="M161:U161" si="74">L137-M137</f>
        <v>0</v>
      </c>
      <c r="N161">
        <f t="shared" si="74"/>
        <v>0</v>
      </c>
      <c r="O161">
        <f t="shared" si="74"/>
        <v>0</v>
      </c>
      <c r="P161">
        <f t="shared" si="74"/>
        <v>0</v>
      </c>
      <c r="Q161">
        <f t="shared" si="74"/>
        <v>0</v>
      </c>
      <c r="R161">
        <f t="shared" si="74"/>
        <v>0</v>
      </c>
      <c r="S161">
        <f t="shared" si="74"/>
        <v>0</v>
      </c>
      <c r="T161">
        <f t="shared" si="74"/>
        <v>0</v>
      </c>
      <c r="U161">
        <f t="shared" si="74"/>
        <v>0</v>
      </c>
    </row>
    <row r="162" spans="1:22">
      <c r="B162" s="89" t="s">
        <v>201</v>
      </c>
      <c r="M162">
        <f t="shared" ref="M162:U162" si="75">M144-L144</f>
        <v>0</v>
      </c>
      <c r="N162">
        <f t="shared" si="75"/>
        <v>0</v>
      </c>
      <c r="O162">
        <f t="shared" si="75"/>
        <v>0</v>
      </c>
      <c r="P162">
        <f t="shared" si="75"/>
        <v>0</v>
      </c>
      <c r="Q162">
        <f t="shared" si="75"/>
        <v>0</v>
      </c>
      <c r="R162">
        <f t="shared" si="75"/>
        <v>0</v>
      </c>
      <c r="S162">
        <f t="shared" si="75"/>
        <v>0</v>
      </c>
      <c r="T162">
        <f t="shared" si="75"/>
        <v>0</v>
      </c>
      <c r="U162">
        <f t="shared" si="75"/>
        <v>0</v>
      </c>
    </row>
    <row r="163" spans="1:22" s="70" customFormat="1">
      <c r="A163" s="29"/>
      <c r="B163" s="93" t="s">
        <v>202</v>
      </c>
      <c r="M163" s="70">
        <f ca="1">SUM(M156:M162)</f>
        <v>70.314048501217201</v>
      </c>
      <c r="N163" s="70">
        <f t="shared" ref="N163:U163" ca="1" si="76">SUM(N156:N162)</f>
        <v>73.746922383665279</v>
      </c>
      <c r="O163" s="70">
        <f t="shared" ca="1" si="76"/>
        <v>77.898591702978109</v>
      </c>
      <c r="P163" s="70">
        <f t="shared" ca="1" si="76"/>
        <v>82.402354874915119</v>
      </c>
      <c r="Q163" s="70">
        <f t="shared" ca="1" si="76"/>
        <v>87.254430411779083</v>
      </c>
      <c r="R163" s="70">
        <f t="shared" ca="1" si="76"/>
        <v>92.45583424236753</v>
      </c>
      <c r="S163" s="70">
        <f t="shared" ca="1" si="76"/>
        <v>98.264478127118466</v>
      </c>
      <c r="T163" s="70">
        <f t="shared" ca="1" si="76"/>
        <v>104.15465912627235</v>
      </c>
      <c r="U163" s="70">
        <f t="shared" ca="1" si="76"/>
        <v>109.73125015745961</v>
      </c>
      <c r="V163"/>
    </row>
    <row r="164" spans="1:22">
      <c r="B164" s="89"/>
    </row>
    <row r="165" spans="1:22">
      <c r="B165" s="89" t="s">
        <v>203</v>
      </c>
      <c r="M165">
        <f t="shared" ref="M165:U165" si="77">M92*-1</f>
        <v>-43.463940000000001</v>
      </c>
      <c r="N165">
        <f t="shared" si="77"/>
        <v>-44.767858199999999</v>
      </c>
      <c r="O165">
        <f t="shared" si="77"/>
        <v>-46.110893946000004</v>
      </c>
      <c r="P165">
        <f t="shared" si="77"/>
        <v>-47.494220764380003</v>
      </c>
      <c r="Q165">
        <f t="shared" si="77"/>
        <v>-48.919047387311409</v>
      </c>
      <c r="R165">
        <f t="shared" si="77"/>
        <v>-50.386618808930749</v>
      </c>
      <c r="S165">
        <f t="shared" si="77"/>
        <v>-51.898217373198669</v>
      </c>
      <c r="T165">
        <f t="shared" si="77"/>
        <v>-53.455163894394637</v>
      </c>
      <c r="U165">
        <f t="shared" si="77"/>
        <v>-55.058818811226473</v>
      </c>
    </row>
    <row r="166" spans="1:22" s="70" customFormat="1">
      <c r="A166" s="29"/>
      <c r="B166" s="93" t="s">
        <v>204</v>
      </c>
      <c r="M166" s="70">
        <f t="shared" ref="M166:U166" si="78">SUM(M165)</f>
        <v>-43.463940000000001</v>
      </c>
      <c r="N166" s="70">
        <f t="shared" si="78"/>
        <v>-44.767858199999999</v>
      </c>
      <c r="O166" s="70">
        <f t="shared" si="78"/>
        <v>-46.110893946000004</v>
      </c>
      <c r="P166" s="70">
        <f t="shared" si="78"/>
        <v>-47.494220764380003</v>
      </c>
      <c r="Q166" s="70">
        <f t="shared" si="78"/>
        <v>-48.919047387311409</v>
      </c>
      <c r="R166" s="70">
        <f t="shared" si="78"/>
        <v>-50.386618808930749</v>
      </c>
      <c r="S166" s="70">
        <f t="shared" si="78"/>
        <v>-51.898217373198669</v>
      </c>
      <c r="T166" s="70">
        <f t="shared" si="78"/>
        <v>-53.455163894394637</v>
      </c>
      <c r="U166" s="70">
        <f t="shared" si="78"/>
        <v>-55.058818811226473</v>
      </c>
      <c r="V166"/>
    </row>
    <row r="167" spans="1:22">
      <c r="B167" s="89"/>
    </row>
    <row r="168" spans="1:22">
      <c r="B168" s="89" t="s">
        <v>205</v>
      </c>
      <c r="M168">
        <f t="shared" ref="M168:U168" ca="1" si="79">M141-L141</f>
        <v>0</v>
      </c>
      <c r="N168">
        <f t="shared" ca="1" si="79"/>
        <v>0</v>
      </c>
      <c r="O168">
        <f t="shared" ca="1" si="79"/>
        <v>0</v>
      </c>
      <c r="P168">
        <f t="shared" ca="1" si="79"/>
        <v>0</v>
      </c>
      <c r="Q168">
        <f t="shared" ca="1" si="79"/>
        <v>0</v>
      </c>
      <c r="R168">
        <f t="shared" ca="1" si="79"/>
        <v>0</v>
      </c>
      <c r="S168">
        <f t="shared" ca="1" si="79"/>
        <v>0</v>
      </c>
      <c r="T168">
        <f t="shared" ca="1" si="79"/>
        <v>0</v>
      </c>
      <c r="U168">
        <f t="shared" ca="1" si="79"/>
        <v>0</v>
      </c>
    </row>
    <row r="169" spans="1:22">
      <c r="B169" s="89" t="s">
        <v>206</v>
      </c>
      <c r="M169">
        <f t="shared" ref="M169:U169" si="80">M145-L145</f>
        <v>0</v>
      </c>
      <c r="N169">
        <f t="shared" si="80"/>
        <v>0</v>
      </c>
      <c r="O169">
        <f t="shared" si="80"/>
        <v>0</v>
      </c>
      <c r="P169">
        <f t="shared" si="80"/>
        <v>0</v>
      </c>
      <c r="Q169">
        <f t="shared" si="80"/>
        <v>0</v>
      </c>
      <c r="R169">
        <f t="shared" si="80"/>
        <v>0</v>
      </c>
      <c r="S169">
        <f t="shared" si="80"/>
        <v>0</v>
      </c>
      <c r="T169">
        <f t="shared" si="80"/>
        <v>0</v>
      </c>
      <c r="U169">
        <f t="shared" si="80"/>
        <v>0</v>
      </c>
    </row>
    <row r="170" spans="1:22">
      <c r="B170" s="89" t="str">
        <f>"Inc (dec) in "&amp;B146</f>
        <v>Inc (dec) in Senior debt (Term B)</v>
      </c>
      <c r="M170">
        <f t="shared" ref="M170:U170" ca="1" si="81">M146-L146</f>
        <v>-12.362128501217228</v>
      </c>
      <c r="N170">
        <f t="shared" ca="1" si="81"/>
        <v>-28.544424783665249</v>
      </c>
      <c r="O170">
        <f t="shared" ca="1" si="81"/>
        <v>-31.340019174978124</v>
      </c>
      <c r="P170">
        <f t="shared" ca="1" si="81"/>
        <v>-34.447025171075097</v>
      </c>
      <c r="Q170">
        <f t="shared" ca="1" si="81"/>
        <v>-37.860440816823882</v>
      </c>
      <c r="R170">
        <f t="shared" ca="1" si="81"/>
        <v>-41.580024959563673</v>
      </c>
      <c r="S170">
        <f t="shared" ca="1" si="81"/>
        <v>-45.862394565830485</v>
      </c>
      <c r="T170">
        <f t="shared" ca="1" si="81"/>
        <v>-50.180513058145706</v>
      </c>
      <c r="U170">
        <f t="shared" ca="1" si="81"/>
        <v>-39.423028968700294</v>
      </c>
    </row>
    <row r="171" spans="1:22">
      <c r="B171" s="89" t="str">
        <f>"Inc (dec) in "&amp;B147</f>
        <v>Inc (dec) in Senior unsecured high yield notes</v>
      </c>
      <c r="M171">
        <f t="shared" ref="M171:U171" ca="1" si="82">M147-L147</f>
        <v>0</v>
      </c>
      <c r="N171">
        <f t="shared" ca="1" si="82"/>
        <v>0</v>
      </c>
      <c r="O171">
        <f t="shared" ca="1" si="82"/>
        <v>0</v>
      </c>
      <c r="P171">
        <f t="shared" ca="1" si="82"/>
        <v>0</v>
      </c>
      <c r="Q171">
        <f t="shared" ca="1" si="82"/>
        <v>0</v>
      </c>
      <c r="R171">
        <f t="shared" ca="1" si="82"/>
        <v>0</v>
      </c>
      <c r="S171">
        <f t="shared" ca="1" si="82"/>
        <v>0</v>
      </c>
      <c r="T171">
        <f t="shared" ca="1" si="82"/>
        <v>0</v>
      </c>
      <c r="U171">
        <f t="shared" ca="1" si="82"/>
        <v>0</v>
      </c>
    </row>
    <row r="172" spans="1:22">
      <c r="B172" s="89" t="str">
        <f>"Inc (dec) in "&amp;B148</f>
        <v>Inc (dec) in Unitranche</v>
      </c>
      <c r="M172">
        <f t="shared" ref="M172:U172" ca="1" si="83">M148-L148</f>
        <v>0</v>
      </c>
      <c r="N172">
        <f t="shared" ca="1" si="83"/>
        <v>0</v>
      </c>
      <c r="O172">
        <f t="shared" ca="1" si="83"/>
        <v>0</v>
      </c>
      <c r="P172">
        <f t="shared" ca="1" si="83"/>
        <v>0</v>
      </c>
      <c r="Q172">
        <f t="shared" ca="1" si="83"/>
        <v>0</v>
      </c>
      <c r="R172">
        <f t="shared" ca="1" si="83"/>
        <v>0</v>
      </c>
      <c r="S172">
        <f t="shared" ca="1" si="83"/>
        <v>0</v>
      </c>
      <c r="T172">
        <f t="shared" ca="1" si="83"/>
        <v>0</v>
      </c>
      <c r="U172">
        <f t="shared" ca="1" si="83"/>
        <v>0</v>
      </c>
    </row>
    <row r="173" spans="1:22">
      <c r="B173" s="89" t="s">
        <v>207</v>
      </c>
      <c r="M173">
        <f t="shared" ref="M173:U173" ca="1" si="84">M102</f>
        <v>0</v>
      </c>
      <c r="N173">
        <f t="shared" ca="1" si="84"/>
        <v>0</v>
      </c>
      <c r="O173">
        <f t="shared" ca="1" si="84"/>
        <v>0</v>
      </c>
      <c r="P173">
        <f t="shared" ca="1" si="84"/>
        <v>0</v>
      </c>
      <c r="Q173">
        <f t="shared" ca="1" si="84"/>
        <v>0</v>
      </c>
      <c r="R173">
        <f t="shared" ca="1" si="84"/>
        <v>0</v>
      </c>
      <c r="S173">
        <f t="shared" ca="1" si="84"/>
        <v>0</v>
      </c>
      <c r="T173">
        <f t="shared" ca="1" si="84"/>
        <v>0</v>
      </c>
      <c r="U173">
        <f t="shared" ca="1" si="84"/>
        <v>0</v>
      </c>
    </row>
    <row r="174" spans="1:22" s="70" customFormat="1">
      <c r="A174" s="29"/>
      <c r="B174" s="93" t="s">
        <v>208</v>
      </c>
      <c r="M174" s="70">
        <f t="shared" ref="M174:U174" ca="1" si="85">SUM(M168:M173)</f>
        <v>-12.362128501217228</v>
      </c>
      <c r="N174" s="70">
        <f t="shared" ca="1" si="85"/>
        <v>-28.544424783665249</v>
      </c>
      <c r="O174" s="70">
        <f t="shared" ca="1" si="85"/>
        <v>-31.340019174978124</v>
      </c>
      <c r="P174" s="70">
        <f t="shared" ca="1" si="85"/>
        <v>-34.447025171075097</v>
      </c>
      <c r="Q174" s="70">
        <f t="shared" ca="1" si="85"/>
        <v>-37.860440816823882</v>
      </c>
      <c r="R174" s="70">
        <f t="shared" ca="1" si="85"/>
        <v>-41.580024959563673</v>
      </c>
      <c r="S174" s="70">
        <f t="shared" ca="1" si="85"/>
        <v>-45.862394565830485</v>
      </c>
      <c r="T174" s="70">
        <f t="shared" ca="1" si="85"/>
        <v>-50.180513058145706</v>
      </c>
      <c r="U174" s="70">
        <f t="shared" ca="1" si="85"/>
        <v>-39.423028968700294</v>
      </c>
      <c r="V174"/>
    </row>
    <row r="175" spans="1:22">
      <c r="B175" s="89"/>
    </row>
    <row r="176" spans="1:22">
      <c r="B176" s="89" t="s">
        <v>209</v>
      </c>
      <c r="M176">
        <f t="shared" ref="M176:U176" si="86">L178</f>
        <v>0</v>
      </c>
      <c r="N176">
        <f t="shared" ca="1" si="86"/>
        <v>14.487979999999972</v>
      </c>
      <c r="O176">
        <f t="shared" ca="1" si="86"/>
        <v>14.922619400000002</v>
      </c>
      <c r="P176">
        <f t="shared" ca="1" si="86"/>
        <v>15.370297981999983</v>
      </c>
      <c r="Q176">
        <f t="shared" ca="1" si="86"/>
        <v>15.831406921460001</v>
      </c>
      <c r="R176">
        <f t="shared" ca="1" si="86"/>
        <v>16.306349129103793</v>
      </c>
      <c r="S176">
        <f t="shared" ca="1" si="86"/>
        <v>16.795539602976902</v>
      </c>
      <c r="T176">
        <f t="shared" ca="1" si="86"/>
        <v>17.299405791066214</v>
      </c>
      <c r="U176">
        <f t="shared" ca="1" si="86"/>
        <v>17.81838796479822</v>
      </c>
    </row>
    <row r="177" spans="1:22">
      <c r="B177" s="89" t="s">
        <v>210</v>
      </c>
      <c r="M177">
        <f t="shared" ref="M177:U177" ca="1" si="87">SUM(M163,M166,M174)</f>
        <v>14.487979999999972</v>
      </c>
      <c r="N177">
        <f t="shared" ca="1" si="87"/>
        <v>0.43463940000003021</v>
      </c>
      <c r="O177">
        <f t="shared" ca="1" si="87"/>
        <v>0.44767858199998045</v>
      </c>
      <c r="P177">
        <f t="shared" ca="1" si="87"/>
        <v>0.46110893946001852</v>
      </c>
      <c r="Q177">
        <f t="shared" ca="1" si="87"/>
        <v>0.47494220764379236</v>
      </c>
      <c r="R177">
        <f t="shared" ca="1" si="87"/>
        <v>0.48919047387310854</v>
      </c>
      <c r="S177">
        <f t="shared" ca="1" si="87"/>
        <v>0.50386618808931161</v>
      </c>
      <c r="T177">
        <f t="shared" ca="1" si="87"/>
        <v>0.51898217373200595</v>
      </c>
      <c r="U177">
        <f t="shared" ca="1" si="87"/>
        <v>15.249402377532846</v>
      </c>
    </row>
    <row r="178" spans="1:22" s="70" customFormat="1">
      <c r="A178" s="29"/>
      <c r="B178" s="93" t="s">
        <v>77</v>
      </c>
      <c r="L178" s="70">
        <f>L131</f>
        <v>0</v>
      </c>
      <c r="M178" s="70">
        <f t="shared" ref="M178:U178" ca="1" si="88">SUM(M176:M177)</f>
        <v>14.487979999999972</v>
      </c>
      <c r="N178" s="70">
        <f t="shared" ca="1" si="88"/>
        <v>14.922619400000002</v>
      </c>
      <c r="O178" s="70">
        <f t="shared" ca="1" si="88"/>
        <v>15.370297981999983</v>
      </c>
      <c r="P178" s="70">
        <f t="shared" ca="1" si="88"/>
        <v>15.831406921460001</v>
      </c>
      <c r="Q178" s="70">
        <f t="shared" ca="1" si="88"/>
        <v>16.306349129103793</v>
      </c>
      <c r="R178" s="70">
        <f t="shared" ca="1" si="88"/>
        <v>16.795539602976902</v>
      </c>
      <c r="S178" s="70">
        <f t="shared" ca="1" si="88"/>
        <v>17.299405791066214</v>
      </c>
      <c r="T178" s="70">
        <f t="shared" ca="1" si="88"/>
        <v>17.81838796479822</v>
      </c>
      <c r="U178" s="70">
        <f t="shared" ca="1" si="88"/>
        <v>33.067790342331065</v>
      </c>
      <c r="V178"/>
    </row>
    <row r="180" spans="1:22">
      <c r="A180" s="29" t="s">
        <v>211</v>
      </c>
      <c r="B180" s="89"/>
    </row>
    <row r="181" spans="1:22">
      <c r="B181" s="89" t="str">
        <f>B54&amp;" mandatory repayment"</f>
        <v>Senior debt (Term B) mandatory repayment</v>
      </c>
      <c r="M181" s="72">
        <f t="shared" ref="M181:U181" si="89">$C$54*1%*-1</f>
        <v>-3.2159999999999975</v>
      </c>
      <c r="N181" s="72">
        <f t="shared" si="89"/>
        <v>-3.2159999999999975</v>
      </c>
      <c r="O181" s="72">
        <f t="shared" si="89"/>
        <v>-3.2159999999999975</v>
      </c>
      <c r="P181" s="72">
        <f t="shared" si="89"/>
        <v>-3.2159999999999975</v>
      </c>
      <c r="Q181" s="72">
        <f t="shared" si="89"/>
        <v>-3.2159999999999975</v>
      </c>
      <c r="R181" s="72">
        <f t="shared" si="89"/>
        <v>-3.2159999999999975</v>
      </c>
      <c r="S181" s="72">
        <f t="shared" si="89"/>
        <v>-3.2159999999999975</v>
      </c>
      <c r="T181" s="72">
        <f t="shared" si="89"/>
        <v>-3.2159999999999975</v>
      </c>
      <c r="U181" s="72">
        <f t="shared" si="89"/>
        <v>-3.2159999999999975</v>
      </c>
    </row>
    <row r="182" spans="1:22">
      <c r="B182" s="89" t="str">
        <f>B55&amp;" mandatory repayment"</f>
        <v>Senior unsecured high yield notes mandatory repayment</v>
      </c>
      <c r="M182" s="72">
        <v>0</v>
      </c>
      <c r="N182" s="72">
        <v>0</v>
      </c>
      <c r="O182" s="72">
        <v>0</v>
      </c>
      <c r="P182" s="72">
        <v>0</v>
      </c>
      <c r="Q182" s="72">
        <v>0</v>
      </c>
      <c r="R182" s="72">
        <v>0</v>
      </c>
      <c r="S182" s="72">
        <v>0</v>
      </c>
      <c r="T182" s="72">
        <v>0</v>
      </c>
      <c r="U182" s="72">
        <v>0</v>
      </c>
    </row>
    <row r="183" spans="1:22">
      <c r="B183" s="89" t="s">
        <v>212</v>
      </c>
      <c r="M183" s="72">
        <v>0</v>
      </c>
      <c r="N183" s="72">
        <v>0</v>
      </c>
      <c r="O183" s="72">
        <v>0</v>
      </c>
      <c r="P183" s="72">
        <v>0</v>
      </c>
      <c r="Q183" s="72">
        <v>0</v>
      </c>
      <c r="R183" s="72">
        <v>0</v>
      </c>
      <c r="S183" s="72">
        <v>0</v>
      </c>
      <c r="T183" s="72">
        <v>0</v>
      </c>
      <c r="U183" s="72">
        <v>0</v>
      </c>
    </row>
    <row r="184" spans="1:22">
      <c r="B184" s="89"/>
    </row>
    <row r="185" spans="1:22">
      <c r="B185" s="89" t="s">
        <v>209</v>
      </c>
      <c r="M185">
        <f t="shared" ref="M185:U185" si="90">M176</f>
        <v>0</v>
      </c>
      <c r="N185">
        <f t="shared" ca="1" si="90"/>
        <v>14.487979999999972</v>
      </c>
      <c r="O185">
        <f t="shared" ca="1" si="90"/>
        <v>14.922619400000002</v>
      </c>
      <c r="P185">
        <f t="shared" ca="1" si="90"/>
        <v>15.370297981999983</v>
      </c>
      <c r="Q185">
        <f t="shared" ca="1" si="90"/>
        <v>15.831406921460001</v>
      </c>
      <c r="R185">
        <f t="shared" ca="1" si="90"/>
        <v>16.306349129103793</v>
      </c>
      <c r="S185">
        <f t="shared" ca="1" si="90"/>
        <v>16.795539602976902</v>
      </c>
      <c r="T185">
        <f t="shared" ca="1" si="90"/>
        <v>17.299405791066214</v>
      </c>
      <c r="U185">
        <f t="shared" ca="1" si="90"/>
        <v>17.81838796479822</v>
      </c>
    </row>
    <row r="186" spans="1:22">
      <c r="B186" s="89" t="s">
        <v>202</v>
      </c>
      <c r="M186">
        <f t="shared" ref="M186:U186" ca="1" si="91">M163</f>
        <v>70.314048501217201</v>
      </c>
      <c r="N186">
        <f t="shared" ca="1" si="91"/>
        <v>73.746922383665279</v>
      </c>
      <c r="O186">
        <f t="shared" ca="1" si="91"/>
        <v>77.898591702978109</v>
      </c>
      <c r="P186">
        <f t="shared" ca="1" si="91"/>
        <v>82.402354874915119</v>
      </c>
      <c r="Q186">
        <f t="shared" ca="1" si="91"/>
        <v>87.254430411779083</v>
      </c>
      <c r="R186">
        <f t="shared" ca="1" si="91"/>
        <v>92.45583424236753</v>
      </c>
      <c r="S186">
        <f t="shared" ca="1" si="91"/>
        <v>98.264478127118466</v>
      </c>
      <c r="T186">
        <f t="shared" ca="1" si="91"/>
        <v>104.15465912627235</v>
      </c>
      <c r="U186">
        <f t="shared" ca="1" si="91"/>
        <v>109.73125015745961</v>
      </c>
    </row>
    <row r="187" spans="1:22">
      <c r="B187" s="89" t="s">
        <v>204</v>
      </c>
      <c r="M187">
        <f t="shared" ref="M187:U187" si="92">M166</f>
        <v>-43.463940000000001</v>
      </c>
      <c r="N187">
        <f t="shared" si="92"/>
        <v>-44.767858199999999</v>
      </c>
      <c r="O187">
        <f t="shared" si="92"/>
        <v>-46.110893946000004</v>
      </c>
      <c r="P187">
        <f t="shared" si="92"/>
        <v>-47.494220764380003</v>
      </c>
      <c r="Q187">
        <f t="shared" si="92"/>
        <v>-48.919047387311409</v>
      </c>
      <c r="R187">
        <f t="shared" si="92"/>
        <v>-50.386618808930749</v>
      </c>
      <c r="S187">
        <f t="shared" si="92"/>
        <v>-51.898217373198669</v>
      </c>
      <c r="T187">
        <f t="shared" si="92"/>
        <v>-53.455163894394637</v>
      </c>
      <c r="U187">
        <f t="shared" si="92"/>
        <v>-55.058818811226473</v>
      </c>
    </row>
    <row r="188" spans="1:22">
      <c r="B188" s="89" t="s">
        <v>207</v>
      </c>
      <c r="M188">
        <f t="shared" ref="M188:U188" ca="1" si="93">M173</f>
        <v>0</v>
      </c>
      <c r="N188">
        <f t="shared" ca="1" si="93"/>
        <v>0</v>
      </c>
      <c r="O188">
        <f t="shared" ca="1" si="93"/>
        <v>0</v>
      </c>
      <c r="P188">
        <f t="shared" ca="1" si="93"/>
        <v>0</v>
      </c>
      <c r="Q188">
        <f t="shared" ca="1" si="93"/>
        <v>0</v>
      </c>
      <c r="R188">
        <f t="shared" ca="1" si="93"/>
        <v>0</v>
      </c>
      <c r="S188">
        <f t="shared" ca="1" si="93"/>
        <v>0</v>
      </c>
      <c r="T188">
        <f t="shared" ca="1" si="93"/>
        <v>0</v>
      </c>
      <c r="U188">
        <f t="shared" ca="1" si="93"/>
        <v>0</v>
      </c>
    </row>
    <row r="189" spans="1:22">
      <c r="B189" s="89" t="s">
        <v>213</v>
      </c>
      <c r="M189">
        <f t="shared" ref="M189:U189" ca="1" si="94">SUM(M185:M188)</f>
        <v>26.8501085012172</v>
      </c>
      <c r="N189">
        <f t="shared" ca="1" si="94"/>
        <v>43.467044183665259</v>
      </c>
      <c r="O189">
        <f t="shared" ca="1" si="94"/>
        <v>46.710317156978107</v>
      </c>
      <c r="P189">
        <f t="shared" ca="1" si="94"/>
        <v>50.278432092535098</v>
      </c>
      <c r="Q189">
        <f t="shared" ca="1" si="94"/>
        <v>54.166789945927675</v>
      </c>
      <c r="R189">
        <f t="shared" ca="1" si="94"/>
        <v>58.375564562540575</v>
      </c>
      <c r="S189">
        <f t="shared" ca="1" si="94"/>
        <v>63.161800356896698</v>
      </c>
      <c r="T189">
        <f t="shared" ca="1" si="94"/>
        <v>67.998901022943926</v>
      </c>
      <c r="U189">
        <f t="shared" ca="1" si="94"/>
        <v>72.490819311031359</v>
      </c>
    </row>
    <row r="190" spans="1:22">
      <c r="B190" s="89"/>
    </row>
    <row r="191" spans="1:22">
      <c r="B191" s="89" t="s">
        <v>214</v>
      </c>
      <c r="M191">
        <f t="shared" ref="M191:U191" si="95">$C$10*M113</f>
        <v>14.48798</v>
      </c>
      <c r="N191">
        <f t="shared" si="95"/>
        <v>14.922619400000002</v>
      </c>
      <c r="O191">
        <f t="shared" si="95"/>
        <v>15.370297982000002</v>
      </c>
      <c r="P191">
        <f t="shared" si="95"/>
        <v>15.831406921460003</v>
      </c>
      <c r="Q191">
        <f t="shared" si="95"/>
        <v>16.306349129103804</v>
      </c>
      <c r="R191">
        <f t="shared" si="95"/>
        <v>16.795539602976916</v>
      </c>
      <c r="S191">
        <f t="shared" si="95"/>
        <v>17.299405791066224</v>
      </c>
      <c r="T191">
        <f t="shared" si="95"/>
        <v>17.818387964798212</v>
      </c>
      <c r="U191">
        <f t="shared" si="95"/>
        <v>18.352939603742158</v>
      </c>
    </row>
    <row r="192" spans="1:22">
      <c r="B192" s="89"/>
    </row>
    <row r="193" spans="1:22">
      <c r="B193" s="89" t="s">
        <v>215</v>
      </c>
      <c r="M193">
        <f t="shared" ref="M193:U193" ca="1" si="96">M189-M191</f>
        <v>12.3621285012172</v>
      </c>
      <c r="N193">
        <f t="shared" ca="1" si="96"/>
        <v>28.544424783665256</v>
      </c>
      <c r="O193">
        <f t="shared" ca="1" si="96"/>
        <v>31.340019174978103</v>
      </c>
      <c r="P193">
        <f t="shared" ca="1" si="96"/>
        <v>34.447025171075097</v>
      </c>
      <c r="Q193">
        <f t="shared" ca="1" si="96"/>
        <v>37.860440816823868</v>
      </c>
      <c r="R193">
        <f t="shared" ca="1" si="96"/>
        <v>41.580024959563659</v>
      </c>
      <c r="S193">
        <f t="shared" ca="1" si="96"/>
        <v>45.862394565830471</v>
      </c>
      <c r="T193">
        <f t="shared" ca="1" si="96"/>
        <v>50.180513058145714</v>
      </c>
      <c r="U193">
        <f t="shared" ca="1" si="96"/>
        <v>54.137879707289201</v>
      </c>
    </row>
    <row r="194" spans="1:22">
      <c r="B194" s="89"/>
    </row>
    <row r="195" spans="1:22">
      <c r="B195" s="89" t="s">
        <v>216</v>
      </c>
      <c r="M195">
        <f>SUM(M206,M220,M228)</f>
        <v>-3.2159999999999975</v>
      </c>
      <c r="N195">
        <f t="shared" ref="N195:U195" ca="1" si="97">SUM(N206,N220,N228)</f>
        <v>-3.2159999999999975</v>
      </c>
      <c r="O195">
        <f t="shared" ca="1" si="97"/>
        <v>-3.2159999999999975</v>
      </c>
      <c r="P195">
        <f t="shared" ca="1" si="97"/>
        <v>-3.2159999999999975</v>
      </c>
      <c r="Q195">
        <f t="shared" ca="1" si="97"/>
        <v>-3.2159999999999975</v>
      </c>
      <c r="R195">
        <f t="shared" ca="1" si="97"/>
        <v>-3.2159999999999975</v>
      </c>
      <c r="S195">
        <f t="shared" ca="1" si="97"/>
        <v>-3.2159999999999975</v>
      </c>
      <c r="T195">
        <f t="shared" ca="1" si="97"/>
        <v>-3.2159999999999975</v>
      </c>
      <c r="U195">
        <f t="shared" ca="1" si="97"/>
        <v>-3.2159999999999975</v>
      </c>
    </row>
    <row r="196" spans="1:22">
      <c r="B196" s="89" t="s">
        <v>217</v>
      </c>
      <c r="M196">
        <f t="shared" ref="M196:U196" ca="1" si="98">SUM(M193,M195)</f>
        <v>9.146128501217202</v>
      </c>
      <c r="N196">
        <f t="shared" ca="1" si="98"/>
        <v>25.328424783665259</v>
      </c>
      <c r="O196">
        <f t="shared" ca="1" si="98"/>
        <v>28.124019174978105</v>
      </c>
      <c r="P196">
        <f t="shared" ca="1" si="98"/>
        <v>31.2310251710751</v>
      </c>
      <c r="Q196">
        <f t="shared" ca="1" si="98"/>
        <v>34.644440816823874</v>
      </c>
      <c r="R196">
        <f t="shared" ca="1" si="98"/>
        <v>38.364024959563665</v>
      </c>
      <c r="S196">
        <f t="shared" ca="1" si="98"/>
        <v>42.646394565830477</v>
      </c>
      <c r="T196">
        <f t="shared" ca="1" si="98"/>
        <v>46.964513058145712</v>
      </c>
      <c r="U196">
        <f t="shared" ca="1" si="98"/>
        <v>50.921879707289207</v>
      </c>
    </row>
    <row r="197" spans="1:22">
      <c r="B197" s="89"/>
    </row>
    <row r="198" spans="1:22">
      <c r="B198" s="89" t="s">
        <v>218</v>
      </c>
      <c r="M198">
        <f t="shared" ref="M198:U198" si="99">L200</f>
        <v>0</v>
      </c>
      <c r="N198">
        <f t="shared" ca="1" si="99"/>
        <v>0</v>
      </c>
      <c r="O198">
        <f t="shared" ca="1" si="99"/>
        <v>0</v>
      </c>
      <c r="P198">
        <f t="shared" ca="1" si="99"/>
        <v>0</v>
      </c>
      <c r="Q198">
        <f t="shared" ca="1" si="99"/>
        <v>0</v>
      </c>
      <c r="R198">
        <f t="shared" ca="1" si="99"/>
        <v>0</v>
      </c>
      <c r="S198">
        <f t="shared" ca="1" si="99"/>
        <v>0</v>
      </c>
      <c r="T198">
        <f t="shared" ca="1" si="99"/>
        <v>0</v>
      </c>
      <c r="U198">
        <f t="shared" ca="1" si="99"/>
        <v>0</v>
      </c>
    </row>
    <row r="199" spans="1:22">
      <c r="B199" s="89" t="s">
        <v>219</v>
      </c>
      <c r="M199">
        <f t="shared" ref="M199:U199" ca="1" si="100">MIN(M196,M198)*-1</f>
        <v>0</v>
      </c>
      <c r="N199">
        <f t="shared" ca="1" si="100"/>
        <v>0</v>
      </c>
      <c r="O199">
        <f t="shared" ca="1" si="100"/>
        <v>0</v>
      </c>
      <c r="P199">
        <f t="shared" ca="1" si="100"/>
        <v>0</v>
      </c>
      <c r="Q199">
        <f t="shared" ca="1" si="100"/>
        <v>0</v>
      </c>
      <c r="R199">
        <f t="shared" ca="1" si="100"/>
        <v>0</v>
      </c>
      <c r="S199">
        <f t="shared" ca="1" si="100"/>
        <v>0</v>
      </c>
      <c r="T199">
        <f t="shared" ca="1" si="100"/>
        <v>0</v>
      </c>
      <c r="U199">
        <f t="shared" ca="1" si="100"/>
        <v>0</v>
      </c>
    </row>
    <row r="200" spans="1:22" s="70" customFormat="1">
      <c r="A200" s="29"/>
      <c r="B200" s="93" t="s">
        <v>220</v>
      </c>
      <c r="K200"/>
      <c r="L200" s="70">
        <f>L141</f>
        <v>0</v>
      </c>
      <c r="M200" s="70">
        <f t="shared" ref="M200:U200" ca="1" si="101">SUM(M198:M199)</f>
        <v>0</v>
      </c>
      <c r="N200" s="70">
        <f t="shared" ca="1" si="101"/>
        <v>0</v>
      </c>
      <c r="O200" s="70">
        <f t="shared" ca="1" si="101"/>
        <v>0</v>
      </c>
      <c r="P200" s="70">
        <f t="shared" ca="1" si="101"/>
        <v>0</v>
      </c>
      <c r="Q200" s="70">
        <f t="shared" ca="1" si="101"/>
        <v>0</v>
      </c>
      <c r="R200" s="70">
        <f t="shared" ca="1" si="101"/>
        <v>0</v>
      </c>
      <c r="S200" s="70">
        <f t="shared" ca="1" si="101"/>
        <v>0</v>
      </c>
      <c r="T200" s="70">
        <f t="shared" ca="1" si="101"/>
        <v>0</v>
      </c>
      <c r="U200" s="70">
        <f t="shared" ca="1" si="101"/>
        <v>0</v>
      </c>
      <c r="V200"/>
    </row>
    <row r="201" spans="1:22">
      <c r="B201" s="89" t="s">
        <v>56</v>
      </c>
      <c r="M201">
        <f t="shared" ref="M201:U201" ca="1" si="102">$G$40*AVERAGE(L200:M200)</f>
        <v>0</v>
      </c>
      <c r="N201">
        <f t="shared" ca="1" si="102"/>
        <v>0</v>
      </c>
      <c r="O201">
        <f t="shared" ca="1" si="102"/>
        <v>0</v>
      </c>
      <c r="P201">
        <f t="shared" ca="1" si="102"/>
        <v>0</v>
      </c>
      <c r="Q201">
        <f t="shared" ca="1" si="102"/>
        <v>0</v>
      </c>
      <c r="R201">
        <f t="shared" ca="1" si="102"/>
        <v>0</v>
      </c>
      <c r="S201">
        <f t="shared" ca="1" si="102"/>
        <v>0</v>
      </c>
      <c r="T201">
        <f t="shared" ca="1" si="102"/>
        <v>0</v>
      </c>
      <c r="U201">
        <f t="shared" ca="1" si="102"/>
        <v>0</v>
      </c>
    </row>
    <row r="202" spans="1:22">
      <c r="B202" s="89"/>
    </row>
    <row r="203" spans="1:22">
      <c r="B203" s="89" t="s">
        <v>221</v>
      </c>
      <c r="M203">
        <f t="shared" ref="M203:U203" ca="1" si="103">SUM(M196,M199)</f>
        <v>9.146128501217202</v>
      </c>
      <c r="N203">
        <f t="shared" ca="1" si="103"/>
        <v>25.328424783665259</v>
      </c>
      <c r="O203">
        <f t="shared" ca="1" si="103"/>
        <v>28.124019174978105</v>
      </c>
      <c r="P203">
        <f t="shared" ca="1" si="103"/>
        <v>31.2310251710751</v>
      </c>
      <c r="Q203">
        <f t="shared" ca="1" si="103"/>
        <v>34.644440816823874</v>
      </c>
      <c r="R203">
        <f t="shared" ca="1" si="103"/>
        <v>38.364024959563665</v>
      </c>
      <c r="S203">
        <f t="shared" ca="1" si="103"/>
        <v>42.646394565830477</v>
      </c>
      <c r="T203">
        <f t="shared" ca="1" si="103"/>
        <v>46.964513058145712</v>
      </c>
      <c r="U203">
        <f t="shared" ca="1" si="103"/>
        <v>50.921879707289207</v>
      </c>
    </row>
    <row r="204" spans="1:22">
      <c r="B204" s="89"/>
    </row>
    <row r="205" spans="1:22">
      <c r="B205" s="89" t="str">
        <f>"Beginning "&amp;B41</f>
        <v>Beginning Senior debt (Term B)</v>
      </c>
      <c r="M205">
        <f t="shared" ref="M205:U205" si="104">L208</f>
        <v>321.59999999999974</v>
      </c>
      <c r="N205">
        <f t="shared" ca="1" si="104"/>
        <v>309.23787149878251</v>
      </c>
      <c r="O205">
        <f t="shared" ca="1" si="104"/>
        <v>280.69344671511726</v>
      </c>
      <c r="P205">
        <f t="shared" ca="1" si="104"/>
        <v>249.35342754013914</v>
      </c>
      <c r="Q205">
        <f t="shared" ca="1" si="104"/>
        <v>214.90640236906404</v>
      </c>
      <c r="R205">
        <f t="shared" ca="1" si="104"/>
        <v>177.04596155224016</v>
      </c>
      <c r="S205">
        <f t="shared" ca="1" si="104"/>
        <v>135.46593659267648</v>
      </c>
      <c r="T205">
        <f t="shared" ca="1" si="104"/>
        <v>89.603542026846</v>
      </c>
      <c r="U205">
        <f t="shared" ca="1" si="104"/>
        <v>39.423028968700294</v>
      </c>
    </row>
    <row r="206" spans="1:22">
      <c r="B206" s="89" t="s">
        <v>222</v>
      </c>
      <c r="M206">
        <f t="shared" ref="M206:U206" si="105">MIN(M181*-1,M205)*-1</f>
        <v>-3.2159999999999975</v>
      </c>
      <c r="N206">
        <f t="shared" ca="1" si="105"/>
        <v>-3.2159999999999975</v>
      </c>
      <c r="O206">
        <f t="shared" ca="1" si="105"/>
        <v>-3.2159999999999975</v>
      </c>
      <c r="P206">
        <f t="shared" ca="1" si="105"/>
        <v>-3.2159999999999975</v>
      </c>
      <c r="Q206">
        <f t="shared" ca="1" si="105"/>
        <v>-3.2159999999999975</v>
      </c>
      <c r="R206">
        <f t="shared" ca="1" si="105"/>
        <v>-3.2159999999999975</v>
      </c>
      <c r="S206">
        <f t="shared" ca="1" si="105"/>
        <v>-3.2159999999999975</v>
      </c>
      <c r="T206">
        <f t="shared" ca="1" si="105"/>
        <v>-3.2159999999999975</v>
      </c>
      <c r="U206">
        <f t="shared" ca="1" si="105"/>
        <v>-3.2159999999999975</v>
      </c>
    </row>
    <row r="207" spans="1:22">
      <c r="B207" s="89" t="s">
        <v>223</v>
      </c>
      <c r="C207" t="s">
        <v>224</v>
      </c>
      <c r="D207" s="113">
        <v>1</v>
      </c>
      <c r="M207">
        <f t="shared" ref="M207:U207" ca="1" si="106">MIN(M203,M205+M206)*-1*$D$207</f>
        <v>-9.146128501217202</v>
      </c>
      <c r="N207">
        <f t="shared" ca="1" si="106"/>
        <v>-25.328424783665259</v>
      </c>
      <c r="O207">
        <f t="shared" ca="1" si="106"/>
        <v>-28.124019174978105</v>
      </c>
      <c r="P207">
        <f t="shared" ca="1" si="106"/>
        <v>-31.2310251710751</v>
      </c>
      <c r="Q207">
        <f t="shared" ca="1" si="106"/>
        <v>-34.644440816823874</v>
      </c>
      <c r="R207">
        <f t="shared" ca="1" si="106"/>
        <v>-38.364024959563665</v>
      </c>
      <c r="S207">
        <f t="shared" ca="1" si="106"/>
        <v>-42.646394565830477</v>
      </c>
      <c r="T207">
        <f t="shared" ca="1" si="106"/>
        <v>-46.964513058145712</v>
      </c>
      <c r="U207">
        <f t="shared" ca="1" si="106"/>
        <v>-36.2070289687003</v>
      </c>
    </row>
    <row r="208" spans="1:22" s="70" customFormat="1">
      <c r="A208" s="29"/>
      <c r="B208" s="93" t="str">
        <f>"Ending "&amp;B41</f>
        <v>Ending Senior debt (Term B)</v>
      </c>
      <c r="K208"/>
      <c r="L208" s="70">
        <f>L146</f>
        <v>321.59999999999974</v>
      </c>
      <c r="M208" s="70">
        <f t="shared" ref="M208:U208" ca="1" si="107">SUM(M205:M207)</f>
        <v>309.23787149878251</v>
      </c>
      <c r="N208" s="70">
        <f t="shared" ca="1" si="107"/>
        <v>280.69344671511726</v>
      </c>
      <c r="O208" s="70">
        <f t="shared" ca="1" si="107"/>
        <v>249.35342754013914</v>
      </c>
      <c r="P208" s="70">
        <f t="shared" ca="1" si="107"/>
        <v>214.90640236906404</v>
      </c>
      <c r="Q208" s="70">
        <f t="shared" ca="1" si="107"/>
        <v>177.04596155224016</v>
      </c>
      <c r="R208" s="70">
        <f t="shared" ca="1" si="107"/>
        <v>135.46593659267648</v>
      </c>
      <c r="S208" s="70">
        <f t="shared" ca="1" si="107"/>
        <v>89.603542026846</v>
      </c>
      <c r="T208" s="70">
        <f t="shared" ca="1" si="107"/>
        <v>39.423028968700294</v>
      </c>
      <c r="U208" s="70">
        <f t="shared" ca="1" si="107"/>
        <v>0</v>
      </c>
      <c r="V208"/>
    </row>
    <row r="209" spans="1:22">
      <c r="B209" s="89"/>
    </row>
    <row r="210" spans="1:22">
      <c r="B210" s="89" t="s">
        <v>48</v>
      </c>
      <c r="M210">
        <f t="shared" ref="M210:U210" si="108">M120</f>
        <v>106.16727804878029</v>
      </c>
      <c r="N210">
        <f t="shared" si="108"/>
        <v>108.54571175443168</v>
      </c>
      <c r="O210">
        <f t="shared" si="108"/>
        <v>111.14895244936073</v>
      </c>
      <c r="P210">
        <f t="shared" si="108"/>
        <v>113.95088273525066</v>
      </c>
      <c r="Q210">
        <f t="shared" si="108"/>
        <v>116.93163888496264</v>
      </c>
      <c r="R210">
        <f t="shared" si="108"/>
        <v>120.07629146350713</v>
      </c>
      <c r="S210">
        <f t="shared" si="108"/>
        <v>123.37380908386351</v>
      </c>
      <c r="T210">
        <f t="shared" si="108"/>
        <v>126.81624468319053</v>
      </c>
      <c r="U210">
        <f t="shared" si="108"/>
        <v>130.39809668587785</v>
      </c>
    </row>
    <row r="211" spans="1:22">
      <c r="B211" s="89" t="str">
        <f>B41&amp;" / EBITDA"</f>
        <v>Senior debt (Term B) / EBITDA</v>
      </c>
      <c r="M211" s="27">
        <f t="shared" ref="M211:U211" ca="1" si="109">M208/M210</f>
        <v>2.9127418276344819</v>
      </c>
      <c r="N211" s="27">
        <f t="shared" ca="1" si="109"/>
        <v>2.5859468990368213</v>
      </c>
      <c r="O211" s="27">
        <f t="shared" ca="1" si="109"/>
        <v>2.2434168028146204</v>
      </c>
      <c r="P211" s="27">
        <f t="shared" ca="1" si="109"/>
        <v>1.8859564508014366</v>
      </c>
      <c r="Q211" s="27">
        <f t="shared" ca="1" si="109"/>
        <v>1.5140980083792206</v>
      </c>
      <c r="R211" s="27">
        <f t="shared" ca="1" si="109"/>
        <v>1.128165559925262</v>
      </c>
      <c r="S211" s="27">
        <f t="shared" ca="1" si="109"/>
        <v>0.72627685480585169</v>
      </c>
      <c r="T211" s="27">
        <f t="shared" ca="1" si="109"/>
        <v>0.31086734248586223</v>
      </c>
      <c r="U211" s="27">
        <f t="shared" ca="1" si="109"/>
        <v>0</v>
      </c>
    </row>
    <row r="212" spans="1:22">
      <c r="B212" s="89" t="str">
        <f>B211&amp;" margin ratchet covenant"</f>
        <v>Senior debt (Term B) / EBITDA margin ratchet covenant</v>
      </c>
      <c r="M212" s="112">
        <v>1</v>
      </c>
      <c r="N212" s="112">
        <v>1</v>
      </c>
      <c r="O212" s="112">
        <v>1</v>
      </c>
      <c r="P212" s="112">
        <v>1</v>
      </c>
      <c r="Q212" s="112">
        <v>1</v>
      </c>
      <c r="R212" s="112">
        <v>1</v>
      </c>
      <c r="S212" s="112">
        <v>1</v>
      </c>
      <c r="T212" s="112">
        <v>1</v>
      </c>
      <c r="U212" s="112">
        <v>1</v>
      </c>
    </row>
    <row r="213" spans="1:22">
      <c r="B213" s="89" t="s">
        <v>225</v>
      </c>
      <c r="M213" s="73">
        <v>2.5000000000000001E-3</v>
      </c>
      <c r="N213" s="73">
        <v>2.5000000000000001E-3</v>
      </c>
      <c r="O213" s="73">
        <v>2.5000000000000001E-3</v>
      </c>
      <c r="P213" s="73">
        <v>2.5000000000000001E-3</v>
      </c>
      <c r="Q213" s="73">
        <v>2.5000000000000001E-3</v>
      </c>
      <c r="R213" s="73">
        <v>2.5000000000000001E-3</v>
      </c>
      <c r="S213" s="73">
        <v>2.5000000000000001E-3</v>
      </c>
      <c r="T213" s="73">
        <v>2.5000000000000001E-3</v>
      </c>
      <c r="U213" s="73">
        <v>2.5000000000000001E-3</v>
      </c>
    </row>
    <row r="214" spans="1:22">
      <c r="B214" s="89" t="s">
        <v>133</v>
      </c>
      <c r="M214" s="92">
        <f t="shared" ref="M214:U214" ca="1" si="110">IF(M211&gt;M212,$G$41+M213,$G$41)</f>
        <v>5.9500000000000004E-2</v>
      </c>
      <c r="N214" s="92">
        <f t="shared" ca="1" si="110"/>
        <v>5.9500000000000004E-2</v>
      </c>
      <c r="O214" s="92">
        <f t="shared" ca="1" si="110"/>
        <v>5.9500000000000004E-2</v>
      </c>
      <c r="P214" s="92">
        <f t="shared" ca="1" si="110"/>
        <v>5.9500000000000004E-2</v>
      </c>
      <c r="Q214" s="92">
        <f t="shared" ca="1" si="110"/>
        <v>5.9500000000000004E-2</v>
      </c>
      <c r="R214" s="92">
        <f t="shared" ca="1" si="110"/>
        <v>5.9500000000000004E-2</v>
      </c>
      <c r="S214" s="92">
        <f t="shared" ca="1" si="110"/>
        <v>5.7000000000000002E-2</v>
      </c>
      <c r="T214" s="92">
        <f t="shared" ca="1" si="110"/>
        <v>5.7000000000000002E-2</v>
      </c>
      <c r="U214" s="92">
        <f t="shared" ca="1" si="110"/>
        <v>5.7000000000000002E-2</v>
      </c>
    </row>
    <row r="215" spans="1:22">
      <c r="B215" s="89" t="s">
        <v>56</v>
      </c>
      <c r="M215">
        <f t="shared" ref="M215:U215" ca="1" si="111">M214*AVERAGE(L208:M208)</f>
        <v>18.767426677088775</v>
      </c>
      <c r="N215">
        <f t="shared" ca="1" si="111"/>
        <v>17.550456716863518</v>
      </c>
      <c r="O215">
        <f t="shared" ca="1" si="111"/>
        <v>15.768894509093879</v>
      </c>
      <c r="P215">
        <f t="shared" ca="1" si="111"/>
        <v>13.811729939798795</v>
      </c>
      <c r="Q215">
        <f t="shared" ca="1" si="111"/>
        <v>11.6605828266588</v>
      </c>
      <c r="R215">
        <f t="shared" ca="1" si="111"/>
        <v>9.29722896981127</v>
      </c>
      <c r="S215">
        <f t="shared" ca="1" si="111"/>
        <v>6.4144801406563916</v>
      </c>
      <c r="T215">
        <f t="shared" ca="1" si="111"/>
        <v>3.67725727337307</v>
      </c>
      <c r="U215">
        <f t="shared" ca="1" si="111"/>
        <v>1.1235563256079584</v>
      </c>
    </row>
    <row r="216" spans="1:22">
      <c r="B216" s="89"/>
    </row>
    <row r="217" spans="1:22">
      <c r="B217" s="89" t="s">
        <v>221</v>
      </c>
      <c r="M217">
        <f t="shared" ref="M217:U217" ca="1" si="112">SUM(M203,M207)</f>
        <v>0</v>
      </c>
      <c r="N217">
        <f t="shared" ca="1" si="112"/>
        <v>0</v>
      </c>
      <c r="O217">
        <f t="shared" ca="1" si="112"/>
        <v>0</v>
      </c>
      <c r="P217">
        <f t="shared" ca="1" si="112"/>
        <v>0</v>
      </c>
      <c r="Q217">
        <f t="shared" ca="1" si="112"/>
        <v>0</v>
      </c>
      <c r="R217">
        <f t="shared" ca="1" si="112"/>
        <v>0</v>
      </c>
      <c r="S217">
        <f t="shared" ca="1" si="112"/>
        <v>0</v>
      </c>
      <c r="T217">
        <f t="shared" ca="1" si="112"/>
        <v>0</v>
      </c>
      <c r="U217">
        <f t="shared" ca="1" si="112"/>
        <v>14.714850738588908</v>
      </c>
    </row>
    <row r="218" spans="1:22">
      <c r="B218" s="89"/>
    </row>
    <row r="219" spans="1:22">
      <c r="A219" s="91" t="s">
        <v>226</v>
      </c>
      <c r="B219" s="89" t="str">
        <f>"Beginning "&amp;B42</f>
        <v>Beginning Senior unsecured high yield notes</v>
      </c>
      <c r="M219">
        <f t="shared" ref="M219:U219" si="113">L222</f>
        <v>160.79999999999987</v>
      </c>
      <c r="N219">
        <f t="shared" ca="1" si="113"/>
        <v>160.79999999999987</v>
      </c>
      <c r="O219">
        <f t="shared" ca="1" si="113"/>
        <v>160.79999999999987</v>
      </c>
      <c r="P219">
        <f t="shared" ca="1" si="113"/>
        <v>160.79999999999987</v>
      </c>
      <c r="Q219">
        <f t="shared" ca="1" si="113"/>
        <v>160.79999999999987</v>
      </c>
      <c r="R219">
        <f t="shared" ca="1" si="113"/>
        <v>160.79999999999987</v>
      </c>
      <c r="S219">
        <f t="shared" ca="1" si="113"/>
        <v>160.79999999999987</v>
      </c>
      <c r="T219">
        <f t="shared" ca="1" si="113"/>
        <v>160.79999999999987</v>
      </c>
      <c r="U219">
        <f t="shared" ca="1" si="113"/>
        <v>160.79999999999987</v>
      </c>
    </row>
    <row r="220" spans="1:22">
      <c r="A220" s="91"/>
      <c r="B220" s="89" t="s">
        <v>222</v>
      </c>
      <c r="M220">
        <f t="shared" ref="M220:U220" si="114">MIN(M182*-1,M219)*-1</f>
        <v>0</v>
      </c>
      <c r="N220">
        <f t="shared" ca="1" si="114"/>
        <v>0</v>
      </c>
      <c r="O220">
        <f t="shared" ca="1" si="114"/>
        <v>0</v>
      </c>
      <c r="P220">
        <f t="shared" ca="1" si="114"/>
        <v>0</v>
      </c>
      <c r="Q220">
        <f t="shared" ca="1" si="114"/>
        <v>0</v>
      </c>
      <c r="R220">
        <f t="shared" ca="1" si="114"/>
        <v>0</v>
      </c>
      <c r="S220">
        <f t="shared" ca="1" si="114"/>
        <v>0</v>
      </c>
      <c r="T220">
        <f t="shared" ca="1" si="114"/>
        <v>0</v>
      </c>
      <c r="U220">
        <f t="shared" ca="1" si="114"/>
        <v>0</v>
      </c>
    </row>
    <row r="221" spans="1:22">
      <c r="A221" s="91"/>
      <c r="B221" s="89" t="s">
        <v>223</v>
      </c>
      <c r="C221" t="s">
        <v>224</v>
      </c>
      <c r="D221" s="113">
        <v>0</v>
      </c>
      <c r="M221">
        <f t="shared" ref="M221:U221" ca="1" si="115">MIN(M217,M219+M220)*-1*$D$221</f>
        <v>0</v>
      </c>
      <c r="N221">
        <f t="shared" ca="1" si="115"/>
        <v>0</v>
      </c>
      <c r="O221">
        <f t="shared" ca="1" si="115"/>
        <v>0</v>
      </c>
      <c r="P221">
        <f t="shared" ca="1" si="115"/>
        <v>0</v>
      </c>
      <c r="Q221">
        <f t="shared" ca="1" si="115"/>
        <v>0</v>
      </c>
      <c r="R221">
        <f t="shared" ca="1" si="115"/>
        <v>0</v>
      </c>
      <c r="S221">
        <f t="shared" ca="1" si="115"/>
        <v>0</v>
      </c>
      <c r="T221">
        <f t="shared" ca="1" si="115"/>
        <v>0</v>
      </c>
      <c r="U221">
        <f t="shared" ca="1" si="115"/>
        <v>0</v>
      </c>
    </row>
    <row r="222" spans="1:22" s="70" customFormat="1">
      <c r="A222" s="91"/>
      <c r="B222" s="93" t="str">
        <f>"Ending "&amp;B42</f>
        <v>Ending Senior unsecured high yield notes</v>
      </c>
      <c r="K222"/>
      <c r="L222" s="70">
        <f>L147</f>
        <v>160.79999999999987</v>
      </c>
      <c r="M222" s="70">
        <f t="shared" ref="M222:U222" ca="1" si="116">SUM(M219:M221)</f>
        <v>160.79999999999987</v>
      </c>
      <c r="N222" s="70">
        <f t="shared" ca="1" si="116"/>
        <v>160.79999999999987</v>
      </c>
      <c r="O222" s="70">
        <f t="shared" ca="1" si="116"/>
        <v>160.79999999999987</v>
      </c>
      <c r="P222" s="70">
        <f t="shared" ca="1" si="116"/>
        <v>160.79999999999987</v>
      </c>
      <c r="Q222" s="70">
        <f t="shared" ca="1" si="116"/>
        <v>160.79999999999987</v>
      </c>
      <c r="R222" s="70">
        <f t="shared" ca="1" si="116"/>
        <v>160.79999999999987</v>
      </c>
      <c r="S222" s="70">
        <f t="shared" ca="1" si="116"/>
        <v>160.79999999999987</v>
      </c>
      <c r="T222" s="70">
        <f t="shared" ca="1" si="116"/>
        <v>160.79999999999987</v>
      </c>
      <c r="U222" s="70">
        <f t="shared" ca="1" si="116"/>
        <v>160.79999999999987</v>
      </c>
      <c r="V222"/>
    </row>
    <row r="223" spans="1:22">
      <c r="B223" s="89" t="s">
        <v>56</v>
      </c>
      <c r="M223">
        <f t="shared" ref="M223:U223" ca="1" si="117">$G$42*AVERAGE(L222:M222)</f>
        <v>15.597599999999987</v>
      </c>
      <c r="N223">
        <f t="shared" ca="1" si="117"/>
        <v>15.597599999999987</v>
      </c>
      <c r="O223">
        <f t="shared" ca="1" si="117"/>
        <v>15.597599999999987</v>
      </c>
      <c r="P223">
        <f t="shared" ca="1" si="117"/>
        <v>15.597599999999987</v>
      </c>
      <c r="Q223">
        <f t="shared" ca="1" si="117"/>
        <v>15.597599999999987</v>
      </c>
      <c r="R223">
        <f t="shared" ca="1" si="117"/>
        <v>15.597599999999987</v>
      </c>
      <c r="S223">
        <f t="shared" ca="1" si="117"/>
        <v>15.597599999999987</v>
      </c>
      <c r="T223">
        <f t="shared" ca="1" si="117"/>
        <v>15.597599999999987</v>
      </c>
      <c r="U223">
        <f t="shared" ca="1" si="117"/>
        <v>15.597599999999987</v>
      </c>
    </row>
    <row r="224" spans="1:22">
      <c r="B224" s="89"/>
    </row>
    <row r="225" spans="1:22">
      <c r="B225" s="89" t="s">
        <v>221</v>
      </c>
      <c r="M225">
        <f t="shared" ref="M225:U225" ca="1" si="118">SUM(M217,M221)</f>
        <v>0</v>
      </c>
      <c r="N225">
        <f t="shared" ca="1" si="118"/>
        <v>0</v>
      </c>
      <c r="O225">
        <f t="shared" ca="1" si="118"/>
        <v>0</v>
      </c>
      <c r="P225">
        <f t="shared" ca="1" si="118"/>
        <v>0</v>
      </c>
      <c r="Q225">
        <f t="shared" ca="1" si="118"/>
        <v>0</v>
      </c>
      <c r="R225">
        <f t="shared" ca="1" si="118"/>
        <v>0</v>
      </c>
      <c r="S225">
        <f t="shared" ca="1" si="118"/>
        <v>0</v>
      </c>
      <c r="T225">
        <f t="shared" ca="1" si="118"/>
        <v>0</v>
      </c>
      <c r="U225">
        <f t="shared" ca="1" si="118"/>
        <v>14.714850738588908</v>
      </c>
    </row>
    <row r="226" spans="1:22">
      <c r="B226" s="89"/>
    </row>
    <row r="227" spans="1:22">
      <c r="B227" s="89" t="str">
        <f>"Beginning "&amp;B43</f>
        <v>Beginning Unitranche</v>
      </c>
      <c r="M227">
        <f t="shared" ref="M227:U227" si="119">L230</f>
        <v>0</v>
      </c>
      <c r="N227">
        <f t="shared" ca="1" si="119"/>
        <v>0</v>
      </c>
      <c r="O227">
        <f t="shared" ca="1" si="119"/>
        <v>0</v>
      </c>
      <c r="P227">
        <f t="shared" ca="1" si="119"/>
        <v>0</v>
      </c>
      <c r="Q227">
        <f t="shared" ca="1" si="119"/>
        <v>0</v>
      </c>
      <c r="R227">
        <f t="shared" ca="1" si="119"/>
        <v>0</v>
      </c>
      <c r="S227">
        <f t="shared" ca="1" si="119"/>
        <v>0</v>
      </c>
      <c r="T227">
        <f t="shared" ca="1" si="119"/>
        <v>0</v>
      </c>
      <c r="U227">
        <f t="shared" ca="1" si="119"/>
        <v>0</v>
      </c>
    </row>
    <row r="228" spans="1:22">
      <c r="B228" s="89" t="s">
        <v>222</v>
      </c>
      <c r="M228">
        <f t="shared" ref="M228:U228" si="120">MIN(M183*-1,M227)*-1</f>
        <v>0</v>
      </c>
      <c r="N228">
        <f t="shared" ca="1" si="120"/>
        <v>0</v>
      </c>
      <c r="O228">
        <f t="shared" ca="1" si="120"/>
        <v>0</v>
      </c>
      <c r="P228">
        <f t="shared" ca="1" si="120"/>
        <v>0</v>
      </c>
      <c r="Q228">
        <f t="shared" ca="1" si="120"/>
        <v>0</v>
      </c>
      <c r="R228">
        <f t="shared" ca="1" si="120"/>
        <v>0</v>
      </c>
      <c r="S228">
        <f t="shared" ca="1" si="120"/>
        <v>0</v>
      </c>
      <c r="T228">
        <f t="shared" ca="1" si="120"/>
        <v>0</v>
      </c>
      <c r="U228">
        <f t="shared" ca="1" si="120"/>
        <v>0</v>
      </c>
    </row>
    <row r="229" spans="1:22">
      <c r="B229" s="89" t="s">
        <v>223</v>
      </c>
      <c r="C229" t="s">
        <v>224</v>
      </c>
      <c r="D229" s="113">
        <v>1</v>
      </c>
      <c r="M229">
        <f t="shared" ref="M229:U229" ca="1" si="121">MIN(M225,M227+M228)*-1*$D$229</f>
        <v>0</v>
      </c>
      <c r="N229">
        <f t="shared" ca="1" si="121"/>
        <v>0</v>
      </c>
      <c r="O229">
        <f t="shared" ca="1" si="121"/>
        <v>0</v>
      </c>
      <c r="P229">
        <f t="shared" ca="1" si="121"/>
        <v>0</v>
      </c>
      <c r="Q229">
        <f t="shared" ca="1" si="121"/>
        <v>0</v>
      </c>
      <c r="R229">
        <f t="shared" ca="1" si="121"/>
        <v>0</v>
      </c>
      <c r="S229">
        <f t="shared" ca="1" si="121"/>
        <v>0</v>
      </c>
      <c r="T229">
        <f t="shared" ca="1" si="121"/>
        <v>0</v>
      </c>
      <c r="U229">
        <f t="shared" ca="1" si="121"/>
        <v>0</v>
      </c>
    </row>
    <row r="230" spans="1:22" s="70" customFormat="1">
      <c r="A230" s="29"/>
      <c r="B230" s="93" t="str">
        <f>"Ending "&amp;B43</f>
        <v>Ending Unitranche</v>
      </c>
      <c r="K230"/>
      <c r="L230" s="70">
        <f>L148</f>
        <v>0</v>
      </c>
      <c r="M230" s="70">
        <f t="shared" ref="M230:U230" ca="1" si="122">SUM(M227:M229)</f>
        <v>0</v>
      </c>
      <c r="N230" s="70">
        <f t="shared" ca="1" si="122"/>
        <v>0</v>
      </c>
      <c r="O230" s="70">
        <f t="shared" ca="1" si="122"/>
        <v>0</v>
      </c>
      <c r="P230" s="70">
        <f t="shared" ca="1" si="122"/>
        <v>0</v>
      </c>
      <c r="Q230" s="70">
        <f t="shared" ca="1" si="122"/>
        <v>0</v>
      </c>
      <c r="R230" s="70">
        <f t="shared" ca="1" si="122"/>
        <v>0</v>
      </c>
      <c r="S230" s="70">
        <f t="shared" ca="1" si="122"/>
        <v>0</v>
      </c>
      <c r="T230" s="70">
        <f t="shared" ca="1" si="122"/>
        <v>0</v>
      </c>
      <c r="U230" s="70">
        <f t="shared" ca="1" si="122"/>
        <v>0</v>
      </c>
      <c r="V230"/>
    </row>
    <row r="231" spans="1:22">
      <c r="B231" s="89" t="s">
        <v>56</v>
      </c>
      <c r="M231" s="100">
        <f t="shared" ref="M231:U231" ca="1" si="123">$G$43*AVERAGE(L230:M230)</f>
        <v>0</v>
      </c>
      <c r="N231" s="100">
        <f t="shared" ca="1" si="123"/>
        <v>0</v>
      </c>
      <c r="O231" s="100">
        <f t="shared" ca="1" si="123"/>
        <v>0</v>
      </c>
      <c r="P231" s="100">
        <f t="shared" ca="1" si="123"/>
        <v>0</v>
      </c>
      <c r="Q231" s="100">
        <f t="shared" ca="1" si="123"/>
        <v>0</v>
      </c>
      <c r="R231" s="100">
        <f t="shared" ca="1" si="123"/>
        <v>0</v>
      </c>
      <c r="S231" s="100">
        <f t="shared" ca="1" si="123"/>
        <v>0</v>
      </c>
      <c r="T231" s="100">
        <f t="shared" ca="1" si="123"/>
        <v>0</v>
      </c>
      <c r="U231" s="100">
        <f t="shared" ca="1" si="123"/>
        <v>0</v>
      </c>
    </row>
    <row r="232" spans="1:22">
      <c r="B232" s="89"/>
    </row>
    <row r="233" spans="1:22">
      <c r="B233" s="89" t="s">
        <v>227</v>
      </c>
      <c r="M233">
        <f t="shared" ref="M233:U233" si="124">L235</f>
        <v>53.599999999999959</v>
      </c>
      <c r="N233">
        <f t="shared" si="124"/>
        <v>53.599999999999959</v>
      </c>
      <c r="O233">
        <f t="shared" si="124"/>
        <v>53.599999999999959</v>
      </c>
      <c r="P233">
        <f t="shared" si="124"/>
        <v>53.599999999999959</v>
      </c>
      <c r="Q233">
        <f t="shared" si="124"/>
        <v>53.599999999999959</v>
      </c>
      <c r="R233">
        <f t="shared" si="124"/>
        <v>53.599999999999959</v>
      </c>
      <c r="S233">
        <f t="shared" si="124"/>
        <v>53.599999999999959</v>
      </c>
      <c r="T233">
        <f t="shared" si="124"/>
        <v>53.599999999999959</v>
      </c>
      <c r="U233">
        <f t="shared" si="124"/>
        <v>53.599999999999959</v>
      </c>
    </row>
    <row r="234" spans="1:22">
      <c r="B234" s="89" t="s">
        <v>228</v>
      </c>
      <c r="C234" t="s">
        <v>229</v>
      </c>
      <c r="D234" s="113">
        <v>0</v>
      </c>
      <c r="M234">
        <f t="shared" ref="M234:U234" si="125">IF($D$234=1,$G$44*M233,0)</f>
        <v>0</v>
      </c>
      <c r="N234">
        <f t="shared" si="125"/>
        <v>0</v>
      </c>
      <c r="O234">
        <f t="shared" si="125"/>
        <v>0</v>
      </c>
      <c r="P234">
        <f t="shared" si="125"/>
        <v>0</v>
      </c>
      <c r="Q234">
        <f t="shared" si="125"/>
        <v>0</v>
      </c>
      <c r="R234">
        <f t="shared" si="125"/>
        <v>0</v>
      </c>
      <c r="S234">
        <f t="shared" si="125"/>
        <v>0</v>
      </c>
      <c r="T234">
        <f t="shared" si="125"/>
        <v>0</v>
      </c>
      <c r="U234">
        <f t="shared" si="125"/>
        <v>0</v>
      </c>
    </row>
    <row r="235" spans="1:22" s="70" customFormat="1">
      <c r="A235" s="29"/>
      <c r="B235" s="93" t="s">
        <v>230</v>
      </c>
      <c r="K235"/>
      <c r="L235" s="70">
        <f>L149</f>
        <v>53.599999999999959</v>
      </c>
      <c r="M235" s="70">
        <f t="shared" ref="M235:U235" si="126">SUM(M233:M234)</f>
        <v>53.599999999999959</v>
      </c>
      <c r="N235" s="70">
        <f t="shared" si="126"/>
        <v>53.599999999999959</v>
      </c>
      <c r="O235" s="70">
        <f t="shared" si="126"/>
        <v>53.599999999999959</v>
      </c>
      <c r="P235" s="70">
        <f t="shared" si="126"/>
        <v>53.599999999999959</v>
      </c>
      <c r="Q235" s="70">
        <f t="shared" si="126"/>
        <v>53.599999999999959</v>
      </c>
      <c r="R235" s="70">
        <f t="shared" si="126"/>
        <v>53.599999999999959</v>
      </c>
      <c r="S235" s="70">
        <f t="shared" si="126"/>
        <v>53.599999999999959</v>
      </c>
      <c r="T235" s="70">
        <f t="shared" si="126"/>
        <v>53.599999999999959</v>
      </c>
      <c r="U235" s="70">
        <f t="shared" si="126"/>
        <v>53.599999999999959</v>
      </c>
      <c r="V235"/>
    </row>
    <row r="236" spans="1:22">
      <c r="B236" s="89" t="s">
        <v>231</v>
      </c>
      <c r="M236" s="73">
        <v>-5.0000000000000001E-3</v>
      </c>
      <c r="N236" s="73">
        <v>-5.0000000000000001E-3</v>
      </c>
      <c r="O236" s="73">
        <v>-5.0000000000000001E-3</v>
      </c>
      <c r="P236" s="73">
        <v>-5.0000000000000001E-3</v>
      </c>
      <c r="Q236" s="73">
        <v>-5.0000000000000001E-3</v>
      </c>
      <c r="R236" s="73">
        <v>-5.0000000000000001E-3</v>
      </c>
      <c r="S236" s="73">
        <v>-5.0000000000000001E-3</v>
      </c>
      <c r="T236" s="73">
        <v>-5.0000000000000001E-3</v>
      </c>
      <c r="U236" s="73">
        <v>-5.0000000000000001E-3</v>
      </c>
    </row>
    <row r="237" spans="1:22">
      <c r="B237" s="89" t="s">
        <v>232</v>
      </c>
      <c r="M237">
        <f t="shared" ref="M237:U237" si="127">IF($D$234=0,($G$44+M236)*AVERAGE(L235:M235),0)</f>
        <v>6.1639999999999944</v>
      </c>
      <c r="N237">
        <f t="shared" si="127"/>
        <v>6.1639999999999944</v>
      </c>
      <c r="O237">
        <f t="shared" si="127"/>
        <v>6.1639999999999944</v>
      </c>
      <c r="P237">
        <f t="shared" si="127"/>
        <v>6.1639999999999944</v>
      </c>
      <c r="Q237">
        <f t="shared" si="127"/>
        <v>6.1639999999999944</v>
      </c>
      <c r="R237">
        <f t="shared" si="127"/>
        <v>6.1639999999999944</v>
      </c>
      <c r="S237">
        <f t="shared" si="127"/>
        <v>6.1639999999999944</v>
      </c>
      <c r="T237">
        <f t="shared" si="127"/>
        <v>6.1639999999999944</v>
      </c>
      <c r="U237">
        <f t="shared" si="127"/>
        <v>6.1639999999999944</v>
      </c>
    </row>
    <row r="238" spans="1:22">
      <c r="B238" s="89"/>
    </row>
    <row r="239" spans="1:22" s="70" customFormat="1" ht="15" customHeight="1">
      <c r="A239" s="99"/>
      <c r="B239" s="93" t="s">
        <v>77</v>
      </c>
      <c r="K239"/>
      <c r="L239" s="70">
        <f>L131</f>
        <v>0</v>
      </c>
      <c r="M239" s="70">
        <f t="shared" ref="M239:U239" ca="1" si="128">SUM(M189,M195,M199,M207,M221,M229)</f>
        <v>14.48798</v>
      </c>
      <c r="N239" s="70">
        <f t="shared" ca="1" si="128"/>
        <v>14.922619399999999</v>
      </c>
      <c r="O239" s="70">
        <f t="shared" ca="1" si="128"/>
        <v>15.370297982000007</v>
      </c>
      <c r="P239" s="70">
        <f t="shared" ca="1" si="128"/>
        <v>15.831406921460005</v>
      </c>
      <c r="Q239" s="70">
        <f t="shared" ca="1" si="128"/>
        <v>16.306349129103808</v>
      </c>
      <c r="R239" s="70">
        <f t="shared" ca="1" si="128"/>
        <v>16.795539602976916</v>
      </c>
      <c r="S239" s="70">
        <f t="shared" ca="1" si="128"/>
        <v>17.299405791066221</v>
      </c>
      <c r="T239" s="70">
        <f t="shared" ca="1" si="128"/>
        <v>17.81838796479822</v>
      </c>
      <c r="U239" s="70">
        <f t="shared" ca="1" si="128"/>
        <v>33.067790342331065</v>
      </c>
      <c r="V239"/>
    </row>
    <row r="240" spans="1:22" ht="15" customHeight="1">
      <c r="A240" s="99"/>
      <c r="B240" s="89" t="s">
        <v>57</v>
      </c>
      <c r="M240">
        <f t="shared" ref="M240:U240" ca="1" si="129">$G$45*AVERAGE(L239:M239)</f>
        <v>7.2439900000000002E-2</v>
      </c>
      <c r="N240">
        <f t="shared" ca="1" si="129"/>
        <v>0.14705299699999999</v>
      </c>
      <c r="O240">
        <f t="shared" ca="1" si="129"/>
        <v>0.15146458691000003</v>
      </c>
      <c r="P240">
        <f t="shared" ca="1" si="129"/>
        <v>0.15600852451730007</v>
      </c>
      <c r="Q240">
        <f t="shared" ca="1" si="129"/>
        <v>0.16068878025281905</v>
      </c>
      <c r="R240">
        <f t="shared" ca="1" si="129"/>
        <v>0.16550944366040363</v>
      </c>
      <c r="S240">
        <f t="shared" ca="1" si="129"/>
        <v>0.17047472697021568</v>
      </c>
      <c r="T240">
        <f t="shared" ca="1" si="129"/>
        <v>0.1755889687793222</v>
      </c>
      <c r="U240">
        <f t="shared" ca="1" si="129"/>
        <v>0.25443089153564641</v>
      </c>
    </row>
    <row r="241" spans="1:22" ht="15" customHeight="1">
      <c r="A241" s="99"/>
      <c r="B241" s="89"/>
      <c r="C241" s="101"/>
      <c r="D241" s="101"/>
      <c r="E241" s="101"/>
      <c r="F241" s="101"/>
      <c r="G241" s="101"/>
      <c r="H241" s="101"/>
      <c r="I241" s="101"/>
      <c r="J241" s="101"/>
      <c r="K241" s="101"/>
    </row>
    <row r="242" spans="1:22">
      <c r="B242" s="89" t="s">
        <v>182</v>
      </c>
      <c r="M242">
        <f t="shared" ref="M242:U242" ca="1" si="130">SUM(M201,M215,M223,M231,M237)</f>
        <v>40.529026677088758</v>
      </c>
      <c r="N242">
        <f t="shared" ca="1" si="130"/>
        <v>39.312056716863502</v>
      </c>
      <c r="O242">
        <f t="shared" ca="1" si="130"/>
        <v>37.530494509093863</v>
      </c>
      <c r="P242">
        <f t="shared" ca="1" si="130"/>
        <v>35.573329939798775</v>
      </c>
      <c r="Q242">
        <f t="shared" ca="1" si="130"/>
        <v>33.422182826658783</v>
      </c>
      <c r="R242">
        <f t="shared" ca="1" si="130"/>
        <v>31.058828969811252</v>
      </c>
      <c r="S242">
        <f t="shared" ca="1" si="130"/>
        <v>28.176080140656374</v>
      </c>
      <c r="T242">
        <f t="shared" ca="1" si="130"/>
        <v>25.438857273373053</v>
      </c>
      <c r="U242">
        <f t="shared" ca="1" si="130"/>
        <v>22.885156325607941</v>
      </c>
    </row>
    <row r="243" spans="1:22">
      <c r="B243" s="89" t="s">
        <v>233</v>
      </c>
      <c r="M243">
        <f t="shared" ref="M243:U243" si="131">M234</f>
        <v>0</v>
      </c>
      <c r="N243">
        <f t="shared" si="131"/>
        <v>0</v>
      </c>
      <c r="O243">
        <f t="shared" si="131"/>
        <v>0</v>
      </c>
      <c r="P243">
        <f t="shared" si="131"/>
        <v>0</v>
      </c>
      <c r="Q243">
        <f t="shared" si="131"/>
        <v>0</v>
      </c>
      <c r="R243">
        <f t="shared" si="131"/>
        <v>0</v>
      </c>
      <c r="S243">
        <f t="shared" si="131"/>
        <v>0</v>
      </c>
      <c r="T243">
        <f t="shared" si="131"/>
        <v>0</v>
      </c>
      <c r="U243">
        <f t="shared" si="131"/>
        <v>0</v>
      </c>
    </row>
    <row r="245" spans="1:22">
      <c r="A245" s="29" t="s">
        <v>89</v>
      </c>
      <c r="M245" s="26"/>
      <c r="N245" s="26"/>
      <c r="O245" s="26"/>
      <c r="P245" s="26"/>
      <c r="Q245" s="26"/>
      <c r="R245" s="26"/>
      <c r="S245" s="26"/>
      <c r="T245" s="26"/>
      <c r="U245" s="26"/>
    </row>
    <row r="246" spans="1:22">
      <c r="B246" s="89" t="s">
        <v>85</v>
      </c>
      <c r="L246">
        <f>YEAR(L3)-YEAR($L$3)</f>
        <v>0</v>
      </c>
      <c r="M246">
        <f>YEAR(M3)-YEAR($L$3)</f>
        <v>1</v>
      </c>
      <c r="N246">
        <f>YEAR(N3)-YEAR($L$3)</f>
        <v>2</v>
      </c>
      <c r="O246">
        <f>YEAR(O3)-YEAR($L$3)</f>
        <v>3</v>
      </c>
      <c r="P246">
        <f>YEAR(P3)-YEAR($L$3)</f>
        <v>4</v>
      </c>
      <c r="Q246">
        <f>YEAR(Q3)-YEAR($L$3)</f>
        <v>5</v>
      </c>
      <c r="R246">
        <f>YEAR(R3)-YEAR($L$3)</f>
        <v>6</v>
      </c>
      <c r="S246">
        <f>YEAR(S3)-YEAR($L$3)</f>
        <v>7</v>
      </c>
      <c r="T246">
        <f>YEAR(T3)-YEAR($L$3)</f>
        <v>8</v>
      </c>
      <c r="U246">
        <f>YEAR(U3)-YEAR($L$3)</f>
        <v>9</v>
      </c>
    </row>
    <row r="247" spans="1:22">
      <c r="B247" s="89" t="s">
        <v>48</v>
      </c>
      <c r="M247">
        <f t="shared" ref="M247:U247" si="132">M120</f>
        <v>106.16727804878029</v>
      </c>
      <c r="N247">
        <f t="shared" si="132"/>
        <v>108.54571175443168</v>
      </c>
      <c r="O247">
        <f t="shared" si="132"/>
        <v>111.14895244936073</v>
      </c>
      <c r="P247">
        <f t="shared" si="132"/>
        <v>113.95088273525066</v>
      </c>
      <c r="Q247">
        <f t="shared" si="132"/>
        <v>116.93163888496264</v>
      </c>
      <c r="R247">
        <f t="shared" si="132"/>
        <v>120.07629146350713</v>
      </c>
      <c r="S247">
        <f t="shared" si="132"/>
        <v>123.37380908386351</v>
      </c>
      <c r="T247">
        <f t="shared" si="132"/>
        <v>126.81624468319053</v>
      </c>
      <c r="U247">
        <f t="shared" si="132"/>
        <v>130.39809668587785</v>
      </c>
    </row>
    <row r="248" spans="1:22">
      <c r="B248" s="89" t="s">
        <v>234</v>
      </c>
      <c r="M248">
        <f t="shared" ref="M248:U248" si="133">M247*$C$18</f>
        <v>743.17094634146201</v>
      </c>
      <c r="N248">
        <f t="shared" si="133"/>
        <v>759.81998228102179</v>
      </c>
      <c r="O248">
        <f t="shared" si="133"/>
        <v>778.04266714552512</v>
      </c>
      <c r="P248">
        <f t="shared" si="133"/>
        <v>797.65617914675465</v>
      </c>
      <c r="Q248">
        <f t="shared" si="133"/>
        <v>818.52147219473841</v>
      </c>
      <c r="R248">
        <f t="shared" si="133"/>
        <v>840.53404024454994</v>
      </c>
      <c r="S248">
        <f t="shared" si="133"/>
        <v>863.61666358704451</v>
      </c>
      <c r="T248">
        <f t="shared" si="133"/>
        <v>887.71371278233369</v>
      </c>
      <c r="U248">
        <f t="shared" si="133"/>
        <v>912.78667680114495</v>
      </c>
    </row>
    <row r="249" spans="1:22">
      <c r="B249" s="89" t="str">
        <f>B131</f>
        <v>Cash</v>
      </c>
      <c r="M249">
        <f t="shared" ref="M249:U249" ca="1" si="134">M131</f>
        <v>14.487979999999972</v>
      </c>
      <c r="N249">
        <f t="shared" ca="1" si="134"/>
        <v>14.922619400000002</v>
      </c>
      <c r="O249">
        <f t="shared" ca="1" si="134"/>
        <v>15.370297981999983</v>
      </c>
      <c r="P249">
        <f t="shared" ca="1" si="134"/>
        <v>15.831406921460001</v>
      </c>
      <c r="Q249">
        <f t="shared" ca="1" si="134"/>
        <v>16.306349129103793</v>
      </c>
      <c r="R249">
        <f t="shared" ca="1" si="134"/>
        <v>16.795539602976902</v>
      </c>
      <c r="S249">
        <f t="shared" ca="1" si="134"/>
        <v>17.299405791066214</v>
      </c>
      <c r="T249">
        <f t="shared" ca="1" si="134"/>
        <v>17.81838796479822</v>
      </c>
      <c r="U249">
        <f t="shared" ca="1" si="134"/>
        <v>33.067790342331065</v>
      </c>
    </row>
    <row r="250" spans="1:22">
      <c r="B250" s="89" t="str">
        <f>B141</f>
        <v>Short term debt</v>
      </c>
      <c r="M250">
        <f ca="1">M141</f>
        <v>0</v>
      </c>
      <c r="N250">
        <f t="shared" ref="N250:U250" ca="1" si="135">N141</f>
        <v>0</v>
      </c>
      <c r="O250">
        <f t="shared" ca="1" si="135"/>
        <v>0</v>
      </c>
      <c r="P250">
        <f t="shared" ca="1" si="135"/>
        <v>0</v>
      </c>
      <c r="Q250">
        <f t="shared" ca="1" si="135"/>
        <v>0</v>
      </c>
      <c r="R250">
        <f t="shared" ca="1" si="135"/>
        <v>0</v>
      </c>
      <c r="S250">
        <f t="shared" ca="1" si="135"/>
        <v>0</v>
      </c>
      <c r="T250">
        <f t="shared" ca="1" si="135"/>
        <v>0</v>
      </c>
      <c r="U250">
        <f t="shared" ca="1" si="135"/>
        <v>0</v>
      </c>
    </row>
    <row r="251" spans="1:22">
      <c r="B251" s="89" t="str">
        <f>B145</f>
        <v>Long term debt</v>
      </c>
      <c r="M251">
        <f>M145</f>
        <v>0</v>
      </c>
      <c r="N251">
        <f t="shared" ref="N251:U251" si="136">N145</f>
        <v>0</v>
      </c>
      <c r="O251">
        <f t="shared" si="136"/>
        <v>0</v>
      </c>
      <c r="P251">
        <f t="shared" si="136"/>
        <v>0</v>
      </c>
      <c r="Q251">
        <f t="shared" si="136"/>
        <v>0</v>
      </c>
      <c r="R251">
        <f t="shared" si="136"/>
        <v>0</v>
      </c>
      <c r="S251">
        <f t="shared" si="136"/>
        <v>0</v>
      </c>
      <c r="T251">
        <f t="shared" si="136"/>
        <v>0</v>
      </c>
      <c r="U251">
        <f t="shared" si="136"/>
        <v>0</v>
      </c>
    </row>
    <row r="252" spans="1:22">
      <c r="B252" s="89" t="str">
        <f>B146</f>
        <v>Senior debt (Term B)</v>
      </c>
      <c r="M252">
        <f ca="1">M146</f>
        <v>309.23787149878251</v>
      </c>
      <c r="N252">
        <f t="shared" ref="N252:U255" ca="1" si="137">N146</f>
        <v>280.69344671511726</v>
      </c>
      <c r="O252">
        <f t="shared" ca="1" si="137"/>
        <v>249.35342754013914</v>
      </c>
      <c r="P252">
        <f t="shared" ca="1" si="137"/>
        <v>214.90640236906404</v>
      </c>
      <c r="Q252">
        <f t="shared" ca="1" si="137"/>
        <v>177.04596155224016</v>
      </c>
      <c r="R252">
        <f t="shared" ca="1" si="137"/>
        <v>135.46593659267648</v>
      </c>
      <c r="S252">
        <f t="shared" ca="1" si="137"/>
        <v>89.603542026846</v>
      </c>
      <c r="T252">
        <f t="shared" ca="1" si="137"/>
        <v>39.423028968700294</v>
      </c>
      <c r="U252">
        <f t="shared" ca="1" si="137"/>
        <v>0</v>
      </c>
    </row>
    <row r="253" spans="1:22">
      <c r="B253" s="89" t="str">
        <f>B147</f>
        <v>Senior unsecured high yield notes</v>
      </c>
      <c r="M253">
        <f ca="1">M147</f>
        <v>160.79999999999987</v>
      </c>
      <c r="N253">
        <f t="shared" ca="1" si="137"/>
        <v>160.79999999999987</v>
      </c>
      <c r="O253">
        <f t="shared" ca="1" si="137"/>
        <v>160.79999999999987</v>
      </c>
      <c r="P253">
        <f t="shared" ca="1" si="137"/>
        <v>160.79999999999987</v>
      </c>
      <c r="Q253">
        <f t="shared" ca="1" si="137"/>
        <v>160.79999999999987</v>
      </c>
      <c r="R253">
        <f t="shared" ca="1" si="137"/>
        <v>160.79999999999987</v>
      </c>
      <c r="S253">
        <f t="shared" ca="1" si="137"/>
        <v>160.79999999999987</v>
      </c>
      <c r="T253">
        <f t="shared" ca="1" si="137"/>
        <v>160.79999999999987</v>
      </c>
      <c r="U253">
        <f t="shared" ca="1" si="137"/>
        <v>160.79999999999987</v>
      </c>
    </row>
    <row r="254" spans="1:22">
      <c r="B254" s="89" t="str">
        <f>B148</f>
        <v>Unitranche</v>
      </c>
      <c r="M254">
        <f ca="1">M148</f>
        <v>0</v>
      </c>
      <c r="N254">
        <f t="shared" ca="1" si="137"/>
        <v>0</v>
      </c>
      <c r="O254">
        <f t="shared" ca="1" si="137"/>
        <v>0</v>
      </c>
      <c r="P254">
        <f t="shared" ca="1" si="137"/>
        <v>0</v>
      </c>
      <c r="Q254">
        <f t="shared" ca="1" si="137"/>
        <v>0</v>
      </c>
      <c r="R254">
        <f t="shared" ca="1" si="137"/>
        <v>0</v>
      </c>
      <c r="S254">
        <f t="shared" ca="1" si="137"/>
        <v>0</v>
      </c>
      <c r="T254">
        <f t="shared" ca="1" si="137"/>
        <v>0</v>
      </c>
      <c r="U254">
        <f t="shared" ca="1" si="137"/>
        <v>0</v>
      </c>
    </row>
    <row r="255" spans="1:22">
      <c r="B255" s="89" t="str">
        <f>B149</f>
        <v>Mezzanine</v>
      </c>
      <c r="M255">
        <f>M149</f>
        <v>53.599999999999959</v>
      </c>
      <c r="N255">
        <f t="shared" si="137"/>
        <v>53.599999999999959</v>
      </c>
      <c r="O255">
        <f t="shared" si="137"/>
        <v>53.599999999999959</v>
      </c>
      <c r="P255">
        <f t="shared" si="137"/>
        <v>53.599999999999959</v>
      </c>
      <c r="Q255">
        <f t="shared" si="137"/>
        <v>53.599999999999959</v>
      </c>
      <c r="R255">
        <f t="shared" si="137"/>
        <v>53.599999999999959</v>
      </c>
      <c r="S255">
        <f t="shared" si="137"/>
        <v>53.599999999999959</v>
      </c>
      <c r="T255">
        <f t="shared" si="137"/>
        <v>53.599999999999959</v>
      </c>
      <c r="U255">
        <f t="shared" si="137"/>
        <v>53.599999999999959</v>
      </c>
    </row>
    <row r="256" spans="1:22" s="70" customFormat="1">
      <c r="A256" s="29"/>
      <c r="B256" s="93" t="s">
        <v>33</v>
      </c>
      <c r="M256" s="70">
        <f t="shared" ref="M256:U256" ca="1" si="138">M248+M249-SUM(M250:M255)</f>
        <v>234.02105484267975</v>
      </c>
      <c r="N256" s="70">
        <f t="shared" ca="1" si="138"/>
        <v>279.64915496590476</v>
      </c>
      <c r="O256" s="70">
        <f t="shared" ca="1" si="138"/>
        <v>329.65953758738618</v>
      </c>
      <c r="P256" s="70">
        <f t="shared" ca="1" si="138"/>
        <v>384.18118369915084</v>
      </c>
      <c r="Q256" s="70">
        <f t="shared" ca="1" si="138"/>
        <v>443.38185977160214</v>
      </c>
      <c r="R256" s="70">
        <f t="shared" ca="1" si="138"/>
        <v>507.46364325485052</v>
      </c>
      <c r="S256" s="70">
        <f t="shared" ca="1" si="138"/>
        <v>576.91252735126488</v>
      </c>
      <c r="T256" s="70">
        <f t="shared" ca="1" si="138"/>
        <v>651.70907177843185</v>
      </c>
      <c r="U256" s="70">
        <f t="shared" ca="1" si="138"/>
        <v>731.45446714347611</v>
      </c>
      <c r="V256"/>
    </row>
    <row r="257" spans="1:22">
      <c r="B257" s="89"/>
    </row>
    <row r="258" spans="1:22">
      <c r="B258" s="93" t="s">
        <v>120</v>
      </c>
    </row>
    <row r="259" spans="1:22">
      <c r="B259" s="89" t="s">
        <v>246</v>
      </c>
      <c r="M259">
        <f>IF($C$7=M246,$D$62*M256,0)</f>
        <v>0</v>
      </c>
      <c r="N259">
        <f>IF($C$7=N246,$D$62*N256,0)</f>
        <v>0</v>
      </c>
      <c r="O259">
        <f>IF($C$7=O246,$D$62*O256,0)</f>
        <v>0</v>
      </c>
      <c r="P259">
        <f ca="1">IF($C$7=P246,$D$62*P256,0)</f>
        <v>19.209059184957542</v>
      </c>
      <c r="Q259">
        <f>IF($C$7=Q246,$D$62*Q256,0)</f>
        <v>0</v>
      </c>
      <c r="R259">
        <f>IF($C$7=R246,$D$62*R256,0)</f>
        <v>0</v>
      </c>
      <c r="S259">
        <f>IF($C$7=S246,$D$62*S256,0)</f>
        <v>0</v>
      </c>
      <c r="T259">
        <f>IF($C$7=T246,$D$62*T256,0)</f>
        <v>0</v>
      </c>
      <c r="U259">
        <f>IF($C$7=U246,$D$62*U256,0)</f>
        <v>0</v>
      </c>
    </row>
    <row r="260" spans="1:22">
      <c r="B260" s="89" t="s">
        <v>247</v>
      </c>
      <c r="M260">
        <f t="shared" ref="M260:U260" si="139">IF($C$7=M246,M255,0)</f>
        <v>0</v>
      </c>
      <c r="N260">
        <f t="shared" si="139"/>
        <v>0</v>
      </c>
      <c r="O260">
        <f t="shared" si="139"/>
        <v>0</v>
      </c>
      <c r="P260">
        <f t="shared" si="139"/>
        <v>53.599999999999959</v>
      </c>
      <c r="Q260">
        <f t="shared" si="139"/>
        <v>0</v>
      </c>
      <c r="R260">
        <f t="shared" si="139"/>
        <v>0</v>
      </c>
      <c r="S260">
        <f t="shared" si="139"/>
        <v>0</v>
      </c>
      <c r="T260">
        <f t="shared" si="139"/>
        <v>0</v>
      </c>
      <c r="U260">
        <f t="shared" si="139"/>
        <v>0</v>
      </c>
    </row>
    <row r="261" spans="1:22">
      <c r="B261" s="89" t="s">
        <v>248</v>
      </c>
      <c r="M261">
        <f>IF($C$7&gt;=M246,M237,0)</f>
        <v>6.1639999999999944</v>
      </c>
      <c r="N261">
        <f t="shared" ref="N261:U261" si="140">IF($C$7&gt;=N246,N237,0)</f>
        <v>6.1639999999999944</v>
      </c>
      <c r="O261">
        <f t="shared" si="140"/>
        <v>6.1639999999999944</v>
      </c>
      <c r="P261">
        <f t="shared" si="140"/>
        <v>6.1639999999999944</v>
      </c>
      <c r="Q261">
        <f t="shared" si="140"/>
        <v>0</v>
      </c>
      <c r="R261">
        <f t="shared" si="140"/>
        <v>0</v>
      </c>
      <c r="S261">
        <f t="shared" si="140"/>
        <v>0</v>
      </c>
      <c r="T261">
        <f t="shared" si="140"/>
        <v>0</v>
      </c>
      <c r="U261">
        <f t="shared" si="140"/>
        <v>0</v>
      </c>
    </row>
    <row r="262" spans="1:22" s="70" customFormat="1">
      <c r="A262" s="29"/>
      <c r="B262" s="93" t="s">
        <v>249</v>
      </c>
      <c r="J262"/>
      <c r="L262" s="70">
        <f>C44*-1</f>
        <v>-53.599999999999959</v>
      </c>
      <c r="M262" s="70">
        <f>SUM(M259:M261)</f>
        <v>6.1639999999999944</v>
      </c>
      <c r="N262" s="70">
        <f t="shared" ref="N262:U262" si="141">SUM(N259:N261)</f>
        <v>6.1639999999999944</v>
      </c>
      <c r="O262" s="70">
        <f t="shared" si="141"/>
        <v>6.1639999999999944</v>
      </c>
      <c r="P262" s="70">
        <f t="shared" ca="1" si="141"/>
        <v>78.973059184957492</v>
      </c>
      <c r="Q262" s="70">
        <f t="shared" si="141"/>
        <v>0</v>
      </c>
      <c r="R262" s="70">
        <f t="shared" si="141"/>
        <v>0</v>
      </c>
      <c r="S262" s="70">
        <f t="shared" si="141"/>
        <v>0</v>
      </c>
      <c r="T262" s="70">
        <f t="shared" si="141"/>
        <v>0</v>
      </c>
      <c r="U262" s="70">
        <f t="shared" si="141"/>
        <v>0</v>
      </c>
      <c r="V262"/>
    </row>
    <row r="263" spans="1:22" s="70" customFormat="1">
      <c r="A263" s="29"/>
      <c r="B263" s="93" t="s">
        <v>89</v>
      </c>
      <c r="J263"/>
      <c r="L263" s="81">
        <f ca="1">IRR(L262:U262)</f>
        <v>0.18338019963508767</v>
      </c>
      <c r="V263"/>
    </row>
    <row r="264" spans="1:22">
      <c r="B264" s="89"/>
    </row>
    <row r="265" spans="1:22">
      <c r="B265" s="93" t="s">
        <v>250</v>
      </c>
    </row>
    <row r="266" spans="1:22">
      <c r="B266" s="89" t="s">
        <v>87</v>
      </c>
      <c r="M266">
        <f>IF($C$7=M246,$D$61*M256,0)</f>
        <v>0</v>
      </c>
      <c r="N266">
        <f>IF($C$7=N246,$D$61*N256,0)</f>
        <v>0</v>
      </c>
      <c r="O266">
        <f>IF($C$7=O246,$D$61*O256,0)</f>
        <v>0</v>
      </c>
      <c r="P266">
        <f ca="1">IF($C$7=P246,$D$61*P256,0)</f>
        <v>328.47491206277397</v>
      </c>
      <c r="Q266">
        <f>IF($C$7=Q246,$D$61*Q256,0)</f>
        <v>0</v>
      </c>
      <c r="R266">
        <f>IF($C$7=R246,$D$61*R256,0)</f>
        <v>0</v>
      </c>
      <c r="S266">
        <f>IF($C$7=S246,$D$61*S256,0)</f>
        <v>0</v>
      </c>
      <c r="T266">
        <f>IF($C$7=T246,$D$61*T256,0)</f>
        <v>0</v>
      </c>
      <c r="U266">
        <f>IF($C$7=U246,$D$61*U256,0)</f>
        <v>0</v>
      </c>
    </row>
    <row r="267" spans="1:22" s="70" customFormat="1">
      <c r="A267" s="29"/>
      <c r="B267" s="93" t="s">
        <v>251</v>
      </c>
      <c r="J267"/>
      <c r="L267" s="70">
        <f>C45*C61*-1</f>
        <v>-199.71360000000001</v>
      </c>
      <c r="M267" s="70">
        <f>SUM(M266)</f>
        <v>0</v>
      </c>
      <c r="N267" s="70">
        <f t="shared" ref="N267:U267" si="142">SUM(N266)</f>
        <v>0</v>
      </c>
      <c r="O267" s="70">
        <f t="shared" si="142"/>
        <v>0</v>
      </c>
      <c r="P267" s="70">
        <f t="shared" ca="1" si="142"/>
        <v>328.47491206277397</v>
      </c>
      <c r="Q267" s="70">
        <f t="shared" si="142"/>
        <v>0</v>
      </c>
      <c r="R267" s="70">
        <f t="shared" si="142"/>
        <v>0</v>
      </c>
      <c r="S267" s="70">
        <f t="shared" si="142"/>
        <v>0</v>
      </c>
      <c r="T267" s="70">
        <f t="shared" si="142"/>
        <v>0</v>
      </c>
      <c r="U267" s="70">
        <f t="shared" si="142"/>
        <v>0</v>
      </c>
      <c r="V267"/>
    </row>
    <row r="268" spans="1:22" s="70" customFormat="1">
      <c r="A268" s="29"/>
      <c r="B268" s="93" t="s">
        <v>89</v>
      </c>
      <c r="J268"/>
      <c r="L268" s="81">
        <f ca="1">IRR(L267:U267)</f>
        <v>0.13246200809892539</v>
      </c>
      <c r="V268"/>
    </row>
    <row r="269" spans="1:22">
      <c r="B269" s="89"/>
    </row>
    <row r="270" spans="1:22">
      <c r="B270" s="93" t="s">
        <v>242</v>
      </c>
    </row>
    <row r="271" spans="1:22">
      <c r="B271" s="89" t="s">
        <v>87</v>
      </c>
      <c r="M271">
        <f>IF($C$7=M246,$D$63*M256,0)</f>
        <v>0</v>
      </c>
      <c r="N271">
        <f>IF($C$7=N246,$D$63*N256,0)</f>
        <v>0</v>
      </c>
      <c r="O271">
        <f>IF($C$7=O246,$D$63*O256,0)</f>
        <v>0</v>
      </c>
      <c r="P271">
        <f ca="1">IF($C$7=P246,$D$63*P256,0)</f>
        <v>36.49721245141933</v>
      </c>
      <c r="Q271">
        <f>IF($C$7=Q246,$D$63*Q256,0)</f>
        <v>0</v>
      </c>
      <c r="R271">
        <f>IF($C$7=R246,$D$63*R256,0)</f>
        <v>0</v>
      </c>
      <c r="S271">
        <f>IF($C$7=S246,$D$63*S256,0)</f>
        <v>0</v>
      </c>
      <c r="T271">
        <f>IF($C$7=T246,$D$63*T256,0)</f>
        <v>0</v>
      </c>
      <c r="U271">
        <f>IF($C$7=U246,$D$63*U256,0)</f>
        <v>0</v>
      </c>
    </row>
    <row r="272" spans="1:22" s="70" customFormat="1">
      <c r="A272" s="29"/>
      <c r="B272" s="93" t="s">
        <v>252</v>
      </c>
      <c r="J272"/>
      <c r="L272" s="70">
        <f>C45*C63*-1</f>
        <v>-22.1904</v>
      </c>
      <c r="M272" s="70">
        <f>SUM(M271)</f>
        <v>0</v>
      </c>
      <c r="N272" s="70">
        <f t="shared" ref="N272:U272" si="143">SUM(N271)</f>
        <v>0</v>
      </c>
      <c r="O272" s="70">
        <f t="shared" si="143"/>
        <v>0</v>
      </c>
      <c r="P272" s="70">
        <f t="shared" ca="1" si="143"/>
        <v>36.49721245141933</v>
      </c>
      <c r="Q272" s="70">
        <f t="shared" si="143"/>
        <v>0</v>
      </c>
      <c r="R272" s="70">
        <f t="shared" si="143"/>
        <v>0</v>
      </c>
      <c r="S272" s="70">
        <f t="shared" si="143"/>
        <v>0</v>
      </c>
      <c r="T272" s="70">
        <f t="shared" si="143"/>
        <v>0</v>
      </c>
      <c r="U272" s="70">
        <f t="shared" si="143"/>
        <v>0</v>
      </c>
      <c r="V272"/>
    </row>
    <row r="273" spans="1:12" s="70" customFormat="1">
      <c r="A273" s="29"/>
      <c r="B273" s="93" t="s">
        <v>89</v>
      </c>
      <c r="J273"/>
      <c r="L273" s="81">
        <f ca="1">IRR(L272:U272)</f>
        <v>0.13246200809892517</v>
      </c>
    </row>
    <row r="274" spans="1:12">
      <c r="B274" s="89"/>
    </row>
    <row r="275" spans="1:12">
      <c r="A275" s="29" t="s">
        <v>93</v>
      </c>
    </row>
    <row r="276" spans="1:12">
      <c r="B276" s="89"/>
    </row>
    <row r="442" spans="2:2">
      <c r="B442" s="89"/>
    </row>
    <row r="443" spans="2:2">
      <c r="B443" s="89"/>
    </row>
    <row r="444" spans="2:2">
      <c r="B444" s="89"/>
    </row>
    <row r="445" spans="2:2">
      <c r="B445" s="89"/>
    </row>
    <row r="446" spans="2:2">
      <c r="B446" s="89"/>
    </row>
    <row r="447" spans="2:2">
      <c r="B447" s="89"/>
    </row>
  </sheetData>
  <dataValidations count="4">
    <dataValidation type="list" allowBlank="1" showInputMessage="1" showErrorMessage="1" sqref="B68" xr:uid="{49A7E00F-3FDE-4B4E-9D83-8D2BCC04EE10}">
      <formula1>"Bank Case, Management Case"</formula1>
    </dataValidation>
    <dataValidation type="list" allowBlank="1" showInputMessage="1" showErrorMessage="1" sqref="C50" xr:uid="{F195B0CA-4379-4A75-BF5E-9890820BED7B}">
      <formula1>"1,2"</formula1>
    </dataValidation>
    <dataValidation type="list" allowBlank="1" showInputMessage="1" showErrorMessage="1" errorTitle="Financial Edge" error="0 = Acceleration off_x000a_1 = Acceleration on" promptTitle="Financial Edge" prompt="0 = Acceleration off_x000a_1 = Acceleration on" sqref="D207 D221 D229" xr:uid="{1A2BD8C8-0240-4E6A-BCE2-1D7AA7EF8506}">
      <formula1>"0,1"</formula1>
    </dataValidation>
    <dataValidation type="list" allowBlank="1" showInputMessage="1" showErrorMessage="1" errorTitle="Financial Edge" error="0 = PIK off_x000a_1 = PIK on" promptTitle="Financial Edge" prompt="0 = PIK off_x000a_1 = PIK on" sqref="D234" xr:uid="{7F72B0E1-A330-479B-9273-AE663F0E2249}">
      <formula1>"0,1"</formula1>
    </dataValidation>
  </dataValidations>
  <printOptions headings="1" gridLines="1"/>
  <pageMargins left="0.31496062992125984" right="0.11811023622047245" top="0.74803149606299213" bottom="0.74803149606299213" header="0" footer="0"/>
  <pageSetup paperSize="9" scale="55" fitToHeight="0" orientation="landscape" r:id="rId1"/>
  <headerFooter>
    <oddHeader>&amp;R&amp;F  &amp;A</oddHeader>
    <oddFooter>&amp;L© 2016&amp;CPage &amp;P of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1000"/>
  <sheetViews>
    <sheetView workbookViewId="0"/>
  </sheetViews>
  <sheetFormatPr defaultColWidth="12.5703125" defaultRowHeight="15" customHeight="1"/>
  <cols>
    <col min="1" max="1" width="1.140625" customWidth="1"/>
    <col min="2" max="2" width="24.28515625" customWidth="1"/>
    <col min="3" max="3" width="2.140625" customWidth="1"/>
    <col min="4" max="4" width="9.5703125" customWidth="1"/>
    <col min="5" max="5" width="2.140625" customWidth="1"/>
    <col min="6" max="6" width="9.5703125" customWidth="1"/>
    <col min="7" max="7" width="2.140625" customWidth="1"/>
    <col min="8" max="8" width="9.5703125" customWidth="1"/>
    <col min="9" max="9" width="2.140625" customWidth="1"/>
    <col min="10" max="10" width="9.5703125" customWidth="1"/>
    <col min="11" max="11" width="2.140625" customWidth="1"/>
    <col min="12" max="12" width="8.5703125" customWidth="1"/>
    <col min="13" max="13" width="2.140625" customWidth="1"/>
    <col min="14" max="14" width="8.5703125" customWidth="1"/>
    <col min="15" max="15" width="2.140625" customWidth="1"/>
    <col min="16" max="16" width="8.5703125" customWidth="1"/>
    <col min="17" max="17" width="2.140625" customWidth="1"/>
    <col min="18" max="18" width="8" customWidth="1"/>
    <col min="19" max="19" width="2.140625" customWidth="1"/>
    <col min="20" max="20" width="8" customWidth="1"/>
    <col min="21" max="21" width="2.140625" customWidth="1"/>
    <col min="22" max="22" width="8" customWidth="1"/>
    <col min="23" max="23" width="2.140625" customWidth="1"/>
    <col min="24" max="26" width="8" customWidth="1"/>
  </cols>
  <sheetData>
    <row r="1" spans="1:26" ht="45" customHeight="1">
      <c r="A1" s="28" t="s">
        <v>253</v>
      </c>
      <c r="B1" s="28"/>
      <c r="C1" s="28"/>
      <c r="D1" s="28"/>
      <c r="E1" s="28"/>
      <c r="F1" s="28"/>
      <c r="G1" s="28"/>
      <c r="H1" s="28"/>
      <c r="I1" s="28"/>
      <c r="J1" s="28"/>
      <c r="K1" s="28"/>
      <c r="L1" s="28"/>
      <c r="M1" s="28"/>
      <c r="N1" s="28"/>
      <c r="O1" s="28"/>
      <c r="P1" s="28"/>
      <c r="Q1" s="28"/>
      <c r="R1" s="28"/>
      <c r="S1" s="28"/>
      <c r="T1" s="28"/>
      <c r="U1" s="28"/>
      <c r="V1" s="28"/>
      <c r="W1" s="28"/>
      <c r="X1" s="28"/>
      <c r="Y1" s="16"/>
      <c r="Z1" s="16"/>
    </row>
    <row r="2" spans="1:26" ht="15" customHeight="1">
      <c r="B2" s="13" t="s">
        <v>254</v>
      </c>
      <c r="D2" s="17"/>
      <c r="T2" s="17" t="s">
        <v>255</v>
      </c>
      <c r="U2" s="17"/>
      <c r="V2" s="17"/>
      <c r="W2" s="17"/>
      <c r="X2" s="17"/>
      <c r="Y2" s="17"/>
      <c r="Z2" s="17"/>
    </row>
    <row r="3" spans="1:26" ht="15" customHeight="1">
      <c r="D3" s="17"/>
      <c r="T3" s="17"/>
      <c r="U3" s="17"/>
      <c r="V3" s="17"/>
      <c r="W3" s="17"/>
      <c r="X3" s="17"/>
      <c r="Y3" s="17"/>
      <c r="Z3" s="17"/>
    </row>
    <row r="4" spans="1:26" ht="15" customHeight="1">
      <c r="A4" s="60" t="s">
        <v>110</v>
      </c>
      <c r="B4" s="60"/>
      <c r="C4" s="60"/>
      <c r="D4" s="60"/>
    </row>
    <row r="5" spans="1:26" ht="15" customHeight="1">
      <c r="A5" s="14"/>
      <c r="B5" s="4" t="s">
        <v>256</v>
      </c>
      <c r="D5" s="25" t="s">
        <v>257</v>
      </c>
    </row>
    <row r="6" spans="1:26" ht="15" customHeight="1">
      <c r="A6" s="14"/>
      <c r="B6" s="4" t="s">
        <v>258</v>
      </c>
      <c r="D6" s="4" t="s">
        <v>259</v>
      </c>
    </row>
    <row r="7" spans="1:26" ht="15" customHeight="1">
      <c r="A7" s="14"/>
      <c r="B7" s="4" t="s">
        <v>260</v>
      </c>
      <c r="D7" s="61">
        <v>42482</v>
      </c>
    </row>
    <row r="8" spans="1:26" ht="15" customHeight="1">
      <c r="A8" s="14"/>
      <c r="B8" s="4" t="s">
        <v>261</v>
      </c>
      <c r="D8" s="25" t="s">
        <v>262</v>
      </c>
    </row>
    <row r="9" spans="1:26" ht="15" customHeight="1">
      <c r="A9" s="15"/>
      <c r="B9" s="4" t="s">
        <v>263</v>
      </c>
      <c r="D9" s="25" t="s">
        <v>264</v>
      </c>
    </row>
    <row r="10" spans="1:26" ht="15" customHeight="1">
      <c r="A10" s="14"/>
      <c r="B10" s="4" t="s">
        <v>265</v>
      </c>
      <c r="D10" s="61">
        <v>42369</v>
      </c>
    </row>
    <row r="11" spans="1:26" ht="15" customHeight="1">
      <c r="A11" s="14"/>
      <c r="B11" s="4" t="s">
        <v>266</v>
      </c>
      <c r="D11" s="25" t="s">
        <v>267</v>
      </c>
    </row>
    <row r="12" spans="1:26" ht="15" customHeight="1">
      <c r="A12" s="14"/>
      <c r="B12" s="4" t="s">
        <v>268</v>
      </c>
      <c r="D12" s="25"/>
    </row>
    <row r="13" spans="1:26" ht="15" customHeight="1">
      <c r="A13" s="14"/>
      <c r="B13" s="4" t="str">
        <f>"Closing price as at "&amp;TEXT(D7,"dd-mmm-yy")</f>
        <v>Closing price as at 22-Apr-16</v>
      </c>
      <c r="D13" s="25" t="e">
        <v>#N/A</v>
      </c>
    </row>
    <row r="14" spans="1:26" ht="15" customHeight="1">
      <c r="A14" s="14"/>
      <c r="B14" s="4" t="s">
        <v>269</v>
      </c>
      <c r="D14" s="25" t="e">
        <v>#N/A</v>
      </c>
    </row>
    <row r="15" spans="1:26" ht="15" customHeight="1">
      <c r="A15" s="14"/>
      <c r="B15" s="4" t="s">
        <v>270</v>
      </c>
      <c r="D15" s="25" t="e">
        <v>#N/A</v>
      </c>
    </row>
    <row r="16" spans="1:26" ht="15" customHeight="1">
      <c r="A16" s="14"/>
      <c r="B16" s="4" t="s">
        <v>271</v>
      </c>
      <c r="D16" s="25" t="e">
        <v>#N/A</v>
      </c>
    </row>
    <row r="17" spans="1:4" ht="15" customHeight="1">
      <c r="A17" s="14"/>
      <c r="B17" s="4" t="s">
        <v>272</v>
      </c>
      <c r="D17" s="25" t="s">
        <v>135</v>
      </c>
    </row>
    <row r="18" spans="1:4" ht="15" customHeight="1">
      <c r="A18" s="14"/>
      <c r="B18" s="4" t="s">
        <v>273</v>
      </c>
      <c r="D18" s="25">
        <v>0.6389551</v>
      </c>
    </row>
    <row r="19" spans="1:4" ht="15" customHeight="1">
      <c r="A19" s="14"/>
      <c r="B19" s="4" t="s">
        <v>274</v>
      </c>
      <c r="D19" s="56" t="e">
        <v>#N/A</v>
      </c>
    </row>
    <row r="20" spans="1:4" ht="15" customHeight="1">
      <c r="A20" s="14"/>
      <c r="D20" s="25"/>
    </row>
    <row r="21" spans="1:4" ht="15" customHeight="1">
      <c r="A21" s="14"/>
      <c r="B21" s="4" t="s">
        <v>275</v>
      </c>
      <c r="D21" s="25" t="s">
        <v>276</v>
      </c>
    </row>
    <row r="22" spans="1:4" ht="15" customHeight="1">
      <c r="A22" s="14"/>
      <c r="B22" s="4" t="s">
        <v>277</v>
      </c>
      <c r="D22" s="56" t="s">
        <v>278</v>
      </c>
    </row>
    <row r="23" spans="1:4" ht="15" customHeight="1">
      <c r="A23" s="14"/>
      <c r="D23" s="25"/>
    </row>
    <row r="24" spans="1:4" ht="15" customHeight="1">
      <c r="A24" s="60" t="s">
        <v>279</v>
      </c>
      <c r="B24" s="60"/>
      <c r="C24" s="60"/>
      <c r="D24" s="60"/>
    </row>
    <row r="25" spans="1:4" ht="15" customHeight="1">
      <c r="A25" s="14"/>
      <c r="B25" s="4" t="s">
        <v>280</v>
      </c>
      <c r="D25" s="62">
        <v>0</v>
      </c>
    </row>
    <row r="26" spans="1:4" ht="15" customHeight="1">
      <c r="A26" s="14"/>
      <c r="B26" s="4" t="s">
        <v>281</v>
      </c>
      <c r="D26" s="62">
        <v>0</v>
      </c>
    </row>
    <row r="27" spans="1:4" ht="15" customHeight="1">
      <c r="A27" s="14"/>
      <c r="B27" s="4" t="s">
        <v>282</v>
      </c>
      <c r="D27" s="62">
        <v>67.661361999999997</v>
      </c>
    </row>
    <row r="28" spans="1:4" ht="15" customHeight="1">
      <c r="A28" s="14"/>
      <c r="B28" s="4" t="s">
        <v>283</v>
      </c>
      <c r="D28" s="62">
        <v>510.95299999999997</v>
      </c>
    </row>
    <row r="29" spans="1:4" ht="15" customHeight="1">
      <c r="A29" s="14"/>
      <c r="B29" s="4" t="s">
        <v>284</v>
      </c>
      <c r="D29" s="62">
        <v>6.6109999999999998</v>
      </c>
    </row>
    <row r="30" spans="1:4" ht="15" customHeight="1">
      <c r="A30" s="14"/>
      <c r="B30" s="4" t="s">
        <v>285</v>
      </c>
      <c r="D30" s="62">
        <v>0</v>
      </c>
    </row>
    <row r="31" spans="1:4" ht="15" customHeight="1">
      <c r="A31" s="14"/>
      <c r="B31" s="4" t="s">
        <v>286</v>
      </c>
      <c r="D31" s="63">
        <v>0</v>
      </c>
    </row>
    <row r="32" spans="1:4" ht="15" customHeight="1">
      <c r="A32" s="14"/>
      <c r="B32" s="4" t="s">
        <v>287</v>
      </c>
      <c r="D32" s="64">
        <v>0</v>
      </c>
    </row>
    <row r="33" spans="1:18" ht="15" customHeight="1">
      <c r="A33" s="14"/>
      <c r="B33" s="4" t="s">
        <v>288</v>
      </c>
      <c r="D33" s="62">
        <v>113.08199999999999</v>
      </c>
    </row>
    <row r="34" spans="1:18" ht="15" customHeight="1">
      <c r="A34" s="14"/>
      <c r="B34" s="4" t="s">
        <v>289</v>
      </c>
      <c r="D34" s="62">
        <v>0</v>
      </c>
    </row>
    <row r="35" spans="1:18" ht="15" customHeight="1">
      <c r="A35" s="14"/>
      <c r="B35" s="4" t="s">
        <v>290</v>
      </c>
      <c r="D35" s="62">
        <v>1.84</v>
      </c>
    </row>
    <row r="36" spans="1:18" ht="15" customHeight="1">
      <c r="A36" s="14"/>
      <c r="B36" s="4" t="s">
        <v>291</v>
      </c>
      <c r="D36" s="65">
        <v>0</v>
      </c>
    </row>
    <row r="37" spans="1:18" ht="15.75" customHeight="1">
      <c r="A37" s="14"/>
    </row>
    <row r="38" spans="1:18" ht="15" customHeight="1">
      <c r="A38" s="60" t="s">
        <v>292</v>
      </c>
      <c r="B38" s="60"/>
      <c r="C38" s="60"/>
      <c r="D38" s="60"/>
    </row>
    <row r="39" spans="1:18" ht="15.75" customHeight="1">
      <c r="A39" s="14"/>
      <c r="D39" s="66" t="s">
        <v>293</v>
      </c>
      <c r="F39" s="67" t="s">
        <v>294</v>
      </c>
      <c r="G39" s="67"/>
      <c r="H39" s="67" t="s">
        <v>295</v>
      </c>
      <c r="I39" s="67"/>
      <c r="L39" s="25" t="s">
        <v>296</v>
      </c>
      <c r="N39" s="25" t="s">
        <v>297</v>
      </c>
      <c r="P39" s="25" t="s">
        <v>298</v>
      </c>
      <c r="R39" s="25" t="s">
        <v>299</v>
      </c>
    </row>
    <row r="40" spans="1:18" ht="15" customHeight="1">
      <c r="A40" s="14"/>
      <c r="B40" s="4" t="s">
        <v>9</v>
      </c>
      <c r="D40" s="68" t="str">
        <f>D8</f>
        <v>31/12/2015</v>
      </c>
      <c r="F40" s="50">
        <f>EDATE(H40,-12)</f>
        <v>42094</v>
      </c>
      <c r="H40" s="69">
        <v>42460</v>
      </c>
      <c r="L40" s="50">
        <f>EDATE(D40,12)</f>
        <v>42735</v>
      </c>
      <c r="M40" s="50"/>
      <c r="N40" s="50">
        <f>EDATE(L40,12)</f>
        <v>43100</v>
      </c>
      <c r="O40" s="50"/>
      <c r="P40" s="50">
        <f>EDATE(N40,12)</f>
        <v>43465</v>
      </c>
      <c r="Q40" s="50"/>
      <c r="R40" s="50">
        <f>EDATE(P40,12)</f>
        <v>43830</v>
      </c>
    </row>
    <row r="41" spans="1:18" ht="15" customHeight="1">
      <c r="A41" s="14"/>
      <c r="B41" s="4" t="s">
        <v>300</v>
      </c>
      <c r="D41" s="62">
        <v>547.65499999999997</v>
      </c>
      <c r="F41" s="62">
        <v>138.52000000000001</v>
      </c>
      <c r="H41" s="62">
        <v>147.517</v>
      </c>
      <c r="L41" s="62" t="e">
        <v>#N/A</v>
      </c>
      <c r="N41" s="62" t="e">
        <v>#N/A</v>
      </c>
      <c r="P41" s="62" t="e">
        <v>#N/A</v>
      </c>
      <c r="R41" s="62" t="e">
        <v>#N/A</v>
      </c>
    </row>
    <row r="42" spans="1:18" ht="15" customHeight="1">
      <c r="A42" s="14"/>
      <c r="B42" s="4" t="s">
        <v>46</v>
      </c>
      <c r="D42" s="19">
        <v>100.14100000000001</v>
      </c>
      <c r="F42" s="19">
        <v>25.919</v>
      </c>
      <c r="H42" s="19">
        <v>22.268999999999998</v>
      </c>
      <c r="L42" s="62" t="e">
        <v>#N/A</v>
      </c>
      <c r="N42" s="62" t="e">
        <v>#N/A</v>
      </c>
      <c r="P42" s="62" t="e">
        <v>#N/A</v>
      </c>
      <c r="R42" s="62" t="e">
        <v>#N/A</v>
      </c>
    </row>
    <row r="43" spans="1:18" ht="15" customHeight="1">
      <c r="A43" s="14"/>
      <c r="B43" s="4" t="s">
        <v>301</v>
      </c>
      <c r="D43" s="62">
        <v>21.494</v>
      </c>
      <c r="F43" s="62">
        <v>5.0670000000000002</v>
      </c>
      <c r="H43" s="62">
        <v>6.1520000000000001</v>
      </c>
      <c r="L43" s="19" t="e">
        <f>L44-L42</f>
        <v>#N/A</v>
      </c>
      <c r="N43" s="19" t="e">
        <f>N44-N42</f>
        <v>#N/A</v>
      </c>
      <c r="P43" s="19" t="e">
        <f>P44-P42</f>
        <v>#N/A</v>
      </c>
      <c r="R43" s="19" t="e">
        <f>R44-R42</f>
        <v>#N/A</v>
      </c>
    </row>
    <row r="44" spans="1:18" ht="15" customHeight="1">
      <c r="A44" s="14"/>
      <c r="B44" s="4" t="s">
        <v>48</v>
      </c>
      <c r="D44" s="62">
        <f>D42+D43</f>
        <v>121.63500000000001</v>
      </c>
      <c r="F44" s="62">
        <f>F42+F43</f>
        <v>30.986000000000001</v>
      </c>
      <c r="H44" s="62">
        <f>H42+H43</f>
        <v>28.420999999999999</v>
      </c>
      <c r="L44" s="64" t="e">
        <v>#N/A</v>
      </c>
      <c r="N44" s="64" t="e">
        <v>#N/A</v>
      </c>
      <c r="P44" s="64" t="e">
        <v>#N/A</v>
      </c>
      <c r="R44" s="64" t="e">
        <v>#N/A</v>
      </c>
    </row>
    <row r="45" spans="1:18" ht="15" customHeight="1">
      <c r="A45" s="14"/>
      <c r="B45" s="4" t="s">
        <v>302</v>
      </c>
      <c r="D45" s="62">
        <v>0.34699999999999998</v>
      </c>
      <c r="F45" s="62">
        <v>0.08</v>
      </c>
      <c r="H45" s="62">
        <v>0</v>
      </c>
      <c r="L45" s="62" t="e">
        <v>#N/A</v>
      </c>
      <c r="N45" s="62" t="e">
        <v>#N/A</v>
      </c>
      <c r="P45" s="62" t="e">
        <v>#N/A</v>
      </c>
      <c r="R45" s="62" t="e">
        <v>#N/A</v>
      </c>
    </row>
    <row r="46" spans="1:18" ht="15" customHeight="1">
      <c r="A46" s="14"/>
      <c r="B46" s="4" t="s">
        <v>303</v>
      </c>
      <c r="D46" s="62">
        <v>50.619</v>
      </c>
      <c r="F46" s="62">
        <v>16.303000000000001</v>
      </c>
      <c r="H46" s="62">
        <v>50.619</v>
      </c>
      <c r="L46" s="62" t="e">
        <v>#N/A</v>
      </c>
      <c r="N46" s="62" t="e">
        <v>#N/A</v>
      </c>
      <c r="P46" s="62" t="e">
        <v>#N/A</v>
      </c>
      <c r="R46" s="62" t="e">
        <v>#N/A</v>
      </c>
    </row>
    <row r="47" spans="1:18" ht="15.75" customHeight="1">
      <c r="A47" s="14"/>
    </row>
    <row r="48" spans="1:18" ht="15.75" customHeight="1">
      <c r="A48" s="14"/>
    </row>
    <row r="49" spans="1:7" ht="15" customHeight="1">
      <c r="A49" s="60" t="s">
        <v>304</v>
      </c>
      <c r="B49" s="60"/>
      <c r="C49" s="60"/>
      <c r="D49" s="60"/>
      <c r="E49" s="60"/>
      <c r="F49" s="60"/>
      <c r="G49" s="60"/>
    </row>
    <row r="50" spans="1:7" ht="15" customHeight="1">
      <c r="A50" s="14"/>
      <c r="B50" s="4" t="s">
        <v>305</v>
      </c>
      <c r="D50" s="4" t="s">
        <v>306</v>
      </c>
      <c r="F50" s="4" t="s">
        <v>307</v>
      </c>
    </row>
    <row r="51" spans="1:7" ht="15" customHeight="1">
      <c r="A51" s="14"/>
      <c r="B51" s="4" t="s">
        <v>308</v>
      </c>
      <c r="D51" s="63">
        <v>0</v>
      </c>
      <c r="F51" s="65">
        <v>0</v>
      </c>
    </row>
    <row r="52" spans="1:7" ht="15" customHeight="1">
      <c r="A52" s="14"/>
      <c r="B52" s="4" t="s">
        <v>309</v>
      </c>
      <c r="D52" s="63">
        <v>0</v>
      </c>
      <c r="F52" s="65">
        <v>0</v>
      </c>
    </row>
    <row r="53" spans="1:7" ht="15" customHeight="1">
      <c r="A53" s="14"/>
      <c r="B53" s="4" t="s">
        <v>310</v>
      </c>
      <c r="D53" s="63">
        <v>0</v>
      </c>
      <c r="F53" s="65">
        <v>0</v>
      </c>
    </row>
    <row r="54" spans="1:7" ht="15" customHeight="1">
      <c r="A54" s="14"/>
      <c r="B54" s="4" t="s">
        <v>311</v>
      </c>
      <c r="D54" s="63">
        <v>0</v>
      </c>
      <c r="F54" s="65">
        <v>0</v>
      </c>
    </row>
    <row r="55" spans="1:7" ht="15" customHeight="1">
      <c r="A55" s="14"/>
      <c r="B55" s="4" t="s">
        <v>312</v>
      </c>
      <c r="D55" s="63">
        <v>0</v>
      </c>
      <c r="F55" s="65">
        <v>0</v>
      </c>
    </row>
    <row r="56" spans="1:7" ht="15" customHeight="1">
      <c r="A56" s="14"/>
      <c r="B56" s="4" t="s">
        <v>313</v>
      </c>
      <c r="D56" s="63">
        <v>0</v>
      </c>
      <c r="F56" s="65">
        <v>0</v>
      </c>
    </row>
    <row r="57" spans="1:7" ht="15" customHeight="1">
      <c r="A57" s="14"/>
      <c r="B57" s="4" t="s">
        <v>314</v>
      </c>
      <c r="D57" s="63">
        <v>0</v>
      </c>
      <c r="F57" s="65">
        <v>0</v>
      </c>
    </row>
    <row r="58" spans="1:7" ht="15" customHeight="1">
      <c r="A58" s="14"/>
      <c r="B58" s="4" t="s">
        <v>315</v>
      </c>
      <c r="D58" s="63">
        <v>0</v>
      </c>
      <c r="F58" s="65">
        <v>0</v>
      </c>
    </row>
    <row r="59" spans="1:7" ht="15" customHeight="1">
      <c r="A59" s="14"/>
      <c r="B59" s="4" t="s">
        <v>243</v>
      </c>
    </row>
    <row r="60" spans="1:7" ht="15.75" customHeight="1">
      <c r="A60" s="14"/>
    </row>
    <row r="61" spans="1:7" ht="15" customHeight="1">
      <c r="B61" s="4" t="s">
        <v>316</v>
      </c>
      <c r="F61" s="65">
        <v>0</v>
      </c>
    </row>
    <row r="62" spans="1:7" ht="15" customHeight="1">
      <c r="A62" s="14"/>
      <c r="B62" s="4" t="s">
        <v>317</v>
      </c>
      <c r="F62" s="65">
        <v>0</v>
      </c>
    </row>
    <row r="63" spans="1:7" ht="15" customHeight="1">
      <c r="A63" s="14"/>
      <c r="B63" s="4" t="s">
        <v>318</v>
      </c>
      <c r="F63" s="65">
        <v>0</v>
      </c>
    </row>
    <row r="64" spans="1:7" ht="15" customHeight="1">
      <c r="A64" s="14"/>
      <c r="B64" s="4" t="s">
        <v>319</v>
      </c>
      <c r="F64" s="65">
        <v>0</v>
      </c>
    </row>
    <row r="65" spans="1:6" ht="15" customHeight="1">
      <c r="A65" s="14"/>
      <c r="B65" s="4" t="s">
        <v>56</v>
      </c>
      <c r="F65" s="65">
        <v>0</v>
      </c>
    </row>
    <row r="66" spans="1:6" ht="15" customHeight="1">
      <c r="A66" s="14"/>
      <c r="B66" s="4" t="s">
        <v>320</v>
      </c>
      <c r="F66" s="65">
        <v>0</v>
      </c>
    </row>
    <row r="67" spans="1:6" ht="15" customHeight="1">
      <c r="A67" s="14"/>
      <c r="B67" s="4" t="s">
        <v>321</v>
      </c>
      <c r="F67" s="65">
        <v>39.268000000000001</v>
      </c>
    </row>
    <row r="68" spans="1:6" ht="15.75" customHeight="1">
      <c r="A68" s="14"/>
    </row>
    <row r="69" spans="1:6" ht="15.75" customHeight="1">
      <c r="A69" s="14"/>
    </row>
    <row r="70" spans="1:6" ht="15.75" customHeight="1">
      <c r="A70" s="14"/>
    </row>
    <row r="111" spans="1:1" ht="15.75" customHeight="1">
      <c r="A111" s="14"/>
    </row>
    <row r="112" spans="1:1" ht="15.75" customHeight="1">
      <c r="A112" s="14"/>
    </row>
    <row r="113" spans="1:1" ht="15.75" customHeight="1">
      <c r="A113" s="14"/>
    </row>
    <row r="114" spans="1:1" ht="15.75" customHeight="1">
      <c r="A114" s="14"/>
    </row>
    <row r="115" spans="1:1" ht="15.75" customHeight="1">
      <c r="A115" s="14"/>
    </row>
    <row r="116" spans="1:1" ht="15.75" customHeight="1">
      <c r="A116" s="14"/>
    </row>
    <row r="117" spans="1:1" ht="15.75" customHeight="1">
      <c r="A117" s="14"/>
    </row>
    <row r="118" spans="1:1" ht="15.75" customHeight="1">
      <c r="A118" s="14"/>
    </row>
    <row r="119" spans="1:1" ht="15.75" customHeight="1">
      <c r="A119" s="14"/>
    </row>
    <row r="120" spans="1:1" ht="15.75" customHeight="1">
      <c r="A120" s="14"/>
    </row>
    <row r="121" spans="1:1" ht="15.75" customHeight="1">
      <c r="A121" s="14"/>
    </row>
    <row r="122" spans="1:1" ht="15.75" customHeight="1">
      <c r="A122" s="14"/>
    </row>
    <row r="123" spans="1:1" ht="15.75" customHeight="1">
      <c r="A123" s="14"/>
    </row>
    <row r="124" spans="1:1" ht="15.75" customHeight="1">
      <c r="A124" s="14"/>
    </row>
    <row r="125" spans="1:1" ht="15.75" customHeight="1">
      <c r="A125" s="14"/>
    </row>
    <row r="126" spans="1:1" ht="15.75" customHeight="1">
      <c r="A126" s="14"/>
    </row>
    <row r="127" spans="1:1" ht="15.75" customHeight="1">
      <c r="A127" s="14"/>
    </row>
    <row r="128" spans="1:1" ht="15.75" customHeight="1">
      <c r="A128" s="14"/>
    </row>
    <row r="129" spans="1:1" ht="15.75" customHeight="1">
      <c r="A129" s="14"/>
    </row>
    <row r="130" spans="1:1" ht="15.75" customHeight="1">
      <c r="A130" s="14"/>
    </row>
    <row r="131" spans="1:1" ht="15.75" customHeight="1">
      <c r="A131" s="14"/>
    </row>
    <row r="132" spans="1:1" ht="15.75" customHeight="1">
      <c r="A132" s="14"/>
    </row>
    <row r="133" spans="1:1" ht="15.75" customHeight="1">
      <c r="A133" s="14"/>
    </row>
    <row r="134" spans="1:1" ht="15.75" customHeight="1">
      <c r="A134" s="14"/>
    </row>
    <row r="135" spans="1:1" ht="15.75" customHeight="1">
      <c r="A135" s="14"/>
    </row>
    <row r="136" spans="1:1" ht="15.75" customHeight="1">
      <c r="A136" s="14"/>
    </row>
    <row r="137" spans="1:1" ht="15.75" customHeight="1">
      <c r="A137" s="14"/>
    </row>
    <row r="138" spans="1:1" ht="15.75" customHeight="1">
      <c r="A138" s="14"/>
    </row>
    <row r="139" spans="1:1" ht="15.75" customHeight="1">
      <c r="A139" s="14"/>
    </row>
    <row r="140" spans="1:1" ht="15.75" customHeight="1">
      <c r="A140" s="14"/>
    </row>
    <row r="141" spans="1:1" ht="15.75" customHeight="1">
      <c r="A141" s="14"/>
    </row>
    <row r="142" spans="1:1" ht="15.75" customHeight="1">
      <c r="A142" s="14"/>
    </row>
    <row r="143" spans="1:1" ht="15.75" customHeight="1">
      <c r="A143" s="14"/>
    </row>
    <row r="144" spans="1:1" ht="15.75" customHeight="1">
      <c r="A144" s="14"/>
    </row>
    <row r="145" spans="1:1" ht="15.75" customHeight="1">
      <c r="A145" s="14"/>
    </row>
    <row r="146" spans="1:1" ht="15.75" customHeight="1">
      <c r="A146" s="14"/>
    </row>
    <row r="147" spans="1:1" ht="15.75" customHeight="1">
      <c r="A147" s="14"/>
    </row>
    <row r="148" spans="1:1" ht="15.75" customHeight="1">
      <c r="A148" s="14"/>
    </row>
    <row r="149" spans="1:1" ht="15.75" customHeight="1">
      <c r="A149" s="14"/>
    </row>
    <row r="150" spans="1:1" ht="15.75" customHeight="1">
      <c r="A150" s="14"/>
    </row>
    <row r="151" spans="1:1" ht="15.75" customHeight="1">
      <c r="A151" s="14"/>
    </row>
    <row r="152" spans="1:1" ht="15.75" customHeight="1">
      <c r="A152" s="14"/>
    </row>
    <row r="153" spans="1:1" ht="15.75" customHeight="1">
      <c r="A153" s="14"/>
    </row>
    <row r="154" spans="1:1" ht="15.75" customHeight="1">
      <c r="A154" s="14"/>
    </row>
    <row r="155" spans="1:1" ht="15.75" customHeight="1">
      <c r="A155" s="14"/>
    </row>
    <row r="156" spans="1:1" ht="15.75" customHeight="1">
      <c r="A156" s="14"/>
    </row>
    <row r="157" spans="1:1" ht="15.75" customHeight="1">
      <c r="A157" s="14"/>
    </row>
    <row r="158" spans="1:1" ht="15.75" customHeight="1">
      <c r="A158" s="14"/>
    </row>
    <row r="159" spans="1:1" ht="15.75" customHeight="1">
      <c r="A159" s="14"/>
    </row>
    <row r="160" spans="1:1" ht="15.75" customHeight="1">
      <c r="A160" s="14"/>
    </row>
    <row r="161" spans="1:1" ht="15.75" customHeight="1">
      <c r="A161" s="14"/>
    </row>
    <row r="162" spans="1:1" ht="15.75" customHeight="1">
      <c r="A162" s="14"/>
    </row>
    <row r="163" spans="1:1" ht="15.75" customHeight="1">
      <c r="A163" s="14"/>
    </row>
    <row r="164" spans="1:1" ht="15.75" customHeight="1">
      <c r="A164" s="14"/>
    </row>
    <row r="165" spans="1:1" ht="15.75" customHeight="1">
      <c r="A165" s="14"/>
    </row>
    <row r="166" spans="1:1" ht="15.75" customHeight="1">
      <c r="A166" s="14"/>
    </row>
    <row r="167" spans="1:1" ht="15.75" customHeight="1">
      <c r="A167" s="14"/>
    </row>
    <row r="168" spans="1:1" ht="15.75" customHeight="1">
      <c r="A168" s="14"/>
    </row>
    <row r="169" spans="1:1" ht="15.75" customHeight="1">
      <c r="A169" s="14"/>
    </row>
    <row r="170" spans="1:1" ht="15.75" customHeight="1">
      <c r="A170" s="14"/>
    </row>
    <row r="171" spans="1:1" ht="15.75" customHeight="1">
      <c r="A171" s="14"/>
    </row>
    <row r="172" spans="1:1" ht="15.75" customHeight="1">
      <c r="A172" s="14"/>
    </row>
    <row r="173" spans="1:1" ht="15.75" customHeight="1">
      <c r="A173" s="14"/>
    </row>
    <row r="174" spans="1:1" ht="15.75" customHeight="1">
      <c r="A174" s="14"/>
    </row>
    <row r="175" spans="1:1" ht="15.75" customHeight="1">
      <c r="A175" s="14"/>
    </row>
    <row r="176" spans="1:1" ht="15.75" customHeight="1">
      <c r="A176" s="14"/>
    </row>
    <row r="177" spans="1:1" ht="15.75" customHeight="1">
      <c r="A177" s="14"/>
    </row>
    <row r="178" spans="1:1" ht="15.75" customHeight="1">
      <c r="A178" s="14"/>
    </row>
    <row r="179" spans="1:1" ht="15.75" customHeight="1">
      <c r="A179" s="14"/>
    </row>
    <row r="180" spans="1:1" ht="15.75" customHeight="1">
      <c r="A180" s="14"/>
    </row>
    <row r="181" spans="1:1" ht="15.75" customHeight="1">
      <c r="A181" s="14"/>
    </row>
    <row r="182" spans="1:1" ht="15.75" customHeight="1">
      <c r="A182" s="14"/>
    </row>
    <row r="183" spans="1:1" ht="15.75" customHeight="1">
      <c r="A183" s="14"/>
    </row>
    <row r="184" spans="1:1" ht="15.75" customHeight="1">
      <c r="A184" s="14"/>
    </row>
    <row r="185" spans="1:1" ht="15.75" customHeight="1">
      <c r="A185" s="14"/>
    </row>
    <row r="186" spans="1:1" ht="15.75" customHeight="1">
      <c r="A186" s="14"/>
    </row>
    <row r="187" spans="1:1" ht="15.75" customHeight="1">
      <c r="A187" s="14"/>
    </row>
    <row r="188" spans="1:1" ht="15.75" customHeight="1">
      <c r="A188" s="14"/>
    </row>
    <row r="189" spans="1:1" ht="15.75" customHeight="1">
      <c r="A189" s="14"/>
    </row>
    <row r="190" spans="1:1" ht="15.75" customHeight="1">
      <c r="A190" s="14"/>
    </row>
    <row r="191" spans="1:1" ht="15.75" customHeight="1">
      <c r="A191" s="14"/>
    </row>
    <row r="192" spans="1:1" ht="15.75" customHeight="1">
      <c r="A192" s="14"/>
    </row>
    <row r="193" spans="1:1" ht="15.75" customHeight="1">
      <c r="A193" s="14"/>
    </row>
    <row r="194" spans="1:1" ht="15.75" customHeight="1">
      <c r="A194" s="14"/>
    </row>
    <row r="195" spans="1:1" ht="15.75" customHeight="1">
      <c r="A195" s="14"/>
    </row>
    <row r="196" spans="1:1" ht="15.75" customHeight="1">
      <c r="A196" s="14"/>
    </row>
    <row r="197" spans="1:1" ht="15.75" customHeight="1">
      <c r="A197" s="14"/>
    </row>
    <row r="198" spans="1:1" ht="15.75" customHeight="1">
      <c r="A198" s="14"/>
    </row>
    <row r="199" spans="1:1" ht="15.75" customHeight="1">
      <c r="A199" s="14"/>
    </row>
    <row r="200" spans="1:1" ht="15.75" customHeight="1">
      <c r="A200" s="14"/>
    </row>
    <row r="201" spans="1:1" ht="15.75" customHeight="1">
      <c r="A201" s="14"/>
    </row>
    <row r="202" spans="1:1" ht="15.75" customHeight="1">
      <c r="A202" s="14"/>
    </row>
    <row r="203" spans="1:1" ht="15.75" customHeight="1">
      <c r="A203" s="14"/>
    </row>
    <row r="204" spans="1:1" ht="15.75" customHeight="1">
      <c r="A204" s="14"/>
    </row>
    <row r="205" spans="1:1" ht="15.75" customHeight="1">
      <c r="A205" s="14"/>
    </row>
    <row r="206" spans="1:1" ht="15.75" customHeight="1">
      <c r="A206" s="14"/>
    </row>
    <row r="207" spans="1:1" ht="15.75" customHeight="1">
      <c r="A207" s="14"/>
    </row>
    <row r="208" spans="1:1" ht="15.75" customHeight="1">
      <c r="A208" s="14"/>
    </row>
    <row r="209" spans="1:1" ht="15.75" customHeight="1">
      <c r="A209" s="14"/>
    </row>
    <row r="210" spans="1:1" ht="15.75" customHeight="1">
      <c r="A210" s="14"/>
    </row>
    <row r="211" spans="1:1" ht="15.75" customHeight="1">
      <c r="A211" s="14"/>
    </row>
    <row r="212" spans="1:1" ht="15.75" customHeight="1">
      <c r="A212" s="14"/>
    </row>
    <row r="213" spans="1:1" ht="15.75" customHeight="1">
      <c r="A213" s="14"/>
    </row>
    <row r="214" spans="1:1" ht="15.75" customHeight="1">
      <c r="A214" s="14"/>
    </row>
    <row r="215" spans="1:1" ht="15.75" customHeight="1">
      <c r="A215" s="14"/>
    </row>
    <row r="216" spans="1:1" ht="15.75" customHeight="1">
      <c r="A216" s="14"/>
    </row>
    <row r="217" spans="1:1" ht="15.75" customHeight="1">
      <c r="A217" s="14"/>
    </row>
    <row r="218" spans="1:1" ht="15.75" customHeight="1">
      <c r="A218" s="14"/>
    </row>
    <row r="219" spans="1:1" ht="15.75" customHeight="1">
      <c r="A219" s="14"/>
    </row>
    <row r="220" spans="1:1" ht="15.75" customHeight="1">
      <c r="A220" s="14"/>
    </row>
    <row r="221" spans="1:1" ht="15.75" customHeight="1">
      <c r="A221" s="14"/>
    </row>
    <row r="222" spans="1:1" ht="15.75" customHeight="1">
      <c r="A222" s="14"/>
    </row>
    <row r="223" spans="1:1" ht="15.75" customHeight="1">
      <c r="A223" s="14"/>
    </row>
    <row r="224" spans="1:1" ht="15.75" customHeight="1">
      <c r="A224" s="14"/>
    </row>
    <row r="225" spans="1:1" ht="15.75" customHeight="1">
      <c r="A225" s="14"/>
    </row>
    <row r="226" spans="1:1" ht="15.75" customHeight="1">
      <c r="A226" s="14"/>
    </row>
    <row r="227" spans="1:1" ht="15.75" customHeight="1">
      <c r="A227" s="14"/>
    </row>
    <row r="228" spans="1:1" ht="15.75" customHeight="1">
      <c r="A228" s="14"/>
    </row>
    <row r="229" spans="1:1" ht="15.75" customHeight="1">
      <c r="A229" s="14"/>
    </row>
    <row r="230" spans="1:1" ht="15.75" customHeight="1">
      <c r="A230" s="14"/>
    </row>
    <row r="231" spans="1:1" ht="15.75" customHeight="1">
      <c r="A231" s="14"/>
    </row>
    <row r="232" spans="1:1" ht="15.75" customHeight="1">
      <c r="A232" s="14"/>
    </row>
    <row r="233" spans="1:1" ht="15.75" customHeight="1">
      <c r="A233" s="14"/>
    </row>
    <row r="234" spans="1:1" ht="15.75" customHeight="1">
      <c r="A234" s="14"/>
    </row>
    <row r="235" spans="1:1" ht="15.75" customHeight="1">
      <c r="A235" s="14"/>
    </row>
    <row r="236" spans="1:1" ht="15.75" customHeight="1">
      <c r="A236" s="14"/>
    </row>
    <row r="237" spans="1:1" ht="15.75" customHeight="1">
      <c r="A237" s="14"/>
    </row>
    <row r="238" spans="1:1" ht="15.75" customHeight="1">
      <c r="A238" s="14"/>
    </row>
    <row r="239" spans="1:1" ht="15.75" customHeight="1">
      <c r="A239" s="14"/>
    </row>
    <row r="240" spans="1:1" ht="15.75" customHeight="1">
      <c r="A240" s="14"/>
    </row>
    <row r="241" spans="1:1" ht="15.75" customHeight="1">
      <c r="A241" s="14"/>
    </row>
    <row r="242" spans="1:1" ht="15.75" customHeight="1">
      <c r="A242" s="14"/>
    </row>
    <row r="243" spans="1:1" ht="15.75" customHeight="1">
      <c r="A243" s="14"/>
    </row>
    <row r="244" spans="1:1" ht="15.75" customHeight="1">
      <c r="A244" s="14"/>
    </row>
    <row r="245" spans="1:1" ht="15.75" customHeight="1">
      <c r="A245" s="14"/>
    </row>
    <row r="246" spans="1:1" ht="15.75" customHeight="1">
      <c r="A246" s="14"/>
    </row>
    <row r="247" spans="1:1" ht="15.75" customHeight="1">
      <c r="A247" s="14"/>
    </row>
    <row r="248" spans="1:1" ht="15.75" customHeight="1">
      <c r="A248" s="14"/>
    </row>
    <row r="249" spans="1:1" ht="15.75" customHeight="1">
      <c r="A249" s="14"/>
    </row>
    <row r="250" spans="1:1" ht="15.75" customHeight="1">
      <c r="A250" s="14"/>
    </row>
    <row r="251" spans="1:1" ht="15.75" customHeight="1">
      <c r="A251" s="14"/>
    </row>
    <row r="252" spans="1:1" ht="15.75" customHeight="1">
      <c r="A252" s="14"/>
    </row>
    <row r="253" spans="1:1" ht="15.75" customHeight="1">
      <c r="A253" s="14"/>
    </row>
    <row r="254" spans="1:1" ht="15.75" customHeight="1">
      <c r="A254" s="14"/>
    </row>
    <row r="255" spans="1:1" ht="15.75" customHeight="1">
      <c r="A255" s="14"/>
    </row>
    <row r="256" spans="1:1" ht="15.75" customHeight="1">
      <c r="A256" s="14"/>
    </row>
    <row r="257" spans="1:1" ht="15.75" customHeight="1">
      <c r="A257" s="14"/>
    </row>
    <row r="258" spans="1:1" ht="15.75" customHeight="1">
      <c r="A258" s="14"/>
    </row>
    <row r="259" spans="1:1" ht="15.75" customHeight="1">
      <c r="A259" s="14"/>
    </row>
    <row r="260" spans="1:1" ht="15.75" customHeight="1">
      <c r="A260" s="14"/>
    </row>
    <row r="261" spans="1:1" ht="15.75" customHeight="1">
      <c r="A261" s="14"/>
    </row>
    <row r="262" spans="1:1" ht="15.75" customHeight="1">
      <c r="A262" s="14"/>
    </row>
    <row r="263" spans="1:1" ht="15.75" customHeight="1">
      <c r="A263" s="14"/>
    </row>
    <row r="264" spans="1:1" ht="15.75" customHeight="1">
      <c r="A264" s="14"/>
    </row>
    <row r="265" spans="1:1" ht="15.75" customHeight="1">
      <c r="A265" s="14"/>
    </row>
    <row r="266" spans="1:1" ht="15.75" customHeight="1">
      <c r="A266" s="14"/>
    </row>
    <row r="267" spans="1:1" ht="15.75" customHeight="1">
      <c r="A267" s="14"/>
    </row>
    <row r="268" spans="1:1" ht="15.75" customHeight="1">
      <c r="A268" s="14"/>
    </row>
    <row r="269" spans="1:1" ht="15.75" customHeight="1">
      <c r="A269" s="14"/>
    </row>
    <row r="270" spans="1:1" ht="15.75" customHeight="1">
      <c r="A270" s="14"/>
    </row>
    <row r="271" spans="1:1" ht="15.75" customHeight="1">
      <c r="A271" s="14"/>
    </row>
    <row r="272" spans="1:1" ht="15.75" customHeight="1">
      <c r="A272" s="14"/>
    </row>
    <row r="273" spans="1:1" ht="15.75" customHeight="1">
      <c r="A273" s="14"/>
    </row>
    <row r="274" spans="1:1" ht="15.75" customHeight="1">
      <c r="A274" s="14"/>
    </row>
    <row r="275" spans="1:1" ht="15.75" customHeight="1">
      <c r="A275" s="14"/>
    </row>
    <row r="276" spans="1:1" ht="15.75" customHeight="1">
      <c r="A276" s="14"/>
    </row>
    <row r="277" spans="1:1" ht="15.75" customHeight="1">
      <c r="A277" s="14"/>
    </row>
    <row r="278" spans="1:1" ht="15.75" customHeight="1">
      <c r="A278" s="14"/>
    </row>
    <row r="279" spans="1:1" ht="15.75" customHeight="1">
      <c r="A279" s="14"/>
    </row>
    <row r="280" spans="1:1" ht="15.75" customHeight="1">
      <c r="A280" s="14"/>
    </row>
    <row r="281" spans="1:1" ht="15.75" customHeight="1">
      <c r="A281" s="14"/>
    </row>
    <row r="282" spans="1:1" ht="15.75" customHeight="1">
      <c r="A282" s="14"/>
    </row>
    <row r="283" spans="1:1" ht="15.75" customHeight="1">
      <c r="A283" s="14"/>
    </row>
    <row r="284" spans="1:1" ht="15.75" customHeight="1">
      <c r="A284" s="14"/>
    </row>
    <row r="285" spans="1:1" ht="15.75" customHeight="1">
      <c r="A285" s="14"/>
    </row>
    <row r="286" spans="1:1" ht="15.75" customHeight="1">
      <c r="A286" s="14"/>
    </row>
    <row r="287" spans="1:1" ht="15.75" customHeight="1">
      <c r="A287" s="14"/>
    </row>
    <row r="288" spans="1:1" ht="15.75" customHeight="1">
      <c r="A288" s="14"/>
    </row>
    <row r="289" spans="1:1" ht="15.75" customHeight="1">
      <c r="A289" s="14"/>
    </row>
    <row r="290" spans="1:1" ht="15.75" customHeight="1">
      <c r="A290" s="14"/>
    </row>
    <row r="291" spans="1:1" ht="15.75" customHeight="1">
      <c r="A291" s="14"/>
    </row>
    <row r="292" spans="1:1" ht="15.75" customHeight="1">
      <c r="A292" s="14"/>
    </row>
    <row r="293" spans="1:1" ht="15.75" customHeight="1">
      <c r="A293" s="14"/>
    </row>
    <row r="294" spans="1:1" ht="15.75" customHeight="1">
      <c r="A294" s="14"/>
    </row>
    <row r="295" spans="1:1" ht="15.75" customHeight="1">
      <c r="A295" s="14"/>
    </row>
    <row r="296" spans="1:1" ht="15.75" customHeight="1">
      <c r="A296" s="14"/>
    </row>
    <row r="297" spans="1:1" ht="15.75" customHeight="1">
      <c r="A297" s="14"/>
    </row>
    <row r="298" spans="1:1" ht="15.75" customHeight="1">
      <c r="A298" s="14"/>
    </row>
    <row r="299" spans="1:1" ht="15.75" customHeight="1">
      <c r="A299" s="14"/>
    </row>
    <row r="300" spans="1:1" ht="15.75" customHeight="1">
      <c r="A300" s="14"/>
    </row>
    <row r="301" spans="1:1" ht="15.75" customHeight="1">
      <c r="A301" s="14"/>
    </row>
    <row r="302" spans="1:1" ht="15.75" customHeight="1">
      <c r="A302" s="14"/>
    </row>
    <row r="303" spans="1:1" ht="15.75" customHeight="1">
      <c r="A303" s="14"/>
    </row>
    <row r="304" spans="1:1" ht="15.75" customHeight="1">
      <c r="A304" s="14"/>
    </row>
    <row r="305" spans="1:1" ht="15.75" customHeight="1">
      <c r="A305" s="14"/>
    </row>
    <row r="306" spans="1:1" ht="15.75" customHeight="1">
      <c r="A306" s="14"/>
    </row>
    <row r="307" spans="1:1" ht="15.75" customHeight="1">
      <c r="A307" s="14"/>
    </row>
    <row r="308" spans="1:1" ht="15.75" customHeight="1">
      <c r="A308" s="14"/>
    </row>
    <row r="309" spans="1:1" ht="15.75" customHeight="1">
      <c r="A309" s="14"/>
    </row>
    <row r="310" spans="1:1" ht="15.75" customHeight="1">
      <c r="A310" s="14"/>
    </row>
    <row r="311" spans="1:1" ht="15.75" customHeight="1">
      <c r="A311" s="14"/>
    </row>
    <row r="312" spans="1:1" ht="15.75" customHeight="1">
      <c r="A312" s="14"/>
    </row>
    <row r="313" spans="1:1" ht="15.75" customHeight="1">
      <c r="A313" s="14"/>
    </row>
    <row r="314" spans="1:1" ht="15.75" customHeight="1">
      <c r="A314" s="14"/>
    </row>
    <row r="315" spans="1:1" ht="15.75" customHeight="1">
      <c r="A315" s="14"/>
    </row>
    <row r="316" spans="1:1" ht="15.75" customHeight="1">
      <c r="A316" s="14"/>
    </row>
    <row r="317" spans="1:1" ht="15.75" customHeight="1">
      <c r="A317" s="14"/>
    </row>
    <row r="318" spans="1:1" ht="15.75" customHeight="1">
      <c r="A318" s="14"/>
    </row>
    <row r="319" spans="1:1" ht="15.75" customHeight="1">
      <c r="A319" s="14"/>
    </row>
    <row r="320" spans="1:1" ht="15.75" customHeight="1">
      <c r="A320" s="14"/>
    </row>
    <row r="321" spans="1:1" ht="15.75" customHeight="1">
      <c r="A321" s="14"/>
    </row>
    <row r="322" spans="1:1" ht="15.75" customHeight="1">
      <c r="A322" s="14"/>
    </row>
    <row r="323" spans="1:1" ht="15.75" customHeight="1">
      <c r="A323" s="14"/>
    </row>
    <row r="324" spans="1:1" ht="15.75" customHeight="1">
      <c r="A324" s="14"/>
    </row>
    <row r="325" spans="1:1" ht="15.75" customHeight="1">
      <c r="A325" s="14"/>
    </row>
    <row r="326" spans="1:1" ht="15.75" customHeight="1">
      <c r="A326" s="14"/>
    </row>
    <row r="327" spans="1:1" ht="15.75" customHeight="1">
      <c r="A327" s="14"/>
    </row>
    <row r="328" spans="1:1" ht="15.75" customHeight="1">
      <c r="A328" s="14"/>
    </row>
    <row r="329" spans="1:1" ht="15.75" customHeight="1">
      <c r="A329" s="14"/>
    </row>
    <row r="330" spans="1:1" ht="15.75" customHeight="1">
      <c r="A330" s="14"/>
    </row>
    <row r="331" spans="1:1" ht="15.75" customHeight="1">
      <c r="A331" s="14"/>
    </row>
    <row r="332" spans="1:1" ht="15.75" customHeight="1">
      <c r="A332" s="14"/>
    </row>
    <row r="333" spans="1:1" ht="15.75" customHeight="1">
      <c r="A333" s="14"/>
    </row>
    <row r="334" spans="1:1" ht="15.75" customHeight="1">
      <c r="A334" s="14"/>
    </row>
    <row r="335" spans="1:1" ht="15.75" customHeight="1">
      <c r="A335" s="14"/>
    </row>
    <row r="336" spans="1:1" ht="15.75" customHeight="1">
      <c r="A336" s="14"/>
    </row>
    <row r="337" spans="1:1" ht="15.75" customHeight="1">
      <c r="A337" s="14"/>
    </row>
    <row r="338" spans="1:1" ht="15.75" customHeight="1">
      <c r="A338" s="14"/>
    </row>
    <row r="339" spans="1:1" ht="15.75" customHeight="1">
      <c r="A339" s="14"/>
    </row>
    <row r="340" spans="1:1" ht="15.75" customHeight="1">
      <c r="A340" s="14"/>
    </row>
    <row r="341" spans="1:1" ht="15.75" customHeight="1">
      <c r="A341" s="14"/>
    </row>
    <row r="342" spans="1:1" ht="15.75" customHeight="1">
      <c r="A342" s="14"/>
    </row>
    <row r="343" spans="1:1" ht="15.75" customHeight="1">
      <c r="A343" s="14"/>
    </row>
    <row r="344" spans="1:1" ht="15.75" customHeight="1">
      <c r="A344" s="14"/>
    </row>
    <row r="345" spans="1:1" ht="15.75" customHeight="1">
      <c r="A345" s="14"/>
    </row>
    <row r="346" spans="1:1" ht="15.75" customHeight="1">
      <c r="A346" s="14"/>
    </row>
    <row r="347" spans="1:1" ht="15.75" customHeight="1">
      <c r="A347" s="14"/>
    </row>
    <row r="348" spans="1:1" ht="15.75" customHeight="1">
      <c r="A348" s="14"/>
    </row>
    <row r="349" spans="1:1" ht="15.75" customHeight="1">
      <c r="A349" s="14"/>
    </row>
    <row r="350" spans="1:1" ht="15.75" customHeight="1">
      <c r="A350" s="14"/>
    </row>
    <row r="351" spans="1:1" ht="15.75" customHeight="1">
      <c r="A351" s="14"/>
    </row>
    <row r="352" spans="1:1" ht="15.75" customHeight="1">
      <c r="A352" s="14"/>
    </row>
    <row r="353" spans="1:1" ht="15.75" customHeight="1">
      <c r="A353" s="14"/>
    </row>
    <row r="354" spans="1:1" ht="15.75" customHeight="1">
      <c r="A354" s="14"/>
    </row>
    <row r="355" spans="1:1" ht="15.75" customHeight="1">
      <c r="A355" s="14"/>
    </row>
    <row r="356" spans="1:1" ht="15.75" customHeight="1">
      <c r="A356" s="14"/>
    </row>
    <row r="357" spans="1:1" ht="15.75" customHeight="1">
      <c r="A357" s="14"/>
    </row>
    <row r="358" spans="1:1" ht="15.75" customHeight="1">
      <c r="A358" s="14"/>
    </row>
    <row r="359" spans="1:1" ht="15.75" customHeight="1">
      <c r="A359" s="14"/>
    </row>
    <row r="360" spans="1:1" ht="15.75" customHeight="1">
      <c r="A360" s="14"/>
    </row>
    <row r="361" spans="1:1" ht="15.75" customHeight="1">
      <c r="A361" s="14"/>
    </row>
    <row r="362" spans="1:1" ht="15.75" customHeight="1">
      <c r="A362" s="14"/>
    </row>
    <row r="363" spans="1:1" ht="15.75" customHeight="1">
      <c r="A363" s="14"/>
    </row>
    <row r="364" spans="1:1" ht="15.75" customHeight="1">
      <c r="A364" s="14"/>
    </row>
    <row r="365" spans="1:1" ht="15.75" customHeight="1">
      <c r="A365" s="14"/>
    </row>
    <row r="366" spans="1:1" ht="15.75" customHeight="1">
      <c r="A366" s="14"/>
    </row>
    <row r="367" spans="1:1" ht="15.75" customHeight="1">
      <c r="A367" s="14"/>
    </row>
    <row r="368" spans="1:1" ht="15.75" customHeight="1">
      <c r="A368" s="14"/>
    </row>
    <row r="369" spans="1:1" ht="15.75" customHeight="1">
      <c r="A369" s="14"/>
    </row>
    <row r="370" spans="1:1" ht="15.75" customHeight="1">
      <c r="A370" s="14"/>
    </row>
    <row r="371" spans="1:1" ht="15.75" customHeight="1">
      <c r="A371" s="14"/>
    </row>
    <row r="372" spans="1:1" ht="15.75" customHeight="1">
      <c r="A372" s="14"/>
    </row>
    <row r="373" spans="1:1" ht="15.75" customHeight="1">
      <c r="A373" s="14"/>
    </row>
    <row r="374" spans="1:1" ht="15.75" customHeight="1">
      <c r="A374" s="14"/>
    </row>
    <row r="375" spans="1:1" ht="15.75" customHeight="1">
      <c r="A375" s="14"/>
    </row>
    <row r="376" spans="1:1" ht="15.75" customHeight="1">
      <c r="A376" s="14"/>
    </row>
    <row r="377" spans="1:1" ht="15.75" customHeight="1">
      <c r="A377" s="14"/>
    </row>
    <row r="378" spans="1:1" ht="15.75" customHeight="1">
      <c r="A378" s="14"/>
    </row>
    <row r="379" spans="1:1" ht="15.75" customHeight="1">
      <c r="A379" s="14"/>
    </row>
    <row r="380" spans="1:1" ht="15.75" customHeight="1">
      <c r="A380" s="14"/>
    </row>
    <row r="381" spans="1:1" ht="15.75" customHeight="1">
      <c r="A381" s="14"/>
    </row>
    <row r="382" spans="1:1" ht="15.75" customHeight="1">
      <c r="A382" s="14"/>
    </row>
    <row r="383" spans="1:1" ht="15.75" customHeight="1">
      <c r="A383" s="14"/>
    </row>
    <row r="384" spans="1:1" ht="15.75" customHeight="1">
      <c r="A384" s="14"/>
    </row>
    <row r="385" spans="1:1" ht="15.75" customHeight="1">
      <c r="A385" s="14"/>
    </row>
    <row r="386" spans="1:1" ht="15.75" customHeight="1">
      <c r="A386" s="14"/>
    </row>
    <row r="387" spans="1:1" ht="15.75" customHeight="1">
      <c r="A387" s="14"/>
    </row>
    <row r="388" spans="1:1" ht="15.75" customHeight="1">
      <c r="A388" s="14"/>
    </row>
    <row r="389" spans="1:1" ht="15.75" customHeight="1">
      <c r="A389" s="14"/>
    </row>
    <row r="390" spans="1:1" ht="15.75" customHeight="1">
      <c r="A390" s="14"/>
    </row>
    <row r="391" spans="1:1" ht="15.75" customHeight="1">
      <c r="A391" s="14"/>
    </row>
    <row r="392" spans="1:1" ht="15.75" customHeight="1">
      <c r="A392" s="14"/>
    </row>
    <row r="393" spans="1:1" ht="15.75" customHeight="1">
      <c r="A393" s="14"/>
    </row>
    <row r="394" spans="1:1" ht="15.75" customHeight="1">
      <c r="A394" s="14"/>
    </row>
    <row r="395" spans="1:1" ht="15.75" customHeight="1">
      <c r="A395" s="14"/>
    </row>
    <row r="396" spans="1:1" ht="15.75" customHeight="1">
      <c r="A396" s="14"/>
    </row>
    <row r="397" spans="1:1" ht="15.75" customHeight="1">
      <c r="A397" s="14"/>
    </row>
    <row r="398" spans="1:1" ht="15.75" customHeight="1">
      <c r="A398" s="14"/>
    </row>
    <row r="399" spans="1:1" ht="15.75" customHeight="1">
      <c r="A399" s="14"/>
    </row>
    <row r="400" spans="1:1" ht="15.75" customHeight="1">
      <c r="A400" s="14"/>
    </row>
    <row r="401" spans="1:1" ht="15.75" customHeight="1">
      <c r="A401" s="14"/>
    </row>
    <row r="402" spans="1:1" ht="15.75" customHeight="1">
      <c r="A402" s="14"/>
    </row>
    <row r="403" spans="1:1" ht="15.75" customHeight="1">
      <c r="A403" s="14"/>
    </row>
    <row r="404" spans="1:1" ht="15.75" customHeight="1">
      <c r="A404" s="14"/>
    </row>
    <row r="405" spans="1:1" ht="15.75" customHeight="1">
      <c r="A405" s="14"/>
    </row>
    <row r="406" spans="1:1" ht="15.75" customHeight="1">
      <c r="A406" s="14"/>
    </row>
    <row r="407" spans="1:1" ht="15.75" customHeight="1">
      <c r="A407" s="14"/>
    </row>
    <row r="408" spans="1:1" ht="15.75" customHeight="1">
      <c r="A408" s="14"/>
    </row>
    <row r="409" spans="1:1" ht="15.75" customHeight="1">
      <c r="A409" s="14"/>
    </row>
    <row r="410" spans="1:1" ht="15.75" customHeight="1">
      <c r="A410" s="14"/>
    </row>
    <row r="411" spans="1:1" ht="15.75" customHeight="1">
      <c r="A411" s="14"/>
    </row>
    <row r="412" spans="1:1" ht="15.75" customHeight="1">
      <c r="A412" s="14"/>
    </row>
    <row r="413" spans="1:1" ht="15.75" customHeight="1">
      <c r="A413" s="14"/>
    </row>
    <row r="414" spans="1:1" ht="15.75" customHeight="1">
      <c r="A414" s="14"/>
    </row>
    <row r="415" spans="1:1" ht="15.75" customHeight="1">
      <c r="A415" s="14"/>
    </row>
    <row r="416" spans="1:1" ht="15.75" customHeight="1">
      <c r="A416" s="14"/>
    </row>
    <row r="417" spans="1:1" ht="15.75" customHeight="1">
      <c r="A417" s="14"/>
    </row>
    <row r="418" spans="1:1" ht="15.75" customHeight="1">
      <c r="A418" s="14"/>
    </row>
    <row r="419" spans="1:1" ht="15.75" customHeight="1">
      <c r="A419" s="14"/>
    </row>
    <row r="420" spans="1:1" ht="15.75" customHeight="1">
      <c r="A420" s="14"/>
    </row>
    <row r="421" spans="1:1" ht="15.75" customHeight="1">
      <c r="A421" s="14"/>
    </row>
    <row r="422" spans="1:1" ht="15.75" customHeight="1">
      <c r="A422" s="14"/>
    </row>
    <row r="423" spans="1:1" ht="15.75" customHeight="1">
      <c r="A423" s="14"/>
    </row>
    <row r="424" spans="1:1" ht="15.75" customHeight="1">
      <c r="A424" s="14"/>
    </row>
    <row r="425" spans="1:1" ht="15.75" customHeight="1">
      <c r="A425" s="14"/>
    </row>
    <row r="426" spans="1:1" ht="15.75" customHeight="1">
      <c r="A426" s="14"/>
    </row>
    <row r="427" spans="1:1" ht="15.75" customHeight="1">
      <c r="A427" s="14"/>
    </row>
    <row r="428" spans="1:1" ht="15.75" customHeight="1">
      <c r="A428" s="14"/>
    </row>
    <row r="429" spans="1:1" ht="15.75" customHeight="1">
      <c r="A429" s="14"/>
    </row>
    <row r="430" spans="1:1" ht="15.75" customHeight="1">
      <c r="A430" s="14"/>
    </row>
    <row r="431" spans="1:1" ht="15.75" customHeight="1">
      <c r="A431" s="14"/>
    </row>
    <row r="432" spans="1:1" ht="15.75" customHeight="1">
      <c r="A432" s="14"/>
    </row>
    <row r="433" spans="1:1" ht="15.75" customHeight="1">
      <c r="A433" s="14"/>
    </row>
    <row r="434" spans="1:1" ht="15.75" customHeight="1">
      <c r="A434" s="14"/>
    </row>
    <row r="435" spans="1:1" ht="15.75" customHeight="1">
      <c r="A435" s="14"/>
    </row>
    <row r="436" spans="1:1" ht="15.75" customHeight="1">
      <c r="A436" s="14"/>
    </row>
    <row r="437" spans="1:1" ht="15.75" customHeight="1">
      <c r="A437" s="14"/>
    </row>
    <row r="438" spans="1:1" ht="15.75" customHeight="1">
      <c r="A438" s="14"/>
    </row>
    <row r="439" spans="1:1" ht="15.75" customHeight="1">
      <c r="A439" s="14"/>
    </row>
    <row r="440" spans="1:1" ht="15.75" customHeight="1">
      <c r="A440" s="14"/>
    </row>
    <row r="441" spans="1:1" ht="15.75" customHeight="1">
      <c r="A441" s="14"/>
    </row>
    <row r="442" spans="1:1" ht="15.75" customHeight="1">
      <c r="A442" s="14"/>
    </row>
    <row r="443" spans="1:1" ht="15.75" customHeight="1">
      <c r="A443" s="14"/>
    </row>
    <row r="444" spans="1:1" ht="15.75" customHeight="1">
      <c r="A444" s="14"/>
    </row>
    <row r="445" spans="1:1" ht="15.75" customHeight="1">
      <c r="A445" s="14"/>
    </row>
    <row r="446" spans="1:1" ht="15.75" customHeight="1">
      <c r="A446" s="14"/>
    </row>
    <row r="447" spans="1:1" ht="15.75" customHeight="1">
      <c r="A447" s="14"/>
    </row>
    <row r="448" spans="1:1" ht="15.75" customHeight="1">
      <c r="A448" s="14"/>
    </row>
    <row r="449" spans="1:1" ht="15.75" customHeight="1">
      <c r="A449" s="14"/>
    </row>
    <row r="450" spans="1:1" ht="15.75" customHeight="1">
      <c r="A450" s="14"/>
    </row>
    <row r="451" spans="1:1" ht="15.75" customHeight="1">
      <c r="A451" s="14"/>
    </row>
    <row r="452" spans="1:1" ht="15.75" customHeight="1">
      <c r="A452" s="14"/>
    </row>
    <row r="453" spans="1:1" ht="15.75" customHeight="1">
      <c r="A453" s="14"/>
    </row>
    <row r="454" spans="1:1" ht="15.75" customHeight="1">
      <c r="A454" s="14"/>
    </row>
    <row r="455" spans="1:1" ht="15.75" customHeight="1">
      <c r="A455" s="14"/>
    </row>
    <row r="456" spans="1:1" ht="15.75" customHeight="1">
      <c r="A456" s="14"/>
    </row>
    <row r="457" spans="1:1" ht="15.75" customHeight="1">
      <c r="A457" s="14"/>
    </row>
    <row r="458" spans="1:1" ht="15.75" customHeight="1">
      <c r="A458" s="14"/>
    </row>
    <row r="459" spans="1:1" ht="15.75" customHeight="1">
      <c r="A459" s="14"/>
    </row>
    <row r="460" spans="1:1" ht="15.75" customHeight="1">
      <c r="A460" s="14"/>
    </row>
    <row r="461" spans="1:1" ht="15.75" customHeight="1">
      <c r="A461" s="14"/>
    </row>
    <row r="462" spans="1:1" ht="15.75" customHeight="1">
      <c r="A462" s="14"/>
    </row>
    <row r="463" spans="1:1" ht="15.75" customHeight="1">
      <c r="A463" s="14"/>
    </row>
    <row r="464" spans="1:1" ht="15.75" customHeight="1">
      <c r="A464" s="14"/>
    </row>
    <row r="465" spans="1:1" ht="15.75" customHeight="1">
      <c r="A465" s="14"/>
    </row>
    <row r="466" spans="1:1" ht="15.75" customHeight="1">
      <c r="A466" s="14"/>
    </row>
    <row r="467" spans="1:1" ht="15.75" customHeight="1">
      <c r="A467" s="14"/>
    </row>
    <row r="468" spans="1:1" ht="15.75" customHeight="1">
      <c r="A468" s="14"/>
    </row>
    <row r="469" spans="1:1" ht="15.75" customHeight="1">
      <c r="A469" s="14"/>
    </row>
    <row r="470" spans="1:1" ht="15.75" customHeight="1">
      <c r="A470" s="14"/>
    </row>
    <row r="471" spans="1:1" ht="15.75" customHeight="1">
      <c r="A471" s="14"/>
    </row>
    <row r="472" spans="1:1" ht="15.75" customHeight="1">
      <c r="A472" s="14"/>
    </row>
    <row r="473" spans="1:1" ht="15.75" customHeight="1">
      <c r="A473" s="14"/>
    </row>
    <row r="474" spans="1:1" ht="15.75" customHeight="1">
      <c r="A474" s="14"/>
    </row>
    <row r="475" spans="1:1" ht="15.75" customHeight="1">
      <c r="A475" s="14"/>
    </row>
    <row r="476" spans="1:1" ht="15.75" customHeight="1">
      <c r="A476" s="14"/>
    </row>
    <row r="477" spans="1:1" ht="15.75" customHeight="1">
      <c r="A477" s="14"/>
    </row>
    <row r="478" spans="1:1" ht="15.75" customHeight="1">
      <c r="A478" s="14"/>
    </row>
    <row r="479" spans="1:1" ht="15.75" customHeight="1">
      <c r="A479" s="14"/>
    </row>
    <row r="480" spans="1:1" ht="15.75" customHeight="1">
      <c r="A480" s="14"/>
    </row>
    <row r="481" spans="1:1" ht="15.75" customHeight="1">
      <c r="A481" s="14"/>
    </row>
    <row r="482" spans="1:1" ht="15.75" customHeight="1">
      <c r="A482" s="14"/>
    </row>
    <row r="483" spans="1:1" ht="15.75" customHeight="1">
      <c r="A483" s="14"/>
    </row>
    <row r="484" spans="1:1" ht="15.75" customHeight="1">
      <c r="A484" s="14"/>
    </row>
    <row r="485" spans="1:1" ht="15.75" customHeight="1">
      <c r="A485" s="14"/>
    </row>
    <row r="486" spans="1:1" ht="15.75" customHeight="1">
      <c r="A486" s="14"/>
    </row>
    <row r="487" spans="1:1" ht="15.75" customHeight="1">
      <c r="A487" s="14"/>
    </row>
    <row r="488" spans="1:1" ht="15.75" customHeight="1">
      <c r="A488" s="14"/>
    </row>
    <row r="489" spans="1:1" ht="15.75" customHeight="1">
      <c r="A489" s="14"/>
    </row>
    <row r="490" spans="1:1" ht="15.75" customHeight="1">
      <c r="A490" s="14"/>
    </row>
    <row r="491" spans="1:1" ht="15.75" customHeight="1">
      <c r="A491" s="14"/>
    </row>
    <row r="492" spans="1:1" ht="15.75" customHeight="1">
      <c r="A492" s="14"/>
    </row>
    <row r="493" spans="1:1" ht="15.75" customHeight="1">
      <c r="A493" s="14"/>
    </row>
    <row r="494" spans="1:1" ht="15.75" customHeight="1">
      <c r="A494" s="14"/>
    </row>
    <row r="495" spans="1:1" ht="15.75" customHeight="1">
      <c r="A495" s="14"/>
    </row>
    <row r="496" spans="1:1" ht="15.75" customHeight="1">
      <c r="A496" s="14"/>
    </row>
    <row r="497" spans="1:1" ht="15.75" customHeight="1">
      <c r="A497" s="14"/>
    </row>
    <row r="498" spans="1:1" ht="15.75" customHeight="1">
      <c r="A498" s="14"/>
    </row>
    <row r="499" spans="1:1" ht="15.75" customHeight="1">
      <c r="A499" s="14"/>
    </row>
    <row r="500" spans="1:1" ht="15.75" customHeight="1">
      <c r="A500" s="14"/>
    </row>
    <row r="501" spans="1:1" ht="15.75" customHeight="1">
      <c r="A501" s="14"/>
    </row>
    <row r="502" spans="1:1" ht="15.75" customHeight="1">
      <c r="A502" s="14"/>
    </row>
    <row r="503" spans="1:1" ht="15.75" customHeight="1">
      <c r="A503" s="14"/>
    </row>
    <row r="504" spans="1:1" ht="15.75" customHeight="1">
      <c r="A504" s="14"/>
    </row>
    <row r="505" spans="1:1" ht="15.75" customHeight="1">
      <c r="A505" s="14"/>
    </row>
    <row r="506" spans="1:1" ht="15.75" customHeight="1">
      <c r="A506" s="14"/>
    </row>
    <row r="507" spans="1:1" ht="15.75" customHeight="1">
      <c r="A507" s="14"/>
    </row>
    <row r="508" spans="1:1" ht="15.75" customHeight="1">
      <c r="A508" s="14"/>
    </row>
    <row r="509" spans="1:1" ht="15.75" customHeight="1">
      <c r="A509" s="14"/>
    </row>
    <row r="510" spans="1:1" ht="15.75" customHeight="1">
      <c r="A510" s="14"/>
    </row>
    <row r="511" spans="1:1" ht="15.75" customHeight="1">
      <c r="A511" s="14"/>
    </row>
    <row r="512" spans="1:1" ht="15.75" customHeight="1">
      <c r="A512" s="14"/>
    </row>
    <row r="513" spans="1:1" ht="15.75" customHeight="1">
      <c r="A513" s="14"/>
    </row>
    <row r="514" spans="1:1" ht="15.75" customHeight="1">
      <c r="A514" s="14"/>
    </row>
    <row r="515" spans="1:1" ht="15.75" customHeight="1">
      <c r="A515" s="14"/>
    </row>
    <row r="516" spans="1:1" ht="15.75" customHeight="1">
      <c r="A516" s="14"/>
    </row>
    <row r="517" spans="1:1" ht="15.75" customHeight="1">
      <c r="A517" s="14"/>
    </row>
    <row r="518" spans="1:1" ht="15.75" customHeight="1">
      <c r="A518" s="14"/>
    </row>
    <row r="519" spans="1:1" ht="15.75" customHeight="1">
      <c r="A519" s="14"/>
    </row>
    <row r="520" spans="1:1" ht="15.75" customHeight="1">
      <c r="A520" s="14"/>
    </row>
    <row r="521" spans="1:1" ht="15.75" customHeight="1">
      <c r="A521" s="14"/>
    </row>
    <row r="522" spans="1:1" ht="15.75" customHeight="1">
      <c r="A522" s="14"/>
    </row>
    <row r="523" spans="1:1" ht="15.75" customHeight="1">
      <c r="A523" s="14"/>
    </row>
    <row r="524" spans="1:1" ht="15.75" customHeight="1">
      <c r="A524" s="14"/>
    </row>
    <row r="525" spans="1:1" ht="15.75" customHeight="1">
      <c r="A525" s="14"/>
    </row>
    <row r="526" spans="1:1" ht="15.75" customHeight="1">
      <c r="A526" s="14"/>
    </row>
    <row r="527" spans="1:1" ht="15.75" customHeight="1">
      <c r="A527" s="14"/>
    </row>
    <row r="528" spans="1:1" ht="15.75" customHeight="1">
      <c r="A528" s="14"/>
    </row>
    <row r="529" spans="1:1" ht="15.75" customHeight="1">
      <c r="A529" s="14"/>
    </row>
    <row r="530" spans="1:1" ht="15.75" customHeight="1">
      <c r="A530" s="14"/>
    </row>
    <row r="531" spans="1:1" ht="15.75" customHeight="1">
      <c r="A531" s="14"/>
    </row>
    <row r="532" spans="1:1" ht="15.75" customHeight="1">
      <c r="A532" s="14"/>
    </row>
    <row r="533" spans="1:1" ht="15.75" customHeight="1">
      <c r="A533" s="14"/>
    </row>
    <row r="534" spans="1:1" ht="15.75" customHeight="1">
      <c r="A534" s="14"/>
    </row>
    <row r="535" spans="1:1" ht="15.75" customHeight="1">
      <c r="A535" s="14"/>
    </row>
    <row r="536" spans="1:1" ht="15.75" customHeight="1">
      <c r="A536" s="14"/>
    </row>
    <row r="537" spans="1:1" ht="15.75" customHeight="1">
      <c r="A537" s="14"/>
    </row>
    <row r="538" spans="1:1" ht="15.75" customHeight="1">
      <c r="A538" s="14"/>
    </row>
    <row r="539" spans="1:1" ht="15.75" customHeight="1">
      <c r="A539" s="14"/>
    </row>
    <row r="540" spans="1:1" ht="15.75" customHeight="1">
      <c r="A540" s="14"/>
    </row>
    <row r="541" spans="1:1" ht="15.75" customHeight="1">
      <c r="A541" s="14"/>
    </row>
    <row r="542" spans="1:1" ht="15.75" customHeight="1">
      <c r="A542" s="14"/>
    </row>
    <row r="543" spans="1:1" ht="15.75" customHeight="1">
      <c r="A543" s="14"/>
    </row>
    <row r="544" spans="1:1" ht="15.75" customHeight="1">
      <c r="A544" s="14"/>
    </row>
    <row r="545" spans="1:1" ht="15.75" customHeight="1">
      <c r="A545" s="14"/>
    </row>
    <row r="546" spans="1:1" ht="15.75" customHeight="1">
      <c r="A546" s="14"/>
    </row>
    <row r="547" spans="1:1" ht="15.75" customHeight="1">
      <c r="A547" s="14"/>
    </row>
    <row r="548" spans="1:1" ht="15.75" customHeight="1">
      <c r="A548" s="14"/>
    </row>
    <row r="549" spans="1:1" ht="15.75" customHeight="1">
      <c r="A549" s="14"/>
    </row>
    <row r="550" spans="1:1" ht="15.75" customHeight="1">
      <c r="A550" s="14"/>
    </row>
    <row r="551" spans="1:1" ht="15.75" customHeight="1">
      <c r="A551" s="14"/>
    </row>
    <row r="552" spans="1:1" ht="15.75" customHeight="1">
      <c r="A552" s="14"/>
    </row>
    <row r="553" spans="1:1" ht="15.75" customHeight="1">
      <c r="A553" s="14"/>
    </row>
    <row r="554" spans="1:1" ht="15.75" customHeight="1">
      <c r="A554" s="14"/>
    </row>
    <row r="555" spans="1:1" ht="15.75" customHeight="1">
      <c r="A555" s="14"/>
    </row>
    <row r="556" spans="1:1" ht="15.75" customHeight="1">
      <c r="A556" s="14"/>
    </row>
    <row r="557" spans="1:1" ht="15.75" customHeight="1">
      <c r="A557" s="14"/>
    </row>
    <row r="558" spans="1:1" ht="15.75" customHeight="1">
      <c r="A558" s="14"/>
    </row>
    <row r="559" spans="1:1" ht="15.75" customHeight="1">
      <c r="A559" s="14"/>
    </row>
    <row r="560" spans="1:1" ht="15.75" customHeight="1">
      <c r="A560" s="14"/>
    </row>
    <row r="561" spans="1:1" ht="15.75" customHeight="1">
      <c r="A561" s="14"/>
    </row>
    <row r="562" spans="1:1" ht="15.75" customHeight="1">
      <c r="A562" s="14"/>
    </row>
    <row r="563" spans="1:1" ht="15.75" customHeight="1">
      <c r="A563" s="14"/>
    </row>
    <row r="564" spans="1:1" ht="15.75" customHeight="1">
      <c r="A564" s="14"/>
    </row>
    <row r="565" spans="1:1" ht="15.75" customHeight="1">
      <c r="A565" s="14"/>
    </row>
    <row r="566" spans="1:1" ht="15.75" customHeight="1">
      <c r="A566" s="14"/>
    </row>
    <row r="567" spans="1:1" ht="15.75" customHeight="1">
      <c r="A567" s="14"/>
    </row>
    <row r="568" spans="1:1" ht="15.75" customHeight="1">
      <c r="A568" s="14"/>
    </row>
    <row r="569" spans="1:1" ht="15.75" customHeight="1">
      <c r="A569" s="14"/>
    </row>
    <row r="570" spans="1:1" ht="15.75" customHeight="1">
      <c r="A570" s="14"/>
    </row>
    <row r="571" spans="1:1" ht="15.75" customHeight="1">
      <c r="A571" s="14"/>
    </row>
    <row r="572" spans="1:1" ht="15.75" customHeight="1">
      <c r="A572" s="14"/>
    </row>
    <row r="573" spans="1:1" ht="15.75" customHeight="1">
      <c r="A573" s="14"/>
    </row>
    <row r="574" spans="1:1" ht="15.75" customHeight="1">
      <c r="A574" s="14"/>
    </row>
    <row r="575" spans="1:1" ht="15.75" customHeight="1">
      <c r="A575" s="14"/>
    </row>
    <row r="576" spans="1:1" ht="15.75" customHeight="1">
      <c r="A576" s="14"/>
    </row>
    <row r="577" spans="1:1" ht="15.75" customHeight="1">
      <c r="A577" s="14"/>
    </row>
    <row r="578" spans="1:1" ht="15.75" customHeight="1">
      <c r="A578" s="14"/>
    </row>
    <row r="579" spans="1:1" ht="15.75" customHeight="1">
      <c r="A579" s="14"/>
    </row>
    <row r="580" spans="1:1" ht="15.75" customHeight="1">
      <c r="A580" s="14"/>
    </row>
    <row r="581" spans="1:1" ht="15.75" customHeight="1">
      <c r="A581" s="14"/>
    </row>
    <row r="582" spans="1:1" ht="15.75" customHeight="1">
      <c r="A582" s="14"/>
    </row>
    <row r="583" spans="1:1" ht="15.75" customHeight="1">
      <c r="A583" s="14"/>
    </row>
    <row r="584" spans="1:1" ht="15.75" customHeight="1">
      <c r="A584" s="14"/>
    </row>
    <row r="585" spans="1:1" ht="15.75" customHeight="1">
      <c r="A585" s="14"/>
    </row>
    <row r="586" spans="1:1" ht="15.75" customHeight="1">
      <c r="A586" s="14"/>
    </row>
    <row r="587" spans="1:1" ht="15.75" customHeight="1">
      <c r="A587" s="14"/>
    </row>
    <row r="588" spans="1:1" ht="15.75" customHeight="1">
      <c r="A588" s="14"/>
    </row>
    <row r="589" spans="1:1" ht="15.75" customHeight="1">
      <c r="A589" s="14"/>
    </row>
    <row r="590" spans="1:1" ht="15.75" customHeight="1">
      <c r="A590" s="14"/>
    </row>
    <row r="591" spans="1:1" ht="15.75" customHeight="1">
      <c r="A591" s="14"/>
    </row>
    <row r="592" spans="1:1" ht="15.75" customHeight="1">
      <c r="A592" s="14"/>
    </row>
    <row r="593" spans="1:1" ht="15.75" customHeight="1">
      <c r="A593" s="14"/>
    </row>
    <row r="594" spans="1:1" ht="15.75" customHeight="1">
      <c r="A594" s="14"/>
    </row>
    <row r="595" spans="1:1" ht="15.75" customHeight="1">
      <c r="A595" s="14"/>
    </row>
    <row r="596" spans="1:1" ht="15.75" customHeight="1">
      <c r="A596" s="14"/>
    </row>
    <row r="597" spans="1:1" ht="15.75" customHeight="1">
      <c r="A597" s="14"/>
    </row>
    <row r="598" spans="1:1" ht="15.75" customHeight="1">
      <c r="A598" s="14"/>
    </row>
    <row r="599" spans="1:1" ht="15.75" customHeight="1">
      <c r="A599" s="14"/>
    </row>
    <row r="600" spans="1:1" ht="15.75" customHeight="1">
      <c r="A600" s="14"/>
    </row>
    <row r="601" spans="1:1" ht="15.75" customHeight="1">
      <c r="A601" s="14"/>
    </row>
    <row r="602" spans="1:1" ht="15.75" customHeight="1">
      <c r="A602" s="14"/>
    </row>
    <row r="603" spans="1:1" ht="15.75" customHeight="1">
      <c r="A603" s="14"/>
    </row>
    <row r="604" spans="1:1" ht="15.75" customHeight="1">
      <c r="A604" s="14"/>
    </row>
    <row r="605" spans="1:1" ht="15.75" customHeight="1">
      <c r="A605" s="14"/>
    </row>
    <row r="606" spans="1:1" ht="15.75" customHeight="1">
      <c r="A606" s="14"/>
    </row>
    <row r="607" spans="1:1" ht="15.75" customHeight="1">
      <c r="A607" s="14"/>
    </row>
    <row r="608" spans="1:1" ht="15.75" customHeight="1">
      <c r="A608" s="14"/>
    </row>
    <row r="609" spans="1:1" ht="15.75" customHeight="1">
      <c r="A609" s="14"/>
    </row>
    <row r="610" spans="1:1" ht="15.75" customHeight="1">
      <c r="A610" s="14"/>
    </row>
    <row r="611" spans="1:1" ht="15.75" customHeight="1">
      <c r="A611" s="14"/>
    </row>
    <row r="612" spans="1:1" ht="15.75" customHeight="1">
      <c r="A612" s="14"/>
    </row>
    <row r="613" spans="1:1" ht="15.75" customHeight="1">
      <c r="A613" s="14"/>
    </row>
    <row r="614" spans="1:1" ht="15.75" customHeight="1">
      <c r="A614" s="14"/>
    </row>
    <row r="615" spans="1:1" ht="15.75" customHeight="1">
      <c r="A615" s="14"/>
    </row>
    <row r="616" spans="1:1" ht="15.75" customHeight="1">
      <c r="A616" s="14"/>
    </row>
    <row r="617" spans="1:1" ht="15.75" customHeight="1">
      <c r="A617" s="14"/>
    </row>
    <row r="618" spans="1:1" ht="15.75" customHeight="1">
      <c r="A618" s="14"/>
    </row>
    <row r="619" spans="1:1" ht="15.75" customHeight="1">
      <c r="A619" s="14"/>
    </row>
    <row r="620" spans="1:1" ht="15.75" customHeight="1">
      <c r="A620" s="14"/>
    </row>
    <row r="621" spans="1:1" ht="15.75" customHeight="1">
      <c r="A621" s="14"/>
    </row>
    <row r="622" spans="1:1" ht="15.75" customHeight="1">
      <c r="A622" s="14"/>
    </row>
    <row r="623" spans="1:1" ht="15.75" customHeight="1">
      <c r="A623" s="14"/>
    </row>
    <row r="624" spans="1:1" ht="15.75" customHeight="1">
      <c r="A624" s="14"/>
    </row>
    <row r="625" spans="1:1" ht="15.75" customHeight="1">
      <c r="A625" s="14"/>
    </row>
    <row r="626" spans="1:1" ht="15.75" customHeight="1">
      <c r="A626" s="14"/>
    </row>
    <row r="627" spans="1:1" ht="15.75" customHeight="1">
      <c r="A627" s="14"/>
    </row>
    <row r="628" spans="1:1" ht="15.75" customHeight="1">
      <c r="A628" s="14"/>
    </row>
    <row r="629" spans="1:1" ht="15.75" customHeight="1">
      <c r="A629" s="14"/>
    </row>
    <row r="630" spans="1:1" ht="15.75" customHeight="1">
      <c r="A630" s="14"/>
    </row>
    <row r="631" spans="1:1" ht="15.75" customHeight="1">
      <c r="A631" s="14"/>
    </row>
    <row r="632" spans="1:1" ht="15.75" customHeight="1">
      <c r="A632" s="14"/>
    </row>
    <row r="633" spans="1:1" ht="15.75" customHeight="1">
      <c r="A633" s="14"/>
    </row>
    <row r="634" spans="1:1" ht="15.75" customHeight="1">
      <c r="A634" s="14"/>
    </row>
    <row r="635" spans="1:1" ht="15.75" customHeight="1">
      <c r="A635" s="14"/>
    </row>
    <row r="636" spans="1:1" ht="15.75" customHeight="1">
      <c r="A636" s="14"/>
    </row>
    <row r="637" spans="1:1" ht="15.75" customHeight="1">
      <c r="A637" s="14"/>
    </row>
    <row r="638" spans="1:1" ht="15.75" customHeight="1">
      <c r="A638" s="14"/>
    </row>
    <row r="639" spans="1:1" ht="15.75" customHeight="1">
      <c r="A639" s="14"/>
    </row>
    <row r="640" spans="1:1" ht="15.75" customHeight="1">
      <c r="A640" s="14"/>
    </row>
    <row r="641" spans="1:1" ht="15.75" customHeight="1">
      <c r="A641" s="14"/>
    </row>
    <row r="642" spans="1:1" ht="15.75" customHeight="1">
      <c r="A642" s="14"/>
    </row>
    <row r="643" spans="1:1" ht="15.75" customHeight="1">
      <c r="A643" s="14"/>
    </row>
    <row r="644" spans="1:1" ht="15.75" customHeight="1">
      <c r="A644" s="14"/>
    </row>
    <row r="645" spans="1:1" ht="15.75" customHeight="1">
      <c r="A645" s="14"/>
    </row>
    <row r="646" spans="1:1" ht="15.75" customHeight="1">
      <c r="A646" s="14"/>
    </row>
    <row r="647" spans="1:1" ht="15.75" customHeight="1">
      <c r="A647" s="14"/>
    </row>
    <row r="648" spans="1:1" ht="15.75" customHeight="1">
      <c r="A648" s="14"/>
    </row>
    <row r="649" spans="1:1" ht="15.75" customHeight="1">
      <c r="A649" s="14"/>
    </row>
    <row r="650" spans="1:1" ht="15.75" customHeight="1">
      <c r="A650" s="14"/>
    </row>
    <row r="651" spans="1:1" ht="15.75" customHeight="1">
      <c r="A651" s="14"/>
    </row>
    <row r="652" spans="1:1" ht="15.75" customHeight="1">
      <c r="A652" s="14"/>
    </row>
    <row r="653" spans="1:1" ht="15.75" customHeight="1">
      <c r="A653" s="14"/>
    </row>
    <row r="654" spans="1:1" ht="15.75" customHeight="1">
      <c r="A654" s="14"/>
    </row>
    <row r="655" spans="1:1" ht="15.75" customHeight="1">
      <c r="A655" s="14"/>
    </row>
    <row r="656" spans="1:1" ht="15.75" customHeight="1">
      <c r="A656" s="14"/>
    </row>
    <row r="657" spans="1:1" ht="15.75" customHeight="1">
      <c r="A657" s="14"/>
    </row>
    <row r="658" spans="1:1" ht="15.75" customHeight="1">
      <c r="A658" s="14"/>
    </row>
    <row r="659" spans="1:1" ht="15.75" customHeight="1">
      <c r="A659" s="14"/>
    </row>
    <row r="660" spans="1:1" ht="15.75" customHeight="1">
      <c r="A660" s="14"/>
    </row>
    <row r="661" spans="1:1" ht="15.75" customHeight="1">
      <c r="A661" s="14"/>
    </row>
    <row r="662" spans="1:1" ht="15.75" customHeight="1">
      <c r="A662" s="14"/>
    </row>
    <row r="663" spans="1:1" ht="15.75" customHeight="1">
      <c r="A663" s="14"/>
    </row>
    <row r="664" spans="1:1" ht="15.75" customHeight="1">
      <c r="A664" s="14"/>
    </row>
    <row r="665" spans="1:1" ht="15.75" customHeight="1">
      <c r="A665" s="14"/>
    </row>
    <row r="666" spans="1:1" ht="15.75" customHeight="1">
      <c r="A666" s="14"/>
    </row>
    <row r="667" spans="1:1" ht="15.75" customHeight="1">
      <c r="A667" s="14"/>
    </row>
    <row r="668" spans="1:1" ht="15.75" customHeight="1">
      <c r="A668" s="14"/>
    </row>
    <row r="669" spans="1:1" ht="15.75" customHeight="1">
      <c r="A669" s="14"/>
    </row>
    <row r="670" spans="1:1" ht="15.75" customHeight="1">
      <c r="A670" s="14"/>
    </row>
    <row r="671" spans="1:1" ht="15.75" customHeight="1">
      <c r="A671" s="14"/>
    </row>
    <row r="672" spans="1:1" ht="15.75" customHeight="1">
      <c r="A672" s="14"/>
    </row>
    <row r="673" spans="1:1" ht="15.75" customHeight="1">
      <c r="A673" s="14"/>
    </row>
    <row r="674" spans="1:1" ht="15.75" customHeight="1">
      <c r="A674" s="14"/>
    </row>
    <row r="675" spans="1:1" ht="15.75" customHeight="1">
      <c r="A675" s="14"/>
    </row>
    <row r="676" spans="1:1" ht="15.75" customHeight="1">
      <c r="A676" s="14"/>
    </row>
    <row r="677" spans="1:1" ht="15.75" customHeight="1">
      <c r="A677" s="14"/>
    </row>
    <row r="678" spans="1:1" ht="15.75" customHeight="1">
      <c r="A678" s="14"/>
    </row>
    <row r="679" spans="1:1" ht="15.75" customHeight="1">
      <c r="A679" s="14"/>
    </row>
    <row r="680" spans="1:1" ht="15.75" customHeight="1">
      <c r="A680" s="14"/>
    </row>
    <row r="681" spans="1:1" ht="15.75" customHeight="1">
      <c r="A681" s="14"/>
    </row>
    <row r="682" spans="1:1" ht="15.75" customHeight="1">
      <c r="A682" s="14"/>
    </row>
    <row r="683" spans="1:1" ht="15.75" customHeight="1">
      <c r="A683" s="14"/>
    </row>
    <row r="684" spans="1:1" ht="15.75" customHeight="1">
      <c r="A684" s="14"/>
    </row>
    <row r="685" spans="1:1" ht="15.75" customHeight="1">
      <c r="A685" s="14"/>
    </row>
    <row r="686" spans="1:1" ht="15.75" customHeight="1">
      <c r="A686" s="14"/>
    </row>
    <row r="687" spans="1:1" ht="15.75" customHeight="1">
      <c r="A687" s="14"/>
    </row>
    <row r="688" spans="1:1" ht="15.75" customHeight="1">
      <c r="A688" s="14"/>
    </row>
    <row r="689" spans="1:1" ht="15.75" customHeight="1">
      <c r="A689" s="14"/>
    </row>
    <row r="690" spans="1:1" ht="15.75" customHeight="1">
      <c r="A690" s="14"/>
    </row>
    <row r="691" spans="1:1" ht="15.75" customHeight="1">
      <c r="A691" s="14"/>
    </row>
    <row r="692" spans="1:1" ht="15.75" customHeight="1">
      <c r="A692" s="14"/>
    </row>
    <row r="693" spans="1:1" ht="15.75" customHeight="1">
      <c r="A693" s="14"/>
    </row>
    <row r="694" spans="1:1" ht="15.75" customHeight="1">
      <c r="A694" s="14"/>
    </row>
    <row r="695" spans="1:1" ht="15.75" customHeight="1">
      <c r="A695" s="14"/>
    </row>
    <row r="696" spans="1:1" ht="15.75" customHeight="1">
      <c r="A696" s="14"/>
    </row>
    <row r="697" spans="1:1" ht="15.75" customHeight="1">
      <c r="A697" s="14"/>
    </row>
    <row r="698" spans="1:1" ht="15.75" customHeight="1">
      <c r="A698" s="14"/>
    </row>
    <row r="699" spans="1:1" ht="15.75" customHeight="1">
      <c r="A699" s="14"/>
    </row>
    <row r="700" spans="1:1" ht="15.75" customHeight="1">
      <c r="A700" s="14"/>
    </row>
    <row r="701" spans="1:1" ht="15.75" customHeight="1">
      <c r="A701" s="14"/>
    </row>
    <row r="702" spans="1:1" ht="15.75" customHeight="1">
      <c r="A702" s="14"/>
    </row>
    <row r="703" spans="1:1" ht="15.75" customHeight="1">
      <c r="A703" s="14"/>
    </row>
    <row r="704" spans="1:1" ht="15.75" customHeight="1">
      <c r="A704" s="14"/>
    </row>
    <row r="705" spans="1:1" ht="15.75" customHeight="1">
      <c r="A705" s="14"/>
    </row>
    <row r="706" spans="1:1" ht="15.75" customHeight="1">
      <c r="A706" s="14"/>
    </row>
    <row r="707" spans="1:1" ht="15.75" customHeight="1">
      <c r="A707" s="14"/>
    </row>
    <row r="708" spans="1:1" ht="15.75" customHeight="1">
      <c r="A708" s="14"/>
    </row>
    <row r="709" spans="1:1" ht="15.75" customHeight="1">
      <c r="A709" s="14"/>
    </row>
    <row r="710" spans="1:1" ht="15.75" customHeight="1">
      <c r="A710" s="14"/>
    </row>
    <row r="711" spans="1:1" ht="15.75" customHeight="1">
      <c r="A711" s="14"/>
    </row>
    <row r="712" spans="1:1" ht="15.75" customHeight="1">
      <c r="A712" s="14"/>
    </row>
    <row r="713" spans="1:1" ht="15.75" customHeight="1">
      <c r="A713" s="14"/>
    </row>
    <row r="714" spans="1:1" ht="15.75" customHeight="1">
      <c r="A714" s="14"/>
    </row>
    <row r="715" spans="1:1" ht="15.75" customHeight="1">
      <c r="A715" s="14"/>
    </row>
    <row r="716" spans="1:1" ht="15.75" customHeight="1">
      <c r="A716" s="14"/>
    </row>
    <row r="717" spans="1:1" ht="15.75" customHeight="1">
      <c r="A717" s="14"/>
    </row>
    <row r="718" spans="1:1" ht="15.75" customHeight="1">
      <c r="A718" s="14"/>
    </row>
    <row r="719" spans="1:1" ht="15.75" customHeight="1">
      <c r="A719" s="14"/>
    </row>
    <row r="720" spans="1:1" ht="15.75" customHeight="1">
      <c r="A720" s="14"/>
    </row>
    <row r="721" spans="1:1" ht="15.75" customHeight="1">
      <c r="A721" s="14"/>
    </row>
    <row r="722" spans="1:1" ht="15.75" customHeight="1">
      <c r="A722" s="14"/>
    </row>
    <row r="723" spans="1:1" ht="15.75" customHeight="1">
      <c r="A723" s="14"/>
    </row>
    <row r="724" spans="1:1" ht="15.75" customHeight="1">
      <c r="A724" s="14"/>
    </row>
    <row r="725" spans="1:1" ht="15.75" customHeight="1">
      <c r="A725" s="14"/>
    </row>
    <row r="726" spans="1:1" ht="15.75" customHeight="1">
      <c r="A726" s="14"/>
    </row>
    <row r="727" spans="1:1" ht="15.75" customHeight="1">
      <c r="A727" s="14"/>
    </row>
    <row r="728" spans="1:1" ht="15.75" customHeight="1">
      <c r="A728" s="14"/>
    </row>
    <row r="729" spans="1:1" ht="15.75" customHeight="1">
      <c r="A729" s="14"/>
    </row>
    <row r="730" spans="1:1" ht="15.75" customHeight="1">
      <c r="A730" s="14"/>
    </row>
    <row r="731" spans="1:1" ht="15.75" customHeight="1">
      <c r="A731" s="14"/>
    </row>
    <row r="732" spans="1:1" ht="15.75" customHeight="1">
      <c r="A732" s="14"/>
    </row>
    <row r="733" spans="1:1" ht="15.75" customHeight="1">
      <c r="A733" s="14"/>
    </row>
    <row r="734" spans="1:1" ht="15.75" customHeight="1">
      <c r="A734" s="14"/>
    </row>
    <row r="735" spans="1:1" ht="15.75" customHeight="1">
      <c r="A735" s="14"/>
    </row>
    <row r="736" spans="1:1" ht="15.75" customHeight="1">
      <c r="A736" s="14"/>
    </row>
    <row r="737" spans="1:1" ht="15.75" customHeight="1">
      <c r="A737" s="14"/>
    </row>
    <row r="738" spans="1:1" ht="15.75" customHeight="1">
      <c r="A738" s="14"/>
    </row>
    <row r="739" spans="1:1" ht="15.75" customHeight="1">
      <c r="A739" s="14"/>
    </row>
    <row r="740" spans="1:1" ht="15.75" customHeight="1">
      <c r="A740" s="14"/>
    </row>
    <row r="741" spans="1:1" ht="15.75" customHeight="1">
      <c r="A741" s="14"/>
    </row>
    <row r="742" spans="1:1" ht="15.75" customHeight="1">
      <c r="A742" s="14"/>
    </row>
    <row r="743" spans="1:1" ht="15.75" customHeight="1">
      <c r="A743" s="14"/>
    </row>
    <row r="744" spans="1:1" ht="15.75" customHeight="1">
      <c r="A744" s="14"/>
    </row>
    <row r="745" spans="1:1" ht="15.75" customHeight="1">
      <c r="A745" s="14"/>
    </row>
    <row r="746" spans="1:1" ht="15.75" customHeight="1">
      <c r="A746" s="14"/>
    </row>
    <row r="747" spans="1:1" ht="15.75" customHeight="1">
      <c r="A747" s="14"/>
    </row>
    <row r="748" spans="1:1" ht="15.75" customHeight="1">
      <c r="A748" s="14"/>
    </row>
    <row r="749" spans="1:1" ht="15.75" customHeight="1">
      <c r="A749" s="14"/>
    </row>
    <row r="750" spans="1:1" ht="15.75" customHeight="1">
      <c r="A750" s="14"/>
    </row>
    <row r="751" spans="1:1" ht="15.75" customHeight="1">
      <c r="A751" s="14"/>
    </row>
    <row r="752" spans="1:1" ht="15.75" customHeight="1">
      <c r="A752" s="14"/>
    </row>
    <row r="753" spans="1:1" ht="15.75" customHeight="1">
      <c r="A753" s="14"/>
    </row>
    <row r="754" spans="1:1" ht="15.75" customHeight="1">
      <c r="A754" s="14"/>
    </row>
    <row r="755" spans="1:1" ht="15.75" customHeight="1">
      <c r="A755" s="14"/>
    </row>
    <row r="756" spans="1:1" ht="15.75" customHeight="1">
      <c r="A756" s="14"/>
    </row>
    <row r="757" spans="1:1" ht="15.75" customHeight="1">
      <c r="A757" s="14"/>
    </row>
    <row r="758" spans="1:1" ht="15.75" customHeight="1">
      <c r="A758" s="14"/>
    </row>
    <row r="759" spans="1:1" ht="15.75" customHeight="1">
      <c r="A759" s="14"/>
    </row>
    <row r="760" spans="1:1" ht="15.75" customHeight="1">
      <c r="A760" s="14"/>
    </row>
    <row r="761" spans="1:1" ht="15.75" customHeight="1">
      <c r="A761" s="14"/>
    </row>
    <row r="762" spans="1:1" ht="15.75" customHeight="1">
      <c r="A762" s="14"/>
    </row>
    <row r="763" spans="1:1" ht="15.75" customHeight="1">
      <c r="A763" s="14"/>
    </row>
    <row r="764" spans="1:1" ht="15.75" customHeight="1">
      <c r="A764" s="14"/>
    </row>
    <row r="765" spans="1:1" ht="15.75" customHeight="1">
      <c r="A765" s="14"/>
    </row>
    <row r="766" spans="1:1" ht="15.75" customHeight="1">
      <c r="A766" s="14"/>
    </row>
    <row r="767" spans="1:1" ht="15.75" customHeight="1">
      <c r="A767" s="14"/>
    </row>
    <row r="768" spans="1:1" ht="15.75" customHeight="1">
      <c r="A768" s="14"/>
    </row>
    <row r="769" spans="1:1" ht="15.75" customHeight="1">
      <c r="A769" s="14"/>
    </row>
    <row r="770" spans="1:1" ht="15.75" customHeight="1">
      <c r="A770" s="14"/>
    </row>
    <row r="771" spans="1:1" ht="15.75" customHeight="1">
      <c r="A771" s="14"/>
    </row>
    <row r="772" spans="1:1" ht="15.75" customHeight="1">
      <c r="A772" s="14"/>
    </row>
    <row r="773" spans="1:1" ht="15.75" customHeight="1">
      <c r="A773" s="14"/>
    </row>
    <row r="774" spans="1:1" ht="15.75" customHeight="1">
      <c r="A774" s="14"/>
    </row>
    <row r="775" spans="1:1" ht="15.75" customHeight="1">
      <c r="A775" s="14"/>
    </row>
    <row r="776" spans="1:1" ht="15.75" customHeight="1">
      <c r="A776" s="14"/>
    </row>
    <row r="777" spans="1:1" ht="15.75" customHeight="1">
      <c r="A777" s="14"/>
    </row>
    <row r="778" spans="1:1" ht="15.75" customHeight="1">
      <c r="A778" s="14"/>
    </row>
    <row r="779" spans="1:1" ht="15.75" customHeight="1">
      <c r="A779" s="14"/>
    </row>
    <row r="780" spans="1:1" ht="15.75" customHeight="1">
      <c r="A780" s="14"/>
    </row>
    <row r="781" spans="1:1" ht="15.75" customHeight="1">
      <c r="A781" s="14"/>
    </row>
    <row r="782" spans="1:1" ht="15.75" customHeight="1">
      <c r="A782" s="14"/>
    </row>
    <row r="783" spans="1:1" ht="15.75" customHeight="1">
      <c r="A783" s="14"/>
    </row>
    <row r="784" spans="1:1" ht="15.75" customHeight="1">
      <c r="A784" s="14"/>
    </row>
    <row r="785" spans="1:1" ht="15.75" customHeight="1">
      <c r="A785" s="14"/>
    </row>
    <row r="786" spans="1:1" ht="15.75" customHeight="1">
      <c r="A786" s="14"/>
    </row>
    <row r="787" spans="1:1" ht="15.75" customHeight="1">
      <c r="A787" s="14"/>
    </row>
    <row r="788" spans="1:1" ht="15.75" customHeight="1">
      <c r="A788" s="14"/>
    </row>
    <row r="789" spans="1:1" ht="15.75" customHeight="1">
      <c r="A789" s="14"/>
    </row>
    <row r="790" spans="1:1" ht="15.75" customHeight="1">
      <c r="A790" s="14"/>
    </row>
    <row r="791" spans="1:1" ht="15.75" customHeight="1">
      <c r="A791" s="14"/>
    </row>
    <row r="792" spans="1:1" ht="15.75" customHeight="1">
      <c r="A792" s="14"/>
    </row>
    <row r="793" spans="1:1" ht="15.75" customHeight="1">
      <c r="A793" s="14"/>
    </row>
    <row r="794" spans="1:1" ht="15.75" customHeight="1">
      <c r="A794" s="14"/>
    </row>
    <row r="795" spans="1:1" ht="15.75" customHeight="1">
      <c r="A795" s="14"/>
    </row>
    <row r="796" spans="1:1" ht="15.75" customHeight="1">
      <c r="A796" s="14"/>
    </row>
    <row r="797" spans="1:1" ht="15.75" customHeight="1">
      <c r="A797" s="14"/>
    </row>
    <row r="798" spans="1:1" ht="15.75" customHeight="1">
      <c r="A798" s="14"/>
    </row>
    <row r="799" spans="1:1" ht="15.75" customHeight="1">
      <c r="A799" s="14"/>
    </row>
    <row r="800" spans="1:1" ht="15.75" customHeight="1">
      <c r="A800" s="14"/>
    </row>
    <row r="801" spans="1:1" ht="15.75" customHeight="1">
      <c r="A801" s="14"/>
    </row>
    <row r="802" spans="1:1" ht="15.75" customHeight="1">
      <c r="A802" s="14"/>
    </row>
    <row r="803" spans="1:1" ht="15.75" customHeight="1">
      <c r="A803" s="14"/>
    </row>
    <row r="804" spans="1:1" ht="15.75" customHeight="1">
      <c r="A804" s="14"/>
    </row>
    <row r="805" spans="1:1" ht="15.75" customHeight="1">
      <c r="A805" s="14"/>
    </row>
    <row r="806" spans="1:1" ht="15.75" customHeight="1">
      <c r="A806" s="14"/>
    </row>
    <row r="807" spans="1:1" ht="15.75" customHeight="1">
      <c r="A807" s="14"/>
    </row>
    <row r="808" spans="1:1" ht="15.75" customHeight="1">
      <c r="A808" s="14"/>
    </row>
    <row r="809" spans="1:1" ht="15.75" customHeight="1">
      <c r="A809" s="14"/>
    </row>
    <row r="810" spans="1:1" ht="15.75" customHeight="1">
      <c r="A810" s="14"/>
    </row>
    <row r="811" spans="1:1" ht="15.75" customHeight="1">
      <c r="A811" s="14"/>
    </row>
    <row r="812" spans="1:1" ht="15.75" customHeight="1">
      <c r="A812" s="14"/>
    </row>
    <row r="813" spans="1:1" ht="15.75" customHeight="1">
      <c r="A813" s="14"/>
    </row>
    <row r="814" spans="1:1" ht="15.75" customHeight="1">
      <c r="A814" s="14"/>
    </row>
    <row r="815" spans="1:1" ht="15.75" customHeight="1">
      <c r="A815" s="14"/>
    </row>
    <row r="816" spans="1:1" ht="15.75" customHeight="1">
      <c r="A816" s="14"/>
    </row>
    <row r="817" spans="1:1" ht="15.75" customHeight="1">
      <c r="A817" s="14"/>
    </row>
    <row r="818" spans="1:1" ht="15.75" customHeight="1">
      <c r="A818" s="14"/>
    </row>
    <row r="819" spans="1:1" ht="15.75" customHeight="1">
      <c r="A819" s="14"/>
    </row>
    <row r="820" spans="1:1" ht="15.75" customHeight="1">
      <c r="A820" s="14"/>
    </row>
    <row r="821" spans="1:1" ht="15.75" customHeight="1">
      <c r="A821" s="14"/>
    </row>
    <row r="822" spans="1:1" ht="15.75" customHeight="1">
      <c r="A822" s="14"/>
    </row>
    <row r="823" spans="1:1" ht="15.75" customHeight="1">
      <c r="A823" s="14"/>
    </row>
    <row r="824" spans="1:1" ht="15.75" customHeight="1">
      <c r="A824" s="14"/>
    </row>
    <row r="825" spans="1:1" ht="15.75" customHeight="1">
      <c r="A825" s="14"/>
    </row>
    <row r="826" spans="1:1" ht="15.75" customHeight="1">
      <c r="A826" s="14"/>
    </row>
    <row r="827" spans="1:1" ht="15.75" customHeight="1">
      <c r="A827" s="14"/>
    </row>
    <row r="828" spans="1:1" ht="15.75" customHeight="1">
      <c r="A828" s="14"/>
    </row>
    <row r="829" spans="1:1" ht="15.75" customHeight="1">
      <c r="A829" s="14"/>
    </row>
    <row r="830" spans="1:1" ht="15.75" customHeight="1">
      <c r="A830" s="14"/>
    </row>
    <row r="831" spans="1:1" ht="15.75" customHeight="1">
      <c r="A831" s="14"/>
    </row>
    <row r="832" spans="1:1" ht="15.75" customHeight="1">
      <c r="A832" s="14"/>
    </row>
    <row r="833" spans="1:1" ht="15.75" customHeight="1">
      <c r="A833" s="14"/>
    </row>
    <row r="834" spans="1:1" ht="15.75" customHeight="1">
      <c r="A834" s="14"/>
    </row>
    <row r="835" spans="1:1" ht="15.75" customHeight="1">
      <c r="A835" s="14"/>
    </row>
    <row r="836" spans="1:1" ht="15.75" customHeight="1">
      <c r="A836" s="14"/>
    </row>
    <row r="837" spans="1:1" ht="15.75" customHeight="1">
      <c r="A837" s="14"/>
    </row>
    <row r="838" spans="1:1" ht="15.75" customHeight="1">
      <c r="A838" s="14"/>
    </row>
    <row r="839" spans="1:1" ht="15.75" customHeight="1">
      <c r="A839" s="14"/>
    </row>
    <row r="840" spans="1:1" ht="15.75" customHeight="1">
      <c r="A840" s="14"/>
    </row>
    <row r="841" spans="1:1" ht="15.75" customHeight="1">
      <c r="A841" s="14"/>
    </row>
    <row r="842" spans="1:1" ht="15.75" customHeight="1">
      <c r="A842" s="14"/>
    </row>
    <row r="843" spans="1:1" ht="15.75" customHeight="1">
      <c r="A843" s="14"/>
    </row>
    <row r="844" spans="1:1" ht="15.75" customHeight="1">
      <c r="A844" s="14"/>
    </row>
    <row r="845" spans="1:1" ht="15.75" customHeight="1">
      <c r="A845" s="14"/>
    </row>
    <row r="846" spans="1:1" ht="15.75" customHeight="1">
      <c r="A846" s="14"/>
    </row>
    <row r="847" spans="1:1" ht="15.75" customHeight="1">
      <c r="A847" s="14"/>
    </row>
    <row r="848" spans="1:1" ht="15.75" customHeight="1">
      <c r="A848" s="14"/>
    </row>
    <row r="849" spans="1:1" ht="15.75" customHeight="1">
      <c r="A849" s="14"/>
    </row>
    <row r="850" spans="1:1" ht="15.75" customHeight="1">
      <c r="A850" s="14"/>
    </row>
    <row r="851" spans="1:1" ht="15.75" customHeight="1">
      <c r="A851" s="14"/>
    </row>
    <row r="852" spans="1:1" ht="15.75" customHeight="1">
      <c r="A852" s="14"/>
    </row>
    <row r="853" spans="1:1" ht="15.75" customHeight="1">
      <c r="A853" s="14"/>
    </row>
    <row r="854" spans="1:1" ht="15.75" customHeight="1">
      <c r="A854" s="14"/>
    </row>
    <row r="855" spans="1:1" ht="15.75" customHeight="1">
      <c r="A855" s="14"/>
    </row>
    <row r="856" spans="1:1" ht="15.75" customHeight="1">
      <c r="A856" s="14"/>
    </row>
    <row r="857" spans="1:1" ht="15.75" customHeight="1">
      <c r="A857" s="14"/>
    </row>
    <row r="858" spans="1:1" ht="15.75" customHeight="1">
      <c r="A858" s="14"/>
    </row>
    <row r="859" spans="1:1" ht="15.75" customHeight="1">
      <c r="A859" s="14"/>
    </row>
    <row r="860" spans="1:1" ht="15.75" customHeight="1">
      <c r="A860" s="14"/>
    </row>
    <row r="861" spans="1:1" ht="15.75" customHeight="1">
      <c r="A861" s="14"/>
    </row>
    <row r="862" spans="1:1" ht="15.75" customHeight="1">
      <c r="A862" s="14"/>
    </row>
    <row r="863" spans="1:1" ht="15.75" customHeight="1">
      <c r="A863" s="14"/>
    </row>
    <row r="864" spans="1:1" ht="15.75" customHeight="1">
      <c r="A864" s="14"/>
    </row>
    <row r="865" spans="1:1" ht="15.75" customHeight="1">
      <c r="A865" s="14"/>
    </row>
    <row r="866" spans="1:1" ht="15.75" customHeight="1">
      <c r="A866" s="14"/>
    </row>
    <row r="867" spans="1:1" ht="15.75" customHeight="1">
      <c r="A867" s="14"/>
    </row>
    <row r="868" spans="1:1" ht="15.75" customHeight="1">
      <c r="A868" s="14"/>
    </row>
    <row r="869" spans="1:1" ht="15.75" customHeight="1">
      <c r="A869" s="14"/>
    </row>
    <row r="870" spans="1:1" ht="15.75" customHeight="1">
      <c r="A870" s="14"/>
    </row>
    <row r="871" spans="1:1" ht="15.75" customHeight="1">
      <c r="A871" s="14"/>
    </row>
    <row r="872" spans="1:1" ht="15.75" customHeight="1">
      <c r="A872" s="14"/>
    </row>
    <row r="873" spans="1:1" ht="15.75" customHeight="1">
      <c r="A873" s="14"/>
    </row>
    <row r="874" spans="1:1" ht="15.75" customHeight="1">
      <c r="A874" s="14"/>
    </row>
    <row r="875" spans="1:1" ht="15.75" customHeight="1">
      <c r="A875" s="14"/>
    </row>
    <row r="876" spans="1:1" ht="15.75" customHeight="1">
      <c r="A876" s="14"/>
    </row>
    <row r="877" spans="1:1" ht="15.75" customHeight="1">
      <c r="A877" s="14"/>
    </row>
    <row r="878" spans="1:1" ht="15.75" customHeight="1">
      <c r="A878" s="14"/>
    </row>
    <row r="879" spans="1:1" ht="15.75" customHeight="1">
      <c r="A879" s="14"/>
    </row>
    <row r="880" spans="1:1" ht="15.75" customHeight="1">
      <c r="A880" s="14"/>
    </row>
    <row r="881" spans="1:1" ht="15.75" customHeight="1">
      <c r="A881" s="14"/>
    </row>
    <row r="882" spans="1:1" ht="15.75" customHeight="1">
      <c r="A882" s="14"/>
    </row>
    <row r="883" spans="1:1" ht="15.75" customHeight="1">
      <c r="A883" s="14"/>
    </row>
    <row r="884" spans="1:1" ht="15.75" customHeight="1">
      <c r="A884" s="14"/>
    </row>
    <row r="885" spans="1:1" ht="15.75" customHeight="1">
      <c r="A885" s="14"/>
    </row>
    <row r="886" spans="1:1" ht="15.75" customHeight="1">
      <c r="A886" s="14"/>
    </row>
    <row r="887" spans="1:1" ht="15.75" customHeight="1">
      <c r="A887" s="14"/>
    </row>
    <row r="888" spans="1:1" ht="15.75" customHeight="1">
      <c r="A888" s="14"/>
    </row>
    <row r="889" spans="1:1" ht="15.75" customHeight="1">
      <c r="A889" s="14"/>
    </row>
    <row r="890" spans="1:1" ht="15.75" customHeight="1">
      <c r="A890" s="14"/>
    </row>
    <row r="891" spans="1:1" ht="15.75" customHeight="1">
      <c r="A891" s="14"/>
    </row>
    <row r="892" spans="1:1" ht="15.75" customHeight="1">
      <c r="A892" s="14"/>
    </row>
    <row r="893" spans="1:1" ht="15.75" customHeight="1">
      <c r="A893" s="14"/>
    </row>
    <row r="894" spans="1:1" ht="15.75" customHeight="1">
      <c r="A894" s="14"/>
    </row>
    <row r="895" spans="1:1" ht="15.75" customHeight="1">
      <c r="A895" s="14"/>
    </row>
    <row r="896" spans="1:1" ht="15.75" customHeight="1">
      <c r="A896" s="14"/>
    </row>
    <row r="897" spans="1:1" ht="15.75" customHeight="1">
      <c r="A897" s="14"/>
    </row>
    <row r="898" spans="1:1" ht="15.75" customHeight="1">
      <c r="A898" s="14"/>
    </row>
    <row r="899" spans="1:1" ht="15.75" customHeight="1">
      <c r="A899" s="14"/>
    </row>
    <row r="900" spans="1:1" ht="15.75" customHeight="1">
      <c r="A900" s="14"/>
    </row>
    <row r="901" spans="1:1" ht="15.75" customHeight="1">
      <c r="A901" s="14"/>
    </row>
    <row r="902" spans="1:1" ht="15.75" customHeight="1">
      <c r="A902" s="14"/>
    </row>
    <row r="903" spans="1:1" ht="15.75" customHeight="1">
      <c r="A903" s="14"/>
    </row>
    <row r="904" spans="1:1" ht="15.75" customHeight="1">
      <c r="A904" s="14"/>
    </row>
    <row r="905" spans="1:1" ht="15.75" customHeight="1">
      <c r="A905" s="14"/>
    </row>
    <row r="906" spans="1:1" ht="15.75" customHeight="1">
      <c r="A906" s="14"/>
    </row>
    <row r="907" spans="1:1" ht="15.75" customHeight="1">
      <c r="A907" s="14"/>
    </row>
    <row r="908" spans="1:1" ht="15.75" customHeight="1">
      <c r="A908" s="14"/>
    </row>
    <row r="909" spans="1:1" ht="15.75" customHeight="1">
      <c r="A909" s="14"/>
    </row>
    <row r="910" spans="1:1" ht="15.75" customHeight="1">
      <c r="A910" s="14"/>
    </row>
    <row r="911" spans="1:1" ht="15.75" customHeight="1">
      <c r="A911" s="14"/>
    </row>
    <row r="912" spans="1:1" ht="15.75" customHeight="1">
      <c r="A912" s="14"/>
    </row>
    <row r="913" spans="1:1" ht="15.75" customHeight="1">
      <c r="A913" s="14"/>
    </row>
    <row r="914" spans="1:1" ht="15.75" customHeight="1">
      <c r="A914" s="14"/>
    </row>
    <row r="915" spans="1:1" ht="15.75" customHeight="1">
      <c r="A915" s="14"/>
    </row>
    <row r="916" spans="1:1" ht="15.75" customHeight="1">
      <c r="A916" s="14"/>
    </row>
    <row r="917" spans="1:1" ht="15.75" customHeight="1">
      <c r="A917" s="14"/>
    </row>
    <row r="918" spans="1:1" ht="15.75" customHeight="1">
      <c r="A918" s="14"/>
    </row>
    <row r="919" spans="1:1" ht="15.75" customHeight="1">
      <c r="A919" s="14"/>
    </row>
    <row r="920" spans="1:1" ht="15.75" customHeight="1">
      <c r="A920" s="14"/>
    </row>
    <row r="921" spans="1:1" ht="15.75" customHeight="1">
      <c r="A921" s="14"/>
    </row>
    <row r="922" spans="1:1" ht="15.75" customHeight="1">
      <c r="A922" s="14"/>
    </row>
    <row r="923" spans="1:1" ht="15.75" customHeight="1">
      <c r="A923" s="14"/>
    </row>
    <row r="924" spans="1:1" ht="15.75" customHeight="1">
      <c r="A924" s="14"/>
    </row>
    <row r="925" spans="1:1" ht="15.75" customHeight="1">
      <c r="A925" s="14"/>
    </row>
    <row r="926" spans="1:1" ht="15.75" customHeight="1">
      <c r="A926" s="14"/>
    </row>
    <row r="927" spans="1:1" ht="15.75" customHeight="1">
      <c r="A927" s="14"/>
    </row>
    <row r="928" spans="1:1" ht="15.75" customHeight="1">
      <c r="A928" s="14"/>
    </row>
    <row r="929" spans="1:1" ht="15.75" customHeight="1">
      <c r="A929" s="14"/>
    </row>
    <row r="930" spans="1:1" ht="15.75" customHeight="1">
      <c r="A930" s="14"/>
    </row>
    <row r="931" spans="1:1" ht="15.75" customHeight="1">
      <c r="A931" s="14"/>
    </row>
    <row r="932" spans="1:1" ht="15.75" customHeight="1">
      <c r="A932" s="14"/>
    </row>
    <row r="933" spans="1:1" ht="15.75" customHeight="1">
      <c r="A933" s="14"/>
    </row>
    <row r="934" spans="1:1" ht="15.75" customHeight="1">
      <c r="A934" s="14"/>
    </row>
    <row r="935" spans="1:1" ht="15.75" customHeight="1">
      <c r="A935" s="14"/>
    </row>
    <row r="936" spans="1:1" ht="15.75" customHeight="1">
      <c r="A936" s="14"/>
    </row>
    <row r="937" spans="1:1" ht="15.75" customHeight="1">
      <c r="A937" s="14"/>
    </row>
    <row r="938" spans="1:1" ht="15.75" customHeight="1">
      <c r="A938" s="14"/>
    </row>
    <row r="939" spans="1:1" ht="15.75" customHeight="1">
      <c r="A939" s="14"/>
    </row>
    <row r="940" spans="1:1" ht="15.75" customHeight="1">
      <c r="A940" s="14"/>
    </row>
    <row r="941" spans="1:1" ht="15.75" customHeight="1">
      <c r="A941" s="14"/>
    </row>
    <row r="942" spans="1:1" ht="15.75" customHeight="1">
      <c r="A942" s="14"/>
    </row>
    <row r="943" spans="1:1" ht="15.75" customHeight="1">
      <c r="A943" s="14"/>
    </row>
    <row r="944" spans="1:1" ht="15.75" customHeight="1">
      <c r="A944" s="14"/>
    </row>
    <row r="945" spans="1:1" ht="15.75" customHeight="1">
      <c r="A945" s="14"/>
    </row>
    <row r="946" spans="1:1" ht="15.75" customHeight="1">
      <c r="A946" s="14"/>
    </row>
    <row r="947" spans="1:1" ht="15.75" customHeight="1">
      <c r="A947" s="14"/>
    </row>
    <row r="948" spans="1:1" ht="15.75" customHeight="1">
      <c r="A948" s="14"/>
    </row>
    <row r="949" spans="1:1" ht="15.75" customHeight="1">
      <c r="A949" s="14"/>
    </row>
    <row r="950" spans="1:1" ht="15.75" customHeight="1">
      <c r="A950" s="14"/>
    </row>
    <row r="951" spans="1:1" ht="15.75" customHeight="1">
      <c r="A951" s="14"/>
    </row>
    <row r="952" spans="1:1" ht="15.75" customHeight="1">
      <c r="A952" s="14"/>
    </row>
    <row r="953" spans="1:1" ht="15.75" customHeight="1">
      <c r="A953" s="14"/>
    </row>
    <row r="954" spans="1:1" ht="15.75" customHeight="1">
      <c r="A954" s="14"/>
    </row>
    <row r="955" spans="1:1" ht="15.75" customHeight="1">
      <c r="A955" s="14"/>
    </row>
    <row r="956" spans="1:1" ht="15.75" customHeight="1">
      <c r="A956" s="14"/>
    </row>
    <row r="957" spans="1:1" ht="15.75" customHeight="1">
      <c r="A957" s="14"/>
    </row>
    <row r="958" spans="1:1" ht="15.75" customHeight="1">
      <c r="A958" s="14"/>
    </row>
    <row r="959" spans="1:1" ht="15.75" customHeight="1">
      <c r="A959" s="14"/>
    </row>
    <row r="960" spans="1:1" ht="15.75" customHeight="1">
      <c r="A960" s="14"/>
    </row>
    <row r="961" spans="1:1" ht="15.75" customHeight="1">
      <c r="A961" s="14"/>
    </row>
    <row r="962" spans="1:1" ht="15.75" customHeight="1">
      <c r="A962" s="14"/>
    </row>
    <row r="963" spans="1:1" ht="15.75" customHeight="1">
      <c r="A963" s="14"/>
    </row>
    <row r="964" spans="1:1" ht="15.75" customHeight="1">
      <c r="A964" s="14"/>
    </row>
    <row r="965" spans="1:1" ht="15.75" customHeight="1">
      <c r="A965" s="14"/>
    </row>
    <row r="966" spans="1:1" ht="15.75" customHeight="1">
      <c r="A966" s="14"/>
    </row>
    <row r="967" spans="1:1" ht="15.75" customHeight="1">
      <c r="A967" s="14"/>
    </row>
    <row r="968" spans="1:1" ht="15.75" customHeight="1">
      <c r="A968" s="14"/>
    </row>
    <row r="969" spans="1:1" ht="15.75" customHeight="1">
      <c r="A969" s="14"/>
    </row>
    <row r="970" spans="1:1" ht="15.75" customHeight="1">
      <c r="A970" s="14"/>
    </row>
    <row r="971" spans="1:1" ht="15.75" customHeight="1">
      <c r="A971" s="14"/>
    </row>
    <row r="972" spans="1:1" ht="15.75" customHeight="1">
      <c r="A972" s="14"/>
    </row>
    <row r="973" spans="1:1" ht="15.75" customHeight="1">
      <c r="A973" s="14"/>
    </row>
    <row r="974" spans="1:1" ht="15.75" customHeight="1">
      <c r="A974" s="14"/>
    </row>
    <row r="975" spans="1:1" ht="15.75" customHeight="1">
      <c r="A975" s="14"/>
    </row>
    <row r="976" spans="1:1" ht="15.75" customHeight="1">
      <c r="A976" s="14"/>
    </row>
    <row r="977" spans="1:1" ht="15.75" customHeight="1">
      <c r="A977" s="14"/>
    </row>
    <row r="978" spans="1:1" ht="15.75" customHeight="1">
      <c r="A978" s="14"/>
    </row>
    <row r="979" spans="1:1" ht="15.75" customHeight="1">
      <c r="A979" s="14"/>
    </row>
    <row r="980" spans="1:1" ht="15.75" customHeight="1">
      <c r="A980" s="14"/>
    </row>
    <row r="981" spans="1:1" ht="15.75" customHeight="1">
      <c r="A981" s="14"/>
    </row>
    <row r="982" spans="1:1" ht="15.75" customHeight="1">
      <c r="A982" s="14"/>
    </row>
    <row r="983" spans="1:1" ht="15.75" customHeight="1">
      <c r="A983" s="14"/>
    </row>
    <row r="984" spans="1:1" ht="15.75" customHeight="1">
      <c r="A984" s="14"/>
    </row>
    <row r="985" spans="1:1" ht="15.75" customHeight="1">
      <c r="A985" s="14"/>
    </row>
    <row r="986" spans="1:1" ht="15.75" customHeight="1">
      <c r="A986" s="14"/>
    </row>
    <row r="987" spans="1:1" ht="15.75" customHeight="1">
      <c r="A987" s="14"/>
    </row>
    <row r="988" spans="1:1" ht="15.75" customHeight="1">
      <c r="A988" s="14"/>
    </row>
    <row r="989" spans="1:1" ht="15.75" customHeight="1">
      <c r="A989" s="14"/>
    </row>
    <row r="990" spans="1:1" ht="15.75" customHeight="1">
      <c r="A990" s="14"/>
    </row>
    <row r="991" spans="1:1" ht="15.75" customHeight="1">
      <c r="A991" s="14"/>
    </row>
    <row r="992" spans="1:1" ht="15.75" customHeight="1">
      <c r="A992" s="14"/>
    </row>
    <row r="993" spans="1:1" ht="15.75" customHeight="1">
      <c r="A993" s="14"/>
    </row>
    <row r="994" spans="1:1" ht="15.75" customHeight="1">
      <c r="A994" s="14"/>
    </row>
    <row r="995" spans="1:1" ht="15.75" customHeight="1">
      <c r="A995" s="14"/>
    </row>
    <row r="996" spans="1:1" ht="15.75" customHeight="1">
      <c r="A996" s="14"/>
    </row>
    <row r="997" spans="1:1" ht="15.75" customHeight="1">
      <c r="A997" s="14"/>
    </row>
    <row r="998" spans="1:1" ht="15.75" customHeight="1">
      <c r="A998" s="14"/>
    </row>
    <row r="999" spans="1:1" ht="15.75" customHeight="1">
      <c r="A999" s="14"/>
    </row>
    <row r="1000" spans="1:1" ht="15.75" customHeight="1">
      <c r="A1000" s="14"/>
    </row>
  </sheetData>
  <pageMargins left="0.70866141732283472" right="0.70866141732283472" top="0.74803149606299213" bottom="0.74803149606299213" header="0" footer="0"/>
  <pageSetup paperSize="9" scale="10" orientation="landscape" r:id="rId1"/>
  <headerFooter>
    <oddHeader>&amp;R&amp;F  &amp;A</oddHeader>
    <oddFooter>&amp;L© 2016&amp;CPage &amp;P of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eded41-6c5d-4718-b7b7-dbfd1652bccf">
      <Terms xmlns="http://schemas.microsoft.com/office/infopath/2007/PartnerControls"/>
    </lcf76f155ced4ddcb4097134ff3c332f>
    <TaxCatchAll xmlns="6ea4884f-dd23-4a9e-9674-e096257745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002F8CDD7ACF40A6C36B1C9FA62C55" ma:contentTypeVersion="14" ma:contentTypeDescription="Create a new document." ma:contentTypeScope="" ma:versionID="d404fa04c35d4f3b5506d3037726f8c7">
  <xsd:schema xmlns:xsd="http://www.w3.org/2001/XMLSchema" xmlns:xs="http://www.w3.org/2001/XMLSchema" xmlns:p="http://schemas.microsoft.com/office/2006/metadata/properties" xmlns:ns2="69eded41-6c5d-4718-b7b7-dbfd1652bccf" xmlns:ns3="6ea4884f-dd23-4a9e-9674-e0962577458b" targetNamespace="http://schemas.microsoft.com/office/2006/metadata/properties" ma:root="true" ma:fieldsID="80694a67426a54d6681b2d2a2fe6f891" ns2:_="" ns3:_="">
    <xsd:import namespace="69eded41-6c5d-4718-b7b7-dbfd1652bccf"/>
    <xsd:import namespace="6ea4884f-dd23-4a9e-9674-e096257745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ded41-6c5d-4718-b7b7-dbfd1652bc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2ff089-c713-41da-a7f8-7725fa36ebb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a4884f-dd23-4a9e-9674-e096257745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7a576b-233c-4f6a-bc99-79689ae6a87f}" ma:internalName="TaxCatchAll" ma:showField="CatchAllData" ma:web="6ea4884f-dd23-4a9e-9674-e096257745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24BD9-5459-4237-BB08-C0910670372A}"/>
</file>

<file path=customXml/itemProps2.xml><?xml version="1.0" encoding="utf-8"?>
<ds:datastoreItem xmlns:ds="http://schemas.openxmlformats.org/officeDocument/2006/customXml" ds:itemID="{2B99976A-A153-47D6-BDE7-A7DFBE24173B}"/>
</file>

<file path=customXml/itemProps3.xml><?xml version="1.0" encoding="utf-8"?>
<ds:datastoreItem xmlns:ds="http://schemas.openxmlformats.org/officeDocument/2006/customXml" ds:itemID="{1FCDF098-9730-4E56-A7AB-7B65944EAD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Alastair Matchett</dc:creator>
  <cp:keywords/>
  <dc:description/>
  <cp:lastModifiedBy>Maria Weber</cp:lastModifiedBy>
  <cp:revision/>
  <dcterms:created xsi:type="dcterms:W3CDTF">2016-02-03T14:06:14Z</dcterms:created>
  <dcterms:modified xsi:type="dcterms:W3CDTF">2026-01-06T17:51:03Z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sSearchOrder">
    <vt:i4>0</vt:i4>
  </property>
  <property fmtid="{D5CDD505-2E9C-101B-9397-08002B2CF9AE}" pid="3" name="ContentTypeId">
    <vt:lpwstr>0x0101004F002F8CDD7ACF40A6C36B1C9FA62C55</vt:lpwstr>
  </property>
  <property fmtid="{D5CDD505-2E9C-101B-9397-08002B2CF9AE}" pid="4" name="MediaServiceImageTags">
    <vt:lpwstr/>
  </property>
</Properties>
</file>